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Отдел инвестиций\Соколова Н.А\Отбор Минэк по ППРФ 316\!!!! отбор август 2023\"/>
    </mc:Choice>
  </mc:AlternateContent>
  <xr:revisionPtr revIDLastSave="0" documentId="13_ncr:1_{D2139563-F472-45F4-9DAF-553093E58B73}" xr6:coauthVersionLast="47" xr6:coauthVersionMax="47" xr10:uidLastSave="{00000000-0000-0000-0000-000000000000}"/>
  <bookViews>
    <workbookView xWindow="-120" yWindow="-120" windowWidth="29040" windowHeight="15840" firstSheet="1" activeTab="9" xr2:uid="{00000000-000D-0000-FFFF-FFFF00000000}"/>
  </bookViews>
  <sheets>
    <sheet name="Readme" sheetId="22" r:id="rId1"/>
    <sheet name="ИД" sheetId="23" r:id="rId2"/>
    <sheet name="Параметры" sheetId="1" r:id="rId3"/>
    <sheet name="Деятельность_УК" sheetId="27" r:id="rId4"/>
    <sheet name="Результаты_УК" sheetId="28" r:id="rId5"/>
    <sheet name="Графики_УК" sheetId="29" r:id="rId6"/>
    <sheet name="Резиденты" sheetId="31" r:id="rId7"/>
    <sheet name="Бюджетная_система" sheetId="32" r:id="rId8"/>
    <sheet name="Графики" sheetId="33" r:id="rId9"/>
    <sheet name="Титул" sheetId="20" r:id="rId10"/>
    <sheet name="Оглавление" sheetId="21" r:id="rId11"/>
    <sheet name="Таб. 1" sheetId="34" r:id="rId12"/>
    <sheet name="Таб. 2" sheetId="35" r:id="rId13"/>
    <sheet name="Таб. 3" sheetId="36" r:id="rId14"/>
    <sheet name="Таб. 4" sheetId="37" r:id="rId15"/>
    <sheet name="Таб. 5" sheetId="38" r:id="rId16"/>
    <sheet name="Таб. 6" sheetId="39" r:id="rId17"/>
    <sheet name="Таб. 7" sheetId="40" r:id="rId18"/>
    <sheet name="Таб. 8" sheetId="41" r:id="rId19"/>
    <sheet name="Таб. 9" sheetId="42" r:id="rId20"/>
    <sheet name="Таб. 10" sheetId="43" r:id="rId21"/>
    <sheet name="Таб. 11" sheetId="44" r:id="rId22"/>
    <sheet name="Таб. 12" sheetId="45" r:id="rId23"/>
    <sheet name="Таб. 13" sheetId="46" r:id="rId24"/>
    <sheet name="Таб. 14" sheetId="47" r:id="rId25"/>
    <sheet name="Таб. 15" sheetId="48" r:id="rId26"/>
    <sheet name="Таб. 16" sheetId="49" r:id="rId27"/>
    <sheet name="Таб. 17" sheetId="50" r:id="rId28"/>
    <sheet name="Таб. 18" sheetId="51" r:id="rId29"/>
    <sheet name="Таб. 19" sheetId="52" r:id="rId30"/>
    <sheet name="Таб. 20" sheetId="53" r:id="rId31"/>
    <sheet name="Таб. 21" sheetId="54" r:id="rId32"/>
    <sheet name="Таб. 22" sheetId="55" r:id="rId33"/>
    <sheet name="Таб. 23" sheetId="56" r:id="rId34"/>
    <sheet name="Таб. 24" sheetId="57" r:id="rId35"/>
    <sheet name="Таб. 25" sheetId="58" r:id="rId36"/>
    <sheet name="Таб. 26" sheetId="59" r:id="rId37"/>
    <sheet name="Таб. 27" sheetId="60" r:id="rId38"/>
    <sheet name="Таб. 28" sheetId="61" r:id="rId39"/>
  </sheets>
  <definedNames>
    <definedName name="Opt_DlgPrint">#REF!</definedName>
    <definedName name="Project_Invest">#REF!</definedName>
    <definedName name="_xlnm.Print_Titles" localSheetId="11">'Таб. 1'!$A:$B,'Таб. 1'!$1:$1</definedName>
    <definedName name="_xlnm.Print_Titles" localSheetId="20">'Таб. 10'!$1:$1</definedName>
    <definedName name="_xlnm.Print_Titles" localSheetId="21">'Таб. 11'!$A:$C,'Таб. 11'!$1:$1</definedName>
    <definedName name="_xlnm.Print_Titles" localSheetId="22">'Таб. 12'!$A:$C,'Таб. 12'!$1:$1</definedName>
    <definedName name="_xlnm.Print_Titles" localSheetId="23">'Таб. 13'!$A:$B,'Таб. 13'!$1:$1</definedName>
    <definedName name="_xlnm.Print_Titles" localSheetId="24">'Таб. 14'!$A:$C,'Таб. 14'!$1:$1</definedName>
    <definedName name="_xlnm.Print_Titles" localSheetId="25">'Таб. 15'!$A:$C,'Таб. 15'!$1:$1</definedName>
    <definedName name="_xlnm.Print_Titles" localSheetId="26">'Таб. 16'!$A:$C,'Таб. 16'!$1:$1</definedName>
    <definedName name="_xlnm.Print_Titles" localSheetId="27">'Таб. 17'!$A:$C,'Таб. 17'!$1:$1</definedName>
    <definedName name="_xlnm.Print_Titles" localSheetId="28">'Таб. 18'!$A:$C,'Таб. 18'!$1:$1</definedName>
    <definedName name="_xlnm.Print_Titles" localSheetId="29">'Таб. 19'!$A:$C,'Таб. 19'!$1:$1</definedName>
    <definedName name="_xlnm.Print_Titles" localSheetId="12">'Таб. 2'!$A:$C,'Таб. 2'!$1:$1</definedName>
    <definedName name="_xlnm.Print_Titles" localSheetId="30">'Таб. 20'!$A:$B,'Таб. 20'!$1:$1</definedName>
    <definedName name="_xlnm.Print_Titles" localSheetId="31">'Таб. 21'!$A:$B,'Таб. 21'!$1:$1</definedName>
    <definedName name="_xlnm.Print_Titles" localSheetId="32">'Таб. 22'!$A:$B,'Таб. 22'!$1:$1</definedName>
    <definedName name="_xlnm.Print_Titles" localSheetId="33">'Таб. 23'!$A:$B,'Таб. 23'!$1:$1</definedName>
    <definedName name="_xlnm.Print_Titles" localSheetId="34">'Таб. 24'!$A:$C,'Таб. 24'!$1:$1</definedName>
    <definedName name="_xlnm.Print_Titles" localSheetId="35">'Таб. 25'!$A:$C,'Таб. 25'!$1:$1</definedName>
    <definedName name="_xlnm.Print_Titles" localSheetId="36">'Таб. 26'!$A:$C,'Таб. 26'!$1:$1</definedName>
    <definedName name="_xlnm.Print_Titles" localSheetId="37">'Таб. 27'!$A:$C,'Таб. 27'!$1:$1</definedName>
    <definedName name="_xlnm.Print_Titles" localSheetId="38">'Таб. 28'!$A:$C,'Таб. 28'!$1:$1</definedName>
    <definedName name="_xlnm.Print_Titles" localSheetId="13">'Таб. 3'!$A:$C,'Таб. 3'!$1:$1</definedName>
    <definedName name="_xlnm.Print_Titles" localSheetId="14">'Таб. 4'!$A:$C,'Таб. 4'!$1:$1</definedName>
    <definedName name="_xlnm.Print_Titles" localSheetId="15">'Таб. 5'!$A:$C,'Таб. 5'!$1:$1</definedName>
    <definedName name="_xlnm.Print_Titles" localSheetId="16">'Таб. 6'!$A:$B,'Таб. 6'!$1:$1</definedName>
    <definedName name="_xlnm.Print_Titles" localSheetId="17">'Таб. 7'!$A:$B,'Таб. 7'!$1:$1</definedName>
    <definedName name="_xlnm.Print_Titles" localSheetId="18">'Таб. 8'!$A:$C,'Таб. 8'!$1:$1</definedName>
    <definedName name="_xlnm.Print_Titles" localSheetId="19">'Таб. 9'!$A:$B,'Таб. 9'!$1:$1</definedName>
    <definedName name="_xlnm.Print_Area" localSheetId="0">Readme!$A$1:$N$38</definedName>
    <definedName name="_xlnm.Print_Area" localSheetId="11">'Таб. 1'!$A$1:$L$32</definedName>
    <definedName name="_xlnm.Print_Area" localSheetId="20">'Таб. 10'!$A$1:$N$83</definedName>
    <definedName name="_xlnm.Print_Area" localSheetId="21">'Таб. 11'!$A$1:$N$36</definedName>
    <definedName name="_xlnm.Print_Area" localSheetId="22">'Таб. 12'!$A$1:$N$33</definedName>
    <definedName name="_xlnm.Print_Area" localSheetId="23">'Таб. 13'!$A$1:$L$36</definedName>
    <definedName name="_xlnm.Print_Area" localSheetId="24">'Таб. 14'!$A$1:$M$32</definedName>
    <definedName name="_xlnm.Print_Area" localSheetId="25">'Таб. 15'!$A$1:$M$42</definedName>
    <definedName name="_xlnm.Print_Area" localSheetId="26">'Таб. 16'!$A$1:$N$31</definedName>
    <definedName name="_xlnm.Print_Area" localSheetId="27">'Таб. 17'!$A$1:$N$25</definedName>
    <definedName name="_xlnm.Print_Area" localSheetId="28">'Таб. 18'!$A$1:$N$58</definedName>
    <definedName name="_xlnm.Print_Area" localSheetId="29">'Таб. 19'!$A$1:$N$66</definedName>
    <definedName name="_xlnm.Print_Area" localSheetId="12">'Таб. 2'!$A$1:$M$53</definedName>
    <definedName name="_xlnm.Print_Area" localSheetId="30">'Таб. 20'!$A$1:$M$8</definedName>
    <definedName name="_xlnm.Print_Area" localSheetId="31">'Таб. 21'!$A$1:$M$18</definedName>
    <definedName name="_xlnm.Print_Area" localSheetId="32">'Таб. 22'!$A$1:$M$38</definedName>
    <definedName name="_xlnm.Print_Area" localSheetId="33">'Таб. 23'!$A$1:$M$6</definedName>
    <definedName name="_xlnm.Print_Area" localSheetId="34">'Таб. 24'!$A$1:$N$24</definedName>
    <definedName name="_xlnm.Print_Area" localSheetId="35">'Таб. 25'!$A$1:$N$28</definedName>
    <definedName name="_xlnm.Print_Area" localSheetId="36">'Таб. 26'!$A$1:$N$26</definedName>
    <definedName name="_xlnm.Print_Area" localSheetId="37">'Таб. 27'!$A$1:$N$26</definedName>
    <definedName name="_xlnm.Print_Area" localSheetId="38">'Таб. 28'!$A$1:$N$24</definedName>
    <definedName name="_xlnm.Print_Area" localSheetId="13">'Таб. 3'!$A$1:$M$29</definedName>
    <definedName name="_xlnm.Print_Area" localSheetId="14">'Таб. 4'!$A$1:$N$20</definedName>
    <definedName name="_xlnm.Print_Area" localSheetId="15">'Таб. 5'!$A$1:$N$44</definedName>
    <definedName name="_xlnm.Print_Area" localSheetId="16">'Таб. 6'!$A$1:$M$27</definedName>
    <definedName name="_xlnm.Print_Area" localSheetId="17">'Таб. 7'!$A$1:$M$51</definedName>
    <definedName name="_xlnm.Print_Area" localSheetId="18">'Таб. 8'!$A$1:$N$94</definedName>
    <definedName name="_xlnm.Print_Area" localSheetId="19">'Таб. 9'!$A$1:$M$32</definedName>
    <definedName name="_xlnm.Print_Area" localSheetId="9">Титул!$A$1:$R$46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61" l="1"/>
  <c r="D4" i="60"/>
  <c r="D4" i="59"/>
  <c r="D4" i="58"/>
  <c r="C3" i="56"/>
  <c r="D4" i="50"/>
  <c r="M27" i="44"/>
  <c r="L27" i="44"/>
  <c r="K27" i="44"/>
  <c r="J27" i="44"/>
  <c r="I27" i="44"/>
  <c r="H27" i="44"/>
  <c r="G27" i="44"/>
  <c r="F27" i="44"/>
  <c r="E27" i="44"/>
  <c r="D27" i="44"/>
  <c r="M78" i="43"/>
  <c r="L78" i="43"/>
  <c r="K78" i="43"/>
  <c r="J78" i="43"/>
  <c r="I78" i="43"/>
  <c r="H78" i="43"/>
  <c r="G78" i="43"/>
  <c r="F78" i="43"/>
  <c r="E78" i="43"/>
  <c r="D78" i="43"/>
  <c r="L21" i="42"/>
  <c r="K21" i="42"/>
  <c r="J21" i="42"/>
  <c r="I21" i="42"/>
  <c r="H21" i="42"/>
  <c r="G21" i="42"/>
  <c r="F21" i="42"/>
  <c r="E21" i="42"/>
  <c r="D21" i="42"/>
  <c r="C21" i="42"/>
  <c r="L17" i="42"/>
  <c r="K17" i="42"/>
  <c r="J17" i="42"/>
  <c r="I17" i="42"/>
  <c r="H17" i="42"/>
  <c r="G17" i="42"/>
  <c r="F17" i="42"/>
  <c r="E17" i="42"/>
  <c r="D17" i="42"/>
  <c r="C17" i="42"/>
  <c r="H74" i="41"/>
  <c r="M27" i="41"/>
  <c r="L27" i="41"/>
  <c r="K27" i="41"/>
  <c r="J27" i="41"/>
  <c r="I27" i="41"/>
  <c r="H27" i="41"/>
  <c r="G27" i="41"/>
  <c r="F27" i="41"/>
  <c r="E27" i="41"/>
  <c r="D27" i="41"/>
  <c r="M24" i="41"/>
  <c r="L24" i="41"/>
  <c r="K24" i="41"/>
  <c r="J24" i="41"/>
  <c r="I24" i="41"/>
  <c r="H24" i="41"/>
  <c r="G24" i="41"/>
  <c r="F24" i="41"/>
  <c r="E24" i="41"/>
  <c r="D24" i="41"/>
  <c r="A1" i="32"/>
  <c r="AR122" i="32"/>
  <c r="AQ122" i="32"/>
  <c r="AP122" i="32"/>
  <c r="AO122" i="32"/>
  <c r="AN122" i="32"/>
  <c r="AM122" i="32"/>
  <c r="AL122" i="32"/>
  <c r="AK122" i="32"/>
  <c r="AJ122" i="32"/>
  <c r="AI122" i="32"/>
  <c r="AH122" i="32"/>
  <c r="AG122" i="32"/>
  <c r="AF122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G122" i="32"/>
  <c r="F122" i="32"/>
  <c r="E122" i="32"/>
  <c r="A1" i="31"/>
  <c r="B80" i="31"/>
  <c r="F31" i="31"/>
  <c r="U14" i="31"/>
  <c r="T14" i="31"/>
  <c r="S14" i="31"/>
  <c r="R14" i="31"/>
  <c r="Q14" i="31"/>
  <c r="P14" i="31"/>
  <c r="O14" i="31"/>
  <c r="N14" i="31"/>
  <c r="M14" i="31"/>
  <c r="L14" i="31"/>
  <c r="K14" i="31"/>
  <c r="J14" i="31"/>
  <c r="I14" i="31"/>
  <c r="H14" i="31"/>
  <c r="G14" i="31"/>
  <c r="F14" i="31"/>
  <c r="E14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M10" i="31"/>
  <c r="L10" i="31"/>
  <c r="K10" i="31"/>
  <c r="J10" i="31"/>
  <c r="I10" i="31"/>
  <c r="H10" i="31"/>
  <c r="G10" i="31"/>
  <c r="F10" i="31"/>
  <c r="E10" i="31"/>
  <c r="G9" i="31"/>
  <c r="F9" i="31"/>
  <c r="E9" i="31"/>
  <c r="B288" i="27"/>
  <c r="B259" i="27"/>
  <c r="B6" i="27"/>
  <c r="B300" i="27" s="1"/>
  <c r="B127" i="27"/>
  <c r="B126" i="27"/>
  <c r="B125" i="27"/>
  <c r="B124" i="27"/>
  <c r="B113" i="27"/>
  <c r="B112" i="27"/>
  <c r="C639" i="27"/>
  <c r="C638" i="27"/>
  <c r="C637" i="27"/>
  <c r="C636" i="27"/>
  <c r="C635" i="27"/>
  <c r="C625" i="27"/>
  <c r="C624" i="27"/>
  <c r="C623" i="27"/>
  <c r="C622" i="27"/>
  <c r="C621" i="27"/>
  <c r="C611" i="27"/>
  <c r="C610" i="27"/>
  <c r="C609" i="27"/>
  <c r="C608" i="27"/>
  <c r="C607" i="27"/>
  <c r="C597" i="27"/>
  <c r="C596" i="27"/>
  <c r="C595" i="27"/>
  <c r="C594" i="27"/>
  <c r="C593" i="27"/>
  <c r="C583" i="27"/>
  <c r="C582" i="27"/>
  <c r="C581" i="27"/>
  <c r="C580" i="27"/>
  <c r="C579" i="27"/>
  <c r="C569" i="27"/>
  <c r="C568" i="27"/>
  <c r="C567" i="27"/>
  <c r="C566" i="27"/>
  <c r="C565" i="27"/>
  <c r="C535" i="27"/>
  <c r="C534" i="27"/>
  <c r="C533" i="27"/>
  <c r="C532" i="27"/>
  <c r="C531" i="27"/>
  <c r="C529" i="27"/>
  <c r="C528" i="27"/>
  <c r="C527" i="27"/>
  <c r="C526" i="27"/>
  <c r="C525" i="27"/>
  <c r="C514" i="27"/>
  <c r="C475" i="27"/>
  <c r="C474" i="27"/>
  <c r="C473" i="27"/>
  <c r="C472" i="27"/>
  <c r="C471" i="27"/>
  <c r="C470" i="27"/>
  <c r="C469" i="27"/>
  <c r="C468" i="27"/>
  <c r="C467" i="27"/>
  <c r="C466" i="27"/>
  <c r="C465" i="27"/>
  <c r="C464" i="27"/>
  <c r="C463" i="27"/>
  <c r="C460" i="27"/>
  <c r="C459" i="27"/>
  <c r="C451" i="27"/>
  <c r="C450" i="27"/>
  <c r="C449" i="27"/>
  <c r="C448" i="27"/>
  <c r="C447" i="27"/>
  <c r="C446" i="27"/>
  <c r="C445" i="27"/>
  <c r="C444" i="27"/>
  <c r="C443" i="27"/>
  <c r="C442" i="27"/>
  <c r="C441" i="27"/>
  <c r="C440" i="27"/>
  <c r="C439" i="27"/>
  <c r="C438" i="27"/>
  <c r="C437" i="27"/>
  <c r="C436" i="27"/>
  <c r="C435" i="27"/>
  <c r="C433" i="27"/>
  <c r="C407" i="27"/>
  <c r="C399" i="27"/>
  <c r="C398" i="27"/>
  <c r="C304" i="27"/>
  <c r="C303" i="27"/>
  <c r="C301" i="27"/>
  <c r="C292" i="27"/>
  <c r="C291" i="27"/>
  <c r="C289" i="27"/>
  <c r="C280" i="27"/>
  <c r="C279" i="27"/>
  <c r="C277" i="27"/>
  <c r="C272" i="27"/>
  <c r="C271" i="27"/>
  <c r="C269" i="27"/>
  <c r="C263" i="27"/>
  <c r="C262" i="27"/>
  <c r="C260" i="27"/>
  <c r="C254" i="27"/>
  <c r="C253" i="27"/>
  <c r="C251" i="27"/>
  <c r="C246" i="27"/>
  <c r="C245" i="27"/>
  <c r="C243" i="27"/>
  <c r="C196" i="27"/>
  <c r="C195" i="27"/>
  <c r="C194" i="27"/>
  <c r="C193" i="27"/>
  <c r="C192" i="27"/>
  <c r="C191" i="27"/>
  <c r="C190" i="27"/>
  <c r="C181" i="27"/>
  <c r="C180" i="27"/>
  <c r="C179" i="27"/>
  <c r="C178" i="27"/>
  <c r="C177" i="27"/>
  <c r="C176" i="27"/>
  <c r="C175" i="27"/>
  <c r="C152" i="27"/>
  <c r="C150" i="27"/>
  <c r="C149" i="27"/>
  <c r="C148" i="27"/>
  <c r="C143" i="27"/>
  <c r="C141" i="27"/>
  <c r="C139" i="27"/>
  <c r="C138" i="27"/>
  <c r="C132" i="27"/>
  <c r="C130" i="27"/>
  <c r="C129" i="27"/>
  <c r="C128" i="27"/>
  <c r="C118" i="27"/>
  <c r="C116" i="27"/>
  <c r="C115" i="27"/>
  <c r="C114" i="27"/>
  <c r="C89" i="27"/>
  <c r="C88" i="27"/>
  <c r="C87" i="27"/>
  <c r="C86" i="27"/>
  <c r="C84" i="27"/>
  <c r="C82" i="27"/>
  <c r="C711" i="27"/>
  <c r="C710" i="27"/>
  <c r="C709" i="27"/>
  <c r="C703" i="27"/>
  <c r="C702" i="27"/>
  <c r="C701" i="27"/>
  <c r="C700" i="27"/>
  <c r="C696" i="27"/>
  <c r="C695" i="27"/>
  <c r="C694" i="27"/>
  <c r="C693" i="27"/>
  <c r="C692" i="27"/>
  <c r="C691" i="27"/>
  <c r="C690" i="27"/>
  <c r="C689" i="27"/>
  <c r="C688" i="27"/>
  <c r="C687" i="27"/>
  <c r="C686" i="27"/>
  <c r="C684" i="27"/>
  <c r="C683" i="27"/>
  <c r="C682" i="27"/>
  <c r="C680" i="27"/>
  <c r="C679" i="27"/>
  <c r="C678" i="27"/>
  <c r="C677" i="27"/>
  <c r="C675" i="27"/>
  <c r="C674" i="27"/>
  <c r="C673" i="27"/>
  <c r="C672" i="27"/>
  <c r="C671" i="27"/>
  <c r="C670" i="27"/>
  <c r="C669" i="27"/>
  <c r="C668" i="27"/>
  <c r="C667" i="27"/>
  <c r="C666" i="27"/>
  <c r="C665" i="27"/>
  <c r="C664" i="27"/>
  <c r="C663" i="27"/>
  <c r="C653" i="27"/>
  <c r="C651" i="27"/>
  <c r="C650" i="27"/>
  <c r="C649" i="27"/>
  <c r="C648" i="27"/>
  <c r="C647" i="27"/>
  <c r="C646" i="27"/>
  <c r="C645" i="27"/>
  <c r="C644" i="27"/>
  <c r="C643" i="27"/>
  <c r="C550" i="27"/>
  <c r="C548" i="27"/>
  <c r="C545" i="27"/>
  <c r="C544" i="27"/>
  <c r="C543" i="27"/>
  <c r="C542" i="27"/>
  <c r="C541" i="27"/>
  <c r="C540" i="27"/>
  <c r="C538" i="27"/>
  <c r="C537" i="27"/>
  <c r="C505" i="27"/>
  <c r="C504" i="27"/>
  <c r="C503" i="27"/>
  <c r="C501" i="27"/>
  <c r="C500" i="27"/>
  <c r="C499" i="27"/>
  <c r="C498" i="27"/>
  <c r="C496" i="27"/>
  <c r="C495" i="27"/>
  <c r="C494" i="27"/>
  <c r="C493" i="27"/>
  <c r="C492" i="27"/>
  <c r="C491" i="27"/>
  <c r="C490" i="27"/>
  <c r="C489" i="27"/>
  <c r="C488" i="27"/>
  <c r="C487" i="27"/>
  <c r="C486" i="27"/>
  <c r="C485" i="27"/>
  <c r="C484" i="27"/>
  <c r="C483" i="27"/>
  <c r="C482" i="27"/>
  <c r="C383" i="27"/>
  <c r="C382" i="27"/>
  <c r="C381" i="27"/>
  <c r="C380" i="27"/>
  <c r="C378" i="27"/>
  <c r="C377" i="27"/>
  <c r="C376" i="27"/>
  <c r="C374" i="27"/>
  <c r="C373" i="27"/>
  <c r="C372" i="27"/>
  <c r="C371" i="27"/>
  <c r="C369" i="27"/>
  <c r="C368" i="27"/>
  <c r="C367" i="27"/>
  <c r="C365" i="27"/>
  <c r="C363" i="27"/>
  <c r="C362" i="27"/>
  <c r="C360" i="27"/>
  <c r="C358" i="27"/>
  <c r="C357" i="27"/>
  <c r="C355" i="27"/>
  <c r="C353" i="27"/>
  <c r="C352" i="27"/>
  <c r="C350" i="27"/>
  <c r="C348" i="27"/>
  <c r="C347" i="27"/>
  <c r="C345" i="27"/>
  <c r="C343" i="27"/>
  <c r="C342" i="27"/>
  <c r="C340" i="27"/>
  <c r="C338" i="27"/>
  <c r="C337" i="27"/>
  <c r="C335" i="27"/>
  <c r="C333" i="27"/>
  <c r="C332" i="27"/>
  <c r="C330" i="27"/>
  <c r="C324" i="27"/>
  <c r="C323" i="27"/>
  <c r="C322" i="27"/>
  <c r="C320" i="27"/>
  <c r="C319" i="27"/>
  <c r="C318" i="27"/>
  <c r="C317" i="27"/>
  <c r="C315" i="27"/>
  <c r="C314" i="27"/>
  <c r="C313" i="27"/>
  <c r="C312" i="27"/>
  <c r="C310" i="27"/>
  <c r="C309" i="27"/>
  <c r="C233" i="27"/>
  <c r="C232" i="27"/>
  <c r="C230" i="27"/>
  <c r="C228" i="27"/>
  <c r="C227" i="27"/>
  <c r="C226" i="27"/>
  <c r="C225" i="27"/>
  <c r="C224" i="27"/>
  <c r="C223" i="27"/>
  <c r="C222" i="27"/>
  <c r="C219" i="27"/>
  <c r="C217" i="27"/>
  <c r="C216" i="27"/>
  <c r="C215" i="27"/>
  <c r="C214" i="27"/>
  <c r="C213" i="27"/>
  <c r="C212" i="27"/>
  <c r="C211" i="27"/>
  <c r="C210" i="27"/>
  <c r="C209" i="27"/>
  <c r="C208" i="27"/>
  <c r="C207" i="27"/>
  <c r="C206" i="27"/>
  <c r="C205" i="27"/>
  <c r="C204" i="27"/>
  <c r="C203" i="27"/>
  <c r="C202" i="27"/>
  <c r="C201" i="27"/>
  <c r="C165" i="27"/>
  <c r="C164" i="27"/>
  <c r="C163" i="27"/>
  <c r="C162" i="27"/>
  <c r="C161" i="27"/>
  <c r="C160" i="27"/>
  <c r="C159" i="27"/>
  <c r="C158" i="27"/>
  <c r="C103" i="27"/>
  <c r="C102" i="27"/>
  <c r="C100" i="27"/>
  <c r="C99" i="27"/>
  <c r="C98" i="27"/>
  <c r="C97" i="27"/>
  <c r="C96" i="27"/>
  <c r="C95" i="27"/>
  <c r="C94" i="27"/>
  <c r="C93" i="27"/>
  <c r="C92" i="27"/>
  <c r="C91" i="27"/>
  <c r="C69" i="27"/>
  <c r="C68" i="27"/>
  <c r="C60" i="27"/>
  <c r="C59" i="27"/>
  <c r="C58" i="27"/>
  <c r="C55" i="27"/>
  <c r="C53" i="27"/>
  <c r="C52" i="27"/>
  <c r="C51" i="27"/>
  <c r="C50" i="27"/>
  <c r="C48" i="27"/>
  <c r="C47" i="27"/>
  <c r="C46" i="27"/>
  <c r="C44" i="27"/>
  <c r="C43" i="27"/>
  <c r="C42" i="27"/>
  <c r="C41" i="27"/>
  <c r="C40" i="27"/>
  <c r="C39" i="27"/>
  <c r="C38" i="27"/>
  <c r="C37" i="27"/>
  <c r="C35" i="27"/>
  <c r="C33" i="27"/>
  <c r="C32" i="27"/>
  <c r="C31" i="27"/>
  <c r="C30" i="27"/>
  <c r="C29" i="27"/>
  <c r="C28" i="27"/>
  <c r="C27" i="27"/>
  <c r="C26" i="27"/>
  <c r="C24" i="27"/>
  <c r="C23" i="27"/>
  <c r="C22" i="27"/>
  <c r="C21" i="27"/>
  <c r="C20" i="27"/>
  <c r="C19" i="27"/>
  <c r="C18" i="27"/>
  <c r="C17" i="27"/>
  <c r="C16" i="27"/>
  <c r="C15" i="27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B8" i="1"/>
  <c r="E37" i="1" s="1"/>
  <c r="E51" i="1"/>
  <c r="E50" i="1"/>
  <c r="E49" i="1"/>
  <c r="E48" i="1"/>
  <c r="B27" i="1"/>
  <c r="AQ40" i="1" s="1"/>
  <c r="A1" i="1"/>
  <c r="AR126" i="1"/>
  <c r="AQ126" i="1"/>
  <c r="AP126" i="1"/>
  <c r="AO126" i="1"/>
  <c r="AN126" i="1"/>
  <c r="AM126" i="1"/>
  <c r="AL126" i="1"/>
  <c r="AL23" i="28" s="1"/>
  <c r="AK126" i="1"/>
  <c r="AJ126" i="1"/>
  <c r="AJ23" i="28" s="1"/>
  <c r="AI126" i="1"/>
  <c r="AI23" i="28" s="1"/>
  <c r="AH126" i="1"/>
  <c r="AH23" i="28" s="1"/>
  <c r="AG126" i="1"/>
  <c r="AG23" i="28" s="1"/>
  <c r="K20" i="44" s="1"/>
  <c r="AF126" i="1"/>
  <c r="AF23" i="28" s="1"/>
  <c r="AE126" i="1"/>
  <c r="AD126" i="1"/>
  <c r="AC126" i="1"/>
  <c r="AB126" i="1"/>
  <c r="AA126" i="1"/>
  <c r="Z126" i="1"/>
  <c r="Y126" i="1"/>
  <c r="X126" i="1"/>
  <c r="W126" i="1"/>
  <c r="V126" i="1"/>
  <c r="V23" i="28" s="1"/>
  <c r="U126" i="1"/>
  <c r="U95" i="28" s="1"/>
  <c r="T126" i="1"/>
  <c r="T23" i="28" s="1"/>
  <c r="S126" i="1"/>
  <c r="S23" i="28" s="1"/>
  <c r="R126" i="1"/>
  <c r="R23" i="28" s="1"/>
  <c r="Q126" i="1"/>
  <c r="Q23" i="28" s="1"/>
  <c r="G20" i="44" s="1"/>
  <c r="P126" i="1"/>
  <c r="P23" i="28" s="1"/>
  <c r="O126" i="1"/>
  <c r="N126" i="1"/>
  <c r="M126" i="1"/>
  <c r="L126" i="1"/>
  <c r="K126" i="1"/>
  <c r="J126" i="1"/>
  <c r="I126" i="1"/>
  <c r="H126" i="1"/>
  <c r="G126" i="1"/>
  <c r="F126" i="1"/>
  <c r="F23" i="28" s="1"/>
  <c r="E126" i="1"/>
  <c r="C126" i="1"/>
  <c r="C21" i="1"/>
  <c r="C20" i="1"/>
  <c r="C140" i="1"/>
  <c r="C118" i="1"/>
  <c r="C109" i="1"/>
  <c r="C19" i="1"/>
  <c r="D292" i="23"/>
  <c r="AR95" i="28"/>
  <c r="L15" i="46" s="1"/>
  <c r="AQ95" i="28"/>
  <c r="AP95" i="28"/>
  <c r="AO95" i="28"/>
  <c r="AN95" i="28"/>
  <c r="K15" i="46" s="1"/>
  <c r="AM95" i="28"/>
  <c r="AL95" i="28"/>
  <c r="AK95" i="28"/>
  <c r="AH95" i="28"/>
  <c r="AG95" i="28"/>
  <c r="AF95" i="28"/>
  <c r="I15" i="46" s="1"/>
  <c r="AE95" i="28"/>
  <c r="AD95" i="28"/>
  <c r="AC95" i="28"/>
  <c r="AB95" i="28"/>
  <c r="H15" i="46" s="1"/>
  <c r="AA95" i="28"/>
  <c r="Z95" i="28"/>
  <c r="Y95" i="28"/>
  <c r="X95" i="28"/>
  <c r="G15" i="46" s="1"/>
  <c r="W95" i="28"/>
  <c r="V95" i="28"/>
  <c r="T95" i="28"/>
  <c r="F15" i="46" s="1"/>
  <c r="R95" i="28"/>
  <c r="Q95" i="28"/>
  <c r="P95" i="28"/>
  <c r="E15" i="46" s="1"/>
  <c r="O95" i="28"/>
  <c r="N95" i="28"/>
  <c r="M95" i="28"/>
  <c r="L95" i="28"/>
  <c r="D15" i="46" s="1"/>
  <c r="K95" i="28"/>
  <c r="J95" i="28"/>
  <c r="I95" i="28"/>
  <c r="H95" i="28"/>
  <c r="C15" i="46" s="1"/>
  <c r="G95" i="28"/>
  <c r="F95" i="28"/>
  <c r="E95" i="28"/>
  <c r="AR53" i="28"/>
  <c r="AQ53" i="28"/>
  <c r="AP53" i="28"/>
  <c r="AO53" i="28"/>
  <c r="AN53" i="28"/>
  <c r="AM53" i="28"/>
  <c r="AL53" i="28"/>
  <c r="AK53" i="28"/>
  <c r="AJ53" i="28"/>
  <c r="AI53" i="28"/>
  <c r="AH53" i="28"/>
  <c r="AG53" i="28"/>
  <c r="AF53" i="28"/>
  <c r="AE53" i="28"/>
  <c r="AD53" i="28"/>
  <c r="AC53" i="28"/>
  <c r="AB53" i="28"/>
  <c r="AA53" i="28"/>
  <c r="Z53" i="28"/>
  <c r="Y53" i="28"/>
  <c r="X53" i="28"/>
  <c r="W53" i="28"/>
  <c r="V53" i="28"/>
  <c r="U53" i="28"/>
  <c r="H10" i="45" s="1"/>
  <c r="T53" i="28"/>
  <c r="S53" i="28"/>
  <c r="R53" i="28"/>
  <c r="Q53" i="28"/>
  <c r="P53" i="28"/>
  <c r="O53" i="28"/>
  <c r="N53" i="28"/>
  <c r="M53" i="28"/>
  <c r="F10" i="45" s="1"/>
  <c r="L53" i="28"/>
  <c r="K53" i="28"/>
  <c r="J53" i="28"/>
  <c r="I53" i="28"/>
  <c r="E10" i="45" s="1"/>
  <c r="H53" i="28"/>
  <c r="G53" i="28"/>
  <c r="F53" i="28"/>
  <c r="E53" i="28"/>
  <c r="D10" i="45" s="1"/>
  <c r="AR23" i="28"/>
  <c r="AQ23" i="28"/>
  <c r="AP23" i="28"/>
  <c r="AO23" i="28"/>
  <c r="AN23" i="28"/>
  <c r="AM23" i="28"/>
  <c r="AK23" i="28"/>
  <c r="AE23" i="28"/>
  <c r="AD23" i="28"/>
  <c r="AC23" i="28"/>
  <c r="AB23" i="28"/>
  <c r="AA23" i="28"/>
  <c r="Z23" i="28"/>
  <c r="Y23" i="28"/>
  <c r="X23" i="28"/>
  <c r="W23" i="28"/>
  <c r="U23" i="28"/>
  <c r="O23" i="28"/>
  <c r="N23" i="28"/>
  <c r="M23" i="28"/>
  <c r="L23" i="28"/>
  <c r="K23" i="28"/>
  <c r="J23" i="28"/>
  <c r="I23" i="28"/>
  <c r="H23" i="28"/>
  <c r="G23" i="28"/>
  <c r="E23" i="28"/>
  <c r="AR90" i="28"/>
  <c r="L10" i="46" s="1"/>
  <c r="AQ90" i="28"/>
  <c r="AP90" i="28"/>
  <c r="AO90" i="28"/>
  <c r="AN90" i="28"/>
  <c r="K10" i="46" s="1"/>
  <c r="AM90" i="28"/>
  <c r="AL90" i="28"/>
  <c r="AK90" i="28"/>
  <c r="AJ90" i="28"/>
  <c r="J10" i="46" s="1"/>
  <c r="AH90" i="28"/>
  <c r="AG90" i="28"/>
  <c r="AF90" i="28"/>
  <c r="I10" i="46" s="1"/>
  <c r="AE90" i="28"/>
  <c r="AD90" i="28"/>
  <c r="AC90" i="28"/>
  <c r="AB90" i="28"/>
  <c r="H10" i="46" s="1"/>
  <c r="AA90" i="28"/>
  <c r="Z90" i="28"/>
  <c r="Y90" i="28"/>
  <c r="X90" i="28"/>
  <c r="G10" i="46" s="1"/>
  <c r="W90" i="28"/>
  <c r="V90" i="28"/>
  <c r="U90" i="28"/>
  <c r="T90" i="28"/>
  <c r="F10" i="46" s="1"/>
  <c r="R90" i="28"/>
  <c r="Q90" i="28"/>
  <c r="P90" i="28"/>
  <c r="E10" i="46" s="1"/>
  <c r="O90" i="28"/>
  <c r="N90" i="28"/>
  <c r="M90" i="28"/>
  <c r="L90" i="28"/>
  <c r="D10" i="46" s="1"/>
  <c r="K90" i="28"/>
  <c r="J90" i="28"/>
  <c r="I90" i="28"/>
  <c r="H90" i="28"/>
  <c r="C10" i="46" s="1"/>
  <c r="G90" i="28"/>
  <c r="F90" i="28"/>
  <c r="E90" i="28"/>
  <c r="AR62" i="28"/>
  <c r="AQ62" i="28"/>
  <c r="AP62" i="28"/>
  <c r="AO62" i="28"/>
  <c r="AN62" i="28"/>
  <c r="AM62" i="28"/>
  <c r="AK62" i="28"/>
  <c r="AE62" i="28"/>
  <c r="AD62" i="28"/>
  <c r="AC62" i="28"/>
  <c r="AB62" i="28"/>
  <c r="AA62" i="28"/>
  <c r="Z62" i="28"/>
  <c r="Y62" i="28"/>
  <c r="X62" i="28"/>
  <c r="W62" i="28"/>
  <c r="U62" i="28"/>
  <c r="O62" i="28"/>
  <c r="N62" i="28"/>
  <c r="M62" i="28"/>
  <c r="L62" i="28"/>
  <c r="K62" i="28"/>
  <c r="J62" i="28"/>
  <c r="I62" i="28"/>
  <c r="H62" i="28"/>
  <c r="G62" i="28"/>
  <c r="E62" i="28"/>
  <c r="AR359" i="28"/>
  <c r="AQ359" i="28"/>
  <c r="AP359" i="28"/>
  <c r="AO359" i="28"/>
  <c r="AN359" i="28"/>
  <c r="AM359" i="28"/>
  <c r="AL359" i="28"/>
  <c r="AK359" i="28"/>
  <c r="AJ359" i="28"/>
  <c r="AI359" i="28"/>
  <c r="AH359" i="28"/>
  <c r="AG359" i="28"/>
  <c r="AF359" i="28"/>
  <c r="AE359" i="28"/>
  <c r="AD359" i="28"/>
  <c r="AC359" i="28"/>
  <c r="AB359" i="28"/>
  <c r="AA359" i="28"/>
  <c r="Z359" i="28"/>
  <c r="Y359" i="28"/>
  <c r="X359" i="28"/>
  <c r="W359" i="28"/>
  <c r="V359" i="28"/>
  <c r="U359" i="28"/>
  <c r="T359" i="28"/>
  <c r="S359" i="28"/>
  <c r="R359" i="28"/>
  <c r="Q359" i="28"/>
  <c r="P359" i="28"/>
  <c r="O359" i="28"/>
  <c r="N359" i="28"/>
  <c r="M359" i="28"/>
  <c r="L359" i="28"/>
  <c r="K359" i="28"/>
  <c r="J359" i="28"/>
  <c r="I359" i="28"/>
  <c r="H359" i="28"/>
  <c r="G359" i="28"/>
  <c r="F359" i="28"/>
  <c r="E359" i="28"/>
  <c r="AR71" i="28"/>
  <c r="AQ71" i="28"/>
  <c r="AP71" i="28"/>
  <c r="AO71" i="28"/>
  <c r="AN71" i="28"/>
  <c r="AM71" i="28"/>
  <c r="AK71" i="28"/>
  <c r="AG71" i="28"/>
  <c r="AE71" i="28"/>
  <c r="AD71" i="28"/>
  <c r="AC71" i="28"/>
  <c r="AB71" i="28"/>
  <c r="AA71" i="28"/>
  <c r="Z71" i="28"/>
  <c r="Y71" i="28"/>
  <c r="X71" i="28"/>
  <c r="W71" i="28"/>
  <c r="U71" i="28"/>
  <c r="O71" i="28"/>
  <c r="N71" i="28"/>
  <c r="M71" i="28"/>
  <c r="L71" i="28"/>
  <c r="K71" i="28"/>
  <c r="J71" i="28"/>
  <c r="I71" i="28"/>
  <c r="H71" i="28"/>
  <c r="G71" i="28"/>
  <c r="E71" i="28"/>
  <c r="AR61" i="28"/>
  <c r="AQ61" i="28"/>
  <c r="AP61" i="28"/>
  <c r="AO61" i="28"/>
  <c r="M18" i="45" s="1"/>
  <c r="AN61" i="28"/>
  <c r="AM61" i="28"/>
  <c r="AL61" i="28"/>
  <c r="AK61" i="28"/>
  <c r="L18" i="45" s="1"/>
  <c r="AJ61" i="28"/>
  <c r="AI61" i="28"/>
  <c r="AH61" i="28"/>
  <c r="AG61" i="28"/>
  <c r="AF61" i="28"/>
  <c r="AE61" i="28"/>
  <c r="AD61" i="28"/>
  <c r="AC61" i="28"/>
  <c r="J18" i="45" s="1"/>
  <c r="AB61" i="28"/>
  <c r="AA61" i="28"/>
  <c r="Z61" i="28"/>
  <c r="Y61" i="28"/>
  <c r="I18" i="45" s="1"/>
  <c r="X61" i="28"/>
  <c r="W61" i="28"/>
  <c r="V61" i="28"/>
  <c r="U61" i="28"/>
  <c r="H18" i="45" s="1"/>
  <c r="T61" i="28"/>
  <c r="S61" i="28"/>
  <c r="R61" i="28"/>
  <c r="Q61" i="28"/>
  <c r="P61" i="28"/>
  <c r="O61" i="28"/>
  <c r="N61" i="28"/>
  <c r="M61" i="28"/>
  <c r="F18" i="45" s="1"/>
  <c r="L61" i="28"/>
  <c r="K61" i="28"/>
  <c r="J61" i="28"/>
  <c r="I61" i="28"/>
  <c r="E18" i="45" s="1"/>
  <c r="H61" i="28"/>
  <c r="G61" i="28"/>
  <c r="F61" i="28"/>
  <c r="E61" i="28"/>
  <c r="D18" i="45" s="1"/>
  <c r="AR58" i="28"/>
  <c r="AQ58" i="28"/>
  <c r="AP58" i="28"/>
  <c r="AO58" i="28"/>
  <c r="AN58" i="28"/>
  <c r="AM58" i="28"/>
  <c r="AK58" i="28"/>
  <c r="AG58" i="28"/>
  <c r="AE58" i="28"/>
  <c r="AD58" i="28"/>
  <c r="AC58" i="28"/>
  <c r="AB58" i="28"/>
  <c r="AA58" i="28"/>
  <c r="Z58" i="28"/>
  <c r="Y58" i="28"/>
  <c r="X58" i="28"/>
  <c r="W58" i="28"/>
  <c r="U58" i="28"/>
  <c r="Q58" i="28"/>
  <c r="O58" i="28"/>
  <c r="N58" i="28"/>
  <c r="M58" i="28"/>
  <c r="L58" i="28"/>
  <c r="K58" i="28"/>
  <c r="J58" i="28"/>
  <c r="I58" i="28"/>
  <c r="H58" i="28"/>
  <c r="G58" i="28"/>
  <c r="E58" i="28"/>
  <c r="AR54" i="28"/>
  <c r="AQ54" i="28"/>
  <c r="AP54" i="28"/>
  <c r="AO54" i="28"/>
  <c r="M11" i="45" s="1"/>
  <c r="AN54" i="28"/>
  <c r="AM54" i="28"/>
  <c r="AL54" i="28"/>
  <c r="AK54" i="28"/>
  <c r="L11" i="45" s="1"/>
  <c r="AJ54" i="28"/>
  <c r="AI54" i="28"/>
  <c r="AH54" i="28"/>
  <c r="AG54" i="28"/>
  <c r="AF54" i="28"/>
  <c r="AE54" i="28"/>
  <c r="AD54" i="28"/>
  <c r="AC54" i="28"/>
  <c r="J11" i="45" s="1"/>
  <c r="AB54" i="28"/>
  <c r="AA54" i="28"/>
  <c r="Z54" i="28"/>
  <c r="Y54" i="28"/>
  <c r="I11" i="45" s="1"/>
  <c r="X54" i="28"/>
  <c r="W54" i="28"/>
  <c r="V54" i="28"/>
  <c r="U54" i="28"/>
  <c r="H11" i="45" s="1"/>
  <c r="T54" i="28"/>
  <c r="S54" i="28"/>
  <c r="R54" i="28"/>
  <c r="Q54" i="28"/>
  <c r="P54" i="28"/>
  <c r="O54" i="28"/>
  <c r="N54" i="28"/>
  <c r="M54" i="28"/>
  <c r="F11" i="45" s="1"/>
  <c r="L54" i="28"/>
  <c r="K54" i="28"/>
  <c r="J54" i="28"/>
  <c r="I54" i="28"/>
  <c r="E11" i="45" s="1"/>
  <c r="H54" i="28"/>
  <c r="G54" i="28"/>
  <c r="F54" i="28"/>
  <c r="E54" i="28"/>
  <c r="D11" i="45" s="1"/>
  <c r="AR52" i="28"/>
  <c r="AQ52" i="28"/>
  <c r="AP52" i="28"/>
  <c r="AO52" i="28"/>
  <c r="AN52" i="28"/>
  <c r="AM52" i="28"/>
  <c r="AK52" i="28"/>
  <c r="AG52" i="28"/>
  <c r="AF52" i="28"/>
  <c r="AE52" i="28"/>
  <c r="AD52" i="28"/>
  <c r="AC52" i="28"/>
  <c r="AB52" i="28"/>
  <c r="AA52" i="28"/>
  <c r="Z52" i="28"/>
  <c r="Y52" i="28"/>
  <c r="X52" i="28"/>
  <c r="W52" i="28"/>
  <c r="U52" i="28"/>
  <c r="Q52" i="28"/>
  <c r="P52" i="28"/>
  <c r="O52" i="28"/>
  <c r="N52" i="28"/>
  <c r="M52" i="28"/>
  <c r="L52" i="28"/>
  <c r="K52" i="28"/>
  <c r="J52" i="28"/>
  <c r="I52" i="28"/>
  <c r="H52" i="28"/>
  <c r="G52" i="28"/>
  <c r="E52" i="28"/>
  <c r="AR33" i="28"/>
  <c r="AQ33" i="28"/>
  <c r="AP33" i="28"/>
  <c r="AO33" i="28"/>
  <c r="M30" i="44" s="1"/>
  <c r="AN33" i="28"/>
  <c r="AM33" i="28"/>
  <c r="AL33" i="28"/>
  <c r="AK33" i="28"/>
  <c r="L30" i="44" s="1"/>
  <c r="AJ33" i="28"/>
  <c r="AI33" i="28"/>
  <c r="AH33" i="28"/>
  <c r="AG33" i="28"/>
  <c r="AF33" i="28"/>
  <c r="AE33" i="28"/>
  <c r="AD33" i="28"/>
  <c r="AC33" i="28"/>
  <c r="J30" i="44" s="1"/>
  <c r="AB33" i="28"/>
  <c r="AA33" i="28"/>
  <c r="Z33" i="28"/>
  <c r="Y33" i="28"/>
  <c r="I30" i="44" s="1"/>
  <c r="X33" i="28"/>
  <c r="W33" i="28"/>
  <c r="V33" i="28"/>
  <c r="U33" i="28"/>
  <c r="H30" i="44" s="1"/>
  <c r="T33" i="28"/>
  <c r="S33" i="28"/>
  <c r="R33" i="28"/>
  <c r="Q33" i="28"/>
  <c r="P33" i="28"/>
  <c r="O33" i="28"/>
  <c r="N33" i="28"/>
  <c r="M33" i="28"/>
  <c r="F30" i="44" s="1"/>
  <c r="L33" i="28"/>
  <c r="K33" i="28"/>
  <c r="J33" i="28"/>
  <c r="I33" i="28"/>
  <c r="E30" i="44" s="1"/>
  <c r="H33" i="28"/>
  <c r="G33" i="28"/>
  <c r="F33" i="28"/>
  <c r="E33" i="28"/>
  <c r="D30" i="44" s="1"/>
  <c r="AR11" i="28"/>
  <c r="AQ11" i="28"/>
  <c r="AP11" i="28"/>
  <c r="AO11" i="28"/>
  <c r="AN11" i="28"/>
  <c r="AM11" i="28"/>
  <c r="AK11" i="28"/>
  <c r="AG11" i="28"/>
  <c r="AF11" i="28"/>
  <c r="AE11" i="28"/>
  <c r="AD11" i="28"/>
  <c r="AC11" i="28"/>
  <c r="AB11" i="28"/>
  <c r="AA11" i="28"/>
  <c r="Z11" i="28"/>
  <c r="Y11" i="28"/>
  <c r="X11" i="28"/>
  <c r="W11" i="28"/>
  <c r="U11" i="28"/>
  <c r="Q11" i="28"/>
  <c r="P11" i="28"/>
  <c r="O11" i="28"/>
  <c r="N11" i="28"/>
  <c r="M11" i="28"/>
  <c r="L11" i="28"/>
  <c r="K11" i="28"/>
  <c r="J11" i="28"/>
  <c r="I11" i="28"/>
  <c r="H11" i="28"/>
  <c r="G11" i="28"/>
  <c r="E11" i="28"/>
  <c r="AR469" i="27"/>
  <c r="M74" i="41" s="1"/>
  <c r="AQ469" i="27"/>
  <c r="AP469" i="27"/>
  <c r="AO469" i="27"/>
  <c r="AN469" i="27"/>
  <c r="L74" i="41" s="1"/>
  <c r="AM469" i="27"/>
  <c r="AL469" i="27"/>
  <c r="AK469" i="27"/>
  <c r="AJ469" i="27"/>
  <c r="K74" i="41" s="1"/>
  <c r="AI469" i="27"/>
  <c r="AH469" i="27"/>
  <c r="AG469" i="27"/>
  <c r="AF469" i="27"/>
  <c r="J74" i="41" s="1"/>
  <c r="AE469" i="27"/>
  <c r="AD469" i="27"/>
  <c r="AC469" i="27"/>
  <c r="AB469" i="27"/>
  <c r="I74" i="41" s="1"/>
  <c r="AA469" i="27"/>
  <c r="Z469" i="27"/>
  <c r="Y469" i="27"/>
  <c r="X469" i="27"/>
  <c r="W469" i="27"/>
  <c r="V469" i="27"/>
  <c r="U469" i="27"/>
  <c r="T469" i="27"/>
  <c r="G74" i="41" s="1"/>
  <c r="S469" i="27"/>
  <c r="R469" i="27"/>
  <c r="Q469" i="27"/>
  <c r="P469" i="27"/>
  <c r="F74" i="41" s="1"/>
  <c r="O469" i="27"/>
  <c r="N469" i="27"/>
  <c r="M469" i="27"/>
  <c r="L469" i="27"/>
  <c r="E74" i="41" s="1"/>
  <c r="K469" i="27"/>
  <c r="J469" i="27"/>
  <c r="I469" i="27"/>
  <c r="H469" i="27"/>
  <c r="D74" i="41" s="1"/>
  <c r="G469" i="27"/>
  <c r="F469" i="27"/>
  <c r="E469" i="27"/>
  <c r="AR468" i="27"/>
  <c r="M73" i="41" s="1"/>
  <c r="AQ468" i="27"/>
  <c r="AP468" i="27"/>
  <c r="AO468" i="27"/>
  <c r="AN468" i="27"/>
  <c r="L73" i="41" s="1"/>
  <c r="AM468" i="27"/>
  <c r="AL468" i="27"/>
  <c r="AK468" i="27"/>
  <c r="AJ468" i="27"/>
  <c r="K73" i="41" s="1"/>
  <c r="AI468" i="27"/>
  <c r="AH468" i="27"/>
  <c r="AG468" i="27"/>
  <c r="AF468" i="27"/>
  <c r="J73" i="41" s="1"/>
  <c r="AE468" i="27"/>
  <c r="AD468" i="27"/>
  <c r="AC468" i="27"/>
  <c r="AB468" i="27"/>
  <c r="I73" i="41" s="1"/>
  <c r="AA468" i="27"/>
  <c r="Z468" i="27"/>
  <c r="Y468" i="27"/>
  <c r="X468" i="27"/>
  <c r="H73" i="41" s="1"/>
  <c r="W468" i="27"/>
  <c r="V468" i="27"/>
  <c r="U468" i="27"/>
  <c r="T468" i="27"/>
  <c r="G73" i="41" s="1"/>
  <c r="S468" i="27"/>
  <c r="R468" i="27"/>
  <c r="Q468" i="27"/>
  <c r="P468" i="27"/>
  <c r="F73" i="41" s="1"/>
  <c r="O468" i="27"/>
  <c r="N468" i="27"/>
  <c r="M468" i="27"/>
  <c r="L468" i="27"/>
  <c r="E73" i="41" s="1"/>
  <c r="K468" i="27"/>
  <c r="J468" i="27"/>
  <c r="I468" i="27"/>
  <c r="H468" i="27"/>
  <c r="D73" i="41" s="1"/>
  <c r="G468" i="27"/>
  <c r="F468" i="27"/>
  <c r="E468" i="27"/>
  <c r="AR668" i="27"/>
  <c r="AQ668" i="27"/>
  <c r="AP668" i="27"/>
  <c r="AO668" i="27"/>
  <c r="AN668" i="27"/>
  <c r="AM668" i="27"/>
  <c r="AL668" i="27"/>
  <c r="AK668" i="27"/>
  <c r="AJ668" i="27"/>
  <c r="AI668" i="27"/>
  <c r="AH668" i="27"/>
  <c r="AG668" i="27"/>
  <c r="AF668" i="27"/>
  <c r="AE668" i="27"/>
  <c r="AD668" i="27"/>
  <c r="AC668" i="27"/>
  <c r="AB668" i="27"/>
  <c r="AA668" i="27"/>
  <c r="Z668" i="27"/>
  <c r="Y668" i="27"/>
  <c r="X668" i="27"/>
  <c r="W668" i="27"/>
  <c r="V668" i="27"/>
  <c r="U668" i="27"/>
  <c r="T668" i="27"/>
  <c r="S668" i="27"/>
  <c r="R668" i="27"/>
  <c r="Q668" i="27"/>
  <c r="P668" i="27"/>
  <c r="O668" i="27"/>
  <c r="N668" i="27"/>
  <c r="M668" i="27"/>
  <c r="L668" i="27"/>
  <c r="K668" i="27"/>
  <c r="J668" i="27"/>
  <c r="I668" i="27"/>
  <c r="H668" i="27"/>
  <c r="G668" i="27"/>
  <c r="F668" i="27"/>
  <c r="E668" i="27"/>
  <c r="AR505" i="27"/>
  <c r="AQ505" i="27"/>
  <c r="AP505" i="27"/>
  <c r="AO505" i="27"/>
  <c r="AN505" i="27"/>
  <c r="AM505" i="27"/>
  <c r="AL505" i="27"/>
  <c r="AK505" i="27"/>
  <c r="AJ505" i="27"/>
  <c r="AI505" i="27"/>
  <c r="AH505" i="27"/>
  <c r="AG505" i="27"/>
  <c r="AF505" i="27"/>
  <c r="AE505" i="27"/>
  <c r="AD505" i="27"/>
  <c r="AC505" i="27"/>
  <c r="AB505" i="27"/>
  <c r="AA505" i="27"/>
  <c r="Z505" i="27"/>
  <c r="Y505" i="27"/>
  <c r="X505" i="27"/>
  <c r="W505" i="27"/>
  <c r="V505" i="27"/>
  <c r="U505" i="27"/>
  <c r="T505" i="27"/>
  <c r="S505" i="27"/>
  <c r="R505" i="27"/>
  <c r="Q505" i="27"/>
  <c r="P505" i="27"/>
  <c r="O505" i="27"/>
  <c r="N505" i="27"/>
  <c r="M505" i="27"/>
  <c r="L505" i="27"/>
  <c r="K505" i="27"/>
  <c r="J505" i="27"/>
  <c r="I505" i="27"/>
  <c r="H505" i="27"/>
  <c r="G505" i="27"/>
  <c r="F505" i="27"/>
  <c r="AR504" i="27"/>
  <c r="AQ504" i="27"/>
  <c r="AP504" i="27"/>
  <c r="AO504" i="27"/>
  <c r="AN504" i="27"/>
  <c r="AM504" i="27"/>
  <c r="AL504" i="27"/>
  <c r="AK504" i="27"/>
  <c r="AJ504" i="27"/>
  <c r="AI504" i="27"/>
  <c r="AH504" i="27"/>
  <c r="AG504" i="27"/>
  <c r="AF504" i="27"/>
  <c r="AE504" i="27"/>
  <c r="AD504" i="27"/>
  <c r="AC504" i="27"/>
  <c r="AB504" i="27"/>
  <c r="AA504" i="27"/>
  <c r="Z504" i="27"/>
  <c r="Y504" i="27"/>
  <c r="X504" i="27"/>
  <c r="W504" i="27"/>
  <c r="V504" i="27"/>
  <c r="U504" i="27"/>
  <c r="T504" i="27"/>
  <c r="S504" i="27"/>
  <c r="R504" i="27"/>
  <c r="Q504" i="27"/>
  <c r="P504" i="27"/>
  <c r="O504" i="27"/>
  <c r="N504" i="27"/>
  <c r="M504" i="27"/>
  <c r="L504" i="27"/>
  <c r="K504" i="27"/>
  <c r="J504" i="27"/>
  <c r="I504" i="27"/>
  <c r="H504" i="27"/>
  <c r="G504" i="27"/>
  <c r="F504" i="27"/>
  <c r="E494" i="27"/>
  <c r="C458" i="27"/>
  <c r="C457" i="27"/>
  <c r="C456" i="27"/>
  <c r="C455" i="27"/>
  <c r="C454" i="27"/>
  <c r="C453" i="27"/>
  <c r="AR164" i="27"/>
  <c r="AQ164" i="27"/>
  <c r="AP164" i="27"/>
  <c r="AO164" i="27"/>
  <c r="AN164" i="27"/>
  <c r="AM164" i="27"/>
  <c r="AL164" i="27"/>
  <c r="AK164" i="27"/>
  <c r="AJ164" i="27"/>
  <c r="AI164" i="27"/>
  <c r="AH164" i="27"/>
  <c r="AG164" i="27"/>
  <c r="AF164" i="27"/>
  <c r="AE164" i="27"/>
  <c r="AD164" i="27"/>
  <c r="AC164" i="27"/>
  <c r="AB164" i="27"/>
  <c r="AA164" i="27"/>
  <c r="Z164" i="27"/>
  <c r="Y164" i="27"/>
  <c r="X164" i="27"/>
  <c r="W164" i="27"/>
  <c r="V164" i="27"/>
  <c r="U164" i="27"/>
  <c r="T164" i="27"/>
  <c r="S164" i="27"/>
  <c r="R164" i="27"/>
  <c r="Q164" i="27"/>
  <c r="P164" i="27"/>
  <c r="O164" i="27"/>
  <c r="N164" i="27"/>
  <c r="M164" i="27"/>
  <c r="L164" i="27"/>
  <c r="K164" i="27"/>
  <c r="J164" i="27"/>
  <c r="I164" i="27"/>
  <c r="H164" i="27"/>
  <c r="G164" i="27"/>
  <c r="F164" i="27"/>
  <c r="E164" i="27"/>
  <c r="AR163" i="27"/>
  <c r="AQ163" i="27"/>
  <c r="AP163" i="27"/>
  <c r="AO163" i="27"/>
  <c r="AN163" i="27"/>
  <c r="AM163" i="27"/>
  <c r="AL163" i="27"/>
  <c r="AK163" i="27"/>
  <c r="AJ163" i="27"/>
  <c r="AI163" i="27"/>
  <c r="AH163" i="27"/>
  <c r="AG163" i="27"/>
  <c r="AF163" i="27"/>
  <c r="AE163" i="27"/>
  <c r="AD163" i="27"/>
  <c r="AC163" i="27"/>
  <c r="AB163" i="27"/>
  <c r="AA163" i="27"/>
  <c r="Z163" i="27"/>
  <c r="Y163" i="27"/>
  <c r="X163" i="27"/>
  <c r="W163" i="27"/>
  <c r="V163" i="27"/>
  <c r="U163" i="27"/>
  <c r="T163" i="27"/>
  <c r="S163" i="27"/>
  <c r="R163" i="27"/>
  <c r="Q163" i="27"/>
  <c r="P163" i="27"/>
  <c r="O163" i="27"/>
  <c r="N163" i="27"/>
  <c r="M163" i="27"/>
  <c r="L163" i="27"/>
  <c r="K163" i="27"/>
  <c r="J163" i="27"/>
  <c r="I163" i="27"/>
  <c r="H163" i="27"/>
  <c r="G163" i="27"/>
  <c r="F163" i="27"/>
  <c r="E163" i="27"/>
  <c r="AR162" i="27"/>
  <c r="M42" i="38" s="1"/>
  <c r="AQ162" i="27"/>
  <c r="AP162" i="27"/>
  <c r="AO162" i="27"/>
  <c r="AN162" i="27"/>
  <c r="L42" i="38" s="1"/>
  <c r="AM162" i="27"/>
  <c r="AL162" i="27"/>
  <c r="AK162" i="27"/>
  <c r="AJ162" i="27"/>
  <c r="K42" i="38" s="1"/>
  <c r="AI162" i="27"/>
  <c r="AH162" i="27"/>
  <c r="AG162" i="27"/>
  <c r="AF162" i="27"/>
  <c r="J42" i="38" s="1"/>
  <c r="AE162" i="27"/>
  <c r="AD162" i="27"/>
  <c r="AC162" i="27"/>
  <c r="AB162" i="27"/>
  <c r="I42" i="38" s="1"/>
  <c r="AA162" i="27"/>
  <c r="Z162" i="27"/>
  <c r="Y162" i="27"/>
  <c r="X162" i="27"/>
  <c r="H42" i="38" s="1"/>
  <c r="W162" i="27"/>
  <c r="V162" i="27"/>
  <c r="U162" i="27"/>
  <c r="T162" i="27"/>
  <c r="G42" i="38" s="1"/>
  <c r="S162" i="27"/>
  <c r="R162" i="27"/>
  <c r="Q162" i="27"/>
  <c r="P162" i="27"/>
  <c r="F42" i="38" s="1"/>
  <c r="O162" i="27"/>
  <c r="N162" i="27"/>
  <c r="M162" i="27"/>
  <c r="L162" i="27"/>
  <c r="E42" i="38" s="1"/>
  <c r="K162" i="27"/>
  <c r="J162" i="27"/>
  <c r="I162" i="27"/>
  <c r="H162" i="27"/>
  <c r="D42" i="38" s="1"/>
  <c r="G162" i="27"/>
  <c r="F162" i="27"/>
  <c r="E162" i="27"/>
  <c r="AR161" i="27"/>
  <c r="M41" i="38" s="1"/>
  <c r="AQ161" i="27"/>
  <c r="AP161" i="27"/>
  <c r="AO161" i="27"/>
  <c r="AN161" i="27"/>
  <c r="L41" i="38" s="1"/>
  <c r="AM161" i="27"/>
  <c r="AL161" i="27"/>
  <c r="AK161" i="27"/>
  <c r="AJ161" i="27"/>
  <c r="K41" i="38" s="1"/>
  <c r="AI161" i="27"/>
  <c r="AH161" i="27"/>
  <c r="AG161" i="27"/>
  <c r="AF161" i="27"/>
  <c r="J41" i="38" s="1"/>
  <c r="AE161" i="27"/>
  <c r="AD161" i="27"/>
  <c r="AC161" i="27"/>
  <c r="AB161" i="27"/>
  <c r="I41" i="38" s="1"/>
  <c r="AA161" i="27"/>
  <c r="Z161" i="27"/>
  <c r="Y161" i="27"/>
  <c r="X161" i="27"/>
  <c r="H41" i="38" s="1"/>
  <c r="W161" i="27"/>
  <c r="V161" i="27"/>
  <c r="U161" i="27"/>
  <c r="T161" i="27"/>
  <c r="G41" i="38" s="1"/>
  <c r="S161" i="27"/>
  <c r="R161" i="27"/>
  <c r="Q161" i="27"/>
  <c r="P161" i="27"/>
  <c r="F41" i="38" s="1"/>
  <c r="O161" i="27"/>
  <c r="N161" i="27"/>
  <c r="M161" i="27"/>
  <c r="L161" i="27"/>
  <c r="E41" i="38" s="1"/>
  <c r="K161" i="27"/>
  <c r="J161" i="27"/>
  <c r="I161" i="27"/>
  <c r="H161" i="27"/>
  <c r="D41" i="38" s="1"/>
  <c r="G161" i="27"/>
  <c r="F161" i="27"/>
  <c r="E161" i="27"/>
  <c r="S90" i="28" l="1"/>
  <c r="S95" i="28"/>
  <c r="AI90" i="28"/>
  <c r="AI95" i="28"/>
  <c r="J19" i="45"/>
  <c r="J20" i="44"/>
  <c r="F20" i="44"/>
  <c r="P58" i="28"/>
  <c r="F15" i="45" s="1"/>
  <c r="AF58" i="28"/>
  <c r="J15" i="45" s="1"/>
  <c r="P71" i="28"/>
  <c r="AF71" i="28"/>
  <c r="P62" i="28"/>
  <c r="F19" i="45" s="1"/>
  <c r="AF62" i="28"/>
  <c r="AJ95" i="28"/>
  <c r="J15" i="46" s="1"/>
  <c r="R11" i="28"/>
  <c r="AH11" i="28"/>
  <c r="R52" i="28"/>
  <c r="AH52" i="28"/>
  <c r="R58" i="28"/>
  <c r="G15" i="45" s="1"/>
  <c r="AH58" i="28"/>
  <c r="R71" i="28"/>
  <c r="AH71" i="28"/>
  <c r="R62" i="28"/>
  <c r="AH62" i="28"/>
  <c r="K15" i="45"/>
  <c r="Q71" i="28"/>
  <c r="Q62" i="28"/>
  <c r="G19" i="45" s="1"/>
  <c r="AG62" i="28"/>
  <c r="S11" i="28"/>
  <c r="AI11" i="28"/>
  <c r="S52" i="28"/>
  <c r="AI52" i="28"/>
  <c r="S58" i="28"/>
  <c r="AI58" i="28"/>
  <c r="S71" i="28"/>
  <c r="AI71" i="28"/>
  <c r="S62" i="28"/>
  <c r="AI62" i="28"/>
  <c r="T11" i="28"/>
  <c r="G8" i="44" s="1"/>
  <c r="AJ11" i="28"/>
  <c r="T52" i="28"/>
  <c r="AJ52" i="28"/>
  <c r="T58" i="28"/>
  <c r="AJ58" i="28"/>
  <c r="T71" i="28"/>
  <c r="AJ71" i="28"/>
  <c r="T62" i="28"/>
  <c r="AJ62" i="28"/>
  <c r="L15" i="45"/>
  <c r="F11" i="28"/>
  <c r="V11" i="28"/>
  <c r="H8" i="44" s="1"/>
  <c r="AL11" i="28"/>
  <c r="L8" i="44" s="1"/>
  <c r="F52" i="28"/>
  <c r="V52" i="28"/>
  <c r="AL52" i="28"/>
  <c r="F58" i="28"/>
  <c r="V58" i="28"/>
  <c r="H15" i="45" s="1"/>
  <c r="AL58" i="28"/>
  <c r="F71" i="28"/>
  <c r="V71" i="28"/>
  <c r="AL71" i="28"/>
  <c r="F62" i="28"/>
  <c r="V62" i="28"/>
  <c r="AL62" i="28"/>
  <c r="D19" i="45"/>
  <c r="D15" i="45"/>
  <c r="H19" i="45"/>
  <c r="L19" i="45"/>
  <c r="D20" i="44"/>
  <c r="H20" i="44"/>
  <c r="L20" i="44"/>
  <c r="G30" i="44"/>
  <c r="K30" i="44"/>
  <c r="G11" i="45"/>
  <c r="K11" i="45"/>
  <c r="E15" i="45"/>
  <c r="I15" i="45"/>
  <c r="M15" i="45"/>
  <c r="G18" i="45"/>
  <c r="K18" i="45"/>
  <c r="E19" i="45"/>
  <c r="I19" i="45"/>
  <c r="M19" i="45"/>
  <c r="E20" i="44"/>
  <c r="I20" i="44"/>
  <c r="M20" i="44"/>
  <c r="G10" i="45"/>
  <c r="I10" i="45"/>
  <c r="J10" i="45"/>
  <c r="K10" i="45"/>
  <c r="D43" i="38"/>
  <c r="E43" i="38"/>
  <c r="F43" i="38"/>
  <c r="G43" i="38"/>
  <c r="H43" i="38"/>
  <c r="I43" i="38"/>
  <c r="J43" i="38"/>
  <c r="K43" i="38"/>
  <c r="L43" i="38"/>
  <c r="M43" i="38"/>
  <c r="D8" i="44"/>
  <c r="E8" i="44"/>
  <c r="F8" i="44"/>
  <c r="I8" i="44"/>
  <c r="J8" i="44"/>
  <c r="K8" i="44"/>
  <c r="M8" i="44"/>
  <c r="B12" i="1"/>
  <c r="G40" i="1"/>
  <c r="I40" i="1"/>
  <c r="K40" i="1"/>
  <c r="M40" i="1"/>
  <c r="O40" i="1"/>
  <c r="Q40" i="1"/>
  <c r="S40" i="1"/>
  <c r="U40" i="1"/>
  <c r="W40" i="1"/>
  <c r="Y40" i="1"/>
  <c r="AA40" i="1"/>
  <c r="AC40" i="1"/>
  <c r="AE40" i="1"/>
  <c r="AG40" i="1"/>
  <c r="AI40" i="1"/>
  <c r="AK40" i="1"/>
  <c r="AM40" i="1"/>
  <c r="AO40" i="1"/>
  <c r="L10" i="45"/>
  <c r="M10" i="45"/>
  <c r="B28" i="1"/>
  <c r="F40" i="1"/>
  <c r="H40" i="1"/>
  <c r="J40" i="1"/>
  <c r="L40" i="1"/>
  <c r="N40" i="1"/>
  <c r="P40" i="1"/>
  <c r="R40" i="1"/>
  <c r="T40" i="1"/>
  <c r="V40" i="1"/>
  <c r="X40" i="1"/>
  <c r="Z40" i="1"/>
  <c r="AB40" i="1"/>
  <c r="AD40" i="1"/>
  <c r="AF40" i="1"/>
  <c r="AH40" i="1"/>
  <c r="AJ40" i="1"/>
  <c r="AL40" i="1"/>
  <c r="AN40" i="1"/>
  <c r="AP40" i="1"/>
  <c r="AR40" i="1"/>
  <c r="B268" i="27"/>
  <c r="D8" i="61"/>
  <c r="E8" i="61"/>
  <c r="F8" i="61"/>
  <c r="G8" i="61"/>
  <c r="H8" i="61"/>
  <c r="I8" i="61"/>
  <c r="J8" i="61"/>
  <c r="K8" i="61"/>
  <c r="L8" i="61"/>
  <c r="M8" i="61"/>
  <c r="B563" i="27"/>
  <c r="C260" i="23"/>
  <c r="B633" i="27" s="1"/>
  <c r="C252" i="23"/>
  <c r="B619" i="27" s="1"/>
  <c r="C244" i="23"/>
  <c r="B605" i="27" s="1"/>
  <c r="C236" i="23"/>
  <c r="B591" i="27" s="1"/>
  <c r="C228" i="23"/>
  <c r="B577" i="27" s="1"/>
  <c r="B632" i="27"/>
  <c r="B618" i="27"/>
  <c r="B604" i="27"/>
  <c r="B590" i="27"/>
  <c r="B576" i="27"/>
  <c r="B562" i="27"/>
  <c r="K19" i="45" l="1"/>
  <c r="A75" i="43"/>
  <c r="B62" i="43"/>
  <c r="C60" i="43"/>
  <c r="A60" i="43"/>
  <c r="B51" i="43"/>
  <c r="C49" i="43"/>
  <c r="A49" i="43"/>
  <c r="B40" i="43"/>
  <c r="C38" i="43"/>
  <c r="A38" i="43"/>
  <c r="B29" i="43"/>
  <c r="C27" i="43"/>
  <c r="A27" i="43"/>
  <c r="B18" i="43"/>
  <c r="C16" i="43"/>
  <c r="A16" i="43"/>
  <c r="B7" i="43"/>
  <c r="C5" i="43"/>
  <c r="A5" i="43"/>
  <c r="M1" i="43"/>
  <c r="L1" i="43"/>
  <c r="K1" i="43"/>
  <c r="J1" i="43"/>
  <c r="I1" i="43"/>
  <c r="H1" i="43"/>
  <c r="G1" i="43"/>
  <c r="F1" i="43"/>
  <c r="E1" i="43"/>
  <c r="D1" i="43"/>
  <c r="C255" i="23" l="1"/>
  <c r="C247" i="23"/>
  <c r="C239" i="23"/>
  <c r="C231" i="23"/>
  <c r="B631" i="27" l="1"/>
  <c r="B63" i="43" s="1"/>
  <c r="B629" i="27"/>
  <c r="B61" i="43" s="1"/>
  <c r="B617" i="27"/>
  <c r="B52" i="43" s="1"/>
  <c r="B615" i="27"/>
  <c r="B50" i="43" s="1"/>
  <c r="B603" i="27"/>
  <c r="B41" i="43" s="1"/>
  <c r="B601" i="27"/>
  <c r="B39" i="43" s="1"/>
  <c r="B589" i="27"/>
  <c r="B30" i="43" s="1"/>
  <c r="B587" i="27"/>
  <c r="B28" i="43" s="1"/>
  <c r="B575" i="27"/>
  <c r="B19" i="43" s="1"/>
  <c r="B573" i="27"/>
  <c r="B17" i="43" s="1"/>
  <c r="B561" i="27"/>
  <c r="B8" i="43" s="1"/>
  <c r="B559" i="27"/>
  <c r="A15" i="37"/>
  <c r="C12" i="37"/>
  <c r="A12" i="37"/>
  <c r="M10" i="37"/>
  <c r="L10" i="37"/>
  <c r="K10" i="37"/>
  <c r="J10" i="37"/>
  <c r="I10" i="37"/>
  <c r="H10" i="37"/>
  <c r="G10" i="37"/>
  <c r="F10" i="37"/>
  <c r="E10" i="37"/>
  <c r="D10" i="37"/>
  <c r="B83" i="27"/>
  <c r="E83" i="27" s="1"/>
  <c r="E559" i="27" l="1"/>
  <c r="B6" i="43"/>
  <c r="B14" i="37"/>
  <c r="F83" i="27"/>
  <c r="G83" i="27" s="1"/>
  <c r="B13" i="38"/>
  <c r="B17" i="38"/>
  <c r="B16" i="38"/>
  <c r="B15" i="38"/>
  <c r="B14" i="38"/>
  <c r="F559" i="27" l="1"/>
  <c r="G559" i="27" s="1"/>
  <c r="H559" i="27" s="1"/>
  <c r="H83" i="27"/>
  <c r="D14" i="37" s="1"/>
  <c r="A43" i="51"/>
  <c r="A45" i="51"/>
  <c r="D6" i="43" l="1"/>
  <c r="I559" i="27"/>
  <c r="I83" i="27"/>
  <c r="H426" i="23"/>
  <c r="B421" i="23"/>
  <c r="B422" i="23"/>
  <c r="B423" i="23"/>
  <c r="B424" i="23"/>
  <c r="B425" i="23"/>
  <c r="B420" i="23"/>
  <c r="B414" i="23"/>
  <c r="B415" i="23"/>
  <c r="B416" i="23"/>
  <c r="B417" i="23"/>
  <c r="B418" i="23"/>
  <c r="B413" i="23"/>
  <c r="C419" i="23"/>
  <c r="J559" i="27" l="1"/>
  <c r="J83" i="27"/>
  <c r="D2" i="27"/>
  <c r="E2" i="27"/>
  <c r="E121" i="27"/>
  <c r="C140" i="27"/>
  <c r="E174" i="27"/>
  <c r="E189" i="27"/>
  <c r="E412" i="27"/>
  <c r="E413" i="27"/>
  <c r="E415" i="27"/>
  <c r="E416" i="27"/>
  <c r="E423" i="27"/>
  <c r="E525" i="27"/>
  <c r="E528" i="27" s="1"/>
  <c r="E531" i="27"/>
  <c r="E541" i="27"/>
  <c r="E54" i="32" s="1"/>
  <c r="E542" i="27"/>
  <c r="E545" i="27"/>
  <c r="E32" i="28" s="1"/>
  <c r="E651" i="27"/>
  <c r="E103" i="27" l="1"/>
  <c r="E198" i="27"/>
  <c r="E183" i="27"/>
  <c r="E154" i="27"/>
  <c r="E134" i="27"/>
  <c r="E145" i="27"/>
  <c r="E120" i="27"/>
  <c r="E478" i="27"/>
  <c r="E306" i="27"/>
  <c r="E294" i="27"/>
  <c r="E282" i="27"/>
  <c r="E274" i="27"/>
  <c r="E265" i="27"/>
  <c r="E256" i="27"/>
  <c r="E248" i="27"/>
  <c r="E89" i="32"/>
  <c r="E218" i="27"/>
  <c r="E249" i="27"/>
  <c r="E419" i="27"/>
  <c r="E266" i="27"/>
  <c r="E199" i="27"/>
  <c r="E184" i="27"/>
  <c r="K559" i="27"/>
  <c r="E100" i="27"/>
  <c r="K83" i="27"/>
  <c r="E126" i="27"/>
  <c r="E421" i="27"/>
  <c r="E125" i="27" s="1"/>
  <c r="E295" i="27"/>
  <c r="E165" i="27"/>
  <c r="E31" i="28" s="1"/>
  <c r="E146" i="27"/>
  <c r="G112" i="27"/>
  <c r="E479" i="27"/>
  <c r="E455" i="27" s="1"/>
  <c r="E424" i="27"/>
  <c r="E127" i="27" s="1"/>
  <c r="E422" i="27"/>
  <c r="E420" i="27"/>
  <c r="E307" i="27"/>
  <c r="E283" i="27"/>
  <c r="E275" i="27"/>
  <c r="E257" i="27"/>
  <c r="E155" i="27"/>
  <c r="E135" i="27"/>
  <c r="E534" i="27"/>
  <c r="E540" i="27"/>
  <c r="E544" i="27"/>
  <c r="E417" i="27"/>
  <c r="A58" i="51"/>
  <c r="AR135" i="32"/>
  <c r="AQ135" i="32"/>
  <c r="AP135" i="32"/>
  <c r="AO135" i="32"/>
  <c r="AN135" i="32"/>
  <c r="AM135" i="32"/>
  <c r="AL135" i="32"/>
  <c r="AK135" i="32"/>
  <c r="AJ135" i="32"/>
  <c r="AI135" i="32"/>
  <c r="AH135" i="32"/>
  <c r="AG135" i="32"/>
  <c r="AF135" i="32"/>
  <c r="AE135" i="32"/>
  <c r="AD135" i="32"/>
  <c r="AC135" i="32"/>
  <c r="AB135" i="32"/>
  <c r="AA135" i="32"/>
  <c r="Z135" i="32"/>
  <c r="Y135" i="32"/>
  <c r="X135" i="32"/>
  <c r="W135" i="32"/>
  <c r="V135" i="32"/>
  <c r="U135" i="32"/>
  <c r="T135" i="32"/>
  <c r="S135" i="32"/>
  <c r="R135" i="32"/>
  <c r="Q135" i="32"/>
  <c r="P135" i="32"/>
  <c r="O135" i="32"/>
  <c r="N135" i="32"/>
  <c r="M135" i="32"/>
  <c r="L135" i="32"/>
  <c r="K135" i="32"/>
  <c r="J135" i="32"/>
  <c r="I135" i="32"/>
  <c r="H135" i="32"/>
  <c r="G135" i="32"/>
  <c r="F135" i="32"/>
  <c r="E135" i="32"/>
  <c r="A135" i="32"/>
  <c r="A134" i="32"/>
  <c r="A102" i="32"/>
  <c r="A101" i="32"/>
  <c r="A67" i="32"/>
  <c r="A66" i="32"/>
  <c r="E220" i="27" l="1"/>
  <c r="E593" i="27"/>
  <c r="E19" i="32"/>
  <c r="E598" i="27"/>
  <c r="L559" i="27"/>
  <c r="E6" i="43" s="1"/>
  <c r="L83" i="27"/>
  <c r="E14" i="37" s="1"/>
  <c r="E124" i="27"/>
  <c r="E128" i="27" s="1"/>
  <c r="E543" i="27"/>
  <c r="E425" i="27"/>
  <c r="E456" i="27"/>
  <c r="E454" i="27"/>
  <c r="E458" i="27"/>
  <c r="E453" i="27"/>
  <c r="E457" i="27"/>
  <c r="A30" i="51"/>
  <c r="A19" i="32"/>
  <c r="A13" i="58" s="1"/>
  <c r="A19" i="61"/>
  <c r="C17" i="61"/>
  <c r="C16" i="61"/>
  <c r="A9" i="61"/>
  <c r="A8" i="61"/>
  <c r="A6" i="61"/>
  <c r="A5" i="61"/>
  <c r="C3" i="61"/>
  <c r="M1" i="61"/>
  <c r="L1" i="61"/>
  <c r="K1" i="61"/>
  <c r="J1" i="61"/>
  <c r="I1" i="61"/>
  <c r="H1" i="61"/>
  <c r="G1" i="61"/>
  <c r="F1" i="61"/>
  <c r="E1" i="61"/>
  <c r="D1" i="61"/>
  <c r="A1" i="61"/>
  <c r="A21" i="60"/>
  <c r="C19" i="60"/>
  <c r="C18" i="60"/>
  <c r="A11" i="60"/>
  <c r="A10" i="60"/>
  <c r="A6" i="60"/>
  <c r="A5" i="60"/>
  <c r="C3" i="60"/>
  <c r="M1" i="60"/>
  <c r="L1" i="60"/>
  <c r="K1" i="60"/>
  <c r="J1" i="60"/>
  <c r="I1" i="60"/>
  <c r="H1" i="60"/>
  <c r="G1" i="60"/>
  <c r="F1" i="60"/>
  <c r="E1" i="60"/>
  <c r="D1" i="60"/>
  <c r="A1" i="60"/>
  <c r="A21" i="59"/>
  <c r="C19" i="59"/>
  <c r="C18" i="59"/>
  <c r="A11" i="59"/>
  <c r="A6" i="59"/>
  <c r="A5" i="59"/>
  <c r="C3" i="59"/>
  <c r="M1" i="59"/>
  <c r="L1" i="59"/>
  <c r="K1" i="59"/>
  <c r="J1" i="59"/>
  <c r="I1" i="59"/>
  <c r="H1" i="59"/>
  <c r="G1" i="59"/>
  <c r="F1" i="59"/>
  <c r="E1" i="59"/>
  <c r="D1" i="59"/>
  <c r="A1" i="59"/>
  <c r="A23" i="58"/>
  <c r="C21" i="58"/>
  <c r="A14" i="58"/>
  <c r="A12" i="58"/>
  <c r="A11" i="58"/>
  <c r="A10" i="58"/>
  <c r="A9" i="58"/>
  <c r="A8" i="58"/>
  <c r="A7" i="58"/>
  <c r="A6" i="58"/>
  <c r="A5" i="58"/>
  <c r="C3" i="58"/>
  <c r="A3" i="58"/>
  <c r="M1" i="58"/>
  <c r="L1" i="58"/>
  <c r="K1" i="58"/>
  <c r="J1" i="58"/>
  <c r="I1" i="58"/>
  <c r="H1" i="58"/>
  <c r="G1" i="58"/>
  <c r="F1" i="58"/>
  <c r="E1" i="58"/>
  <c r="D1" i="58"/>
  <c r="A1" i="58"/>
  <c r="A21" i="57"/>
  <c r="A20" i="57"/>
  <c r="A19" i="57"/>
  <c r="A18" i="57"/>
  <c r="A17" i="57"/>
  <c r="A16" i="57"/>
  <c r="A15" i="57"/>
  <c r="A14" i="57"/>
  <c r="A13" i="57"/>
  <c r="A12" i="57"/>
  <c r="A10" i="57"/>
  <c r="A9" i="57"/>
  <c r="A8" i="57"/>
  <c r="A7" i="57"/>
  <c r="A6" i="57"/>
  <c r="A5" i="57"/>
  <c r="A4" i="57"/>
  <c r="A3" i="57"/>
  <c r="M1" i="57"/>
  <c r="L1" i="57"/>
  <c r="K1" i="57"/>
  <c r="J1" i="57"/>
  <c r="I1" i="57"/>
  <c r="H1" i="57"/>
  <c r="G1" i="57"/>
  <c r="F1" i="57"/>
  <c r="E1" i="57"/>
  <c r="D1" i="57"/>
  <c r="A1" i="57"/>
  <c r="B4" i="56"/>
  <c r="A4" i="56"/>
  <c r="B3" i="56"/>
  <c r="A3" i="56"/>
  <c r="L1" i="56"/>
  <c r="K1" i="56"/>
  <c r="J1" i="56"/>
  <c r="I1" i="56"/>
  <c r="H1" i="56"/>
  <c r="G1" i="56"/>
  <c r="F1" i="56"/>
  <c r="E1" i="56"/>
  <c r="D1" i="56"/>
  <c r="C1" i="56"/>
  <c r="A1" i="56"/>
  <c r="B37" i="55"/>
  <c r="B36" i="55"/>
  <c r="B35" i="55"/>
  <c r="B34" i="55"/>
  <c r="B33" i="55"/>
  <c r="B32" i="55"/>
  <c r="B31" i="55"/>
  <c r="A31" i="55"/>
  <c r="B30" i="55"/>
  <c r="B29" i="55"/>
  <c r="B28" i="55"/>
  <c r="B27" i="55"/>
  <c r="B26" i="55"/>
  <c r="B25" i="55"/>
  <c r="B24" i="55"/>
  <c r="A24" i="55"/>
  <c r="B23" i="55"/>
  <c r="B22" i="55"/>
  <c r="B21" i="55"/>
  <c r="B20" i="55"/>
  <c r="B19" i="55"/>
  <c r="B18" i="55"/>
  <c r="B17" i="55"/>
  <c r="A17" i="55"/>
  <c r="B16" i="55"/>
  <c r="B15" i="55"/>
  <c r="B14" i="55"/>
  <c r="B13" i="55"/>
  <c r="B12" i="55"/>
  <c r="B11" i="55"/>
  <c r="B10" i="55"/>
  <c r="A10" i="55"/>
  <c r="B9" i="55"/>
  <c r="B8" i="55"/>
  <c r="B7" i="55"/>
  <c r="B6" i="55"/>
  <c r="B5" i="55"/>
  <c r="B4" i="55"/>
  <c r="B3" i="55"/>
  <c r="A3" i="55"/>
  <c r="L1" i="55"/>
  <c r="K1" i="55"/>
  <c r="J1" i="55"/>
  <c r="I1" i="55"/>
  <c r="H1" i="55"/>
  <c r="G1" i="55"/>
  <c r="F1" i="55"/>
  <c r="E1" i="55"/>
  <c r="D1" i="55"/>
  <c r="C1" i="55"/>
  <c r="A1" i="55"/>
  <c r="B16" i="54"/>
  <c r="A16" i="54"/>
  <c r="B14" i="54"/>
  <c r="A14" i="54"/>
  <c r="B13" i="54"/>
  <c r="A13" i="54"/>
  <c r="B12" i="54"/>
  <c r="A12" i="54"/>
  <c r="B11" i="54"/>
  <c r="A11" i="54"/>
  <c r="B10" i="54"/>
  <c r="A10" i="54"/>
  <c r="A9" i="54"/>
  <c r="B7" i="54"/>
  <c r="A7" i="54"/>
  <c r="B5" i="54"/>
  <c r="A5" i="54"/>
  <c r="B4" i="54"/>
  <c r="A4" i="54"/>
  <c r="B3" i="54"/>
  <c r="A3" i="54"/>
  <c r="L1" i="54"/>
  <c r="K1" i="54"/>
  <c r="J1" i="54"/>
  <c r="I1" i="54"/>
  <c r="H1" i="54"/>
  <c r="G1" i="54"/>
  <c r="F1" i="54"/>
  <c r="E1" i="54"/>
  <c r="D1" i="54"/>
  <c r="C1" i="54"/>
  <c r="A1" i="54"/>
  <c r="B6" i="53"/>
  <c r="A6" i="53"/>
  <c r="B5" i="53"/>
  <c r="A5" i="53"/>
  <c r="B3" i="53"/>
  <c r="A3" i="53"/>
  <c r="L1" i="53"/>
  <c r="K1" i="53"/>
  <c r="J1" i="53"/>
  <c r="I1" i="53"/>
  <c r="H1" i="53"/>
  <c r="G1" i="53"/>
  <c r="F1" i="53"/>
  <c r="E1" i="53"/>
  <c r="D1" i="53"/>
  <c r="C1" i="53"/>
  <c r="A1" i="53"/>
  <c r="C64" i="52"/>
  <c r="A64" i="52"/>
  <c r="C63" i="52"/>
  <c r="A63" i="52"/>
  <c r="C62" i="52"/>
  <c r="A62" i="52"/>
  <c r="C61" i="52"/>
  <c r="A61" i="52"/>
  <c r="C60" i="52"/>
  <c r="A60" i="52"/>
  <c r="C59" i="52"/>
  <c r="A59" i="52"/>
  <c r="C58" i="52"/>
  <c r="A58" i="52"/>
  <c r="C57" i="52"/>
  <c r="A57" i="52"/>
  <c r="C56" i="52"/>
  <c r="A56" i="52"/>
  <c r="C55" i="52"/>
  <c r="A55" i="52"/>
  <c r="C54" i="52"/>
  <c r="A54" i="52"/>
  <c r="C53" i="52"/>
  <c r="A53" i="52"/>
  <c r="C52" i="52"/>
  <c r="A52" i="52"/>
  <c r="C51" i="52"/>
  <c r="A51" i="52"/>
  <c r="C50" i="52"/>
  <c r="A50" i="52"/>
  <c r="C49" i="52"/>
  <c r="A49" i="52"/>
  <c r="C48" i="52"/>
  <c r="A48" i="52"/>
  <c r="C47" i="52"/>
  <c r="A47" i="52"/>
  <c r="C46" i="52"/>
  <c r="A46" i="52"/>
  <c r="C45" i="52"/>
  <c r="A45" i="52"/>
  <c r="C44" i="52"/>
  <c r="B44" i="52"/>
  <c r="A44" i="52"/>
  <c r="A43" i="52"/>
  <c r="C41" i="52"/>
  <c r="A41" i="52"/>
  <c r="C40" i="52"/>
  <c r="A40" i="52"/>
  <c r="C39" i="52"/>
  <c r="A39" i="52"/>
  <c r="C38" i="52"/>
  <c r="A38" i="52"/>
  <c r="C37" i="52"/>
  <c r="A37" i="52"/>
  <c r="C36" i="52"/>
  <c r="A36" i="52"/>
  <c r="C35" i="52"/>
  <c r="A35" i="52"/>
  <c r="C34" i="52"/>
  <c r="A34" i="52"/>
  <c r="C33" i="52"/>
  <c r="A33" i="52"/>
  <c r="C32" i="52"/>
  <c r="A32" i="52"/>
  <c r="C31" i="52"/>
  <c r="A31" i="52"/>
  <c r="C30" i="52"/>
  <c r="A30" i="52"/>
  <c r="C29" i="52"/>
  <c r="A29" i="52"/>
  <c r="C28" i="52"/>
  <c r="A28" i="52"/>
  <c r="C27" i="52"/>
  <c r="A27" i="52"/>
  <c r="C26" i="52"/>
  <c r="A26" i="52"/>
  <c r="C25" i="52"/>
  <c r="A25" i="52"/>
  <c r="C24" i="52"/>
  <c r="A24" i="52"/>
  <c r="C23" i="52"/>
  <c r="A23" i="52"/>
  <c r="C22" i="52"/>
  <c r="A22" i="52"/>
  <c r="C21" i="52"/>
  <c r="A21" i="52"/>
  <c r="C20" i="52"/>
  <c r="A20" i="52"/>
  <c r="C19" i="52"/>
  <c r="B19" i="52"/>
  <c r="A19" i="52"/>
  <c r="A18" i="52"/>
  <c r="C16" i="52"/>
  <c r="A16" i="52"/>
  <c r="C15" i="52"/>
  <c r="A15" i="52"/>
  <c r="C14" i="52"/>
  <c r="A14" i="52"/>
  <c r="C13" i="52"/>
  <c r="A13" i="52"/>
  <c r="C11" i="52"/>
  <c r="A11" i="52"/>
  <c r="A10" i="52"/>
  <c r="C8" i="52"/>
  <c r="A8" i="52"/>
  <c r="C6" i="52"/>
  <c r="A6" i="52"/>
  <c r="C5" i="52"/>
  <c r="A5" i="52"/>
  <c r="C4" i="52"/>
  <c r="A4" i="52"/>
  <c r="C3" i="52"/>
  <c r="A3" i="52"/>
  <c r="M1" i="52"/>
  <c r="L1" i="52"/>
  <c r="K1" i="52"/>
  <c r="J1" i="52"/>
  <c r="I1" i="52"/>
  <c r="H1" i="52"/>
  <c r="G1" i="52"/>
  <c r="F1" i="52"/>
  <c r="E1" i="52"/>
  <c r="D1" i="52"/>
  <c r="A1" i="52"/>
  <c r="A57" i="51"/>
  <c r="A55" i="51"/>
  <c r="A54" i="51"/>
  <c r="A53" i="51"/>
  <c r="A52" i="51"/>
  <c r="A51" i="51"/>
  <c r="A50" i="51"/>
  <c r="C48" i="51"/>
  <c r="A48" i="51"/>
  <c r="A47" i="51"/>
  <c r="A46" i="51"/>
  <c r="A41" i="51"/>
  <c r="C40" i="51"/>
  <c r="A40" i="51"/>
  <c r="C39" i="51"/>
  <c r="A39" i="51"/>
  <c r="C38" i="51"/>
  <c r="A38" i="51"/>
  <c r="A37" i="51"/>
  <c r="A35" i="51"/>
  <c r="A34" i="51"/>
  <c r="A33" i="51"/>
  <c r="A32" i="51"/>
  <c r="A29" i="51"/>
  <c r="A28" i="51"/>
  <c r="A27" i="51"/>
  <c r="A25" i="51"/>
  <c r="A24" i="51"/>
  <c r="A23" i="51"/>
  <c r="A21" i="51"/>
  <c r="A20" i="51"/>
  <c r="A19" i="51"/>
  <c r="A18" i="51"/>
  <c r="C16" i="51"/>
  <c r="A16" i="51"/>
  <c r="C14" i="51"/>
  <c r="A14" i="51"/>
  <c r="C12" i="51"/>
  <c r="A12" i="51"/>
  <c r="C10" i="51"/>
  <c r="A10" i="51"/>
  <c r="C9" i="51"/>
  <c r="C8" i="51"/>
  <c r="C7" i="51"/>
  <c r="C6" i="51"/>
  <c r="C5" i="51"/>
  <c r="C4" i="51"/>
  <c r="A3" i="51"/>
  <c r="M1" i="51"/>
  <c r="L1" i="51"/>
  <c r="K1" i="51"/>
  <c r="J1" i="51"/>
  <c r="I1" i="51"/>
  <c r="H1" i="51"/>
  <c r="G1" i="51"/>
  <c r="F1" i="51"/>
  <c r="E1" i="51"/>
  <c r="D1" i="51"/>
  <c r="A1" i="51"/>
  <c r="E221" i="27" l="1"/>
  <c r="E565" i="27"/>
  <c r="E579" i="27"/>
  <c r="E584" i="27"/>
  <c r="E570" i="27"/>
  <c r="M559" i="27"/>
  <c r="M83" i="27"/>
  <c r="E459" i="27"/>
  <c r="A54" i="32"/>
  <c r="A10" i="59" s="1"/>
  <c r="D29" i="23"/>
  <c r="D28" i="23"/>
  <c r="C18" i="50"/>
  <c r="C17" i="50"/>
  <c r="C3" i="50"/>
  <c r="A3" i="50"/>
  <c r="M1" i="50"/>
  <c r="L1" i="50"/>
  <c r="K1" i="50"/>
  <c r="J1" i="50"/>
  <c r="I1" i="50"/>
  <c r="H1" i="50"/>
  <c r="G1" i="50"/>
  <c r="F1" i="50"/>
  <c r="E1" i="50"/>
  <c r="D1" i="50"/>
  <c r="A1" i="50"/>
  <c r="C3" i="49"/>
  <c r="A3" i="49"/>
  <c r="M1" i="49"/>
  <c r="L1" i="49"/>
  <c r="K1" i="49"/>
  <c r="J1" i="49"/>
  <c r="I1" i="49"/>
  <c r="H1" i="49"/>
  <c r="G1" i="49"/>
  <c r="F1" i="49"/>
  <c r="E1" i="49"/>
  <c r="D1" i="49"/>
  <c r="C41" i="48"/>
  <c r="C40" i="48"/>
  <c r="C32" i="48"/>
  <c r="C31" i="48"/>
  <c r="C30" i="48"/>
  <c r="C29" i="48"/>
  <c r="C27" i="48"/>
  <c r="C25" i="48"/>
  <c r="C24" i="48"/>
  <c r="C22" i="48"/>
  <c r="C21" i="48"/>
  <c r="C20" i="48"/>
  <c r="C19" i="48"/>
  <c r="C18" i="48"/>
  <c r="C17" i="48"/>
  <c r="C16" i="48"/>
  <c r="C15" i="48"/>
  <c r="C14" i="48"/>
  <c r="C13" i="48"/>
  <c r="C12" i="48"/>
  <c r="C11" i="48"/>
  <c r="C10" i="48"/>
  <c r="C9" i="48"/>
  <c r="C8" i="48"/>
  <c r="C7" i="48"/>
  <c r="C6" i="48"/>
  <c r="C5" i="48"/>
  <c r="C4" i="48"/>
  <c r="M1" i="48"/>
  <c r="L1" i="48"/>
  <c r="K1" i="48"/>
  <c r="J1" i="48"/>
  <c r="I1" i="48"/>
  <c r="H1" i="48"/>
  <c r="G1" i="48"/>
  <c r="F1" i="48"/>
  <c r="E1" i="48"/>
  <c r="D1" i="48"/>
  <c r="C29" i="47"/>
  <c r="A29" i="47"/>
  <c r="A28" i="47"/>
  <c r="A23" i="47"/>
  <c r="A20" i="47"/>
  <c r="A19" i="47"/>
  <c r="A18" i="47"/>
  <c r="A10" i="47"/>
  <c r="A9" i="47"/>
  <c r="A8" i="47"/>
  <c r="A5" i="47"/>
  <c r="M1" i="47"/>
  <c r="L1" i="47"/>
  <c r="K1" i="47"/>
  <c r="J1" i="47"/>
  <c r="I1" i="47"/>
  <c r="H1" i="47"/>
  <c r="G1" i="47"/>
  <c r="F1" i="47"/>
  <c r="E1" i="47"/>
  <c r="D1" i="47"/>
  <c r="L1" i="46"/>
  <c r="K1" i="46"/>
  <c r="J1" i="46"/>
  <c r="I1" i="46"/>
  <c r="H1" i="46"/>
  <c r="G1" i="46"/>
  <c r="F1" i="46"/>
  <c r="E1" i="46"/>
  <c r="D1" i="46"/>
  <c r="C1" i="46"/>
  <c r="A25" i="45"/>
  <c r="M1" i="45"/>
  <c r="L1" i="45"/>
  <c r="K1" i="45"/>
  <c r="J1" i="45"/>
  <c r="I1" i="45"/>
  <c r="H1" i="45"/>
  <c r="G1" i="45"/>
  <c r="F1" i="45"/>
  <c r="E1" i="45"/>
  <c r="D1" i="45"/>
  <c r="A22" i="44"/>
  <c r="A6" i="44"/>
  <c r="A5" i="44"/>
  <c r="M1" i="44"/>
  <c r="L1" i="44"/>
  <c r="K1" i="44"/>
  <c r="J1" i="44"/>
  <c r="I1" i="44"/>
  <c r="H1" i="44"/>
  <c r="G1" i="44"/>
  <c r="F1" i="44"/>
  <c r="E1" i="44"/>
  <c r="D1" i="44"/>
  <c r="B18" i="42"/>
  <c r="A18" i="42"/>
  <c r="B14" i="42"/>
  <c r="A14" i="42"/>
  <c r="A12" i="42"/>
  <c r="B5" i="42"/>
  <c r="L1" i="42"/>
  <c r="K1" i="42"/>
  <c r="J1" i="42"/>
  <c r="I1" i="42"/>
  <c r="H1" i="42"/>
  <c r="G1" i="42"/>
  <c r="F1" i="42"/>
  <c r="E1" i="42"/>
  <c r="D1" i="42"/>
  <c r="C1" i="42"/>
  <c r="A85" i="41"/>
  <c r="A67" i="41"/>
  <c r="C61" i="41"/>
  <c r="A61" i="41"/>
  <c r="A47" i="41"/>
  <c r="A40" i="41"/>
  <c r="C38" i="41"/>
  <c r="A38" i="41"/>
  <c r="C37" i="41"/>
  <c r="C36" i="41"/>
  <c r="C35" i="41"/>
  <c r="C34" i="41"/>
  <c r="C33" i="41"/>
  <c r="C32" i="41"/>
  <c r="A31" i="41"/>
  <c r="C30" i="41"/>
  <c r="A30" i="41"/>
  <c r="C29" i="41"/>
  <c r="C28" i="41"/>
  <c r="C27" i="41"/>
  <c r="C26" i="41"/>
  <c r="C25" i="41"/>
  <c r="C24" i="41"/>
  <c r="A23" i="41"/>
  <c r="A21" i="41"/>
  <c r="A14" i="41"/>
  <c r="A6" i="41"/>
  <c r="C5" i="41"/>
  <c r="A5" i="41"/>
  <c r="A3" i="41"/>
  <c r="M1" i="41"/>
  <c r="L1" i="41"/>
  <c r="K1" i="41"/>
  <c r="J1" i="41"/>
  <c r="I1" i="41"/>
  <c r="H1" i="41"/>
  <c r="G1" i="41"/>
  <c r="F1" i="41"/>
  <c r="E1" i="41"/>
  <c r="D1" i="41"/>
  <c r="A1" i="41"/>
  <c r="B41" i="40"/>
  <c r="A41" i="40"/>
  <c r="B33" i="40"/>
  <c r="B25" i="40"/>
  <c r="B20" i="40"/>
  <c r="A20" i="40"/>
  <c r="B15" i="40"/>
  <c r="A15" i="40"/>
  <c r="B10" i="40"/>
  <c r="A10" i="40"/>
  <c r="B5" i="40"/>
  <c r="A5" i="40"/>
  <c r="L1" i="40"/>
  <c r="K1" i="40"/>
  <c r="J1" i="40"/>
  <c r="I1" i="40"/>
  <c r="H1" i="40"/>
  <c r="G1" i="40"/>
  <c r="F1" i="40"/>
  <c r="E1" i="40"/>
  <c r="D1" i="40"/>
  <c r="C1" i="40"/>
  <c r="B13" i="39"/>
  <c r="B5" i="39"/>
  <c r="L1" i="39"/>
  <c r="K1" i="39"/>
  <c r="J1" i="39"/>
  <c r="I1" i="39"/>
  <c r="H1" i="39"/>
  <c r="G1" i="39"/>
  <c r="F1" i="39"/>
  <c r="E1" i="39"/>
  <c r="D1" i="39"/>
  <c r="C1" i="39"/>
  <c r="C31" i="38"/>
  <c r="A31" i="38"/>
  <c r="A26" i="38"/>
  <c r="A25" i="38"/>
  <c r="C24" i="38"/>
  <c r="A24" i="38"/>
  <c r="C23" i="38"/>
  <c r="A23" i="38"/>
  <c r="A18" i="38"/>
  <c r="A13" i="38"/>
  <c r="A12" i="38"/>
  <c r="A7" i="38"/>
  <c r="B4" i="38"/>
  <c r="A4" i="38"/>
  <c r="A3" i="38"/>
  <c r="M1" i="38"/>
  <c r="L1" i="38"/>
  <c r="K1" i="38"/>
  <c r="J1" i="38"/>
  <c r="I1" i="38"/>
  <c r="H1" i="38"/>
  <c r="G1" i="38"/>
  <c r="F1" i="38"/>
  <c r="E1" i="38"/>
  <c r="D1" i="38"/>
  <c r="A6" i="37"/>
  <c r="M1" i="37"/>
  <c r="L1" i="37"/>
  <c r="K1" i="37"/>
  <c r="J1" i="37"/>
  <c r="I1" i="37"/>
  <c r="H1" i="37"/>
  <c r="G1" i="37"/>
  <c r="F1" i="37"/>
  <c r="E1" i="37"/>
  <c r="D1" i="37"/>
  <c r="C14" i="36"/>
  <c r="A104" i="1"/>
  <c r="A94" i="1"/>
  <c r="A99" i="1"/>
  <c r="A89" i="1"/>
  <c r="A84" i="1"/>
  <c r="A79" i="1"/>
  <c r="A74" i="1"/>
  <c r="A68" i="1"/>
  <c r="A27" i="36"/>
  <c r="A26" i="36"/>
  <c r="B24" i="36"/>
  <c r="C22" i="36"/>
  <c r="A18" i="36"/>
  <c r="B17" i="36"/>
  <c r="C16" i="36"/>
  <c r="B16" i="36"/>
  <c r="A11" i="36"/>
  <c r="A10" i="36"/>
  <c r="C9" i="36"/>
  <c r="B9" i="36"/>
  <c r="C8" i="36"/>
  <c r="B8" i="36"/>
  <c r="C7" i="36"/>
  <c r="B7" i="36"/>
  <c r="C51" i="35"/>
  <c r="C50" i="35"/>
  <c r="B49" i="35"/>
  <c r="C48" i="35"/>
  <c r="B45" i="35"/>
  <c r="C44" i="35"/>
  <c r="A39" i="35"/>
  <c r="C38" i="35"/>
  <c r="A37" i="35"/>
  <c r="B36" i="35"/>
  <c r="C35" i="35"/>
  <c r="C34" i="35"/>
  <c r="B29" i="35"/>
  <c r="C28" i="35"/>
  <c r="C27" i="35"/>
  <c r="C26" i="35"/>
  <c r="C25" i="35"/>
  <c r="C24" i="35"/>
  <c r="C23" i="35"/>
  <c r="A19" i="35"/>
  <c r="C18" i="35"/>
  <c r="A18" i="35"/>
  <c r="C17" i="35"/>
  <c r="A17" i="35"/>
  <c r="C16" i="35"/>
  <c r="A16" i="35"/>
  <c r="A15" i="35"/>
  <c r="C14" i="35"/>
  <c r="B13" i="35"/>
  <c r="C12" i="35"/>
  <c r="C11" i="35"/>
  <c r="C10" i="35"/>
  <c r="B6" i="35"/>
  <c r="C5" i="35"/>
  <c r="B5" i="35"/>
  <c r="M1" i="35"/>
  <c r="L1" i="35"/>
  <c r="K1" i="35"/>
  <c r="J1" i="35"/>
  <c r="I1" i="35"/>
  <c r="H1" i="35"/>
  <c r="G1" i="35"/>
  <c r="F1" i="35"/>
  <c r="E1" i="35"/>
  <c r="D1" i="35"/>
  <c r="L1" i="34"/>
  <c r="K1" i="34"/>
  <c r="J1" i="34"/>
  <c r="I1" i="34"/>
  <c r="H1" i="34"/>
  <c r="G1" i="34"/>
  <c r="F1" i="34"/>
  <c r="E1" i="34"/>
  <c r="D1" i="34"/>
  <c r="C1" i="34"/>
  <c r="E463" i="27" l="1"/>
  <c r="N559" i="27"/>
  <c r="N83" i="27"/>
  <c r="A7" i="37"/>
  <c r="A70" i="27"/>
  <c r="B295" i="23"/>
  <c r="B296" i="23"/>
  <c r="C132" i="23"/>
  <c r="C200" i="23"/>
  <c r="C270" i="23"/>
  <c r="A276" i="27"/>
  <c r="A25" i="40" s="1"/>
  <c r="D132" i="23"/>
  <c r="D134" i="23" l="1"/>
  <c r="D136" i="23"/>
  <c r="E136" i="23" s="1"/>
  <c r="D133" i="23"/>
  <c r="E133" i="23" s="1"/>
  <c r="D135" i="23"/>
  <c r="E135" i="23" s="1"/>
  <c r="D137" i="23"/>
  <c r="E137" i="23" s="1"/>
  <c r="C137" i="23"/>
  <c r="C135" i="23"/>
  <c r="C136" i="23"/>
  <c r="C134" i="23"/>
  <c r="C138" i="23" s="1"/>
  <c r="C133" i="23"/>
  <c r="O559" i="27"/>
  <c r="O83" i="27"/>
  <c r="E132" i="23"/>
  <c r="C29" i="23"/>
  <c r="B26" i="27" s="1"/>
  <c r="E68" i="27" s="1"/>
  <c r="E93" i="28" s="1"/>
  <c r="C28" i="23"/>
  <c r="A116" i="32"/>
  <c r="A3" i="61" s="1"/>
  <c r="A81" i="32"/>
  <c r="A3" i="60" s="1"/>
  <c r="A46" i="32"/>
  <c r="A3" i="59" s="1"/>
  <c r="E203" i="31"/>
  <c r="E189" i="31"/>
  <c r="F205" i="31"/>
  <c r="F206" i="31"/>
  <c r="F207" i="31"/>
  <c r="F208" i="31"/>
  <c r="F209" i="31"/>
  <c r="F204" i="31"/>
  <c r="F203" i="31" s="1"/>
  <c r="C178" i="23"/>
  <c r="C179" i="23"/>
  <c r="C180" i="23"/>
  <c r="C181" i="23"/>
  <c r="C182" i="23"/>
  <c r="C177" i="23"/>
  <c r="E32" i="31"/>
  <c r="F136" i="23" l="1"/>
  <c r="F135" i="23"/>
  <c r="F137" i="23"/>
  <c r="F133" i="23"/>
  <c r="D138" i="23"/>
  <c r="E134" i="23"/>
  <c r="F134" i="23" s="1"/>
  <c r="P559" i="27"/>
  <c r="F6" i="43" s="1"/>
  <c r="P83" i="27"/>
  <c r="F14" i="37" s="1"/>
  <c r="G183" i="23"/>
  <c r="I183" i="23"/>
  <c r="H183" i="23"/>
  <c r="K183" i="23"/>
  <c r="M183" i="23"/>
  <c r="O183" i="23"/>
  <c r="Q183" i="23"/>
  <c r="S183" i="23"/>
  <c r="U183" i="23"/>
  <c r="J183" i="23"/>
  <c r="N183" i="23"/>
  <c r="R183" i="23"/>
  <c r="F183" i="23"/>
  <c r="L183" i="23"/>
  <c r="P183" i="23"/>
  <c r="T183" i="23"/>
  <c r="F132" i="23"/>
  <c r="C183" i="23"/>
  <c r="E26" i="31"/>
  <c r="D101" i="23"/>
  <c r="J176" i="1"/>
  <c r="E176" i="1"/>
  <c r="L152" i="1"/>
  <c r="E17" i="35" s="1"/>
  <c r="C101" i="23"/>
  <c r="K176" i="1" l="1"/>
  <c r="L176" i="1" s="1"/>
  <c r="M176" i="1" s="1"/>
  <c r="E277" i="27"/>
  <c r="F138" i="23"/>
  <c r="E138" i="23"/>
  <c r="Q559" i="27"/>
  <c r="Q83" i="27"/>
  <c r="N184" i="23"/>
  <c r="F419" i="23" s="1"/>
  <c r="R184" i="23"/>
  <c r="G419" i="23" s="1"/>
  <c r="J184" i="23"/>
  <c r="E419" i="23" s="1"/>
  <c r="F184" i="23"/>
  <c r="D419" i="23" s="1"/>
  <c r="E129" i="27"/>
  <c r="M152" i="1"/>
  <c r="B414" i="27"/>
  <c r="B411" i="27"/>
  <c r="D98" i="23"/>
  <c r="D95" i="23"/>
  <c r="F412" i="27"/>
  <c r="G412" i="27"/>
  <c r="H412" i="27"/>
  <c r="D25" i="41" s="1"/>
  <c r="I412" i="27"/>
  <c r="J412" i="27"/>
  <c r="K412" i="27"/>
  <c r="L412" i="27"/>
  <c r="E25" i="41" s="1"/>
  <c r="M412" i="27"/>
  <c r="N412" i="27"/>
  <c r="O412" i="27"/>
  <c r="P412" i="27"/>
  <c r="F25" i="41" s="1"/>
  <c r="Q412" i="27"/>
  <c r="R412" i="27"/>
  <c r="S412" i="27"/>
  <c r="T412" i="27"/>
  <c r="G25" i="41" s="1"/>
  <c r="U412" i="27"/>
  <c r="F413" i="27"/>
  <c r="G413" i="27"/>
  <c r="H413" i="27"/>
  <c r="D26" i="41" s="1"/>
  <c r="I413" i="27"/>
  <c r="J413" i="27"/>
  <c r="K413" i="27"/>
  <c r="L413" i="27"/>
  <c r="E26" i="41" s="1"/>
  <c r="M413" i="27"/>
  <c r="N413" i="27"/>
  <c r="O413" i="27"/>
  <c r="P413" i="27"/>
  <c r="F26" i="41" s="1"/>
  <c r="Q413" i="27"/>
  <c r="F415" i="27"/>
  <c r="G415" i="27"/>
  <c r="H415" i="27"/>
  <c r="D28" i="41" s="1"/>
  <c r="I415" i="27"/>
  <c r="J415" i="27"/>
  <c r="K415" i="27"/>
  <c r="L415" i="27"/>
  <c r="E28" i="41" s="1"/>
  <c r="M415" i="27"/>
  <c r="N415" i="27"/>
  <c r="O415" i="27"/>
  <c r="P415" i="27"/>
  <c r="F28" i="41" s="1"/>
  <c r="Q415" i="27"/>
  <c r="R415" i="27"/>
  <c r="S415" i="27"/>
  <c r="T415" i="27"/>
  <c r="G28" i="41" s="1"/>
  <c r="U415" i="27"/>
  <c r="F416" i="27"/>
  <c r="G416" i="27"/>
  <c r="H416" i="27"/>
  <c r="D29" i="41" s="1"/>
  <c r="I416" i="27"/>
  <c r="J416" i="27"/>
  <c r="K416" i="27"/>
  <c r="L416" i="27"/>
  <c r="E29" i="41" s="1"/>
  <c r="M416" i="27"/>
  <c r="N416" i="27"/>
  <c r="O416" i="27"/>
  <c r="P416" i="27"/>
  <c r="F29" i="41" s="1"/>
  <c r="Q416" i="27"/>
  <c r="R416" i="27"/>
  <c r="S416" i="27"/>
  <c r="T416" i="27"/>
  <c r="G29" i="41" s="1"/>
  <c r="U416" i="27"/>
  <c r="A411" i="27"/>
  <c r="A401" i="27"/>
  <c r="A15" i="41" s="1"/>
  <c r="B461" i="27"/>
  <c r="B70" i="41" s="1"/>
  <c r="B408" i="27"/>
  <c r="B22" i="41" s="1"/>
  <c r="C164" i="23"/>
  <c r="C165" i="23"/>
  <c r="C166" i="23"/>
  <c r="C167" i="23"/>
  <c r="C168" i="23"/>
  <c r="C163" i="23"/>
  <c r="N152" i="23"/>
  <c r="O152" i="23" s="1"/>
  <c r="L153" i="23"/>
  <c r="M153" i="23" s="1"/>
  <c r="N153" i="23" s="1"/>
  <c r="N154" i="23"/>
  <c r="O154" i="23" s="1"/>
  <c r="P154" i="23" s="1"/>
  <c r="Q154" i="23" s="1"/>
  <c r="E38" i="35" l="1"/>
  <c r="E280" i="27"/>
  <c r="N176" i="1"/>
  <c r="O176" i="1" s="1"/>
  <c r="P176" i="1" s="1"/>
  <c r="Q176" i="1" s="1"/>
  <c r="R559" i="27"/>
  <c r="R83" i="27"/>
  <c r="E397" i="27"/>
  <c r="E395" i="27"/>
  <c r="E393" i="27"/>
  <c r="C413" i="23"/>
  <c r="E396" i="27"/>
  <c r="E394" i="27"/>
  <c r="E392" i="27"/>
  <c r="C412" i="23"/>
  <c r="C426" i="23" s="1"/>
  <c r="I419" i="23"/>
  <c r="A419" i="27"/>
  <c r="A32" i="41" s="1"/>
  <c r="A24" i="41"/>
  <c r="H169" i="23"/>
  <c r="J169" i="23"/>
  <c r="L169" i="23"/>
  <c r="N169" i="23"/>
  <c r="P169" i="23"/>
  <c r="R169" i="23"/>
  <c r="T169" i="23"/>
  <c r="F169" i="23"/>
  <c r="G169" i="23"/>
  <c r="I169" i="23"/>
  <c r="K169" i="23"/>
  <c r="M169" i="23"/>
  <c r="O169" i="23"/>
  <c r="Q169" i="23"/>
  <c r="S169" i="23"/>
  <c r="U169" i="23"/>
  <c r="N152" i="1"/>
  <c r="O152" i="1" s="1"/>
  <c r="P152" i="1" s="1"/>
  <c r="Q152" i="1" s="1"/>
  <c r="B399" i="27"/>
  <c r="B31" i="27" s="1"/>
  <c r="C169" i="23"/>
  <c r="A427" i="27"/>
  <c r="A41" i="41" s="1"/>
  <c r="Q417" i="27"/>
  <c r="O417" i="27"/>
  <c r="M417" i="27"/>
  <c r="K417" i="27"/>
  <c r="I417" i="27"/>
  <c r="G417" i="27"/>
  <c r="P417" i="27"/>
  <c r="F30" i="41" s="1"/>
  <c r="N417" i="27"/>
  <c r="L417" i="27"/>
  <c r="E30" i="41" s="1"/>
  <c r="J417" i="27"/>
  <c r="H417" i="27"/>
  <c r="D30" i="41" s="1"/>
  <c r="F417" i="27"/>
  <c r="O153" i="23"/>
  <c r="P153" i="23" s="1"/>
  <c r="Q153" i="23" s="1"/>
  <c r="R153" i="23" s="1"/>
  <c r="N156" i="23"/>
  <c r="P152" i="23"/>
  <c r="M156" i="23"/>
  <c r="F38" i="35" l="1"/>
  <c r="F17" i="35"/>
  <c r="E621" i="27"/>
  <c r="E607" i="27"/>
  <c r="R176" i="1"/>
  <c r="S176" i="1" s="1"/>
  <c r="T176" i="1" s="1"/>
  <c r="U176" i="1" s="1"/>
  <c r="E626" i="27"/>
  <c r="E635" i="27"/>
  <c r="S559" i="27"/>
  <c r="E398" i="27"/>
  <c r="E84" i="27"/>
  <c r="S83" i="27"/>
  <c r="J419" i="23"/>
  <c r="O156" i="23"/>
  <c r="B5" i="38"/>
  <c r="E112" i="27"/>
  <c r="B6" i="38"/>
  <c r="E113" i="27"/>
  <c r="B13" i="41"/>
  <c r="F170" i="23"/>
  <c r="D412" i="23" s="1"/>
  <c r="D426" i="23" s="1"/>
  <c r="R170" i="23"/>
  <c r="G412" i="23" s="1"/>
  <c r="G426" i="23" s="1"/>
  <c r="N170" i="23"/>
  <c r="F412" i="23" s="1"/>
  <c r="F426" i="23" s="1"/>
  <c r="J170" i="23"/>
  <c r="E412" i="23" s="1"/>
  <c r="E426" i="23" s="1"/>
  <c r="R152" i="1"/>
  <c r="S152" i="1" s="1"/>
  <c r="T152" i="1" s="1"/>
  <c r="U152" i="1" s="1"/>
  <c r="Q152" i="23"/>
  <c r="P156" i="23"/>
  <c r="G9" i="51"/>
  <c r="F9" i="51"/>
  <c r="E9" i="51"/>
  <c r="D9" i="51"/>
  <c r="G8" i="51"/>
  <c r="F8" i="51"/>
  <c r="E8" i="51"/>
  <c r="D8" i="51"/>
  <c r="F7" i="51"/>
  <c r="E7" i="51"/>
  <c r="D7" i="51"/>
  <c r="G6" i="51"/>
  <c r="F6" i="51"/>
  <c r="E6" i="51"/>
  <c r="D6" i="51"/>
  <c r="M113" i="27"/>
  <c r="E5" i="51"/>
  <c r="K113" i="27"/>
  <c r="J113" i="27"/>
  <c r="I113" i="27"/>
  <c r="D5" i="51"/>
  <c r="G113" i="27"/>
  <c r="F113" i="27"/>
  <c r="A12" i="31"/>
  <c r="A13" i="31"/>
  <c r="A14" i="31"/>
  <c r="A11" i="31"/>
  <c r="B164" i="23"/>
  <c r="B165" i="23"/>
  <c r="B166" i="23"/>
  <c r="B167" i="23"/>
  <c r="B168" i="23"/>
  <c r="G17" i="35" l="1"/>
  <c r="G38" i="35"/>
  <c r="E436" i="27"/>
  <c r="E483" i="27" s="1"/>
  <c r="E644" i="27"/>
  <c r="V176" i="1"/>
  <c r="W176" i="1" s="1"/>
  <c r="X176" i="1" s="1"/>
  <c r="Y176" i="1" s="1"/>
  <c r="E640" i="27"/>
  <c r="T559" i="27"/>
  <c r="G6" i="43" s="1"/>
  <c r="E92" i="27"/>
  <c r="T83" i="27"/>
  <c r="G14" i="37" s="1"/>
  <c r="I412" i="23"/>
  <c r="I426" i="23" s="1"/>
  <c r="E114" i="27"/>
  <c r="E115" i="27" s="1"/>
  <c r="A181" i="31"/>
  <c r="A9" i="51"/>
  <c r="A179" i="31"/>
  <c r="A7" i="51"/>
  <c r="A178" i="31"/>
  <c r="A6" i="51"/>
  <c r="A180" i="31"/>
  <c r="A8" i="51"/>
  <c r="H113" i="27"/>
  <c r="D6" i="38" s="1"/>
  <c r="L113" i="27"/>
  <c r="E6" i="38" s="1"/>
  <c r="V152" i="1"/>
  <c r="W152" i="1" s="1"/>
  <c r="X152" i="1" s="1"/>
  <c r="Y152" i="1" s="1"/>
  <c r="F112" i="27"/>
  <c r="Q156" i="23"/>
  <c r="R152" i="23"/>
  <c r="D100" i="23"/>
  <c r="D99" i="23"/>
  <c r="D97" i="23"/>
  <c r="D96" i="23"/>
  <c r="H17" i="35" l="1"/>
  <c r="H38" i="35"/>
  <c r="Z176" i="1"/>
  <c r="AA176" i="1" s="1"/>
  <c r="AB176" i="1" s="1"/>
  <c r="AC176" i="1" s="1"/>
  <c r="U559" i="27"/>
  <c r="U83" i="27"/>
  <c r="J412" i="23"/>
  <c r="J426" i="23" s="1"/>
  <c r="E433" i="27"/>
  <c r="A187" i="31"/>
  <c r="A8" i="55"/>
  <c r="A185" i="31"/>
  <c r="A6" i="55"/>
  <c r="A186" i="31"/>
  <c r="A7" i="55"/>
  <c r="A188" i="31"/>
  <c r="A9" i="55"/>
  <c r="Z152" i="1"/>
  <c r="AA152" i="1" s="1"/>
  <c r="AB152" i="1" s="1"/>
  <c r="AC152" i="1" s="1"/>
  <c r="R156" i="23"/>
  <c r="D41" i="23"/>
  <c r="C41" i="23"/>
  <c r="B97" i="23"/>
  <c r="B99" i="23"/>
  <c r="B100" i="23"/>
  <c r="B96" i="23"/>
  <c r="B90" i="23"/>
  <c r="B135" i="23" s="1"/>
  <c r="B87" i="23"/>
  <c r="B132" i="23" s="1"/>
  <c r="F59" i="23"/>
  <c r="E59" i="23"/>
  <c r="E60" i="23" s="1"/>
  <c r="D59" i="23"/>
  <c r="E73" i="23"/>
  <c r="F73" i="23"/>
  <c r="G73" i="23"/>
  <c r="H73" i="23"/>
  <c r="I73" i="23"/>
  <c r="J73" i="23"/>
  <c r="K73" i="23"/>
  <c r="L73" i="23"/>
  <c r="M73" i="23"/>
  <c r="N73" i="23"/>
  <c r="O73" i="23"/>
  <c r="P73" i="23"/>
  <c r="U72" i="23"/>
  <c r="V14" i="31" s="1"/>
  <c r="U71" i="23"/>
  <c r="V13" i="31" s="1"/>
  <c r="Q70" i="23"/>
  <c r="R12" i="31" s="1"/>
  <c r="U69" i="23"/>
  <c r="V11" i="31" s="1"/>
  <c r="D73" i="23"/>
  <c r="M64" i="23"/>
  <c r="N10" i="31" s="1"/>
  <c r="G63" i="23"/>
  <c r="H9" i="31" s="1"/>
  <c r="C31" i="23"/>
  <c r="E443" i="27" l="1"/>
  <c r="E493" i="27"/>
  <c r="I17" i="35"/>
  <c r="I38" i="35"/>
  <c r="AD176" i="1"/>
  <c r="AE176" i="1" s="1"/>
  <c r="AF176" i="1" s="1"/>
  <c r="V559" i="27"/>
  <c r="V83" i="27"/>
  <c r="V415" i="27"/>
  <c r="R413" i="27"/>
  <c r="V416" i="27"/>
  <c r="E444" i="27"/>
  <c r="E487" i="27" s="1"/>
  <c r="E486" i="27"/>
  <c r="A195" i="31"/>
  <c r="A16" i="55"/>
  <c r="A193" i="31"/>
  <c r="A14" i="55"/>
  <c r="A192" i="31"/>
  <c r="A13" i="55"/>
  <c r="A194" i="31"/>
  <c r="A15" i="55"/>
  <c r="AD152" i="1"/>
  <c r="AE152" i="1" s="1"/>
  <c r="AF152" i="1" s="1"/>
  <c r="C43" i="23"/>
  <c r="R417" i="27"/>
  <c r="V412" i="27"/>
  <c r="N64" i="23"/>
  <c r="O10" i="31" s="1"/>
  <c r="N113" i="27"/>
  <c r="V71" i="23"/>
  <c r="W13" i="31" s="1"/>
  <c r="H63" i="23"/>
  <c r="I9" i="31" s="1"/>
  <c r="D4" i="51"/>
  <c r="R70" i="23"/>
  <c r="S12" i="31" s="1"/>
  <c r="V72" i="23"/>
  <c r="W14" i="31" s="1"/>
  <c r="E58" i="23"/>
  <c r="F58" i="23"/>
  <c r="V69" i="23"/>
  <c r="W11" i="31" s="1"/>
  <c r="Q73" i="23"/>
  <c r="G59" i="23"/>
  <c r="F60" i="23"/>
  <c r="R73" i="23"/>
  <c r="D60" i="23"/>
  <c r="J17" i="35" l="1"/>
  <c r="J38" i="35"/>
  <c r="W559" i="27"/>
  <c r="W83" i="27"/>
  <c r="S413" i="27"/>
  <c r="S417" i="27" s="1"/>
  <c r="W416" i="27"/>
  <c r="W415" i="27"/>
  <c r="E612" i="27"/>
  <c r="A201" i="31"/>
  <c r="A22" i="55"/>
  <c r="A199" i="31"/>
  <c r="A20" i="55"/>
  <c r="A200" i="31"/>
  <c r="A21" i="55"/>
  <c r="A202" i="31"/>
  <c r="A23" i="55"/>
  <c r="H112" i="27"/>
  <c r="D5" i="38" s="1"/>
  <c r="W412" i="27"/>
  <c r="W72" i="23"/>
  <c r="X14" i="31" s="1"/>
  <c r="S70" i="23"/>
  <c r="T12" i="31" s="1"/>
  <c r="I63" i="23"/>
  <c r="J9" i="31" s="1"/>
  <c r="W71" i="23"/>
  <c r="X13" i="31" s="1"/>
  <c r="O64" i="23"/>
  <c r="P10" i="31" s="1"/>
  <c r="O113" i="27"/>
  <c r="H59" i="23"/>
  <c r="H58" i="23" s="1"/>
  <c r="G60" i="23"/>
  <c r="G58" i="23"/>
  <c r="W69" i="23"/>
  <c r="X11" i="31" s="1"/>
  <c r="B139" i="32"/>
  <c r="B106" i="32"/>
  <c r="B71" i="32"/>
  <c r="X559" i="27" l="1"/>
  <c r="H6" i="43" s="1"/>
  <c r="X83" i="27"/>
  <c r="H14" i="37" s="1"/>
  <c r="X416" i="27"/>
  <c r="H29" i="41" s="1"/>
  <c r="H9" i="51"/>
  <c r="X415" i="27"/>
  <c r="H28" i="41" s="1"/>
  <c r="H8" i="51"/>
  <c r="T413" i="27"/>
  <c r="G7" i="51"/>
  <c r="A209" i="31"/>
  <c r="A37" i="55" s="1"/>
  <c r="A30" i="55"/>
  <c r="A207" i="31"/>
  <c r="A35" i="55" s="1"/>
  <c r="A28" i="55"/>
  <c r="A206" i="31"/>
  <c r="A34" i="55" s="1"/>
  <c r="A27" i="55"/>
  <c r="A208" i="31"/>
  <c r="A36" i="55" s="1"/>
  <c r="A29" i="55"/>
  <c r="I112" i="27"/>
  <c r="H6" i="51"/>
  <c r="X412" i="27"/>
  <c r="H25" i="41" s="1"/>
  <c r="H60" i="23"/>
  <c r="P64" i="23"/>
  <c r="Q10" i="31" s="1"/>
  <c r="F5" i="51"/>
  <c r="X71" i="23"/>
  <c r="Y13" i="31" s="1"/>
  <c r="J63" i="23"/>
  <c r="K9" i="31" s="1"/>
  <c r="I59" i="23"/>
  <c r="T70" i="23"/>
  <c r="U12" i="31" s="1"/>
  <c r="S73" i="23"/>
  <c r="X72" i="23"/>
  <c r="Y14" i="31" s="1"/>
  <c r="X69" i="23"/>
  <c r="Y11" i="31" s="1"/>
  <c r="AT122" i="32"/>
  <c r="N8" i="61" s="1"/>
  <c r="T417" i="27" l="1"/>
  <c r="G30" i="41" s="1"/>
  <c r="G26" i="41"/>
  <c r="Y559" i="27"/>
  <c r="Y83" i="27"/>
  <c r="U413" i="27"/>
  <c r="U417" i="27" s="1"/>
  <c r="Y415" i="27"/>
  <c r="Y416" i="27"/>
  <c r="P113" i="27"/>
  <c r="F6" i="38" s="1"/>
  <c r="J112" i="27"/>
  <c r="Y412" i="27"/>
  <c r="Y72" i="23"/>
  <c r="Z14" i="31" s="1"/>
  <c r="U70" i="23"/>
  <c r="V12" i="31" s="1"/>
  <c r="T73" i="23"/>
  <c r="Y71" i="23"/>
  <c r="Z13" i="31" s="1"/>
  <c r="Q64" i="23"/>
  <c r="R10" i="31" s="1"/>
  <c r="Q113" i="27"/>
  <c r="I60" i="23"/>
  <c r="I58" i="23"/>
  <c r="K63" i="23"/>
  <c r="L9" i="31" s="1"/>
  <c r="J59" i="23"/>
  <c r="Y69" i="23"/>
  <c r="Z11" i="31" s="1"/>
  <c r="G191" i="23"/>
  <c r="G21" i="31"/>
  <c r="F21" i="31"/>
  <c r="E21" i="31"/>
  <c r="Z559" i="27" l="1"/>
  <c r="Z83" i="27"/>
  <c r="Z415" i="27"/>
  <c r="V413" i="27"/>
  <c r="V417" i="27" s="1"/>
  <c r="Z416" i="27"/>
  <c r="K112" i="27"/>
  <c r="Z412" i="27"/>
  <c r="V70" i="23"/>
  <c r="W12" i="31" s="1"/>
  <c r="U73" i="23"/>
  <c r="Z72" i="23"/>
  <c r="AA14" i="31" s="1"/>
  <c r="J60" i="23"/>
  <c r="J58" i="23"/>
  <c r="L63" i="23"/>
  <c r="M9" i="31" s="1"/>
  <c r="E4" i="51"/>
  <c r="K59" i="23"/>
  <c r="R64" i="23"/>
  <c r="S10" i="31" s="1"/>
  <c r="R113" i="27"/>
  <c r="Z71" i="23"/>
  <c r="AA13" i="31" s="1"/>
  <c r="Z69" i="23"/>
  <c r="AA11" i="31" s="1"/>
  <c r="H21" i="31"/>
  <c r="D16" i="51" s="1"/>
  <c r="J21" i="31"/>
  <c r="I21" i="31"/>
  <c r="A112" i="28"/>
  <c r="A315" i="28" s="1"/>
  <c r="AT533" i="27"/>
  <c r="M21" i="42" s="1"/>
  <c r="AT527" i="27"/>
  <c r="M17" i="42" s="1"/>
  <c r="F545" i="27"/>
  <c r="F32" i="28" s="1"/>
  <c r="G545" i="27"/>
  <c r="G32" i="28" s="1"/>
  <c r="H545" i="27"/>
  <c r="H32" i="28" s="1"/>
  <c r="I545" i="27"/>
  <c r="I32" i="28" s="1"/>
  <c r="J545" i="27"/>
  <c r="J32" i="28" s="1"/>
  <c r="K545" i="27"/>
  <c r="K32" i="28" s="1"/>
  <c r="L545" i="27"/>
  <c r="L32" i="28" s="1"/>
  <c r="M545" i="27"/>
  <c r="M32" i="28" s="1"/>
  <c r="N545" i="27"/>
  <c r="N32" i="28" s="1"/>
  <c r="O545" i="27"/>
  <c r="O32" i="28" s="1"/>
  <c r="P545" i="27"/>
  <c r="P32" i="28" s="1"/>
  <c r="Q545" i="27"/>
  <c r="Q32" i="28" s="1"/>
  <c r="R545" i="27"/>
  <c r="R32" i="28" s="1"/>
  <c r="S545" i="27"/>
  <c r="S32" i="28" s="1"/>
  <c r="T545" i="27"/>
  <c r="T32" i="28" s="1"/>
  <c r="U545" i="27"/>
  <c r="U32" i="28" s="1"/>
  <c r="V545" i="27"/>
  <c r="V32" i="28" s="1"/>
  <c r="W545" i="27"/>
  <c r="W32" i="28" s="1"/>
  <c r="X545" i="27"/>
  <c r="X32" i="28" s="1"/>
  <c r="Y545" i="27"/>
  <c r="Y32" i="28" s="1"/>
  <c r="Z545" i="27"/>
  <c r="Z32" i="28" s="1"/>
  <c r="AA545" i="27"/>
  <c r="AA32" i="28" s="1"/>
  <c r="AB545" i="27"/>
  <c r="AB32" i="28" s="1"/>
  <c r="AC545" i="27"/>
  <c r="AC32" i="28" s="1"/>
  <c r="AD545" i="27"/>
  <c r="AD32" i="28" s="1"/>
  <c r="AE545" i="27"/>
  <c r="AE32" i="28" s="1"/>
  <c r="AF545" i="27"/>
  <c r="AF32" i="28" s="1"/>
  <c r="AG545" i="27"/>
  <c r="AG32" i="28" s="1"/>
  <c r="AH545" i="27"/>
  <c r="AH32" i="28" s="1"/>
  <c r="AI545" i="27"/>
  <c r="AI32" i="28" s="1"/>
  <c r="AJ545" i="27"/>
  <c r="AJ32" i="28" s="1"/>
  <c r="AK545" i="27"/>
  <c r="AK32" i="28" s="1"/>
  <c r="AL545" i="27"/>
  <c r="AL32" i="28" s="1"/>
  <c r="AM545" i="27"/>
  <c r="AM32" i="28" s="1"/>
  <c r="AN545" i="27"/>
  <c r="AN32" i="28" s="1"/>
  <c r="AO545" i="27"/>
  <c r="AO32" i="28" s="1"/>
  <c r="M29" i="44" s="1"/>
  <c r="AP545" i="27"/>
  <c r="AP32" i="28" s="1"/>
  <c r="AQ545" i="27"/>
  <c r="AQ32" i="28" s="1"/>
  <c r="AR545" i="27"/>
  <c r="AR32" i="28" s="1"/>
  <c r="F542" i="27"/>
  <c r="G542" i="27"/>
  <c r="G89" i="32" s="1"/>
  <c r="H542" i="27"/>
  <c r="H89" i="32" s="1"/>
  <c r="I542" i="27"/>
  <c r="J542" i="27"/>
  <c r="J89" i="32" s="1"/>
  <c r="K542" i="27"/>
  <c r="K89" i="32" s="1"/>
  <c r="L542" i="27"/>
  <c r="L89" i="32" s="1"/>
  <c r="M542" i="27"/>
  <c r="N542" i="27"/>
  <c r="N89" i="32" s="1"/>
  <c r="O542" i="27"/>
  <c r="O89" i="32" s="1"/>
  <c r="P542" i="27"/>
  <c r="P89" i="32" s="1"/>
  <c r="Q542" i="27"/>
  <c r="R542" i="27"/>
  <c r="R89" i="32" s="1"/>
  <c r="S542" i="27"/>
  <c r="S89" i="32" s="1"/>
  <c r="T542" i="27"/>
  <c r="T89" i="32" s="1"/>
  <c r="U542" i="27"/>
  <c r="V542" i="27"/>
  <c r="V89" i="32" s="1"/>
  <c r="W542" i="27"/>
  <c r="W89" i="32" s="1"/>
  <c r="X542" i="27"/>
  <c r="X89" i="32" s="1"/>
  <c r="Y542" i="27"/>
  <c r="Z542" i="27"/>
  <c r="Z89" i="32" s="1"/>
  <c r="AA542" i="27"/>
  <c r="AA89" i="32" s="1"/>
  <c r="AB542" i="27"/>
  <c r="AB89" i="32" s="1"/>
  <c r="AC542" i="27"/>
  <c r="AD542" i="27"/>
  <c r="AD89" i="32" s="1"/>
  <c r="AE542" i="27"/>
  <c r="AE89" i="32" s="1"/>
  <c r="AF542" i="27"/>
  <c r="AF89" i="32" s="1"/>
  <c r="AG542" i="27"/>
  <c r="AH542" i="27"/>
  <c r="AH89" i="32" s="1"/>
  <c r="AI542" i="27"/>
  <c r="AI89" i="32" s="1"/>
  <c r="AJ542" i="27"/>
  <c r="AJ89" i="32" s="1"/>
  <c r="AK542" i="27"/>
  <c r="AL542" i="27"/>
  <c r="AL89" i="32" s="1"/>
  <c r="AM542" i="27"/>
  <c r="AM89" i="32" s="1"/>
  <c r="AN542" i="27"/>
  <c r="AN89" i="32" s="1"/>
  <c r="AO542" i="27"/>
  <c r="AP542" i="27"/>
  <c r="AP89" i="32" s="1"/>
  <c r="AQ542" i="27"/>
  <c r="AQ89" i="32" s="1"/>
  <c r="AR542" i="27"/>
  <c r="AR89" i="32" s="1"/>
  <c r="AT535" i="27"/>
  <c r="AT529" i="27"/>
  <c r="U89" i="32" l="1"/>
  <c r="H10" i="60" s="1"/>
  <c r="G28" i="42"/>
  <c r="F28" i="42"/>
  <c r="Q89" i="32"/>
  <c r="G10" i="60" s="1"/>
  <c r="AK89" i="32"/>
  <c r="L10" i="60" s="1"/>
  <c r="K28" i="42"/>
  <c r="AC89" i="32"/>
  <c r="J10" i="60" s="1"/>
  <c r="I28" i="42"/>
  <c r="AG89" i="32"/>
  <c r="K10" i="60" s="1"/>
  <c r="J28" i="42"/>
  <c r="AO89" i="32"/>
  <c r="M10" i="60" s="1"/>
  <c r="L28" i="42"/>
  <c r="E28" i="42"/>
  <c r="M89" i="32"/>
  <c r="F10" i="60" s="1"/>
  <c r="D28" i="42"/>
  <c r="I89" i="32"/>
  <c r="E10" i="60" s="1"/>
  <c r="Y89" i="32"/>
  <c r="I10" i="60" s="1"/>
  <c r="H28" i="42"/>
  <c r="F89" i="32"/>
  <c r="D10" i="60" s="1"/>
  <c r="C28" i="42"/>
  <c r="L29" i="44"/>
  <c r="J29" i="44"/>
  <c r="H29" i="44"/>
  <c r="E29" i="44"/>
  <c r="I29" i="44"/>
  <c r="K29" i="44"/>
  <c r="G29" i="44"/>
  <c r="F29" i="44"/>
  <c r="D29" i="44"/>
  <c r="A32" i="46"/>
  <c r="A275" i="28"/>
  <c r="A8" i="50" s="1"/>
  <c r="AA559" i="27"/>
  <c r="AA83" i="27"/>
  <c r="B527" i="27"/>
  <c r="B533" i="27"/>
  <c r="AQ102" i="32"/>
  <c r="AM102" i="32"/>
  <c r="AI102" i="32"/>
  <c r="AE102" i="32"/>
  <c r="AA102" i="32"/>
  <c r="W102" i="32"/>
  <c r="S102" i="32"/>
  <c r="O102" i="32"/>
  <c r="K102" i="32"/>
  <c r="G102" i="32"/>
  <c r="AR102" i="32"/>
  <c r="AP102" i="32"/>
  <c r="AN102" i="32"/>
  <c r="AL102" i="32"/>
  <c r="AJ102" i="32"/>
  <c r="AH102" i="32"/>
  <c r="AF102" i="32"/>
  <c r="AD102" i="32"/>
  <c r="AB102" i="32"/>
  <c r="Z102" i="32"/>
  <c r="X102" i="32"/>
  <c r="V102" i="32"/>
  <c r="T102" i="32"/>
  <c r="R102" i="32"/>
  <c r="P102" i="32"/>
  <c r="N102" i="32"/>
  <c r="L102" i="32"/>
  <c r="J102" i="32"/>
  <c r="H102" i="32"/>
  <c r="AA415" i="27"/>
  <c r="AA416" i="27"/>
  <c r="W413" i="27"/>
  <c r="W417" i="27" s="1"/>
  <c r="F102" i="32"/>
  <c r="B529" i="27"/>
  <c r="B535" i="27"/>
  <c r="E102" i="32"/>
  <c r="L112" i="27"/>
  <c r="E5" i="38" s="1"/>
  <c r="AA412" i="27"/>
  <c r="AA71" i="23"/>
  <c r="AB13" i="31" s="1"/>
  <c r="S64" i="23"/>
  <c r="T10" i="31" s="1"/>
  <c r="S113" i="27"/>
  <c r="AA72" i="23"/>
  <c r="AB14" i="31" s="1"/>
  <c r="W70" i="23"/>
  <c r="X12" i="31" s="1"/>
  <c r="V73" i="23"/>
  <c r="K58" i="23"/>
  <c r="K60" i="23"/>
  <c r="M63" i="23"/>
  <c r="N9" i="31" s="1"/>
  <c r="L59" i="23"/>
  <c r="AA69" i="23"/>
  <c r="AB11" i="31" s="1"/>
  <c r="K21" i="31"/>
  <c r="AB559" i="27" l="1"/>
  <c r="I6" i="43" s="1"/>
  <c r="AB83" i="27"/>
  <c r="I14" i="37" s="1"/>
  <c r="AT89" i="32"/>
  <c r="N10" i="60" s="1"/>
  <c r="X413" i="27"/>
  <c r="H26" i="41" s="1"/>
  <c r="H7" i="51"/>
  <c r="AB415" i="27"/>
  <c r="I28" i="41" s="1"/>
  <c r="I8" i="51"/>
  <c r="AB416" i="27"/>
  <c r="I29" i="41" s="1"/>
  <c r="I9" i="51"/>
  <c r="I102" i="32"/>
  <c r="M102" i="32"/>
  <c r="Q102" i="32"/>
  <c r="U102" i="32"/>
  <c r="Y102" i="32"/>
  <c r="AC102" i="32"/>
  <c r="AG102" i="32"/>
  <c r="AK102" i="32"/>
  <c r="AO102" i="32"/>
  <c r="M112" i="27"/>
  <c r="I6" i="51"/>
  <c r="AB412" i="27"/>
  <c r="I25" i="41" s="1"/>
  <c r="X70" i="23"/>
  <c r="Y12" i="31" s="1"/>
  <c r="W73" i="23"/>
  <c r="AB72" i="23"/>
  <c r="AC14" i="31" s="1"/>
  <c r="T64" i="23"/>
  <c r="U10" i="31" s="1"/>
  <c r="G5" i="51"/>
  <c r="AB71" i="23"/>
  <c r="AC13" i="31" s="1"/>
  <c r="L58" i="23"/>
  <c r="L60" i="23"/>
  <c r="N63" i="23"/>
  <c r="O9" i="31" s="1"/>
  <c r="M59" i="23"/>
  <c r="AB69" i="23"/>
  <c r="AC11" i="31" s="1"/>
  <c r="L21" i="31"/>
  <c r="E16" i="51" s="1"/>
  <c r="B154" i="31"/>
  <c r="AC559" i="27" l="1"/>
  <c r="AC83" i="27"/>
  <c r="Y413" i="27"/>
  <c r="Y417" i="27" s="1"/>
  <c r="AC415" i="27"/>
  <c r="AC416" i="27"/>
  <c r="X417" i="27"/>
  <c r="H30" i="41" s="1"/>
  <c r="T113" i="27"/>
  <c r="G6" i="38" s="1"/>
  <c r="N112" i="27"/>
  <c r="AC412" i="27"/>
  <c r="M60" i="23"/>
  <c r="M58" i="23"/>
  <c r="O63" i="23"/>
  <c r="P9" i="31" s="1"/>
  <c r="N59" i="23"/>
  <c r="AC72" i="23"/>
  <c r="AD14" i="31" s="1"/>
  <c r="Y70" i="23"/>
  <c r="Z12" i="31" s="1"/>
  <c r="X73" i="23"/>
  <c r="AC71" i="23"/>
  <c r="AD13" i="31" s="1"/>
  <c r="U64" i="23"/>
  <c r="V10" i="31" s="1"/>
  <c r="U113" i="27"/>
  <c r="AC69" i="23"/>
  <c r="AD11" i="31" s="1"/>
  <c r="M21" i="31"/>
  <c r="AD559" i="27" l="1"/>
  <c r="AD83" i="27"/>
  <c r="AD415" i="27"/>
  <c r="Z413" i="27"/>
  <c r="Z417" i="27" s="1"/>
  <c r="AD416" i="27"/>
  <c r="O112" i="27"/>
  <c r="AD412" i="27"/>
  <c r="V64" i="23"/>
  <c r="W10" i="31" s="1"/>
  <c r="V113" i="27"/>
  <c r="AD71" i="23"/>
  <c r="AE13" i="31" s="1"/>
  <c r="N60" i="23"/>
  <c r="N58" i="23"/>
  <c r="P63" i="23"/>
  <c r="Q9" i="31" s="1"/>
  <c r="F4" i="51"/>
  <c r="O59" i="23"/>
  <c r="Z70" i="23"/>
  <c r="AA12" i="31" s="1"/>
  <c r="Y73" i="23"/>
  <c r="AD72" i="23"/>
  <c r="AE14" i="31" s="1"/>
  <c r="AD69" i="23"/>
  <c r="AE11" i="31" s="1"/>
  <c r="N21" i="31"/>
  <c r="AE559" i="27" l="1"/>
  <c r="AE83" i="27"/>
  <c r="AE416" i="27"/>
  <c r="AA413" i="27"/>
  <c r="AA417" i="27" s="1"/>
  <c r="AE415" i="27"/>
  <c r="P112" i="27"/>
  <c r="F5" i="38" s="1"/>
  <c r="AE412" i="27"/>
  <c r="AE72" i="23"/>
  <c r="AF14" i="31" s="1"/>
  <c r="AA70" i="23"/>
  <c r="AB12" i="31" s="1"/>
  <c r="Z73" i="23"/>
  <c r="AE71" i="23"/>
  <c r="AF13" i="31" s="1"/>
  <c r="W64" i="23"/>
  <c r="X10" i="31" s="1"/>
  <c r="W113" i="27"/>
  <c r="O58" i="23"/>
  <c r="O60" i="23"/>
  <c r="Q63" i="23"/>
  <c r="R9" i="31" s="1"/>
  <c r="P59" i="23"/>
  <c r="AE69" i="23"/>
  <c r="AF11" i="31" s="1"/>
  <c r="O21" i="31"/>
  <c r="B126" i="31"/>
  <c r="B54" i="52" s="1"/>
  <c r="B102" i="31"/>
  <c r="B30" i="52" s="1"/>
  <c r="E136" i="31"/>
  <c r="B127" i="31"/>
  <c r="B55" i="52" s="1"/>
  <c r="B117" i="31"/>
  <c r="B45" i="52" s="1"/>
  <c r="B103" i="31"/>
  <c r="B31" i="52" s="1"/>
  <c r="B92" i="31"/>
  <c r="B20" i="52" s="1"/>
  <c r="B10" i="52"/>
  <c r="B78" i="31"/>
  <c r="B8" i="52" s="1"/>
  <c r="J6" i="43" l="1"/>
  <c r="AF559" i="27"/>
  <c r="AF83" i="27"/>
  <c r="J14" i="37" s="1"/>
  <c r="AF415" i="27"/>
  <c r="J28" i="41" s="1"/>
  <c r="J8" i="51"/>
  <c r="AB413" i="27"/>
  <c r="I26" i="41" s="1"/>
  <c r="AF416" i="27"/>
  <c r="J29" i="41" s="1"/>
  <c r="J9" i="51"/>
  <c r="AB417" i="27"/>
  <c r="I30" i="41" s="1"/>
  <c r="Q112" i="27"/>
  <c r="B118" i="31"/>
  <c r="F74" i="31"/>
  <c r="E74" i="31"/>
  <c r="E153" i="31"/>
  <c r="J6" i="51"/>
  <c r="AF412" i="27"/>
  <c r="J25" i="41" s="1"/>
  <c r="AB70" i="23"/>
  <c r="AC12" i="31" s="1"/>
  <c r="I7" i="51"/>
  <c r="AA73" i="23"/>
  <c r="AF72" i="23"/>
  <c r="AG14" i="31" s="1"/>
  <c r="P58" i="23"/>
  <c r="P60" i="23"/>
  <c r="R63" i="23"/>
  <c r="S9" i="31" s="1"/>
  <c r="Q59" i="23"/>
  <c r="X64" i="23"/>
  <c r="Y10" i="31" s="1"/>
  <c r="H5" i="51"/>
  <c r="AF71" i="23"/>
  <c r="AG13" i="31" s="1"/>
  <c r="AF69" i="23"/>
  <c r="AG11" i="31" s="1"/>
  <c r="P21" i="31"/>
  <c r="F16" i="51" s="1"/>
  <c r="E216" i="31"/>
  <c r="E73" i="31"/>
  <c r="F73" i="31"/>
  <c r="B128" i="31"/>
  <c r="B56" i="52" s="1"/>
  <c r="B93" i="31"/>
  <c r="B21" i="52" s="1"/>
  <c r="B104" i="31"/>
  <c r="B32" i="52" s="1"/>
  <c r="AG559" i="27" l="1"/>
  <c r="AG83" i="27"/>
  <c r="AG415" i="27"/>
  <c r="AG416" i="27"/>
  <c r="AC413" i="27"/>
  <c r="AC417" i="27" s="1"/>
  <c r="B46" i="52"/>
  <c r="X113" i="27"/>
  <c r="H6" i="38" s="1"/>
  <c r="E224" i="31"/>
  <c r="R112" i="27"/>
  <c r="B129" i="31"/>
  <c r="B57" i="52" s="1"/>
  <c r="B119" i="31"/>
  <c r="AG412" i="27"/>
  <c r="Q60" i="23"/>
  <c r="Q58" i="23"/>
  <c r="S63" i="23"/>
  <c r="T9" i="31" s="1"/>
  <c r="R59" i="23"/>
  <c r="AG72" i="23"/>
  <c r="AH14" i="31" s="1"/>
  <c r="AC70" i="23"/>
  <c r="AD12" i="31" s="1"/>
  <c r="AB73" i="23"/>
  <c r="AG71" i="23"/>
  <c r="AH13" i="31" s="1"/>
  <c r="Y64" i="23"/>
  <c r="Z10" i="31" s="1"/>
  <c r="Y113" i="27"/>
  <c r="AG69" i="23"/>
  <c r="AH11" i="31" s="1"/>
  <c r="E75" i="31"/>
  <c r="Q21" i="31"/>
  <c r="B105" i="31"/>
  <c r="B33" i="52" s="1"/>
  <c r="B94" i="31"/>
  <c r="B22" i="52" s="1"/>
  <c r="E233" i="31" l="1"/>
  <c r="E13" i="32"/>
  <c r="AH559" i="27"/>
  <c r="AH83" i="27"/>
  <c r="AH415" i="27"/>
  <c r="AD413" i="27"/>
  <c r="AD417" i="27" s="1"/>
  <c r="AH416" i="27"/>
  <c r="B47" i="52"/>
  <c r="S112" i="27"/>
  <c r="B120" i="31"/>
  <c r="B130" i="31"/>
  <c r="B58" i="52" s="1"/>
  <c r="B121" i="31"/>
  <c r="B49" i="52" s="1"/>
  <c r="E76" i="31"/>
  <c r="E81" i="31" s="1"/>
  <c r="AH412" i="27"/>
  <c r="R60" i="23"/>
  <c r="R58" i="23"/>
  <c r="T63" i="23"/>
  <c r="U9" i="31" s="1"/>
  <c r="G4" i="51"/>
  <c r="S59" i="23"/>
  <c r="Z64" i="23"/>
  <c r="AA10" i="31" s="1"/>
  <c r="Z113" i="27"/>
  <c r="AH71" i="23"/>
  <c r="AI13" i="31" s="1"/>
  <c r="AD70" i="23"/>
  <c r="AE12" i="31" s="1"/>
  <c r="AC73" i="23"/>
  <c r="AH72" i="23"/>
  <c r="AI14" i="31" s="1"/>
  <c r="AH69" i="23"/>
  <c r="AI11" i="31" s="1"/>
  <c r="R21" i="31"/>
  <c r="B106" i="31"/>
  <c r="B34" i="52" s="1"/>
  <c r="B95" i="31"/>
  <c r="B23" i="52" s="1"/>
  <c r="E148" i="27" l="1"/>
  <c r="E51" i="32"/>
  <c r="AI559" i="27"/>
  <c r="AI83" i="27"/>
  <c r="T59" i="23"/>
  <c r="U59" i="23" s="1"/>
  <c r="V59" i="23" s="1"/>
  <c r="W59" i="23" s="1"/>
  <c r="X59" i="23" s="1"/>
  <c r="Y59" i="23" s="1"/>
  <c r="Z59" i="23" s="1"/>
  <c r="AA59" i="23" s="1"/>
  <c r="AB59" i="23" s="1"/>
  <c r="AC59" i="23" s="1"/>
  <c r="AD59" i="23" s="1"/>
  <c r="AE59" i="23" s="1"/>
  <c r="AF59" i="23" s="1"/>
  <c r="AG59" i="23" s="1"/>
  <c r="AH59" i="23" s="1"/>
  <c r="AI59" i="23" s="1"/>
  <c r="AJ59" i="23" s="1"/>
  <c r="AK59" i="23" s="1"/>
  <c r="AL59" i="23" s="1"/>
  <c r="AM59" i="23" s="1"/>
  <c r="AN59" i="23" s="1"/>
  <c r="AO59" i="23" s="1"/>
  <c r="AP59" i="23" s="1"/>
  <c r="AQ59" i="23" s="1"/>
  <c r="AI415" i="27"/>
  <c r="AI416" i="27"/>
  <c r="AE413" i="27"/>
  <c r="AE417" i="27" s="1"/>
  <c r="B48" i="52"/>
  <c r="T112" i="27"/>
  <c r="G5" i="38" s="1"/>
  <c r="B131" i="31"/>
  <c r="B59" i="52" s="1"/>
  <c r="B122" i="31"/>
  <c r="B50" i="52" s="1"/>
  <c r="B132" i="31"/>
  <c r="B60" i="52" s="1"/>
  <c r="B96" i="31"/>
  <c r="B24" i="52" s="1"/>
  <c r="AI412" i="27"/>
  <c r="S58" i="23"/>
  <c r="S60" i="23"/>
  <c r="U63" i="23"/>
  <c r="V9" i="31" s="1"/>
  <c r="AI72" i="23"/>
  <c r="AJ14" i="31" s="1"/>
  <c r="AE70" i="23"/>
  <c r="AF12" i="31" s="1"/>
  <c r="AD73" i="23"/>
  <c r="AI71" i="23"/>
  <c r="AJ13" i="31" s="1"/>
  <c r="AA64" i="23"/>
  <c r="AB10" i="31" s="1"/>
  <c r="AA113" i="27"/>
  <c r="AI69" i="23"/>
  <c r="AJ11" i="31" s="1"/>
  <c r="S21" i="31"/>
  <c r="B107" i="31"/>
  <c r="B35" i="52" s="1"/>
  <c r="AJ559" i="27" l="1"/>
  <c r="K6" i="43" s="1"/>
  <c r="AJ83" i="27"/>
  <c r="K14" i="37" s="1"/>
  <c r="AJ415" i="27"/>
  <c r="K28" i="41" s="1"/>
  <c r="K8" i="51"/>
  <c r="AF413" i="27"/>
  <c r="J26" i="41" s="1"/>
  <c r="J7" i="51"/>
  <c r="AJ416" i="27"/>
  <c r="K29" i="41" s="1"/>
  <c r="K9" i="51"/>
  <c r="AF417" i="27"/>
  <c r="J30" i="41" s="1"/>
  <c r="U112" i="27"/>
  <c r="B123" i="31"/>
  <c r="B51" i="52" s="1"/>
  <c r="B133" i="31"/>
  <c r="B61" i="52" s="1"/>
  <c r="B97" i="31"/>
  <c r="B25" i="52" s="1"/>
  <c r="B108" i="31"/>
  <c r="B36" i="52" s="1"/>
  <c r="K6" i="51"/>
  <c r="AJ412" i="27"/>
  <c r="K25" i="41" s="1"/>
  <c r="T58" i="23"/>
  <c r="T60" i="23"/>
  <c r="V63" i="23"/>
  <c r="W9" i="31" s="1"/>
  <c r="AB64" i="23"/>
  <c r="AC10" i="31" s="1"/>
  <c r="I5" i="51"/>
  <c r="AJ71" i="23"/>
  <c r="AK13" i="31" s="1"/>
  <c r="AF70" i="23"/>
  <c r="AG12" i="31" s="1"/>
  <c r="AE73" i="23"/>
  <c r="AJ72" i="23"/>
  <c r="AK14" i="31" s="1"/>
  <c r="AJ69" i="23"/>
  <c r="AK11" i="31" s="1"/>
  <c r="T21" i="31"/>
  <c r="G16" i="51" s="1"/>
  <c r="AK559" i="27" l="1"/>
  <c r="AK83" i="27"/>
  <c r="AG413" i="27"/>
  <c r="AG417" i="27" s="1"/>
  <c r="AK415" i="27"/>
  <c r="AK416" i="27"/>
  <c r="AB113" i="27"/>
  <c r="I6" i="38" s="1"/>
  <c r="V112" i="27"/>
  <c r="B124" i="31"/>
  <c r="B52" i="52" s="1"/>
  <c r="B134" i="31"/>
  <c r="B62" i="52" s="1"/>
  <c r="B98" i="31"/>
  <c r="B26" i="52" s="1"/>
  <c r="B109" i="31"/>
  <c r="B37" i="52" s="1"/>
  <c r="AK412" i="27"/>
  <c r="U60" i="23"/>
  <c r="U58" i="23"/>
  <c r="W63" i="23"/>
  <c r="X9" i="31" s="1"/>
  <c r="AK72" i="23"/>
  <c r="AL14" i="31" s="1"/>
  <c r="AG70" i="23"/>
  <c r="AH12" i="31" s="1"/>
  <c r="AF73" i="23"/>
  <c r="AK71" i="23"/>
  <c r="AL13" i="31" s="1"/>
  <c r="AC64" i="23"/>
  <c r="AD10" i="31" s="1"/>
  <c r="AC113" i="27"/>
  <c r="AK69" i="23"/>
  <c r="AL11" i="31" s="1"/>
  <c r="U21" i="31"/>
  <c r="AL559" i="27" l="1"/>
  <c r="AL83" i="27"/>
  <c r="AL415" i="27"/>
  <c r="AH413" i="27"/>
  <c r="AH417" i="27" s="1"/>
  <c r="AL416" i="27"/>
  <c r="W112" i="27"/>
  <c r="B135" i="31"/>
  <c r="B63" i="52" s="1"/>
  <c r="B99" i="31"/>
  <c r="B27" i="52" s="1"/>
  <c r="B110" i="31"/>
  <c r="B38" i="52" s="1"/>
  <c r="AL412" i="27"/>
  <c r="V60" i="23"/>
  <c r="V58" i="23"/>
  <c r="X63" i="23"/>
  <c r="Y9" i="31" s="1"/>
  <c r="H4" i="51"/>
  <c r="AD64" i="23"/>
  <c r="AE10" i="31" s="1"/>
  <c r="AD113" i="27"/>
  <c r="AL71" i="23"/>
  <c r="AM13" i="31" s="1"/>
  <c r="AH70" i="23"/>
  <c r="AI12" i="31" s="1"/>
  <c r="AG73" i="23"/>
  <c r="AL72" i="23"/>
  <c r="AM14" i="31" s="1"/>
  <c r="AL69" i="23"/>
  <c r="AM11" i="31" s="1"/>
  <c r="V21" i="31"/>
  <c r="AM559" i="27" l="1"/>
  <c r="AM83" i="27"/>
  <c r="AM415" i="27"/>
  <c r="AM416" i="27"/>
  <c r="AI413" i="27"/>
  <c r="AI417" i="27" s="1"/>
  <c r="X112" i="27"/>
  <c r="H5" i="38" s="1"/>
  <c r="B100" i="31"/>
  <c r="B28" i="52" s="1"/>
  <c r="B111" i="31"/>
  <c r="B39" i="52" s="1"/>
  <c r="AM412" i="27"/>
  <c r="W58" i="23"/>
  <c r="W60" i="23"/>
  <c r="Y63" i="23"/>
  <c r="Z9" i="31" s="1"/>
  <c r="AM72" i="23"/>
  <c r="AN14" i="31" s="1"/>
  <c r="AI70" i="23"/>
  <c r="AJ12" i="31" s="1"/>
  <c r="AH73" i="23"/>
  <c r="AM71" i="23"/>
  <c r="AN13" i="31" s="1"/>
  <c r="AE64" i="23"/>
  <c r="AF10" i="31" s="1"/>
  <c r="AE113" i="27"/>
  <c r="AM69" i="23"/>
  <c r="AN11" i="31" s="1"/>
  <c r="W21" i="31"/>
  <c r="AN559" i="27" l="1"/>
  <c r="L6" i="43" s="1"/>
  <c r="AN83" i="27"/>
  <c r="L14" i="37" s="1"/>
  <c r="AN415" i="27"/>
  <c r="L28" i="41" s="1"/>
  <c r="L8" i="51"/>
  <c r="AJ413" i="27"/>
  <c r="K26" i="41" s="1"/>
  <c r="K7" i="51"/>
  <c r="AN416" i="27"/>
  <c r="L29" i="41" s="1"/>
  <c r="L9" i="51"/>
  <c r="AJ417" i="27"/>
  <c r="K30" i="41" s="1"/>
  <c r="Y112" i="27"/>
  <c r="B112" i="31"/>
  <c r="B40" i="52" s="1"/>
  <c r="L6" i="51"/>
  <c r="AN412" i="27"/>
  <c r="L25" i="41" s="1"/>
  <c r="X58" i="23"/>
  <c r="X60" i="23"/>
  <c r="Z63" i="23"/>
  <c r="AA9" i="31" s="1"/>
  <c r="AF64" i="23"/>
  <c r="AG10" i="31" s="1"/>
  <c r="J5" i="51"/>
  <c r="AN71" i="23"/>
  <c r="AO13" i="31" s="1"/>
  <c r="AJ70" i="23"/>
  <c r="AK12" i="31" s="1"/>
  <c r="AI73" i="23"/>
  <c r="AN72" i="23"/>
  <c r="AO14" i="31" s="1"/>
  <c r="AN69" i="23"/>
  <c r="AO11" i="31" s="1"/>
  <c r="X21" i="31"/>
  <c r="H16" i="51" s="1"/>
  <c r="AO559" i="27" l="1"/>
  <c r="AO83" i="27"/>
  <c r="AO416" i="27"/>
  <c r="AK413" i="27"/>
  <c r="AK417" i="27" s="1"/>
  <c r="AO415" i="27"/>
  <c r="AF113" i="27"/>
  <c r="J6" i="38" s="1"/>
  <c r="Z112" i="27"/>
  <c r="AO412" i="27"/>
  <c r="Y60" i="23"/>
  <c r="Y58" i="23"/>
  <c r="AA63" i="23"/>
  <c r="AB9" i="31" s="1"/>
  <c r="AO72" i="23"/>
  <c r="AP14" i="31" s="1"/>
  <c r="AK70" i="23"/>
  <c r="AL12" i="31" s="1"/>
  <c r="AJ73" i="23"/>
  <c r="AO71" i="23"/>
  <c r="AP13" i="31" s="1"/>
  <c r="AG64" i="23"/>
  <c r="AH10" i="31" s="1"/>
  <c r="AG113" i="27"/>
  <c r="AO69" i="23"/>
  <c r="AP11" i="31" s="1"/>
  <c r="Y21" i="31"/>
  <c r="AP559" i="27" l="1"/>
  <c r="AP83" i="27"/>
  <c r="AP415" i="27"/>
  <c r="AL413" i="27"/>
  <c r="AL417" i="27" s="1"/>
  <c r="AP416" i="27"/>
  <c r="AA112" i="27"/>
  <c r="AP412" i="27"/>
  <c r="Z58" i="23"/>
  <c r="Z60" i="23"/>
  <c r="AB63" i="23"/>
  <c r="AC9" i="31" s="1"/>
  <c r="I4" i="51"/>
  <c r="AH64" i="23"/>
  <c r="AI10" i="31" s="1"/>
  <c r="AH113" i="27"/>
  <c r="AP71" i="23"/>
  <c r="AQ13" i="31" s="1"/>
  <c r="AL70" i="23"/>
  <c r="AM12" i="31" s="1"/>
  <c r="AK73" i="23"/>
  <c r="AP72" i="23"/>
  <c r="AQ14" i="31" s="1"/>
  <c r="AP69" i="23"/>
  <c r="AQ11" i="31" s="1"/>
  <c r="Z21" i="31"/>
  <c r="AQ559" i="27" l="1"/>
  <c r="AQ83" i="27"/>
  <c r="AQ415" i="27"/>
  <c r="AQ416" i="27"/>
  <c r="AM413" i="27"/>
  <c r="AM417" i="27" s="1"/>
  <c r="AB112" i="27"/>
  <c r="I5" i="38" s="1"/>
  <c r="AQ412" i="27"/>
  <c r="AA58" i="23"/>
  <c r="AA60" i="23"/>
  <c r="AC63" i="23"/>
  <c r="AD9" i="31" s="1"/>
  <c r="AQ72" i="23"/>
  <c r="AR14" i="31" s="1"/>
  <c r="AM70" i="23"/>
  <c r="AN12" i="31" s="1"/>
  <c r="AL73" i="23"/>
  <c r="AQ71" i="23"/>
  <c r="AR13" i="31" s="1"/>
  <c r="AI64" i="23"/>
  <c r="AJ10" i="31" s="1"/>
  <c r="AI113" i="27"/>
  <c r="AQ69" i="23"/>
  <c r="AR11" i="31" s="1"/>
  <c r="AA21" i="31"/>
  <c r="AR559" i="27" l="1"/>
  <c r="M6" i="43" s="1"/>
  <c r="AR83" i="27"/>
  <c r="M14" i="37" s="1"/>
  <c r="AR415" i="27"/>
  <c r="M28" i="41" s="1"/>
  <c r="M8" i="51"/>
  <c r="AN413" i="27"/>
  <c r="L26" i="41" s="1"/>
  <c r="L7" i="51"/>
  <c r="AR416" i="27"/>
  <c r="M29" i="41" s="1"/>
  <c r="M9" i="51"/>
  <c r="AN417" i="27"/>
  <c r="L30" i="41" s="1"/>
  <c r="AC112" i="27"/>
  <c r="M6" i="51"/>
  <c r="AR412" i="27"/>
  <c r="M25" i="41" s="1"/>
  <c r="AB58" i="23"/>
  <c r="AB60" i="23"/>
  <c r="AD63" i="23"/>
  <c r="AE9" i="31" s="1"/>
  <c r="AJ64" i="23"/>
  <c r="AK10" i="31" s="1"/>
  <c r="K5" i="51"/>
  <c r="C71" i="23"/>
  <c r="AN70" i="23"/>
  <c r="AO12" i="31" s="1"/>
  <c r="AM73" i="23"/>
  <c r="C72" i="23"/>
  <c r="AB21" i="31"/>
  <c r="I16" i="51" s="1"/>
  <c r="B415" i="27" l="1"/>
  <c r="B416" i="27"/>
  <c r="AO413" i="27"/>
  <c r="AO417" i="27" s="1"/>
  <c r="AJ113" i="27"/>
  <c r="K6" i="38" s="1"/>
  <c r="AD112" i="27"/>
  <c r="B412" i="27"/>
  <c r="AC58" i="23"/>
  <c r="AC60" i="23"/>
  <c r="AE63" i="23"/>
  <c r="AF9" i="31" s="1"/>
  <c r="AO70" i="23"/>
  <c r="AP12" i="31" s="1"/>
  <c r="AN73" i="23"/>
  <c r="AK64" i="23"/>
  <c r="AL10" i="31" s="1"/>
  <c r="AK113" i="27"/>
  <c r="AC21" i="31"/>
  <c r="AP413" i="27" l="1"/>
  <c r="AP417" i="27" s="1"/>
  <c r="AE112" i="27"/>
  <c r="AD60" i="23"/>
  <c r="AD58" i="23"/>
  <c r="AF63" i="23"/>
  <c r="AG9" i="31" s="1"/>
  <c r="J4" i="51"/>
  <c r="AL64" i="23"/>
  <c r="AM10" i="31" s="1"/>
  <c r="AL113" i="27"/>
  <c r="AP70" i="23"/>
  <c r="AQ12" i="31" s="1"/>
  <c r="AO73" i="23"/>
  <c r="AD21" i="31"/>
  <c r="AQ413" i="27" l="1"/>
  <c r="AQ417" i="27" s="1"/>
  <c r="AF112" i="27"/>
  <c r="J5" i="38" s="1"/>
  <c r="AE60" i="23"/>
  <c r="AE58" i="23"/>
  <c r="AG63" i="23"/>
  <c r="AH9" i="31" s="1"/>
  <c r="AQ70" i="23"/>
  <c r="AR12" i="31" s="1"/>
  <c r="AP73" i="23"/>
  <c r="AM64" i="23"/>
  <c r="AN10" i="31" s="1"/>
  <c r="AM113" i="27"/>
  <c r="AE21" i="31"/>
  <c r="AR413" i="27" l="1"/>
  <c r="M26" i="41" s="1"/>
  <c r="M7" i="51"/>
  <c r="AG112" i="27"/>
  <c r="AF58" i="23"/>
  <c r="AF60" i="23"/>
  <c r="AH63" i="23"/>
  <c r="AI9" i="31" s="1"/>
  <c r="AN64" i="23"/>
  <c r="AO10" i="31" s="1"/>
  <c r="L5" i="51"/>
  <c r="C70" i="23"/>
  <c r="AQ73" i="23"/>
  <c r="AF21" i="31"/>
  <c r="J16" i="51" s="1"/>
  <c r="AR417" i="27" l="1"/>
  <c r="M30" i="41" s="1"/>
  <c r="B413" i="27"/>
  <c r="AN113" i="27"/>
  <c r="L6" i="38" s="1"/>
  <c r="AH112" i="27"/>
  <c r="AG60" i="23"/>
  <c r="AG58" i="23"/>
  <c r="AI63" i="23"/>
  <c r="AJ9" i="31" s="1"/>
  <c r="AO64" i="23"/>
  <c r="AP10" i="31" s="1"/>
  <c r="AO113" i="27"/>
  <c r="AG21" i="31"/>
  <c r="AI112" i="27" l="1"/>
  <c r="AH58" i="23"/>
  <c r="AH60" i="23"/>
  <c r="AJ63" i="23"/>
  <c r="AK9" i="31" s="1"/>
  <c r="K4" i="51"/>
  <c r="AP64" i="23"/>
  <c r="AQ10" i="31" s="1"/>
  <c r="AP113" i="27"/>
  <c r="AH21" i="31"/>
  <c r="AJ112" i="27" l="1"/>
  <c r="K5" i="38" s="1"/>
  <c r="AI60" i="23"/>
  <c r="AI58" i="23"/>
  <c r="AK63" i="23"/>
  <c r="AL9" i="31" s="1"/>
  <c r="AQ64" i="23"/>
  <c r="AR10" i="31" s="1"/>
  <c r="AQ113" i="27"/>
  <c r="AI21" i="31"/>
  <c r="M5" i="51" l="1"/>
  <c r="AK112" i="27"/>
  <c r="AJ58" i="23"/>
  <c r="AJ60" i="23"/>
  <c r="AL63" i="23"/>
  <c r="AM9" i="31" s="1"/>
  <c r="AJ21" i="31"/>
  <c r="K16" i="51" s="1"/>
  <c r="AR113" i="27" l="1"/>
  <c r="M6" i="38" s="1"/>
  <c r="AL112" i="27"/>
  <c r="AK60" i="23"/>
  <c r="AK58" i="23"/>
  <c r="AM63" i="23"/>
  <c r="AN9" i="31" s="1"/>
  <c r="AK21" i="31"/>
  <c r="AM112" i="27" l="1"/>
  <c r="AL58" i="23"/>
  <c r="AL60" i="23"/>
  <c r="AN63" i="23"/>
  <c r="AO9" i="31" s="1"/>
  <c r="L4" i="51"/>
  <c r="AL21" i="31"/>
  <c r="AN112" i="27" l="1"/>
  <c r="L5" i="38" s="1"/>
  <c r="AM60" i="23"/>
  <c r="AM58" i="23"/>
  <c r="AO63" i="23"/>
  <c r="AP9" i="31" s="1"/>
  <c r="AM21" i="31"/>
  <c r="AO112" i="27" l="1"/>
  <c r="AN58" i="23"/>
  <c r="AN60" i="23"/>
  <c r="AP63" i="23"/>
  <c r="AQ9" i="31" s="1"/>
  <c r="AN21" i="31"/>
  <c r="L16" i="51" s="1"/>
  <c r="AP112" i="27" l="1"/>
  <c r="AO60" i="23"/>
  <c r="AO58" i="23"/>
  <c r="AQ63" i="23"/>
  <c r="AR9" i="31" s="1"/>
  <c r="C73" i="23"/>
  <c r="C69" i="23"/>
  <c r="AO21" i="31"/>
  <c r="AQ112" i="27" l="1"/>
  <c r="AP58" i="23"/>
  <c r="AP60" i="23"/>
  <c r="M4" i="51"/>
  <c r="AP21" i="31"/>
  <c r="M5" i="38" l="1"/>
  <c r="AR112" i="27"/>
  <c r="AQ60" i="23"/>
  <c r="AR21" i="31" s="1"/>
  <c r="M16" i="51" s="1"/>
  <c r="AQ58" i="23"/>
  <c r="C58" i="23" s="1"/>
  <c r="AQ21" i="31"/>
  <c r="D182" i="23" l="1"/>
  <c r="D181" i="23"/>
  <c r="D180" i="23"/>
  <c r="D179" i="23"/>
  <c r="D178" i="23"/>
  <c r="D177" i="23"/>
  <c r="D164" i="23"/>
  <c r="D165" i="23"/>
  <c r="D166" i="23"/>
  <c r="D167" i="23"/>
  <c r="D168" i="23"/>
  <c r="D163" i="23"/>
  <c r="B82" i="27" s="1"/>
  <c r="B13" i="37" s="1"/>
  <c r="B437" i="27"/>
  <c r="B301" i="27"/>
  <c r="B289" i="27"/>
  <c r="A287" i="27"/>
  <c r="A33" i="40" s="1"/>
  <c r="B269" i="27"/>
  <c r="B260" i="27"/>
  <c r="B69" i="27"/>
  <c r="E69" i="27" s="1"/>
  <c r="E703" i="27" s="1"/>
  <c r="E183" i="1"/>
  <c r="E162" i="1"/>
  <c r="L174" i="27"/>
  <c r="B46" i="27" l="1"/>
  <c r="E82" i="27"/>
  <c r="D13" i="37" s="1"/>
  <c r="E437" i="27"/>
  <c r="E505" i="27" s="1"/>
  <c r="E186" i="1"/>
  <c r="A140" i="27"/>
  <c r="E96" i="27" l="1"/>
  <c r="E102" i="27"/>
  <c r="B118" i="1"/>
  <c r="B109" i="1"/>
  <c r="A101" i="1"/>
  <c r="A96" i="1"/>
  <c r="A91" i="1"/>
  <c r="A86" i="1"/>
  <c r="A15" i="34" s="1"/>
  <c r="A81" i="1"/>
  <c r="A76" i="1"/>
  <c r="A7" i="34" l="1"/>
  <c r="A153" i="27"/>
  <c r="A33" i="31"/>
  <c r="A26" i="51" s="1"/>
  <c r="A27" i="34"/>
  <c r="A273" i="27"/>
  <c r="A24" i="40" s="1"/>
  <c r="A11" i="34"/>
  <c r="A281" i="27"/>
  <c r="A29" i="40" s="1"/>
  <c r="A19" i="34"/>
  <c r="A27" i="31"/>
  <c r="A22" i="51" s="1"/>
  <c r="A23" i="34"/>
  <c r="A477" i="27"/>
  <c r="A82" i="41" s="1"/>
  <c r="A133" i="27"/>
  <c r="A21" i="38" s="1"/>
  <c r="A82" i="31"/>
  <c r="A12" i="52" s="1"/>
  <c r="A156" i="31"/>
  <c r="A6" i="54" s="1"/>
  <c r="A182" i="27"/>
  <c r="A9" i="39" s="1"/>
  <c r="A197" i="27"/>
  <c r="A17" i="39" s="1"/>
  <c r="D417" i="33" l="1"/>
  <c r="D418" i="33" s="1"/>
  <c r="D419" i="33" s="1"/>
  <c r="D420" i="33" s="1"/>
  <c r="D421" i="33" s="1"/>
  <c r="D422" i="33" s="1"/>
  <c r="D423" i="33" s="1"/>
  <c r="D406" i="33"/>
  <c r="D407" i="33" s="1"/>
  <c r="D408" i="33" s="1"/>
  <c r="D409" i="33" s="1"/>
  <c r="D410" i="33" s="1"/>
  <c r="D411" i="33" s="1"/>
  <c r="D412" i="33" s="1"/>
  <c r="D395" i="33"/>
  <c r="D396" i="33" s="1"/>
  <c r="D384" i="33"/>
  <c r="D385" i="33" s="1"/>
  <c r="D386" i="33" s="1"/>
  <c r="D387" i="33" s="1"/>
  <c r="D388" i="33" s="1"/>
  <c r="D389" i="33" s="1"/>
  <c r="D390" i="33" s="1"/>
  <c r="D373" i="33"/>
  <c r="D374" i="33" s="1"/>
  <c r="D362" i="33"/>
  <c r="D351" i="33"/>
  <c r="D352" i="33" s="1"/>
  <c r="D340" i="33"/>
  <c r="D341" i="33" s="1"/>
  <c r="J296" i="33"/>
  <c r="I296" i="33"/>
  <c r="H296" i="33"/>
  <c r="G296" i="33"/>
  <c r="F296" i="33"/>
  <c r="E296" i="33"/>
  <c r="D296" i="33"/>
  <c r="J295" i="33"/>
  <c r="I295" i="33"/>
  <c r="H295" i="33"/>
  <c r="G295" i="33"/>
  <c r="F295" i="33"/>
  <c r="E295" i="33"/>
  <c r="D295" i="33"/>
  <c r="J270" i="33"/>
  <c r="I270" i="33"/>
  <c r="H270" i="33"/>
  <c r="G270" i="33"/>
  <c r="F270" i="33"/>
  <c r="E270" i="33"/>
  <c r="D270" i="33"/>
  <c r="J269" i="33"/>
  <c r="I269" i="33"/>
  <c r="H269" i="33"/>
  <c r="G269" i="33"/>
  <c r="F269" i="33"/>
  <c r="E269" i="33"/>
  <c r="D269" i="33"/>
  <c r="J244" i="33"/>
  <c r="I244" i="33"/>
  <c r="H244" i="33"/>
  <c r="G244" i="33"/>
  <c r="F244" i="33"/>
  <c r="E244" i="33"/>
  <c r="D244" i="33"/>
  <c r="J243" i="33"/>
  <c r="I243" i="33"/>
  <c r="H243" i="33"/>
  <c r="G243" i="33"/>
  <c r="F243" i="33"/>
  <c r="E243" i="33"/>
  <c r="D243" i="33"/>
  <c r="J238" i="33"/>
  <c r="J218" i="33"/>
  <c r="I218" i="33"/>
  <c r="H218" i="33"/>
  <c r="G218" i="33"/>
  <c r="F218" i="33"/>
  <c r="E218" i="33"/>
  <c r="D218" i="33"/>
  <c r="J217" i="33"/>
  <c r="I217" i="33"/>
  <c r="H217" i="33"/>
  <c r="G217" i="33"/>
  <c r="F217" i="33"/>
  <c r="E217" i="33"/>
  <c r="D217" i="33"/>
  <c r="J203" i="33"/>
  <c r="I203" i="33"/>
  <c r="H203" i="33"/>
  <c r="G203" i="33"/>
  <c r="F203" i="33"/>
  <c r="E203" i="33"/>
  <c r="D203" i="33"/>
  <c r="D202" i="33"/>
  <c r="J200" i="33"/>
  <c r="I200" i="33"/>
  <c r="H200" i="33"/>
  <c r="G200" i="33"/>
  <c r="F200" i="33"/>
  <c r="E200" i="33"/>
  <c r="D200" i="33"/>
  <c r="D199" i="33"/>
  <c r="J197" i="33"/>
  <c r="I197" i="33"/>
  <c r="H197" i="33"/>
  <c r="G197" i="33"/>
  <c r="F197" i="33"/>
  <c r="E197" i="33"/>
  <c r="D197" i="33"/>
  <c r="J194" i="33"/>
  <c r="I194" i="33"/>
  <c r="H194" i="33"/>
  <c r="G194" i="33"/>
  <c r="F194" i="33"/>
  <c r="E194" i="33"/>
  <c r="D194" i="33"/>
  <c r="D193" i="33"/>
  <c r="J191" i="33"/>
  <c r="I191" i="33"/>
  <c r="H191" i="33"/>
  <c r="G191" i="33"/>
  <c r="F191" i="33"/>
  <c r="E191" i="33"/>
  <c r="D191" i="33"/>
  <c r="D190" i="33"/>
  <c r="J185" i="33"/>
  <c r="J177" i="33"/>
  <c r="I177" i="33"/>
  <c r="H177" i="33"/>
  <c r="G177" i="33"/>
  <c r="F177" i="33"/>
  <c r="E177" i="33"/>
  <c r="D177" i="33"/>
  <c r="D176" i="33"/>
  <c r="J174" i="33"/>
  <c r="I174" i="33"/>
  <c r="H174" i="33"/>
  <c r="G174" i="33"/>
  <c r="F174" i="33"/>
  <c r="E174" i="33"/>
  <c r="D174" i="33"/>
  <c r="D173" i="33"/>
  <c r="J171" i="33"/>
  <c r="I171" i="33"/>
  <c r="H171" i="33"/>
  <c r="G171" i="33"/>
  <c r="F171" i="33"/>
  <c r="E171" i="33"/>
  <c r="D171" i="33"/>
  <c r="J168" i="33"/>
  <c r="I168" i="33"/>
  <c r="H168" i="33"/>
  <c r="G168" i="33"/>
  <c r="F168" i="33"/>
  <c r="E168" i="33"/>
  <c r="D168" i="33"/>
  <c r="D167" i="33"/>
  <c r="J165" i="33"/>
  <c r="I165" i="33"/>
  <c r="H165" i="33"/>
  <c r="G165" i="33"/>
  <c r="F165" i="33"/>
  <c r="E165" i="33"/>
  <c r="D165" i="33"/>
  <c r="D164" i="33"/>
  <c r="J159" i="33"/>
  <c r="J151" i="33"/>
  <c r="I151" i="33"/>
  <c r="H151" i="33"/>
  <c r="G151" i="33"/>
  <c r="F151" i="33"/>
  <c r="E151" i="33"/>
  <c r="D151" i="33"/>
  <c r="D150" i="33"/>
  <c r="J148" i="33"/>
  <c r="I148" i="33"/>
  <c r="H148" i="33"/>
  <c r="G148" i="33"/>
  <c r="F148" i="33"/>
  <c r="E148" i="33"/>
  <c r="D148" i="33"/>
  <c r="D147" i="33"/>
  <c r="J145" i="33"/>
  <c r="I145" i="33"/>
  <c r="H145" i="33"/>
  <c r="G145" i="33"/>
  <c r="F145" i="33"/>
  <c r="E145" i="33"/>
  <c r="D145" i="33"/>
  <c r="J142" i="33"/>
  <c r="I142" i="33"/>
  <c r="H142" i="33"/>
  <c r="G142" i="33"/>
  <c r="F142" i="33"/>
  <c r="E142" i="33"/>
  <c r="D142" i="33"/>
  <c r="D141" i="33"/>
  <c r="J139" i="33"/>
  <c r="I139" i="33"/>
  <c r="H139" i="33"/>
  <c r="G139" i="33"/>
  <c r="F139" i="33"/>
  <c r="E139" i="33"/>
  <c r="D139" i="33"/>
  <c r="D138" i="33"/>
  <c r="E2" i="32"/>
  <c r="E2" i="31"/>
  <c r="E83" i="31" l="1"/>
  <c r="E34" i="31"/>
  <c r="E28" i="31"/>
  <c r="E157" i="31"/>
  <c r="E35" i="31"/>
  <c r="E142" i="32"/>
  <c r="E138" i="32"/>
  <c r="E109" i="32"/>
  <c r="E105" i="32"/>
  <c r="E74" i="32"/>
  <c r="E70" i="32"/>
  <c r="E35" i="32"/>
  <c r="E39" i="32"/>
  <c r="E158" i="31"/>
  <c r="E29" i="31"/>
  <c r="E84" i="31"/>
  <c r="D342" i="33"/>
  <c r="F190" i="33" s="1"/>
  <c r="E190" i="33"/>
  <c r="E164" i="33"/>
  <c r="E138" i="33"/>
  <c r="D363" i="33"/>
  <c r="D196" i="33"/>
  <c r="D170" i="33"/>
  <c r="D144" i="33"/>
  <c r="D343" i="33"/>
  <c r="D375" i="33"/>
  <c r="E199" i="33"/>
  <c r="E173" i="33"/>
  <c r="E147" i="33"/>
  <c r="D353" i="33"/>
  <c r="E193" i="33"/>
  <c r="E167" i="33"/>
  <c r="E141" i="33"/>
  <c r="D397" i="33"/>
  <c r="E202" i="33"/>
  <c r="E176" i="33"/>
  <c r="E150" i="33"/>
  <c r="B44" i="27"/>
  <c r="B48" i="27"/>
  <c r="F164" i="33" l="1"/>
  <c r="F138" i="33"/>
  <c r="E154" i="31"/>
  <c r="E50" i="31" s="1"/>
  <c r="D364" i="33"/>
  <c r="E196" i="33"/>
  <c r="E144" i="33"/>
  <c r="E170" i="33"/>
  <c r="F202" i="33"/>
  <c r="F176" i="33"/>
  <c r="F150" i="33"/>
  <c r="D398" i="33"/>
  <c r="D354" i="33"/>
  <c r="F193" i="33"/>
  <c r="F167" i="33"/>
  <c r="F141" i="33"/>
  <c r="D376" i="33"/>
  <c r="F199" i="33"/>
  <c r="F173" i="33"/>
  <c r="F147" i="33"/>
  <c r="D344" i="33"/>
  <c r="G190" i="33"/>
  <c r="G164" i="33"/>
  <c r="G138" i="33"/>
  <c r="D375" i="23"/>
  <c r="D374" i="23"/>
  <c r="D366" i="23"/>
  <c r="D365" i="23"/>
  <c r="D364" i="23"/>
  <c r="D363" i="23"/>
  <c r="D361" i="23"/>
  <c r="B312" i="23"/>
  <c r="B377" i="27"/>
  <c r="E377" i="27" s="1"/>
  <c r="E376" i="27" s="1"/>
  <c r="B373" i="27"/>
  <c r="E373" i="27" s="1"/>
  <c r="E374" i="27" s="1"/>
  <c r="B368" i="27"/>
  <c r="E368" i="27" s="1"/>
  <c r="E369" i="27" s="1"/>
  <c r="B362" i="27"/>
  <c r="B357" i="27"/>
  <c r="E357" i="27" s="1"/>
  <c r="B352" i="27"/>
  <c r="B347" i="27"/>
  <c r="B342" i="27"/>
  <c r="B337" i="27"/>
  <c r="E337" i="27" s="1"/>
  <c r="E335" i="27" s="1"/>
  <c r="B332" i="27"/>
  <c r="D495" i="29"/>
  <c r="D496" i="29" s="1"/>
  <c r="D497" i="29" s="1"/>
  <c r="D498" i="29" s="1"/>
  <c r="D499" i="29" s="1"/>
  <c r="D500" i="29" s="1"/>
  <c r="D501" i="29" s="1"/>
  <c r="D484" i="29"/>
  <c r="D485" i="29" s="1"/>
  <c r="D486" i="29" s="1"/>
  <c r="D487" i="29" s="1"/>
  <c r="D488" i="29" s="1"/>
  <c r="D489" i="29" s="1"/>
  <c r="D490" i="29" s="1"/>
  <c r="D473" i="29"/>
  <c r="D474" i="29" s="1"/>
  <c r="D462" i="29"/>
  <c r="D463" i="29" s="1"/>
  <c r="D464" i="29" s="1"/>
  <c r="D465" i="29" s="1"/>
  <c r="D466" i="29" s="1"/>
  <c r="D467" i="29" s="1"/>
  <c r="D468" i="29" s="1"/>
  <c r="D451" i="29"/>
  <c r="D452" i="29" s="1"/>
  <c r="D440" i="29"/>
  <c r="D441" i="29" s="1"/>
  <c r="D429" i="29"/>
  <c r="D430" i="29" s="1"/>
  <c r="D419" i="29"/>
  <c r="D420" i="29" s="1"/>
  <c r="D418" i="29"/>
  <c r="J374" i="29"/>
  <c r="I374" i="29"/>
  <c r="H374" i="29"/>
  <c r="G374" i="29"/>
  <c r="F374" i="29"/>
  <c r="E374" i="29"/>
  <c r="D374" i="29"/>
  <c r="J373" i="29"/>
  <c r="I373" i="29"/>
  <c r="H373" i="29"/>
  <c r="G373" i="29"/>
  <c r="F373" i="29"/>
  <c r="E373" i="29"/>
  <c r="D373" i="29"/>
  <c r="J348" i="29"/>
  <c r="I348" i="29"/>
  <c r="H348" i="29"/>
  <c r="G348" i="29"/>
  <c r="F348" i="29"/>
  <c r="E348" i="29"/>
  <c r="D348" i="29"/>
  <c r="J347" i="29"/>
  <c r="I347" i="29"/>
  <c r="H347" i="29"/>
  <c r="G347" i="29"/>
  <c r="F347" i="29"/>
  <c r="E347" i="29"/>
  <c r="D347" i="29"/>
  <c r="J322" i="29"/>
  <c r="I322" i="29"/>
  <c r="H322" i="29"/>
  <c r="G322" i="29"/>
  <c r="F322" i="29"/>
  <c r="E322" i="29"/>
  <c r="D322" i="29"/>
  <c r="J321" i="29"/>
  <c r="I321" i="29"/>
  <c r="H321" i="29"/>
  <c r="G321" i="29"/>
  <c r="F321" i="29"/>
  <c r="E321" i="29"/>
  <c r="D321" i="29"/>
  <c r="J316" i="29"/>
  <c r="J296" i="29"/>
  <c r="I296" i="29"/>
  <c r="H296" i="29"/>
  <c r="G296" i="29"/>
  <c r="F296" i="29"/>
  <c r="E296" i="29"/>
  <c r="D296" i="29"/>
  <c r="J295" i="29"/>
  <c r="I295" i="29"/>
  <c r="H295" i="29"/>
  <c r="G295" i="29"/>
  <c r="F295" i="29"/>
  <c r="E295" i="29"/>
  <c r="D295" i="29"/>
  <c r="J281" i="29"/>
  <c r="I281" i="29"/>
  <c r="H281" i="29"/>
  <c r="G281" i="29"/>
  <c r="F281" i="29"/>
  <c r="E281" i="29"/>
  <c r="D281" i="29"/>
  <c r="J278" i="29"/>
  <c r="I278" i="29"/>
  <c r="H278" i="29"/>
  <c r="G278" i="29"/>
  <c r="F278" i="29"/>
  <c r="E278" i="29"/>
  <c r="D278" i="29"/>
  <c r="D277" i="29"/>
  <c r="J275" i="29"/>
  <c r="I275" i="29"/>
  <c r="H275" i="29"/>
  <c r="G275" i="29"/>
  <c r="F275" i="29"/>
  <c r="E275" i="29"/>
  <c r="D275" i="29"/>
  <c r="J272" i="29"/>
  <c r="I272" i="29"/>
  <c r="H272" i="29"/>
  <c r="G272" i="29"/>
  <c r="F272" i="29"/>
  <c r="E272" i="29"/>
  <c r="D272" i="29"/>
  <c r="J269" i="29"/>
  <c r="I269" i="29"/>
  <c r="H269" i="29"/>
  <c r="G269" i="29"/>
  <c r="F269" i="29"/>
  <c r="E269" i="29"/>
  <c r="D269" i="29"/>
  <c r="E268" i="29"/>
  <c r="D268" i="29"/>
  <c r="J263" i="29"/>
  <c r="J255" i="29"/>
  <c r="I255" i="29"/>
  <c r="H255" i="29"/>
  <c r="G255" i="29"/>
  <c r="F255" i="29"/>
  <c r="E255" i="29"/>
  <c r="D255" i="29"/>
  <c r="D254" i="29"/>
  <c r="J252" i="29"/>
  <c r="I252" i="29"/>
  <c r="H252" i="29"/>
  <c r="G252" i="29"/>
  <c r="F252" i="29"/>
  <c r="E252" i="29"/>
  <c r="D252" i="29"/>
  <c r="J249" i="29"/>
  <c r="I249" i="29"/>
  <c r="H249" i="29"/>
  <c r="G249" i="29"/>
  <c r="F249" i="29"/>
  <c r="E249" i="29"/>
  <c r="D249" i="29"/>
  <c r="J246" i="29"/>
  <c r="I246" i="29"/>
  <c r="H246" i="29"/>
  <c r="G246" i="29"/>
  <c r="F246" i="29"/>
  <c r="E246" i="29"/>
  <c r="D246" i="29"/>
  <c r="J243" i="29"/>
  <c r="I243" i="29"/>
  <c r="H243" i="29"/>
  <c r="G243" i="29"/>
  <c r="F243" i="29"/>
  <c r="E243" i="29"/>
  <c r="D243" i="29"/>
  <c r="E242" i="29"/>
  <c r="D242" i="29"/>
  <c r="J237" i="29"/>
  <c r="J229" i="29"/>
  <c r="I229" i="29"/>
  <c r="H229" i="29"/>
  <c r="G229" i="29"/>
  <c r="F229" i="29"/>
  <c r="E229" i="29"/>
  <c r="D229" i="29"/>
  <c r="D228" i="29"/>
  <c r="J226" i="29"/>
  <c r="I226" i="29"/>
  <c r="H226" i="29"/>
  <c r="G226" i="29"/>
  <c r="F226" i="29"/>
  <c r="E226" i="29"/>
  <c r="D226" i="29"/>
  <c r="D225" i="29"/>
  <c r="J223" i="29"/>
  <c r="I223" i="29"/>
  <c r="H223" i="29"/>
  <c r="G223" i="29"/>
  <c r="F223" i="29"/>
  <c r="E223" i="29"/>
  <c r="D223" i="29"/>
  <c r="J220" i="29"/>
  <c r="I220" i="29"/>
  <c r="H220" i="29"/>
  <c r="G220" i="29"/>
  <c r="F220" i="29"/>
  <c r="E220" i="29"/>
  <c r="D220" i="29"/>
  <c r="J217" i="29"/>
  <c r="I217" i="29"/>
  <c r="H217" i="29"/>
  <c r="G217" i="29"/>
  <c r="F217" i="29"/>
  <c r="E217" i="29"/>
  <c r="D217" i="29"/>
  <c r="E216" i="29"/>
  <c r="D216" i="29"/>
  <c r="B322" i="28"/>
  <c r="AS282" i="28"/>
  <c r="B281" i="28"/>
  <c r="E2" i="28"/>
  <c r="AT545" i="27"/>
  <c r="AT542" i="27"/>
  <c r="M28" i="42" s="1"/>
  <c r="B538" i="27"/>
  <c r="AT505" i="27"/>
  <c r="AR503" i="27"/>
  <c r="AQ503" i="27"/>
  <c r="AP503" i="27"/>
  <c r="AO503" i="27"/>
  <c r="AN503" i="27"/>
  <c r="AM503" i="27"/>
  <c r="AL503" i="27"/>
  <c r="AK503" i="27"/>
  <c r="AJ503" i="27"/>
  <c r="AI503" i="27"/>
  <c r="AH503" i="27"/>
  <c r="AG503" i="27"/>
  <c r="AF503" i="27"/>
  <c r="AE503" i="27"/>
  <c r="AD503" i="27"/>
  <c r="AC503" i="27"/>
  <c r="AB503" i="27"/>
  <c r="AA503" i="27"/>
  <c r="Z503" i="27"/>
  <c r="Y503" i="27"/>
  <c r="X503" i="27"/>
  <c r="W503" i="27"/>
  <c r="V503" i="27"/>
  <c r="U503" i="27"/>
  <c r="T503" i="27"/>
  <c r="S503" i="27"/>
  <c r="R503" i="27"/>
  <c r="Q503" i="27"/>
  <c r="P503" i="27"/>
  <c r="O503" i="27"/>
  <c r="N503" i="27"/>
  <c r="M503" i="27"/>
  <c r="L503" i="27"/>
  <c r="K503" i="27"/>
  <c r="J503" i="27"/>
  <c r="I503" i="27"/>
  <c r="H503" i="27"/>
  <c r="G503" i="27"/>
  <c r="F503" i="27"/>
  <c r="B231" i="27"/>
  <c r="B229" i="27"/>
  <c r="D2" i="31"/>
  <c r="A454" i="27"/>
  <c r="A63" i="41" s="1"/>
  <c r="A455" i="27"/>
  <c r="A64" i="41" s="1"/>
  <c r="A456" i="27"/>
  <c r="A65" i="41" s="1"/>
  <c r="A457" i="27"/>
  <c r="A66" i="41" s="1"/>
  <c r="A453" i="27"/>
  <c r="A62" i="41" s="1"/>
  <c r="A397" i="27"/>
  <c r="A11" i="41" s="1"/>
  <c r="A393" i="27"/>
  <c r="A7" i="41" s="1"/>
  <c r="A394" i="27"/>
  <c r="A8" i="41" s="1"/>
  <c r="A395" i="27"/>
  <c r="A9" i="41" s="1"/>
  <c r="A396" i="27"/>
  <c r="A10" i="41" s="1"/>
  <c r="D154" i="23"/>
  <c r="B175" i="27" s="1"/>
  <c r="D152" i="23"/>
  <c r="D219" i="29" l="1"/>
  <c r="D248" i="29"/>
  <c r="D271" i="29"/>
  <c r="D222" i="29"/>
  <c r="B190" i="27"/>
  <c r="E190" i="27" s="1"/>
  <c r="D156" i="23"/>
  <c r="D245" i="29"/>
  <c r="D251" i="29"/>
  <c r="D274" i="29"/>
  <c r="D280" i="29"/>
  <c r="E358" i="27"/>
  <c r="E355" i="27"/>
  <c r="B542" i="27"/>
  <c r="E175" i="27"/>
  <c r="E332" i="27"/>
  <c r="E330" i="27" s="1"/>
  <c r="E342" i="27"/>
  <c r="E340" i="27" s="1"/>
  <c r="E352" i="27"/>
  <c r="E362" i="27"/>
  <c r="E338" i="27"/>
  <c r="E347" i="27"/>
  <c r="E378" i="27"/>
  <c r="E60" i="28" s="1"/>
  <c r="B545" i="27"/>
  <c r="A402" i="27"/>
  <c r="A16" i="41" s="1"/>
  <c r="A412" i="27"/>
  <c r="A405" i="27"/>
  <c r="A19" i="41" s="1"/>
  <c r="A415" i="27"/>
  <c r="A403" i="27"/>
  <c r="A17" i="41" s="1"/>
  <c r="A413" i="27"/>
  <c r="A406" i="27"/>
  <c r="A20" i="41" s="1"/>
  <c r="A416" i="27"/>
  <c r="A404" i="27"/>
  <c r="A18" i="41" s="1"/>
  <c r="A414" i="27"/>
  <c r="D2" i="32"/>
  <c r="D365" i="33"/>
  <c r="F170" i="33"/>
  <c r="F196" i="33"/>
  <c r="F144" i="33"/>
  <c r="D399" i="33"/>
  <c r="G202" i="33"/>
  <c r="G176" i="33"/>
  <c r="G150" i="33"/>
  <c r="D345" i="33"/>
  <c r="H190" i="33"/>
  <c r="H164" i="33"/>
  <c r="H138" i="33"/>
  <c r="D377" i="33"/>
  <c r="G199" i="33"/>
  <c r="G173" i="33"/>
  <c r="G147" i="33"/>
  <c r="D355" i="33"/>
  <c r="G193" i="33"/>
  <c r="G167" i="33"/>
  <c r="G141" i="33"/>
  <c r="D2" i="28"/>
  <c r="AT668" i="27"/>
  <c r="E343" i="28"/>
  <c r="E339" i="28"/>
  <c r="E298" i="28"/>
  <c r="E211" i="28"/>
  <c r="E369" i="28"/>
  <c r="E302" i="28"/>
  <c r="D442" i="29"/>
  <c r="D443" i="29" s="1"/>
  <c r="E274" i="29"/>
  <c r="E248" i="29"/>
  <c r="E222" i="29"/>
  <c r="D431" i="29"/>
  <c r="E271" i="29"/>
  <c r="E245" i="29"/>
  <c r="E219" i="29"/>
  <c r="D475" i="29"/>
  <c r="E280" i="29"/>
  <c r="E254" i="29"/>
  <c r="E228" i="29"/>
  <c r="D421" i="29"/>
  <c r="F268" i="29"/>
  <c r="F242" i="29"/>
  <c r="F216" i="29"/>
  <c r="D453" i="29"/>
  <c r="E277" i="29"/>
  <c r="E251" i="29"/>
  <c r="E225" i="29"/>
  <c r="F222" i="29" l="1"/>
  <c r="F274" i="29"/>
  <c r="F248" i="29"/>
  <c r="E363" i="27"/>
  <c r="E360" i="27"/>
  <c r="E85" i="28" s="1"/>
  <c r="E348" i="27"/>
  <c r="E345" i="27"/>
  <c r="E353" i="27"/>
  <c r="E350" i="27"/>
  <c r="E343" i="27"/>
  <c r="E47" i="28" s="1"/>
  <c r="E333" i="27"/>
  <c r="A422" i="27"/>
  <c r="A430" i="27" s="1"/>
  <c r="A44" i="41" s="1"/>
  <c r="A27" i="41"/>
  <c r="A424" i="27"/>
  <c r="A432" i="27" s="1"/>
  <c r="A46" i="41" s="1"/>
  <c r="A29" i="41"/>
  <c r="A421" i="27"/>
  <c r="A429" i="27" s="1"/>
  <c r="A43" i="41" s="1"/>
  <c r="A26" i="41"/>
  <c r="A423" i="27"/>
  <c r="A431" i="27" s="1"/>
  <c r="A45" i="41" s="1"/>
  <c r="A28" i="41"/>
  <c r="A420" i="27"/>
  <c r="A428" i="27" s="1"/>
  <c r="A42" i="41" s="1"/>
  <c r="A25" i="41"/>
  <c r="D366" i="33"/>
  <c r="G170" i="33"/>
  <c r="G196" i="33"/>
  <c r="G144" i="33"/>
  <c r="D356" i="33"/>
  <c r="H193" i="33"/>
  <c r="H167" i="33"/>
  <c r="H141" i="33"/>
  <c r="D378" i="33"/>
  <c r="H199" i="33"/>
  <c r="H173" i="33"/>
  <c r="H147" i="33"/>
  <c r="D346" i="33"/>
  <c r="I190" i="33"/>
  <c r="I164" i="33"/>
  <c r="I138" i="33"/>
  <c r="H202" i="33"/>
  <c r="H176" i="33"/>
  <c r="H150" i="33"/>
  <c r="D400" i="33"/>
  <c r="D454" i="29"/>
  <c r="F277" i="29"/>
  <c r="F251" i="29"/>
  <c r="F225" i="29"/>
  <c r="D422" i="29"/>
  <c r="G268" i="29"/>
  <c r="G242" i="29"/>
  <c r="G216" i="29"/>
  <c r="F280" i="29"/>
  <c r="F254" i="29"/>
  <c r="F228" i="29"/>
  <c r="D476" i="29"/>
  <c r="D444" i="29"/>
  <c r="G274" i="29"/>
  <c r="G248" i="29"/>
  <c r="G222" i="29"/>
  <c r="D432" i="29"/>
  <c r="F271" i="29"/>
  <c r="F245" i="29"/>
  <c r="F219" i="29"/>
  <c r="A124" i="27" l="1"/>
  <c r="A14" i="38" s="1"/>
  <c r="A33" i="41"/>
  <c r="A126" i="27"/>
  <c r="A16" i="38" s="1"/>
  <c r="A36" i="41"/>
  <c r="A125" i="27"/>
  <c r="A15" i="38" s="1"/>
  <c r="A34" i="41"/>
  <c r="A127" i="27"/>
  <c r="A17" i="38" s="1"/>
  <c r="A37" i="41"/>
  <c r="A35" i="41"/>
  <c r="D367" i="33"/>
  <c r="H170" i="33"/>
  <c r="H196" i="33"/>
  <c r="H144" i="33"/>
  <c r="D401" i="33"/>
  <c r="I202" i="33"/>
  <c r="I176" i="33"/>
  <c r="I150" i="33"/>
  <c r="J190" i="33"/>
  <c r="J164" i="33"/>
  <c r="J138" i="33"/>
  <c r="D379" i="33"/>
  <c r="I199" i="33"/>
  <c r="I173" i="33"/>
  <c r="I147" i="33"/>
  <c r="D357" i="33"/>
  <c r="I193" i="33"/>
  <c r="I167" i="33"/>
  <c r="I141" i="33"/>
  <c r="D477" i="29"/>
  <c r="G280" i="29"/>
  <c r="G254" i="29"/>
  <c r="G228" i="29"/>
  <c r="D433" i="29"/>
  <c r="G271" i="29"/>
  <c r="G245" i="29"/>
  <c r="G219" i="29"/>
  <c r="D445" i="29"/>
  <c r="H274" i="29"/>
  <c r="H248" i="29"/>
  <c r="H222" i="29"/>
  <c r="D423" i="29"/>
  <c r="H268" i="29"/>
  <c r="H242" i="29"/>
  <c r="H216" i="29"/>
  <c r="D455" i="29"/>
  <c r="G277" i="29"/>
  <c r="G251" i="29"/>
  <c r="G225" i="29"/>
  <c r="G74" i="31" l="1"/>
  <c r="I196" i="33"/>
  <c r="I144" i="33"/>
  <c r="D368" i="33"/>
  <c r="I170" i="33"/>
  <c r="J193" i="33"/>
  <c r="J167" i="33"/>
  <c r="J141" i="33"/>
  <c r="J199" i="33"/>
  <c r="J173" i="33"/>
  <c r="J147" i="33"/>
  <c r="J202" i="33"/>
  <c r="J176" i="33"/>
  <c r="J150" i="33"/>
  <c r="D456" i="29"/>
  <c r="H277" i="29"/>
  <c r="H251" i="29"/>
  <c r="H225" i="29"/>
  <c r="D424" i="29"/>
  <c r="I268" i="29"/>
  <c r="I242" i="29"/>
  <c r="I216" i="29"/>
  <c r="D446" i="29"/>
  <c r="I274" i="29"/>
  <c r="I248" i="29"/>
  <c r="I222" i="29"/>
  <c r="D434" i="29"/>
  <c r="H271" i="29"/>
  <c r="H245" i="29"/>
  <c r="H219" i="29"/>
  <c r="H280" i="29"/>
  <c r="H254" i="29"/>
  <c r="H228" i="29"/>
  <c r="D478" i="29"/>
  <c r="J170" i="33" l="1"/>
  <c r="J196" i="33"/>
  <c r="J144" i="33"/>
  <c r="D479" i="29"/>
  <c r="I280" i="29"/>
  <c r="I254" i="29"/>
  <c r="I228" i="29"/>
  <c r="D435" i="29"/>
  <c r="I271" i="29"/>
  <c r="I245" i="29"/>
  <c r="I219" i="29"/>
  <c r="J274" i="29"/>
  <c r="J248" i="29"/>
  <c r="J222" i="29"/>
  <c r="J268" i="29"/>
  <c r="J242" i="29"/>
  <c r="J216" i="29"/>
  <c r="D457" i="29"/>
  <c r="I277" i="29"/>
  <c r="I251" i="29"/>
  <c r="I225" i="29"/>
  <c r="J277" i="29" l="1"/>
  <c r="J251" i="29"/>
  <c r="J225" i="29"/>
  <c r="J271" i="29"/>
  <c r="J245" i="29"/>
  <c r="J219" i="29"/>
  <c r="J280" i="29"/>
  <c r="J254" i="29"/>
  <c r="J228" i="29"/>
  <c r="C105" i="23" l="1"/>
  <c r="B138" i="27" s="1"/>
  <c r="E138" i="27" l="1"/>
  <c r="A10" i="31"/>
  <c r="A5" i="51" s="1"/>
  <c r="A9" i="31"/>
  <c r="A4" i="51" s="1"/>
  <c r="C52" i="23"/>
  <c r="B25" i="38" l="1"/>
  <c r="A112" i="27"/>
  <c r="A5" i="38" s="1"/>
  <c r="A176" i="31"/>
  <c r="A113" i="27"/>
  <c r="A6" i="38" s="1"/>
  <c r="A177" i="31"/>
  <c r="E15" i="31"/>
  <c r="F153" i="31" s="1"/>
  <c r="G114" i="27"/>
  <c r="G15" i="31"/>
  <c r="I15" i="31"/>
  <c r="I114" i="27"/>
  <c r="K114" i="27"/>
  <c r="K15" i="31"/>
  <c r="AT113" i="27"/>
  <c r="N6" i="38" s="1"/>
  <c r="F114" i="27"/>
  <c r="F15" i="31"/>
  <c r="H114" i="27"/>
  <c r="H15" i="31"/>
  <c r="J114" i="27"/>
  <c r="J15" i="31"/>
  <c r="L15" i="31"/>
  <c r="E65" i="23"/>
  <c r="G65" i="23"/>
  <c r="I65" i="23"/>
  <c r="K65" i="23"/>
  <c r="M65" i="23"/>
  <c r="D65" i="23"/>
  <c r="F65" i="23"/>
  <c r="H65" i="23"/>
  <c r="J65" i="23"/>
  <c r="L65" i="23"/>
  <c r="C63" i="23"/>
  <c r="C64" i="23"/>
  <c r="C53" i="23"/>
  <c r="E10" i="51" l="1"/>
  <c r="L153" i="31"/>
  <c r="D3" i="54" s="1"/>
  <c r="H153" i="31"/>
  <c r="C3" i="54" s="1"/>
  <c r="K153" i="31"/>
  <c r="D10" i="51"/>
  <c r="G153" i="31"/>
  <c r="J153" i="31"/>
  <c r="M153" i="31"/>
  <c r="A184" i="31"/>
  <c r="A5" i="55"/>
  <c r="A183" i="31"/>
  <c r="A4" i="55"/>
  <c r="I153" i="31"/>
  <c r="L114" i="27"/>
  <c r="B33" i="27"/>
  <c r="M15" i="31"/>
  <c r="AT112" i="27"/>
  <c r="N5" i="38" s="1"/>
  <c r="N153" i="31" l="1"/>
  <c r="A190" i="31"/>
  <c r="A11" i="55"/>
  <c r="A191" i="31"/>
  <c r="A12" i="55"/>
  <c r="M114" i="27"/>
  <c r="N65" i="23"/>
  <c r="N15" i="31"/>
  <c r="O153" i="31" l="1"/>
  <c r="A198" i="31"/>
  <c r="A19" i="55"/>
  <c r="A197" i="31"/>
  <c r="A18" i="55"/>
  <c r="N114" i="27"/>
  <c r="O65" i="23"/>
  <c r="O15" i="31"/>
  <c r="P153" i="31" l="1"/>
  <c r="E3" i="54" s="1"/>
  <c r="A204" i="31"/>
  <c r="A32" i="55" s="1"/>
  <c r="A25" i="55"/>
  <c r="A205" i="31"/>
  <c r="A33" i="55" s="1"/>
  <c r="A26" i="55"/>
  <c r="O114" i="27"/>
  <c r="P65" i="23"/>
  <c r="P114" i="27"/>
  <c r="P15" i="31"/>
  <c r="F10" i="51" l="1"/>
  <c r="Q153" i="31"/>
  <c r="Q114" i="27"/>
  <c r="Q15" i="31"/>
  <c r="Q65" i="23"/>
  <c r="R153" i="31" l="1"/>
  <c r="R114" i="27"/>
  <c r="R15" i="31"/>
  <c r="R65" i="23"/>
  <c r="S153" i="31" l="1"/>
  <c r="S65" i="23"/>
  <c r="S15" i="31"/>
  <c r="T153" i="31" l="1"/>
  <c r="F3" i="54" s="1"/>
  <c r="S114" i="27"/>
  <c r="T15" i="31"/>
  <c r="T65" i="23"/>
  <c r="G156" i="23"/>
  <c r="H154" i="23"/>
  <c r="I154" i="23" s="1"/>
  <c r="H153" i="23"/>
  <c r="I153" i="23" s="1"/>
  <c r="J153" i="23" s="1"/>
  <c r="H152" i="23"/>
  <c r="I152" i="23" s="1"/>
  <c r="C114" i="23"/>
  <c r="G10" i="51" l="1"/>
  <c r="U153" i="31"/>
  <c r="K152" i="23"/>
  <c r="G189" i="27"/>
  <c r="J154" i="23"/>
  <c r="K154" i="23" s="1"/>
  <c r="L154" i="23" s="1"/>
  <c r="G174" i="27"/>
  <c r="G218" i="27" s="1"/>
  <c r="T114" i="27"/>
  <c r="U65" i="23"/>
  <c r="F189" i="27"/>
  <c r="F174" i="27"/>
  <c r="U114" i="27"/>
  <c r="U15" i="31"/>
  <c r="H156" i="23"/>
  <c r="I156" i="23"/>
  <c r="C14" i="39" l="1"/>
  <c r="C6" i="39"/>
  <c r="V153" i="31"/>
  <c r="L152" i="23"/>
  <c r="L156" i="23" s="1"/>
  <c r="K156" i="23"/>
  <c r="J156" i="23"/>
  <c r="H174" i="27"/>
  <c r="H189" i="27"/>
  <c r="V65" i="23"/>
  <c r="F218" i="27"/>
  <c r="V15" i="31"/>
  <c r="W153" i="31" l="1"/>
  <c r="V114" i="27"/>
  <c r="W15" i="31"/>
  <c r="I189" i="27"/>
  <c r="I174" i="27"/>
  <c r="G220" i="27"/>
  <c r="F220" i="27"/>
  <c r="W65" i="23"/>
  <c r="H218" i="27"/>
  <c r="H220" i="27" s="1"/>
  <c r="C24" i="39" l="1"/>
  <c r="C22" i="39"/>
  <c r="X153" i="31"/>
  <c r="G3" i="54" s="1"/>
  <c r="F221" i="27"/>
  <c r="W114" i="27"/>
  <c r="G221" i="27"/>
  <c r="H221" i="27" s="1"/>
  <c r="C25" i="39" s="1"/>
  <c r="X15" i="31"/>
  <c r="J174" i="27"/>
  <c r="J189" i="27"/>
  <c r="X65" i="23"/>
  <c r="I218" i="27"/>
  <c r="H10" i="51" l="1"/>
  <c r="I220" i="27"/>
  <c r="Y153" i="31"/>
  <c r="I221" i="27"/>
  <c r="X114" i="27"/>
  <c r="Y15" i="31"/>
  <c r="K189" i="27"/>
  <c r="K174" i="27"/>
  <c r="D6" i="39" s="1"/>
  <c r="Y65" i="23"/>
  <c r="J218" i="27"/>
  <c r="J220" i="27" s="1"/>
  <c r="Z153" i="31" l="1"/>
  <c r="J221" i="27"/>
  <c r="Y114" i="27"/>
  <c r="Z15" i="31"/>
  <c r="K218" i="27"/>
  <c r="K220" i="27" s="1"/>
  <c r="L189" i="27"/>
  <c r="D14" i="39" s="1"/>
  <c r="Z65" i="23"/>
  <c r="M174" i="27"/>
  <c r="AA153" i="31" l="1"/>
  <c r="K221" i="27"/>
  <c r="Z114" i="27"/>
  <c r="AA65" i="23"/>
  <c r="L218" i="27"/>
  <c r="L220" i="27" s="1"/>
  <c r="D24" i="39" s="1"/>
  <c r="N174" i="27"/>
  <c r="AA15" i="31"/>
  <c r="M189" i="27"/>
  <c r="D22" i="39" l="1"/>
  <c r="AB153" i="31"/>
  <c r="H3" i="54" s="1"/>
  <c r="L221" i="27"/>
  <c r="D25" i="39" s="1"/>
  <c r="AA114" i="27"/>
  <c r="O174" i="27"/>
  <c r="AB15" i="31"/>
  <c r="M218" i="27"/>
  <c r="N189" i="27"/>
  <c r="N218" i="27" s="1"/>
  <c r="AB65" i="23"/>
  <c r="I10" i="51" l="1"/>
  <c r="M220" i="27"/>
  <c r="AC153" i="31"/>
  <c r="N220" i="27"/>
  <c r="AB114" i="27"/>
  <c r="AC114" i="27"/>
  <c r="AC15" i="31"/>
  <c r="AQ174" i="27"/>
  <c r="AO174" i="27"/>
  <c r="L6" i="39" s="1"/>
  <c r="AM174" i="27"/>
  <c r="AK174" i="27"/>
  <c r="K6" i="39" s="1"/>
  <c r="AI174" i="27"/>
  <c r="AG174" i="27"/>
  <c r="J6" i="39" s="1"/>
  <c r="AE174" i="27"/>
  <c r="AC174" i="27"/>
  <c r="AA174" i="27"/>
  <c r="Y174" i="27"/>
  <c r="W174" i="27"/>
  <c r="U174" i="27"/>
  <c r="G6" i="39" s="1"/>
  <c r="S174" i="27"/>
  <c r="Q174" i="27"/>
  <c r="F6" i="39" s="1"/>
  <c r="AR174" i="27"/>
  <c r="AP174" i="27"/>
  <c r="AN174" i="27"/>
  <c r="AL174" i="27"/>
  <c r="AJ174" i="27"/>
  <c r="AH174" i="27"/>
  <c r="AF174" i="27"/>
  <c r="AD174" i="27"/>
  <c r="AB174" i="27"/>
  <c r="Z174" i="27"/>
  <c r="X174" i="27"/>
  <c r="V174" i="27"/>
  <c r="T174" i="27"/>
  <c r="R174" i="27"/>
  <c r="P174" i="27"/>
  <c r="E6" i="39" s="1"/>
  <c r="AC65" i="23"/>
  <c r="O189" i="27"/>
  <c r="H6" i="39" l="1"/>
  <c r="I6" i="39"/>
  <c r="AD153" i="31"/>
  <c r="M221" i="27"/>
  <c r="N221" i="27" s="1"/>
  <c r="AD65" i="23"/>
  <c r="O218" i="27"/>
  <c r="AR189" i="27"/>
  <c r="AR218" i="27" s="1"/>
  <c r="AP189" i="27"/>
  <c r="AP218" i="27" s="1"/>
  <c r="AN189" i="27"/>
  <c r="AN218" i="27" s="1"/>
  <c r="AL189" i="27"/>
  <c r="AL218" i="27" s="1"/>
  <c r="AJ189" i="27"/>
  <c r="AJ218" i="27" s="1"/>
  <c r="AH189" i="27"/>
  <c r="AH218" i="27" s="1"/>
  <c r="AF189" i="27"/>
  <c r="AD189" i="27"/>
  <c r="AB189" i="27"/>
  <c r="Z189" i="27"/>
  <c r="X189" i="27"/>
  <c r="V189" i="27"/>
  <c r="T189" i="27"/>
  <c r="R189" i="27"/>
  <c r="P189" i="27"/>
  <c r="E14" i="39" s="1"/>
  <c r="AQ189" i="27"/>
  <c r="AQ218" i="27" s="1"/>
  <c r="AO189" i="27"/>
  <c r="AM189" i="27"/>
  <c r="AM218" i="27" s="1"/>
  <c r="AK189" i="27"/>
  <c r="K14" i="39" s="1"/>
  <c r="AI189" i="27"/>
  <c r="AI218" i="27" s="1"/>
  <c r="AG189" i="27"/>
  <c r="J14" i="39" s="1"/>
  <c r="AE189" i="27"/>
  <c r="AE218" i="27" s="1"/>
  <c r="AC189" i="27"/>
  <c r="I14" i="39" s="1"/>
  <c r="AA189" i="27"/>
  <c r="AA218" i="27" s="1"/>
  <c r="Y189" i="27"/>
  <c r="W189" i="27"/>
  <c r="U189" i="27"/>
  <c r="S189" i="27"/>
  <c r="Q189" i="27"/>
  <c r="F14" i="39" s="1"/>
  <c r="AD114" i="27"/>
  <c r="AD15" i="31"/>
  <c r="G14" i="39" l="1"/>
  <c r="L14" i="39"/>
  <c r="H14" i="39"/>
  <c r="AE153" i="31"/>
  <c r="AG218" i="27"/>
  <c r="J22" i="39" s="1"/>
  <c r="AK218" i="27"/>
  <c r="K22" i="39" s="1"/>
  <c r="AO218" i="27"/>
  <c r="L22" i="39" s="1"/>
  <c r="O220" i="27"/>
  <c r="W218" i="27"/>
  <c r="AF218" i="27"/>
  <c r="AG220" i="27" s="1"/>
  <c r="AB218" i="27"/>
  <c r="AB220" i="27" s="1"/>
  <c r="X218" i="27"/>
  <c r="T218" i="27"/>
  <c r="P218" i="27"/>
  <c r="P220" i="27" s="1"/>
  <c r="S218" i="27"/>
  <c r="AM220" i="27"/>
  <c r="AR220" i="27"/>
  <c r="AJ220" i="27"/>
  <c r="AC218" i="27"/>
  <c r="Y218" i="27"/>
  <c r="U218" i="27"/>
  <c r="Q218" i="27"/>
  <c r="AE65" i="23"/>
  <c r="AQ220" i="27"/>
  <c r="AI220" i="27"/>
  <c r="AN220" i="27"/>
  <c r="AD218" i="27"/>
  <c r="Z218" i="27"/>
  <c r="V218" i="27"/>
  <c r="R218" i="27"/>
  <c r="AE15" i="31"/>
  <c r="G22" i="39" l="1"/>
  <c r="F22" i="39"/>
  <c r="I22" i="39"/>
  <c r="E24" i="39"/>
  <c r="H22" i="39"/>
  <c r="E22" i="39"/>
  <c r="AF153" i="31"/>
  <c r="I3" i="54" s="1"/>
  <c r="AK220" i="27"/>
  <c r="K24" i="39" s="1"/>
  <c r="AL220" i="27"/>
  <c r="AH220" i="27"/>
  <c r="J24" i="39" s="1"/>
  <c r="AO220" i="27"/>
  <c r="L24" i="39" s="1"/>
  <c r="AP220" i="27"/>
  <c r="O221" i="27"/>
  <c r="P221" i="27"/>
  <c r="E25" i="39" s="1"/>
  <c r="AF220" i="27"/>
  <c r="U220" i="27"/>
  <c r="AC220" i="27"/>
  <c r="AE114" i="27"/>
  <c r="X220" i="27"/>
  <c r="Q220" i="27"/>
  <c r="Y220" i="27"/>
  <c r="T220" i="27"/>
  <c r="R220" i="27"/>
  <c r="Z220" i="27"/>
  <c r="V220" i="27"/>
  <c r="AD220" i="27"/>
  <c r="W220" i="27"/>
  <c r="AE220" i="27"/>
  <c r="AF114" i="27"/>
  <c r="AF15" i="31"/>
  <c r="S220" i="27"/>
  <c r="AA220" i="27"/>
  <c r="AF65" i="23"/>
  <c r="F24" i="39" l="1"/>
  <c r="H24" i="39"/>
  <c r="I24" i="39"/>
  <c r="G24" i="39"/>
  <c r="J10" i="51"/>
  <c r="Q221" i="27"/>
  <c r="R221" i="27" s="1"/>
  <c r="S221" i="27" s="1"/>
  <c r="T221" i="27" s="1"/>
  <c r="F25" i="39" s="1"/>
  <c r="AG153" i="31"/>
  <c r="AG65" i="23"/>
  <c r="AG15" i="31"/>
  <c r="AH153" i="31" l="1"/>
  <c r="U221" i="27"/>
  <c r="V221" i="27" s="1"/>
  <c r="W221" i="27" s="1"/>
  <c r="X221" i="27" s="1"/>
  <c r="G25" i="39" s="1"/>
  <c r="AG114" i="27"/>
  <c r="AH65" i="23"/>
  <c r="AH15" i="31"/>
  <c r="AI153" i="31" l="1"/>
  <c r="Y221" i="27"/>
  <c r="Z221" i="27" s="1"/>
  <c r="AA221" i="27" s="1"/>
  <c r="AB221" i="27" s="1"/>
  <c r="H25" i="39" s="1"/>
  <c r="AH114" i="27"/>
  <c r="AI15" i="31"/>
  <c r="AI65" i="23"/>
  <c r="AJ153" i="31" l="1"/>
  <c r="J3" i="54" s="1"/>
  <c r="AC221" i="27"/>
  <c r="AD221" i="27" s="1"/>
  <c r="AE221" i="27" s="1"/>
  <c r="AF221" i="27" s="1"/>
  <c r="I25" i="39" s="1"/>
  <c r="AI114" i="27"/>
  <c r="AJ65" i="23"/>
  <c r="AJ15" i="31"/>
  <c r="K10" i="51" l="1"/>
  <c r="AG221" i="27"/>
  <c r="AH221" i="27" s="1"/>
  <c r="AI221" i="27" s="1"/>
  <c r="AJ221" i="27" s="1"/>
  <c r="J25" i="39" s="1"/>
  <c r="AK153" i="31"/>
  <c r="AJ114" i="27"/>
  <c r="AK15" i="31"/>
  <c r="AK65" i="23"/>
  <c r="AL153" i="31" l="1"/>
  <c r="AK221" i="27"/>
  <c r="AL221" i="27" s="1"/>
  <c r="AM221" i="27" s="1"/>
  <c r="AN221" i="27" s="1"/>
  <c r="K25" i="39" s="1"/>
  <c r="AK114" i="27"/>
  <c r="AL65" i="23"/>
  <c r="AL15" i="31"/>
  <c r="AM153" i="31" l="1"/>
  <c r="AO221" i="27"/>
  <c r="AL114" i="27"/>
  <c r="AM15" i="31"/>
  <c r="AM65" i="23"/>
  <c r="AP221" i="27"/>
  <c r="AN153" i="31" l="1"/>
  <c r="K3" i="54" s="1"/>
  <c r="AM114" i="27"/>
  <c r="AN15" i="31"/>
  <c r="AN65" i="23"/>
  <c r="AQ221" i="27"/>
  <c r="L10" i="51" l="1"/>
  <c r="AO153" i="31"/>
  <c r="AN114" i="27"/>
  <c r="AO15" i="31"/>
  <c r="AO65" i="23"/>
  <c r="AR221" i="27"/>
  <c r="L25" i="39" s="1"/>
  <c r="AP153" i="31" l="1"/>
  <c r="AO114" i="27"/>
  <c r="AP65" i="23"/>
  <c r="AP15" i="31"/>
  <c r="AQ153" i="31" l="1"/>
  <c r="AP114" i="27"/>
  <c r="AQ65" i="23"/>
  <c r="AQ15" i="31"/>
  <c r="AR153" i="31" l="1"/>
  <c r="L3" i="54" s="1"/>
  <c r="AQ114" i="27"/>
  <c r="C65" i="23"/>
  <c r="AR15" i="31"/>
  <c r="M10" i="51" l="1"/>
  <c r="AM17" i="31"/>
  <c r="L77" i="23"/>
  <c r="L81" i="23" s="1"/>
  <c r="M19" i="31" s="1"/>
  <c r="M137" i="27" s="1"/>
  <c r="D77" i="23"/>
  <c r="G77" i="23"/>
  <c r="G81" i="23" s="1"/>
  <c r="H19" i="31" s="1"/>
  <c r="D14" i="51" s="1"/>
  <c r="F77" i="23"/>
  <c r="F81" i="23" s="1"/>
  <c r="G19" i="31" s="1"/>
  <c r="G137" i="27" s="1"/>
  <c r="I77" i="23"/>
  <c r="I81" i="23" s="1"/>
  <c r="J19" i="31" s="1"/>
  <c r="J137" i="27" s="1"/>
  <c r="H77" i="23"/>
  <c r="H81" i="23" s="1"/>
  <c r="I19" i="31" s="1"/>
  <c r="I137" i="27" s="1"/>
  <c r="K77" i="23"/>
  <c r="K81" i="23" s="1"/>
  <c r="L19" i="31" s="1"/>
  <c r="E14" i="51" s="1"/>
  <c r="J77" i="23"/>
  <c r="J81" i="23" s="1"/>
  <c r="K19" i="31" s="1"/>
  <c r="K137" i="27" s="1"/>
  <c r="M77" i="23"/>
  <c r="M81" i="23" s="1"/>
  <c r="N19" i="31" s="1"/>
  <c r="N137" i="27" s="1"/>
  <c r="E77" i="23"/>
  <c r="E81" i="23" s="1"/>
  <c r="F19" i="31" s="1"/>
  <c r="F137" i="27" s="1"/>
  <c r="N77" i="23"/>
  <c r="N81" i="23" s="1"/>
  <c r="O19" i="31" s="1"/>
  <c r="O137" i="27" s="1"/>
  <c r="O77" i="23"/>
  <c r="O81" i="23" s="1"/>
  <c r="P19" i="31" s="1"/>
  <c r="F14" i="51" s="1"/>
  <c r="P77" i="23"/>
  <c r="P81" i="23" s="1"/>
  <c r="Q19" i="31" s="1"/>
  <c r="Q137" i="27" s="1"/>
  <c r="Q77" i="23"/>
  <c r="Q81" i="23" s="1"/>
  <c r="R19" i="31" s="1"/>
  <c r="R137" i="27" s="1"/>
  <c r="R77" i="23"/>
  <c r="R81" i="23" s="1"/>
  <c r="S19" i="31" s="1"/>
  <c r="S137" i="27" s="1"/>
  <c r="S77" i="23"/>
  <c r="S81" i="23" s="1"/>
  <c r="T19" i="31" s="1"/>
  <c r="G14" i="51" s="1"/>
  <c r="T77" i="23"/>
  <c r="T81" i="23" s="1"/>
  <c r="U19" i="31" s="1"/>
  <c r="U137" i="27" s="1"/>
  <c r="U77" i="23"/>
  <c r="U81" i="23" s="1"/>
  <c r="V19" i="31" s="1"/>
  <c r="V137" i="27" s="1"/>
  <c r="V77" i="23"/>
  <c r="V81" i="23" s="1"/>
  <c r="W19" i="31" s="1"/>
  <c r="W137" i="27" s="1"/>
  <c r="W77" i="23"/>
  <c r="W81" i="23" s="1"/>
  <c r="X19" i="31" s="1"/>
  <c r="H14" i="51" s="1"/>
  <c r="X77" i="23"/>
  <c r="X81" i="23" s="1"/>
  <c r="Y19" i="31" s="1"/>
  <c r="Y137" i="27" s="1"/>
  <c r="Y77" i="23"/>
  <c r="Y81" i="23" s="1"/>
  <c r="Z19" i="31" s="1"/>
  <c r="Z137" i="27" s="1"/>
  <c r="Z77" i="23"/>
  <c r="Z81" i="23" s="1"/>
  <c r="AA19" i="31" s="1"/>
  <c r="AA137" i="27" s="1"/>
  <c r="AA77" i="23"/>
  <c r="AA81" i="23" s="1"/>
  <c r="AB19" i="31" s="1"/>
  <c r="I14" i="51" s="1"/>
  <c r="AB77" i="23"/>
  <c r="AB81" i="23" s="1"/>
  <c r="AC19" i="31" s="1"/>
  <c r="AC137" i="27" s="1"/>
  <c r="AC77" i="23"/>
  <c r="AC81" i="23" s="1"/>
  <c r="AD19" i="31" s="1"/>
  <c r="AD137" i="27" s="1"/>
  <c r="AD77" i="23"/>
  <c r="AD81" i="23" s="1"/>
  <c r="AE19" i="31" s="1"/>
  <c r="AE137" i="27" s="1"/>
  <c r="AE77" i="23"/>
  <c r="AE81" i="23" s="1"/>
  <c r="AF19" i="31" s="1"/>
  <c r="J14" i="51" s="1"/>
  <c r="AF77" i="23"/>
  <c r="AF81" i="23" s="1"/>
  <c r="AG19" i="31" s="1"/>
  <c r="AG137" i="27" s="1"/>
  <c r="AG77" i="23"/>
  <c r="AG81" i="23" s="1"/>
  <c r="AH19" i="31" s="1"/>
  <c r="AH137" i="27" s="1"/>
  <c r="AH77" i="23"/>
  <c r="AH81" i="23" s="1"/>
  <c r="AI19" i="31" s="1"/>
  <c r="AI137" i="27" s="1"/>
  <c r="AI77" i="23"/>
  <c r="AI81" i="23" s="1"/>
  <c r="AJ19" i="31" s="1"/>
  <c r="K14" i="51" s="1"/>
  <c r="AJ77" i="23"/>
  <c r="AJ81" i="23" s="1"/>
  <c r="AK19" i="31" s="1"/>
  <c r="AK137" i="27" s="1"/>
  <c r="AK77" i="23"/>
  <c r="AK81" i="23" s="1"/>
  <c r="AL19" i="31" s="1"/>
  <c r="AL137" i="27" s="1"/>
  <c r="AL77" i="23"/>
  <c r="AL81" i="23" s="1"/>
  <c r="AM19" i="31" s="1"/>
  <c r="AM137" i="27" s="1"/>
  <c r="AM77" i="23"/>
  <c r="AM81" i="23" s="1"/>
  <c r="AN19" i="31" s="1"/>
  <c r="L14" i="51" s="1"/>
  <c r="AN77" i="23"/>
  <c r="AN81" i="23" s="1"/>
  <c r="AO77" i="23"/>
  <c r="AO81" i="23" s="1"/>
  <c r="AP77" i="23"/>
  <c r="AP81" i="23" s="1"/>
  <c r="AQ77" i="23"/>
  <c r="AQ81" i="23" s="1"/>
  <c r="AP17" i="31"/>
  <c r="AR17" i="31"/>
  <c r="M12" i="51" s="1"/>
  <c r="E17" i="31"/>
  <c r="F17" i="31"/>
  <c r="K17" i="31"/>
  <c r="G17" i="31"/>
  <c r="J17" i="31"/>
  <c r="L17" i="31"/>
  <c r="E12" i="51" s="1"/>
  <c r="I17" i="31"/>
  <c r="M17" i="31"/>
  <c r="H17" i="31"/>
  <c r="D12" i="51" s="1"/>
  <c r="O17" i="31"/>
  <c r="N17" i="31"/>
  <c r="P17" i="31"/>
  <c r="F12" i="51" s="1"/>
  <c r="Q17" i="31"/>
  <c r="T17" i="31"/>
  <c r="G12" i="51" s="1"/>
  <c r="R17" i="31"/>
  <c r="U17" i="31"/>
  <c r="S17" i="31"/>
  <c r="V17" i="31"/>
  <c r="W17" i="31"/>
  <c r="X17" i="31"/>
  <c r="H12" i="51" s="1"/>
  <c r="Z17" i="31"/>
  <c r="Y17" i="31"/>
  <c r="AB17" i="31"/>
  <c r="I12" i="51" s="1"/>
  <c r="AA17" i="31"/>
  <c r="AC17" i="31"/>
  <c r="AF17" i="31"/>
  <c r="J12" i="51" s="1"/>
  <c r="AD17" i="31"/>
  <c r="AG17" i="31"/>
  <c r="AE17" i="31"/>
  <c r="AH17" i="31"/>
  <c r="AJ17" i="31"/>
  <c r="K12" i="51" s="1"/>
  <c r="AL17" i="31"/>
  <c r="AK17" i="31"/>
  <c r="AI17" i="31"/>
  <c r="AO17" i="31"/>
  <c r="AR114" i="27"/>
  <c r="AT114" i="27" s="1"/>
  <c r="AQ17" i="31"/>
  <c r="AN17" i="31"/>
  <c r="L12" i="51" s="1"/>
  <c r="D81" i="23" l="1"/>
  <c r="E19" i="31" s="1"/>
  <c r="E137" i="27" s="1"/>
  <c r="E139" i="27" s="1"/>
  <c r="L137" i="27"/>
  <c r="E24" i="38" s="1"/>
  <c r="H137" i="27"/>
  <c r="D24" i="38" s="1"/>
  <c r="AN137" i="27"/>
  <c r="L24" i="38" s="1"/>
  <c r="AJ137" i="27"/>
  <c r="K24" i="38" s="1"/>
  <c r="AF137" i="27"/>
  <c r="J24" i="38" s="1"/>
  <c r="AB137" i="27"/>
  <c r="I24" i="38" s="1"/>
  <c r="X137" i="27"/>
  <c r="H24" i="38" s="1"/>
  <c r="T137" i="27"/>
  <c r="G24" i="38" s="1"/>
  <c r="P137" i="27"/>
  <c r="F24" i="38" s="1"/>
  <c r="AI243" i="27"/>
  <c r="AL243" i="27"/>
  <c r="AH243" i="27"/>
  <c r="AG243" i="27"/>
  <c r="AF243" i="27"/>
  <c r="AA243" i="27"/>
  <c r="Y243" i="27"/>
  <c r="X243" i="27"/>
  <c r="V243" i="27"/>
  <c r="U243" i="27"/>
  <c r="T243" i="27"/>
  <c r="P243" i="27"/>
  <c r="O243" i="27"/>
  <c r="M243" i="27"/>
  <c r="L243" i="27"/>
  <c r="G243" i="27"/>
  <c r="F243" i="27"/>
  <c r="AK243" i="27"/>
  <c r="AJ243" i="27"/>
  <c r="AE243" i="27"/>
  <c r="AD243" i="27"/>
  <c r="AC243" i="27"/>
  <c r="AB243" i="27"/>
  <c r="Z243" i="27"/>
  <c r="W243" i="27"/>
  <c r="S243" i="27"/>
  <c r="R243" i="27"/>
  <c r="Q243" i="27"/>
  <c r="N243" i="27"/>
  <c r="H243" i="27"/>
  <c r="I243" i="27"/>
  <c r="D6" i="40" s="1"/>
  <c r="J243" i="27"/>
  <c r="K243" i="27"/>
  <c r="AM243" i="27"/>
  <c r="AN243" i="27"/>
  <c r="AO19" i="31"/>
  <c r="AO137" i="27" s="1"/>
  <c r="H6" i="40" l="1"/>
  <c r="F6" i="40"/>
  <c r="I6" i="40"/>
  <c r="K6" i="40"/>
  <c r="E6" i="40"/>
  <c r="G6" i="40"/>
  <c r="J6" i="40"/>
  <c r="E243" i="27"/>
  <c r="AO243" i="27"/>
  <c r="AP19" i="31"/>
  <c r="E246" i="27" l="1"/>
  <c r="C6" i="40"/>
  <c r="AP137" i="27"/>
  <c r="AP243" i="27"/>
  <c r="AQ19" i="31"/>
  <c r="AQ137" i="27" l="1"/>
  <c r="AQ243" i="27"/>
  <c r="AR19" i="31"/>
  <c r="M14" i="51" s="1"/>
  <c r="C81" i="23"/>
  <c r="C59" i="23"/>
  <c r="C60" i="23" s="1"/>
  <c r="AR137" i="27" l="1"/>
  <c r="M24" i="38" s="1"/>
  <c r="AR243" i="27"/>
  <c r="AT243" i="27" l="1"/>
  <c r="M6" i="40" s="1"/>
  <c r="L6" i="40"/>
  <c r="A16" i="42"/>
  <c r="A20" i="42"/>
  <c r="A17" i="42"/>
  <c r="A21" i="42"/>
  <c r="A27" i="42"/>
  <c r="A28" i="42"/>
  <c r="A17" i="36" l="1"/>
  <c r="A16" i="36"/>
  <c r="B229" i="1"/>
  <c r="B226" i="1" l="1"/>
  <c r="B18" i="36"/>
  <c r="B15" i="36" l="1"/>
  <c r="AR230" i="1"/>
  <c r="AP230" i="1"/>
  <c r="AN230" i="1"/>
  <c r="AL230" i="1"/>
  <c r="AJ230" i="1"/>
  <c r="AH230" i="1"/>
  <c r="AF230" i="1"/>
  <c r="AD230" i="1"/>
  <c r="AB230" i="1"/>
  <c r="Z230" i="1"/>
  <c r="X230" i="1"/>
  <c r="V230" i="1"/>
  <c r="T230" i="1"/>
  <c r="R230" i="1"/>
  <c r="P230" i="1"/>
  <c r="N230" i="1"/>
  <c r="L230" i="1"/>
  <c r="J230" i="1"/>
  <c r="H230" i="1"/>
  <c r="F230" i="1"/>
  <c r="AQ230" i="1"/>
  <c r="AO230" i="1"/>
  <c r="AM230" i="1"/>
  <c r="AK230" i="1"/>
  <c r="AI230" i="1"/>
  <c r="AG230" i="1"/>
  <c r="AE230" i="1"/>
  <c r="AC230" i="1"/>
  <c r="AA230" i="1"/>
  <c r="Y230" i="1"/>
  <c r="W230" i="1"/>
  <c r="U230" i="1"/>
  <c r="S230" i="1"/>
  <c r="Q230" i="1"/>
  <c r="O230" i="1"/>
  <c r="M230" i="1"/>
  <c r="K230" i="1"/>
  <c r="I230" i="1"/>
  <c r="G230" i="1"/>
  <c r="A43" i="35"/>
  <c r="A9" i="35" l="1"/>
  <c r="A33" i="35"/>
  <c r="A8" i="42" l="1"/>
  <c r="A7" i="42"/>
  <c r="A36" i="44" l="1"/>
  <c r="A7" i="36"/>
  <c r="A8" i="36"/>
  <c r="A9" i="36"/>
  <c r="C11" i="36"/>
  <c r="C10" i="36"/>
  <c r="B218" i="1"/>
  <c r="B11" i="36" s="1"/>
  <c r="B217" i="1"/>
  <c r="B220" i="1" l="1"/>
  <c r="B10" i="36"/>
  <c r="B13" i="36" l="1"/>
  <c r="AR221" i="1"/>
  <c r="AP221" i="1"/>
  <c r="AN221" i="1"/>
  <c r="AL221" i="1"/>
  <c r="AJ221" i="1"/>
  <c r="AH221" i="1"/>
  <c r="AF221" i="1"/>
  <c r="AD221" i="1"/>
  <c r="AB221" i="1"/>
  <c r="Z221" i="1"/>
  <c r="X221" i="1"/>
  <c r="V221" i="1"/>
  <c r="T221" i="1"/>
  <c r="R221" i="1"/>
  <c r="P221" i="1"/>
  <c r="N221" i="1"/>
  <c r="L221" i="1"/>
  <c r="J221" i="1"/>
  <c r="H221" i="1"/>
  <c r="F221" i="1"/>
  <c r="AQ221" i="1"/>
  <c r="AO221" i="1"/>
  <c r="AM221" i="1"/>
  <c r="AK221" i="1"/>
  <c r="AI221" i="1"/>
  <c r="AG221" i="1"/>
  <c r="AE221" i="1"/>
  <c r="AC221" i="1"/>
  <c r="AA221" i="1"/>
  <c r="Y221" i="1"/>
  <c r="W221" i="1"/>
  <c r="U221" i="1"/>
  <c r="S221" i="1"/>
  <c r="Q221" i="1"/>
  <c r="O221" i="1"/>
  <c r="M221" i="1"/>
  <c r="K221" i="1"/>
  <c r="I221" i="1"/>
  <c r="G221" i="1"/>
  <c r="A30" i="46"/>
  <c r="A64" i="43" l="1"/>
  <c r="A53" i="43"/>
  <c r="A63" i="43"/>
  <c r="A52" i="43"/>
  <c r="A9" i="43"/>
  <c r="A31" i="43"/>
  <c r="A20" i="43"/>
  <c r="A8" i="43"/>
  <c r="A30" i="43"/>
  <c r="A19" i="43"/>
  <c r="A41" i="43" l="1"/>
  <c r="A42" i="43"/>
  <c r="A14" i="35" l="1"/>
  <c r="A22" i="35" l="1"/>
  <c r="C408" i="23" l="1"/>
  <c r="D408" i="23" s="1"/>
  <c r="A28" i="34"/>
  <c r="B28" i="34"/>
  <c r="B24" i="34" l="1"/>
  <c r="B20" i="34"/>
  <c r="A24" i="34"/>
  <c r="A20" i="34"/>
  <c r="E408" i="23"/>
  <c r="AE39" i="1"/>
  <c r="AI39" i="1"/>
  <c r="AM39" i="1"/>
  <c r="AQ39" i="1"/>
  <c r="AD39" i="1"/>
  <c r="AH39" i="1"/>
  <c r="AL39" i="1"/>
  <c r="AP39" i="1"/>
  <c r="AC39" i="1"/>
  <c r="AG39" i="1"/>
  <c r="AK39" i="1"/>
  <c r="AO39" i="1"/>
  <c r="AF39" i="1"/>
  <c r="AJ39" i="1"/>
  <c r="AN39" i="1"/>
  <c r="AR39" i="1"/>
  <c r="D387" i="23"/>
  <c r="D326" i="23"/>
  <c r="B16" i="34"/>
  <c r="A16" i="34"/>
  <c r="B12" i="34"/>
  <c r="A12" i="34"/>
  <c r="A8" i="34"/>
  <c r="B8" i="34"/>
  <c r="A4" i="34"/>
  <c r="B4" i="34"/>
  <c r="A29" i="49" l="1"/>
  <c r="A28" i="49" l="1"/>
  <c r="A26" i="49"/>
  <c r="A27" i="49"/>
  <c r="A23" i="39" l="1"/>
  <c r="A55" i="1" l="1"/>
  <c r="A7" i="27" l="1"/>
  <c r="J40" i="20" l="1"/>
  <c r="F198" i="1" l="1"/>
  <c r="F197" i="1"/>
  <c r="G198" i="1" l="1"/>
  <c r="H198" i="1" s="1"/>
  <c r="I198" i="1" s="1"/>
  <c r="G197" i="1"/>
  <c r="J198" i="1" l="1"/>
  <c r="K198" i="1" s="1"/>
  <c r="L198" i="1" s="1"/>
  <c r="M198" i="1" s="1"/>
  <c r="H197" i="1"/>
  <c r="N198" i="1" l="1"/>
  <c r="O198" i="1" s="1"/>
  <c r="P198" i="1" s="1"/>
  <c r="Q198" i="1" s="1"/>
  <c r="I197" i="1"/>
  <c r="R198" i="1" l="1"/>
  <c r="S198" i="1" s="1"/>
  <c r="T198" i="1" s="1"/>
  <c r="U198" i="1" s="1"/>
  <c r="J197" i="1"/>
  <c r="V198" i="1" l="1"/>
  <c r="W198" i="1" s="1"/>
  <c r="X198" i="1" s="1"/>
  <c r="Y198" i="1" s="1"/>
  <c r="K197" i="1"/>
  <c r="C19" i="61"/>
  <c r="C297" i="33"/>
  <c r="A29" i="34"/>
  <c r="C269" i="33"/>
  <c r="C295" i="33"/>
  <c r="A22" i="57"/>
  <c r="A21" i="61"/>
  <c r="A23" i="61"/>
  <c r="Z198" i="1" l="1"/>
  <c r="AA198" i="1" s="1"/>
  <c r="AB198" i="1" s="1"/>
  <c r="AC198" i="1" s="1"/>
  <c r="C21" i="59"/>
  <c r="C21" i="60"/>
  <c r="A25" i="59"/>
  <c r="A25" i="60"/>
  <c r="A23" i="59"/>
  <c r="A23" i="60"/>
  <c r="A25" i="34"/>
  <c r="A21" i="34"/>
  <c r="A5" i="34"/>
  <c r="A13" i="34"/>
  <c r="A9" i="34"/>
  <c r="A27" i="58"/>
  <c r="C170" i="33"/>
  <c r="C196" i="33"/>
  <c r="C144" i="33"/>
  <c r="C193" i="33"/>
  <c r="C167" i="33"/>
  <c r="C141" i="33"/>
  <c r="A25" i="58"/>
  <c r="C190" i="33"/>
  <c r="C164" i="33"/>
  <c r="C138" i="33"/>
  <c r="C217" i="33"/>
  <c r="C243" i="33"/>
  <c r="C245" i="33"/>
  <c r="C219" i="33"/>
  <c r="C202" i="33"/>
  <c r="C176" i="33"/>
  <c r="C150" i="33"/>
  <c r="C293" i="33"/>
  <c r="C241" i="33"/>
  <c r="C215" i="33"/>
  <c r="C188" i="33"/>
  <c r="C136" i="33"/>
  <c r="C267" i="33"/>
  <c r="C162" i="33"/>
  <c r="C199" i="33"/>
  <c r="C147" i="33"/>
  <c r="C173" i="33"/>
  <c r="C23" i="58"/>
  <c r="A13" i="49"/>
  <c r="A6" i="49"/>
  <c r="A11" i="50"/>
  <c r="C347" i="29"/>
  <c r="C375" i="29"/>
  <c r="C20" i="50"/>
  <c r="A24" i="50"/>
  <c r="A22" i="50"/>
  <c r="C373" i="29"/>
  <c r="A17" i="34"/>
  <c r="L197" i="1"/>
  <c r="A3" i="34"/>
  <c r="AD198" i="1" l="1"/>
  <c r="AE198" i="1" s="1"/>
  <c r="AF198" i="1" s="1"/>
  <c r="AG198" i="1" s="1"/>
  <c r="B406" i="23"/>
  <c r="A20" i="50"/>
  <c r="B301" i="23"/>
  <c r="A11" i="44"/>
  <c r="B381" i="23"/>
  <c r="B392" i="23"/>
  <c r="A25" i="49"/>
  <c r="B396" i="23"/>
  <c r="B390" i="23"/>
  <c r="A18" i="49"/>
  <c r="B394" i="23"/>
  <c r="B395" i="23"/>
  <c r="B389" i="23"/>
  <c r="A15" i="49"/>
  <c r="B378" i="23"/>
  <c r="B391" i="23"/>
  <c r="A22" i="49"/>
  <c r="B366" i="23"/>
  <c r="A32" i="48"/>
  <c r="B397" i="23"/>
  <c r="A35" i="38"/>
  <c r="A293" i="27"/>
  <c r="A37" i="40" s="1"/>
  <c r="A305" i="27"/>
  <c r="A45" i="40" s="1"/>
  <c r="A255" i="27"/>
  <c r="A14" i="40" s="1"/>
  <c r="A264" i="27"/>
  <c r="A19" i="40" s="1"/>
  <c r="A247" i="27"/>
  <c r="A9" i="40" s="1"/>
  <c r="A119" i="27"/>
  <c r="A10" i="38" s="1"/>
  <c r="A144" i="27"/>
  <c r="A29" i="38" s="1"/>
  <c r="C274" i="29"/>
  <c r="C248" i="29"/>
  <c r="C222" i="29"/>
  <c r="C271" i="29"/>
  <c r="C245" i="29"/>
  <c r="C219" i="29"/>
  <c r="C277" i="29"/>
  <c r="C251" i="29"/>
  <c r="C225" i="29"/>
  <c r="C371" i="29"/>
  <c r="C345" i="29"/>
  <c r="C293" i="29"/>
  <c r="C266" i="29"/>
  <c r="C240" i="29"/>
  <c r="C214" i="29"/>
  <c r="C319" i="29"/>
  <c r="C280" i="29"/>
  <c r="C254" i="29"/>
  <c r="C228" i="29"/>
  <c r="C323" i="29"/>
  <c r="C297" i="29"/>
  <c r="C321" i="29"/>
  <c r="C295" i="29"/>
  <c r="C268" i="29"/>
  <c r="C242" i="29"/>
  <c r="C216" i="29"/>
  <c r="M197" i="1"/>
  <c r="AH198" i="1" l="1"/>
  <c r="AI198" i="1" s="1"/>
  <c r="AJ198" i="1" s="1"/>
  <c r="AK198" i="1" s="1"/>
  <c r="A25" i="48"/>
  <c r="A31" i="47"/>
  <c r="A21" i="47"/>
  <c r="A11" i="47"/>
  <c r="A24" i="48"/>
  <c r="A22" i="47"/>
  <c r="A13" i="47"/>
  <c r="A3" i="47"/>
  <c r="B349" i="23"/>
  <c r="N197" i="1"/>
  <c r="AL198" i="1" l="1"/>
  <c r="AM198" i="1" s="1"/>
  <c r="AN198" i="1" s="1"/>
  <c r="AO198" i="1" s="1"/>
  <c r="B370" i="23"/>
  <c r="A36" i="48"/>
  <c r="B360" i="23"/>
  <c r="A26" i="48"/>
  <c r="B375" i="23"/>
  <c r="A41" i="48"/>
  <c r="B361" i="23"/>
  <c r="A27" i="48"/>
  <c r="B364" i="23"/>
  <c r="A30" i="48"/>
  <c r="B374" i="23"/>
  <c r="A40" i="48"/>
  <c r="A29" i="42"/>
  <c r="A92" i="41"/>
  <c r="A23" i="42"/>
  <c r="A91" i="41"/>
  <c r="A26" i="42"/>
  <c r="A10" i="42"/>
  <c r="O197" i="1"/>
  <c r="B22" i="39" l="1"/>
  <c r="B24" i="39"/>
  <c r="B25" i="39"/>
  <c r="AP198" i="1"/>
  <c r="AQ198" i="1" s="1"/>
  <c r="AR198" i="1" s="1"/>
  <c r="A513" i="27"/>
  <c r="A5" i="42" s="1"/>
  <c r="A3" i="42"/>
  <c r="A25" i="39"/>
  <c r="A24" i="39"/>
  <c r="P197" i="1"/>
  <c r="Q197" i="1" l="1"/>
  <c r="A24" i="36"/>
  <c r="A35" i="35"/>
  <c r="N1" i="61"/>
  <c r="A17" i="61"/>
  <c r="A16" i="61"/>
  <c r="A14" i="61"/>
  <c r="A12" i="61"/>
  <c r="A11" i="61"/>
  <c r="A4" i="61"/>
  <c r="A7" i="59"/>
  <c r="A19" i="42"/>
  <c r="A28" i="38"/>
  <c r="A27" i="38"/>
  <c r="A34" i="38"/>
  <c r="A33" i="38"/>
  <c r="A32" i="38"/>
  <c r="A16" i="37"/>
  <c r="A25" i="36"/>
  <c r="A21" i="36"/>
  <c r="A14" i="36"/>
  <c r="A36" i="35"/>
  <c r="A8" i="60"/>
  <c r="A29" i="35"/>
  <c r="A21" i="35"/>
  <c r="A13" i="35"/>
  <c r="A6" i="35"/>
  <c r="A5" i="35"/>
  <c r="A8" i="59"/>
  <c r="A61" i="43" l="1"/>
  <c r="A50" i="43"/>
  <c r="A66" i="43"/>
  <c r="A55" i="43"/>
  <c r="A68" i="43"/>
  <c r="A57" i="43"/>
  <c r="C61" i="43"/>
  <c r="C50" i="43"/>
  <c r="A62" i="43"/>
  <c r="A51" i="43"/>
  <c r="A65" i="43"/>
  <c r="A54" i="43"/>
  <c r="A56" i="43"/>
  <c r="A67" i="43"/>
  <c r="A58" i="43"/>
  <c r="A69" i="43"/>
  <c r="A6" i="43"/>
  <c r="A28" i="43"/>
  <c r="A17" i="43"/>
  <c r="A11" i="43"/>
  <c r="A33" i="43"/>
  <c r="A22" i="43"/>
  <c r="A13" i="43"/>
  <c r="A35" i="43"/>
  <c r="A24" i="43"/>
  <c r="C6" i="43"/>
  <c r="C28" i="43"/>
  <c r="C17" i="43"/>
  <c r="A7" i="43"/>
  <c r="A29" i="43"/>
  <c r="A18" i="43"/>
  <c r="A10" i="43"/>
  <c r="A32" i="43"/>
  <c r="A21" i="43"/>
  <c r="A12" i="43"/>
  <c r="A23" i="43"/>
  <c r="A34" i="43"/>
  <c r="A14" i="43"/>
  <c r="A25" i="43"/>
  <c r="A36" i="43"/>
  <c r="C14" i="37"/>
  <c r="A14" i="37"/>
  <c r="A17" i="37"/>
  <c r="A19" i="37"/>
  <c r="A13" i="37"/>
  <c r="A18" i="37"/>
  <c r="B14" i="39"/>
  <c r="B6" i="39"/>
  <c r="C10" i="38"/>
  <c r="C29" i="38"/>
  <c r="C35" i="38"/>
  <c r="B9" i="39"/>
  <c r="B17" i="39"/>
  <c r="B9" i="40"/>
  <c r="B19" i="40"/>
  <c r="B29" i="40"/>
  <c r="B45" i="40"/>
  <c r="C21" i="38"/>
  <c r="B14" i="40"/>
  <c r="B24" i="40"/>
  <c r="B37" i="40"/>
  <c r="C82" i="41"/>
  <c r="A9" i="60"/>
  <c r="A7" i="61"/>
  <c r="A9" i="59"/>
  <c r="A7" i="60"/>
  <c r="C26" i="51"/>
  <c r="A74" i="41"/>
  <c r="A73" i="41"/>
  <c r="A8" i="38"/>
  <c r="A19" i="38"/>
  <c r="A9" i="38"/>
  <c r="A20" i="38"/>
  <c r="C4" i="61"/>
  <c r="A4" i="59"/>
  <c r="A4" i="60"/>
  <c r="A13" i="59"/>
  <c r="A13" i="60"/>
  <c r="A18" i="59"/>
  <c r="A18" i="60"/>
  <c r="N1" i="59"/>
  <c r="N1" i="60"/>
  <c r="C4" i="59"/>
  <c r="C4" i="60"/>
  <c r="A14" i="59"/>
  <c r="A14" i="60"/>
  <c r="A16" i="59"/>
  <c r="A16" i="60"/>
  <c r="A19" i="59"/>
  <c r="A19" i="60"/>
  <c r="N1" i="57"/>
  <c r="M1" i="56"/>
  <c r="A6" i="42"/>
  <c r="A15" i="42"/>
  <c r="M1" i="54"/>
  <c r="M1" i="55"/>
  <c r="C12" i="52"/>
  <c r="B6" i="54"/>
  <c r="B12" i="52"/>
  <c r="C22" i="51"/>
  <c r="N1" i="52"/>
  <c r="M1" i="53"/>
  <c r="A13" i="41"/>
  <c r="A22" i="41"/>
  <c r="A70" i="41"/>
  <c r="A49" i="41"/>
  <c r="A71" i="41"/>
  <c r="A53" i="41"/>
  <c r="A75" i="41"/>
  <c r="A55" i="41"/>
  <c r="A77" i="41"/>
  <c r="A58" i="41"/>
  <c r="A59" i="41"/>
  <c r="A79" i="41"/>
  <c r="A12" i="41"/>
  <c r="A68" i="41"/>
  <c r="A69" i="41"/>
  <c r="A48" i="41"/>
  <c r="A50" i="41"/>
  <c r="A72" i="41"/>
  <c r="A54" i="41"/>
  <c r="A76" i="41"/>
  <c r="A56" i="41"/>
  <c r="A78" i="41"/>
  <c r="A52" i="41"/>
  <c r="A51" i="41"/>
  <c r="A42" i="40"/>
  <c r="A36" i="40"/>
  <c r="A44" i="40"/>
  <c r="A167" i="28"/>
  <c r="A14" i="48" s="1"/>
  <c r="A35" i="40"/>
  <c r="A43" i="40"/>
  <c r="A34" i="40"/>
  <c r="A28" i="40"/>
  <c r="A18" i="40"/>
  <c r="A23" i="40"/>
  <c r="A13" i="40"/>
  <c r="A8" i="40"/>
  <c r="A26" i="40"/>
  <c r="A16" i="40"/>
  <c r="A21" i="40"/>
  <c r="A11" i="40"/>
  <c r="A6" i="40"/>
  <c r="A27" i="40"/>
  <c r="A17" i="40"/>
  <c r="A22" i="40"/>
  <c r="A12" i="40"/>
  <c r="A7" i="40"/>
  <c r="A7" i="39"/>
  <c r="A15" i="39"/>
  <c r="A6" i="39"/>
  <c r="A14" i="39"/>
  <c r="A8" i="39"/>
  <c r="A16" i="39"/>
  <c r="B27" i="34"/>
  <c r="B23" i="34"/>
  <c r="B19" i="34"/>
  <c r="A4" i="36"/>
  <c r="N1" i="51"/>
  <c r="A1" i="37"/>
  <c r="A5" i="37"/>
  <c r="A10" i="37"/>
  <c r="A39" i="38"/>
  <c r="A41" i="38"/>
  <c r="A43" i="38"/>
  <c r="A1" i="39"/>
  <c r="A19" i="39"/>
  <c r="A20" i="39"/>
  <c r="A21" i="39"/>
  <c r="A26" i="39"/>
  <c r="A1" i="40"/>
  <c r="A48" i="40"/>
  <c r="A50" i="40"/>
  <c r="A90" i="41"/>
  <c r="A28" i="44"/>
  <c r="A32" i="45"/>
  <c r="A1" i="46"/>
  <c r="A4" i="46"/>
  <c r="A6" i="46"/>
  <c r="A8" i="46"/>
  <c r="A10" i="46"/>
  <c r="A11" i="46"/>
  <c r="A14" i="46"/>
  <c r="A16" i="46"/>
  <c r="A17" i="46"/>
  <c r="A21" i="46"/>
  <c r="A23" i="46"/>
  <c r="A27" i="46"/>
  <c r="A33" i="46"/>
  <c r="A36" i="46"/>
  <c r="A1" i="47"/>
  <c r="A7" i="47"/>
  <c r="A15" i="47"/>
  <c r="A25" i="47"/>
  <c r="A21" i="48"/>
  <c r="A4" i="50"/>
  <c r="A4" i="58"/>
  <c r="A6" i="50"/>
  <c r="A9" i="50"/>
  <c r="A16" i="58"/>
  <c r="A21" i="58"/>
  <c r="B407" i="23"/>
  <c r="N1" i="58"/>
  <c r="C4" i="58"/>
  <c r="A4" i="37"/>
  <c r="A1" i="38"/>
  <c r="A38" i="38"/>
  <c r="A40" i="38"/>
  <c r="A42" i="38"/>
  <c r="A47" i="40"/>
  <c r="A49" i="40"/>
  <c r="A87" i="41"/>
  <c r="A88" i="41"/>
  <c r="A1" i="42"/>
  <c r="A24" i="42"/>
  <c r="A27" i="44"/>
  <c r="A33" i="45"/>
  <c r="A3" i="46"/>
  <c r="A5" i="46"/>
  <c r="A7" i="46"/>
  <c r="A9" i="46"/>
  <c r="A13" i="46"/>
  <c r="A15" i="46"/>
  <c r="A19" i="46"/>
  <c r="A22" i="46"/>
  <c r="A24" i="46"/>
  <c r="A25" i="46"/>
  <c r="A28" i="46"/>
  <c r="A31" i="46"/>
  <c r="A34" i="46"/>
  <c r="A4" i="47"/>
  <c r="A14" i="47"/>
  <c r="A16" i="47"/>
  <c r="A27" i="47"/>
  <c r="A3" i="48"/>
  <c r="A20" i="48"/>
  <c r="A22" i="48"/>
  <c r="A5" i="50"/>
  <c r="A7" i="50"/>
  <c r="A17" i="58"/>
  <c r="A15" i="50"/>
  <c r="A19" i="58"/>
  <c r="A18" i="50"/>
  <c r="A7" i="49"/>
  <c r="A9" i="49"/>
  <c r="A16" i="49"/>
  <c r="A20" i="49"/>
  <c r="A8" i="49"/>
  <c r="A10" i="49"/>
  <c r="N1" i="37"/>
  <c r="N10" i="37"/>
  <c r="A19" i="49"/>
  <c r="A17" i="49"/>
  <c r="A37" i="38"/>
  <c r="A3" i="40"/>
  <c r="A39" i="40"/>
  <c r="A15" i="48"/>
  <c r="A16" i="48"/>
  <c r="A13" i="48"/>
  <c r="A17" i="48"/>
  <c r="A12" i="50"/>
  <c r="A4" i="49"/>
  <c r="N1" i="50"/>
  <c r="N1" i="49"/>
  <c r="N1" i="45"/>
  <c r="N1" i="44"/>
  <c r="M1" i="42"/>
  <c r="N1" i="41"/>
  <c r="M1" i="39"/>
  <c r="N1" i="38"/>
  <c r="M1" i="40"/>
  <c r="C4" i="50"/>
  <c r="C4" i="49"/>
  <c r="C25" i="47"/>
  <c r="C23" i="47"/>
  <c r="C9" i="47"/>
  <c r="C10" i="47"/>
  <c r="C16" i="47"/>
  <c r="A21" i="49"/>
  <c r="A24" i="49"/>
  <c r="A12" i="49"/>
  <c r="A22" i="39"/>
  <c r="A31" i="40"/>
  <c r="A86" i="41"/>
  <c r="A31" i="42"/>
  <c r="A4" i="48"/>
  <c r="A5" i="48"/>
  <c r="A11" i="48"/>
  <c r="A18" i="48"/>
  <c r="A19" i="48"/>
  <c r="A13" i="50"/>
  <c r="A11" i="35"/>
  <c r="A10" i="35"/>
  <c r="A12" i="35"/>
  <c r="A13" i="36"/>
  <c r="A6" i="36"/>
  <c r="A1" i="35"/>
  <c r="A23" i="35"/>
  <c r="A25" i="35"/>
  <c r="A27" i="35"/>
  <c r="A24" i="35"/>
  <c r="A26" i="35"/>
  <c r="A28" i="35"/>
  <c r="A23" i="36"/>
  <c r="A22" i="36"/>
  <c r="A1" i="36"/>
  <c r="A3" i="36"/>
  <c r="A31" i="35"/>
  <c r="A8" i="35"/>
  <c r="A3" i="35"/>
  <c r="A44" i="35"/>
  <c r="A48" i="35"/>
  <c r="A45" i="35"/>
  <c r="R197" i="1"/>
  <c r="A4" i="35"/>
  <c r="A32" i="35"/>
  <c r="A47" i="35"/>
  <c r="A15" i="36"/>
  <c r="A42" i="35"/>
  <c r="A50" i="35"/>
  <c r="A49" i="35"/>
  <c r="N1" i="43" l="1"/>
  <c r="A78" i="43"/>
  <c r="A73" i="43"/>
  <c r="A3" i="43"/>
  <c r="A82" i="43"/>
  <c r="A74" i="43"/>
  <c r="C82" i="43"/>
  <c r="C39" i="43"/>
  <c r="A45" i="43"/>
  <c r="A40" i="43"/>
  <c r="A46" i="43"/>
  <c r="A81" i="43"/>
  <c r="A76" i="43"/>
  <c r="A71" i="43"/>
  <c r="A1" i="43"/>
  <c r="A79" i="43"/>
  <c r="A77" i="43"/>
  <c r="A72" i="43"/>
  <c r="A47" i="43"/>
  <c r="A43" i="43"/>
  <c r="A44" i="43"/>
  <c r="A39" i="43"/>
  <c r="C632" i="27"/>
  <c r="C64" i="43" s="1"/>
  <c r="C631" i="27"/>
  <c r="C63" i="43" s="1"/>
  <c r="C630" i="27"/>
  <c r="C62" i="43" s="1"/>
  <c r="C618" i="27"/>
  <c r="C53" i="43" s="1"/>
  <c r="C617" i="27"/>
  <c r="C52" i="43" s="1"/>
  <c r="C616" i="27"/>
  <c r="C51" i="43" s="1"/>
  <c r="C590" i="27"/>
  <c r="C31" i="43" s="1"/>
  <c r="C589" i="27"/>
  <c r="C30" i="43" s="1"/>
  <c r="C588" i="27"/>
  <c r="C29" i="43" s="1"/>
  <c r="C576" i="27"/>
  <c r="C20" i="43" s="1"/>
  <c r="C575" i="27"/>
  <c r="C19" i="43" s="1"/>
  <c r="C574" i="27"/>
  <c r="C18" i="43" s="1"/>
  <c r="C562" i="27"/>
  <c r="C9" i="43" s="1"/>
  <c r="C561" i="27"/>
  <c r="C8" i="43" s="1"/>
  <c r="C560" i="27"/>
  <c r="C7" i="43" s="1"/>
  <c r="C22" i="41"/>
  <c r="C70" i="41"/>
  <c r="C602" i="27"/>
  <c r="C604" i="27"/>
  <c r="C42" i="43" s="1"/>
  <c r="C603" i="27"/>
  <c r="C139" i="32"/>
  <c r="B310" i="23"/>
  <c r="A20" i="44"/>
  <c r="B307" i="23"/>
  <c r="A17" i="44"/>
  <c r="B305" i="23"/>
  <c r="A15" i="44"/>
  <c r="C129" i="28"/>
  <c r="C11" i="47" s="1"/>
  <c r="C8" i="47"/>
  <c r="B318" i="23"/>
  <c r="A30" i="44"/>
  <c r="B311" i="23"/>
  <c r="A21" i="44"/>
  <c r="B306" i="23"/>
  <c r="A16" i="44"/>
  <c r="B304" i="23"/>
  <c r="A14" i="44"/>
  <c r="D369" i="23"/>
  <c r="C35" i="48"/>
  <c r="D371" i="23"/>
  <c r="C37" i="48"/>
  <c r="B383" i="23"/>
  <c r="B372" i="23"/>
  <c r="A38" i="48"/>
  <c r="B365" i="23"/>
  <c r="A31" i="48"/>
  <c r="B346" i="23"/>
  <c r="A22" i="45"/>
  <c r="B341" i="23"/>
  <c r="A17" i="45"/>
  <c r="B335" i="23"/>
  <c r="A11" i="45"/>
  <c r="B330" i="23"/>
  <c r="A6" i="45"/>
  <c r="B323" i="23"/>
  <c r="A35" i="44"/>
  <c r="B319" i="23"/>
  <c r="A31" i="44"/>
  <c r="B294" i="23"/>
  <c r="A4" i="44"/>
  <c r="A173" i="27"/>
  <c r="A5" i="39" s="1"/>
  <c r="A3" i="39"/>
  <c r="B387" i="23"/>
  <c r="A1" i="49"/>
  <c r="B403" i="23"/>
  <c r="A17" i="50"/>
  <c r="B384" i="23"/>
  <c r="B377" i="23"/>
  <c r="B368" i="23"/>
  <c r="A34" i="48"/>
  <c r="B351" i="23"/>
  <c r="A27" i="45"/>
  <c r="B344" i="23"/>
  <c r="A20" i="45"/>
  <c r="B340" i="23"/>
  <c r="A16" i="45"/>
  <c r="B334" i="23"/>
  <c r="A10" i="45"/>
  <c r="B331" i="23"/>
  <c r="A7" i="45"/>
  <c r="B326" i="23"/>
  <c r="A1" i="45"/>
  <c r="B320" i="23"/>
  <c r="A32" i="44"/>
  <c r="B315" i="23"/>
  <c r="A25" i="44"/>
  <c r="B297" i="23"/>
  <c r="A7" i="44"/>
  <c r="B350" i="23"/>
  <c r="A26" i="45"/>
  <c r="B314" i="23"/>
  <c r="A24" i="44"/>
  <c r="B300" i="23"/>
  <c r="A10" i="44"/>
  <c r="B298" i="23"/>
  <c r="A8" i="44"/>
  <c r="B299" i="23"/>
  <c r="A9" i="44"/>
  <c r="D368" i="23"/>
  <c r="C34" i="48"/>
  <c r="D370" i="23"/>
  <c r="C36" i="48"/>
  <c r="D372" i="23"/>
  <c r="C38" i="48"/>
  <c r="B379" i="23"/>
  <c r="B369" i="23"/>
  <c r="A35" i="48"/>
  <c r="B355" i="23"/>
  <c r="A31" i="45"/>
  <c r="B343" i="23"/>
  <c r="A19" i="45"/>
  <c r="B339" i="23"/>
  <c r="A15" i="45"/>
  <c r="B332" i="23"/>
  <c r="A8" i="45"/>
  <c r="B328" i="23"/>
  <c r="A4" i="45"/>
  <c r="B321" i="23"/>
  <c r="A33" i="44"/>
  <c r="B317" i="23"/>
  <c r="A29" i="44"/>
  <c r="B302" i="23"/>
  <c r="A12" i="44"/>
  <c r="A188" i="27"/>
  <c r="A13" i="39" s="1"/>
  <c r="A11" i="39"/>
  <c r="B380" i="23"/>
  <c r="B371" i="23"/>
  <c r="A37" i="48"/>
  <c r="B363" i="23"/>
  <c r="A29" i="48"/>
  <c r="B358" i="23"/>
  <c r="A1" i="48"/>
  <c r="B353" i="23"/>
  <c r="A29" i="45"/>
  <c r="B348" i="23"/>
  <c r="A24" i="45"/>
  <c r="B342" i="23"/>
  <c r="A18" i="45"/>
  <c r="B337" i="23"/>
  <c r="A13" i="45"/>
  <c r="B333" i="23"/>
  <c r="A9" i="45"/>
  <c r="B329" i="23"/>
  <c r="A5" i="45"/>
  <c r="B308" i="23"/>
  <c r="A18" i="44"/>
  <c r="B292" i="23"/>
  <c r="A1" i="44"/>
  <c r="A57" i="41"/>
  <c r="A80" i="41"/>
  <c r="A165" i="28"/>
  <c r="A12" i="48" s="1"/>
  <c r="A159" i="28"/>
  <c r="A6" i="48" s="1"/>
  <c r="A163" i="28"/>
  <c r="A10" i="48" s="1"/>
  <c r="A162" i="28"/>
  <c r="A9" i="48" s="1"/>
  <c r="A161" i="28"/>
  <c r="A8" i="48" s="1"/>
  <c r="A160" i="28"/>
  <c r="A7" i="48" s="1"/>
  <c r="C338" i="28"/>
  <c r="C340" i="28"/>
  <c r="A11" i="49"/>
  <c r="A23" i="49"/>
  <c r="A1" i="28"/>
  <c r="A34" i="35"/>
  <c r="A38" i="35"/>
  <c r="C36" i="35"/>
  <c r="C13" i="35"/>
  <c r="C29" i="35"/>
  <c r="C6" i="35"/>
  <c r="S197" i="1"/>
  <c r="A41" i="35"/>
  <c r="A51" i="35"/>
  <c r="C41" i="43" l="1"/>
  <c r="C40" i="43"/>
  <c r="C36" i="32"/>
  <c r="C106" i="32"/>
  <c r="C34" i="32"/>
  <c r="C25" i="58" s="1"/>
  <c r="C27" i="58"/>
  <c r="C104" i="32"/>
  <c r="C23" i="60" s="1"/>
  <c r="C25" i="60"/>
  <c r="C69" i="32"/>
  <c r="C23" i="59" s="1"/>
  <c r="C25" i="59"/>
  <c r="C71" i="32"/>
  <c r="C137" i="32"/>
  <c r="C21" i="61" s="1"/>
  <c r="C23" i="61"/>
  <c r="C297" i="28"/>
  <c r="C22" i="50" s="1"/>
  <c r="C24" i="50"/>
  <c r="D384" i="23"/>
  <c r="D377" i="23"/>
  <c r="D379" i="23"/>
  <c r="D381" i="23"/>
  <c r="C299" i="28"/>
  <c r="D383" i="23"/>
  <c r="D378" i="23"/>
  <c r="D380" i="23"/>
  <c r="T197" i="1"/>
  <c r="B404" i="23" l="1"/>
  <c r="B405" i="23"/>
  <c r="U197" i="1"/>
  <c r="V197" i="1" l="1"/>
  <c r="W197" i="1" l="1"/>
  <c r="X197" i="1" l="1"/>
  <c r="Y197" i="1" l="1"/>
  <c r="Z197" i="1" l="1"/>
  <c r="AA197" i="1" l="1"/>
  <c r="AB197" i="1" l="1"/>
  <c r="AC197" i="1" l="1"/>
  <c r="AD197" i="1" l="1"/>
  <c r="AE197" i="1" l="1"/>
  <c r="AF197" i="1" l="1"/>
  <c r="AG197" i="1" l="1"/>
  <c r="E9" i="28" l="1"/>
  <c r="AH197" i="1"/>
  <c r="E84" i="28"/>
  <c r="E88" i="28"/>
  <c r="E104" i="28"/>
  <c r="E76" i="28"/>
  <c r="D32" i="45" s="1"/>
  <c r="AI197" i="1" l="1"/>
  <c r="AT32" i="28"/>
  <c r="AT61" i="28"/>
  <c r="AT54" i="28"/>
  <c r="AT11" i="28"/>
  <c r="AT62" i="28"/>
  <c r="AT71" i="28"/>
  <c r="AT33" i="28"/>
  <c r="AT53" i="28"/>
  <c r="AT23" i="28"/>
  <c r="AT52" i="28"/>
  <c r="AT58" i="28"/>
  <c r="D334" i="23" l="1"/>
  <c r="N10" i="45"/>
  <c r="D343" i="23"/>
  <c r="N19" i="45"/>
  <c r="D342" i="23"/>
  <c r="N18" i="45"/>
  <c r="D339" i="23"/>
  <c r="N15" i="45"/>
  <c r="D310" i="23"/>
  <c r="N20" i="44"/>
  <c r="D318" i="23"/>
  <c r="N30" i="44"/>
  <c r="D298" i="23"/>
  <c r="N8" i="44"/>
  <c r="D335" i="23"/>
  <c r="N11" i="45"/>
  <c r="D317" i="23"/>
  <c r="N29" i="44"/>
  <c r="AJ197" i="1"/>
  <c r="AK197" i="1" l="1"/>
  <c r="AL197" i="1" l="1"/>
  <c r="AM197" i="1" l="1"/>
  <c r="AN197" i="1" l="1"/>
  <c r="AO197" i="1" l="1"/>
  <c r="AP197" i="1" l="1"/>
  <c r="AQ197" i="1" l="1"/>
  <c r="AR197" i="1" l="1"/>
  <c r="E192" i="1" l="1"/>
  <c r="F193" i="1"/>
  <c r="F190" i="1"/>
  <c r="G193" i="1" l="1"/>
  <c r="H193" i="1" s="1"/>
  <c r="I193" i="1" s="1"/>
  <c r="G190" i="1"/>
  <c r="H192" i="1"/>
  <c r="F192" i="1"/>
  <c r="D50" i="35" s="1"/>
  <c r="I192" i="1"/>
  <c r="G192" i="1"/>
  <c r="D51" i="35" l="1"/>
  <c r="J193" i="1"/>
  <c r="H190" i="1"/>
  <c r="D48" i="35" s="1"/>
  <c r="F183" i="1"/>
  <c r="K193" i="1" l="1"/>
  <c r="J192" i="1"/>
  <c r="F186" i="1"/>
  <c r="I190" i="1"/>
  <c r="G183" i="1"/>
  <c r="G186" i="1" s="1"/>
  <c r="L193" i="1" l="1"/>
  <c r="E51" i="35" s="1"/>
  <c r="K192" i="1"/>
  <c r="J190" i="1"/>
  <c r="H183" i="1"/>
  <c r="H186" i="1" s="1"/>
  <c r="D44" i="35" l="1"/>
  <c r="M193" i="1"/>
  <c r="L192" i="1"/>
  <c r="E50" i="35" s="1"/>
  <c r="K190" i="1"/>
  <c r="I183" i="1"/>
  <c r="N193" i="1" l="1"/>
  <c r="M192" i="1"/>
  <c r="I186" i="1"/>
  <c r="L190" i="1"/>
  <c r="E48" i="35" s="1"/>
  <c r="J183" i="1"/>
  <c r="J186" i="1" s="1"/>
  <c r="O193" i="1" l="1"/>
  <c r="N192" i="1"/>
  <c r="M190" i="1"/>
  <c r="K183" i="1"/>
  <c r="K186" i="1" s="1"/>
  <c r="F51" i="35" l="1"/>
  <c r="P193" i="1"/>
  <c r="O192" i="1"/>
  <c r="N190" i="1"/>
  <c r="L183" i="1"/>
  <c r="L186" i="1" s="1"/>
  <c r="E44" i="35" l="1"/>
  <c r="P192" i="1"/>
  <c r="F50" i="35" s="1"/>
  <c r="Q193" i="1"/>
  <c r="O190" i="1"/>
  <c r="M183" i="1"/>
  <c r="R193" i="1" l="1"/>
  <c r="Q192" i="1"/>
  <c r="M186" i="1"/>
  <c r="P190" i="1"/>
  <c r="F48" i="35" s="1"/>
  <c r="N183" i="1"/>
  <c r="N186" i="1" s="1"/>
  <c r="F36" i="1"/>
  <c r="F170" i="1"/>
  <c r="F171" i="1"/>
  <c r="E2" i="1"/>
  <c r="B249" i="1"/>
  <c r="F119" i="1"/>
  <c r="F110" i="1"/>
  <c r="F113" i="1"/>
  <c r="F122" i="1"/>
  <c r="F163" i="1"/>
  <c r="F162" i="1"/>
  <c r="F161" i="1"/>
  <c r="F160" i="1"/>
  <c r="F48" i="1" l="1"/>
  <c r="F51" i="1"/>
  <c r="F50" i="1"/>
  <c r="F49" i="1"/>
  <c r="G170" i="1"/>
  <c r="H170" i="1" s="1"/>
  <c r="I170" i="1" s="1"/>
  <c r="S193" i="1"/>
  <c r="R192" i="1"/>
  <c r="F176" i="1"/>
  <c r="F2" i="32"/>
  <c r="F2" i="31"/>
  <c r="F2" i="28"/>
  <c r="F2" i="27"/>
  <c r="F332" i="27"/>
  <c r="F342" i="27"/>
  <c r="F340" i="27" s="1"/>
  <c r="F352" i="27"/>
  <c r="F362" i="27"/>
  <c r="F373" i="27"/>
  <c r="F374" i="27" s="1"/>
  <c r="F337" i="27"/>
  <c r="F335" i="27" s="1"/>
  <c r="F347" i="27"/>
  <c r="F357" i="27"/>
  <c r="F368" i="27"/>
  <c r="F369" i="27" s="1"/>
  <c r="F377" i="27"/>
  <c r="F338" i="27"/>
  <c r="G171" i="1"/>
  <c r="G176" i="1" s="1"/>
  <c r="G161" i="1"/>
  <c r="G160" i="1"/>
  <c r="Q190" i="1"/>
  <c r="O183" i="1"/>
  <c r="O186" i="1" s="1"/>
  <c r="G162" i="1"/>
  <c r="G163" i="1"/>
  <c r="G119" i="1"/>
  <c r="G122" i="1"/>
  <c r="G113" i="1"/>
  <c r="E45" i="1"/>
  <c r="C199" i="1"/>
  <c r="E43" i="1"/>
  <c r="E40" i="1" s="1"/>
  <c r="E44" i="1"/>
  <c r="B11" i="34"/>
  <c r="B15" i="34"/>
  <c r="B3" i="34"/>
  <c r="B7" i="34"/>
  <c r="J24" i="20"/>
  <c r="E225" i="1"/>
  <c r="E231" i="1"/>
  <c r="C191" i="1"/>
  <c r="C49" i="35" s="1"/>
  <c r="C184" i="1"/>
  <c r="C45" i="35" s="1"/>
  <c r="E254" i="1"/>
  <c r="G36" i="1"/>
  <c r="E46" i="1"/>
  <c r="E242" i="1"/>
  <c r="E222" i="1"/>
  <c r="F2" i="1"/>
  <c r="G110" i="1"/>
  <c r="H119" i="1"/>
  <c r="C13" i="1"/>
  <c r="C75" i="43"/>
  <c r="G48" i="1" l="1"/>
  <c r="G51" i="1"/>
  <c r="G49" i="1"/>
  <c r="G50" i="1"/>
  <c r="E101" i="1"/>
  <c r="E96" i="1"/>
  <c r="E91" i="1"/>
  <c r="E86" i="1"/>
  <c r="E81" i="1"/>
  <c r="E76" i="1"/>
  <c r="E65" i="1"/>
  <c r="F348" i="27"/>
  <c r="F345" i="27"/>
  <c r="F353" i="27"/>
  <c r="F350" i="27"/>
  <c r="F333" i="27"/>
  <c r="F330" i="27"/>
  <c r="E230" i="1"/>
  <c r="E221" i="1"/>
  <c r="F378" i="27"/>
  <c r="F60" i="28" s="1"/>
  <c r="F376" i="27"/>
  <c r="F358" i="27"/>
  <c r="F355" i="27"/>
  <c r="F363" i="27"/>
  <c r="F360" i="27"/>
  <c r="F85" i="28" s="1"/>
  <c r="E116" i="31"/>
  <c r="E92" i="31"/>
  <c r="E117" i="31"/>
  <c r="E93" i="31"/>
  <c r="E91" i="31"/>
  <c r="E118" i="31"/>
  <c r="E119" i="31"/>
  <c r="E94" i="31"/>
  <c r="E95" i="31"/>
  <c r="E121" i="31"/>
  <c r="E120" i="31"/>
  <c r="E96" i="31"/>
  <c r="E122" i="31"/>
  <c r="E123" i="31"/>
  <c r="E97" i="31"/>
  <c r="E98" i="31"/>
  <c r="E124" i="31"/>
  <c r="E99" i="31"/>
  <c r="E100" i="31"/>
  <c r="S192" i="1"/>
  <c r="T193" i="1"/>
  <c r="G51" i="35" s="1"/>
  <c r="J170" i="1"/>
  <c r="K170" i="1" s="1"/>
  <c r="L170" i="1" s="1"/>
  <c r="M170" i="1" s="1"/>
  <c r="F281" i="28"/>
  <c r="F322" i="28"/>
  <c r="C69" i="43"/>
  <c r="C67" i="43"/>
  <c r="C57" i="43"/>
  <c r="C55" i="43"/>
  <c r="C54" i="43"/>
  <c r="C68" i="43"/>
  <c r="C66" i="43"/>
  <c r="C65" i="43"/>
  <c r="C58" i="43"/>
  <c r="C56" i="43"/>
  <c r="C36" i="43"/>
  <c r="C34" i="43"/>
  <c r="C24" i="43"/>
  <c r="C22" i="43"/>
  <c r="C21" i="43"/>
  <c r="C35" i="43"/>
  <c r="C33" i="43"/>
  <c r="C32" i="43"/>
  <c r="C25" i="43"/>
  <c r="C23" i="43"/>
  <c r="C13" i="43"/>
  <c r="C11" i="43"/>
  <c r="C10" i="43"/>
  <c r="C14" i="43"/>
  <c r="C12" i="43"/>
  <c r="C18" i="37"/>
  <c r="C15" i="37"/>
  <c r="C16" i="37"/>
  <c r="C17" i="37"/>
  <c r="C19" i="37"/>
  <c r="C13" i="37"/>
  <c r="C5" i="37"/>
  <c r="C7" i="38"/>
  <c r="C9" i="38"/>
  <c r="C19" i="38"/>
  <c r="C26" i="38"/>
  <c r="C28" i="38"/>
  <c r="C32" i="38"/>
  <c r="C34" i="38"/>
  <c r="C38" i="38"/>
  <c r="C39" i="38"/>
  <c r="C40" i="38"/>
  <c r="C41" i="38"/>
  <c r="C42" i="38"/>
  <c r="C43" i="38"/>
  <c r="B8" i="39"/>
  <c r="C6" i="37"/>
  <c r="B16" i="39"/>
  <c r="B19" i="39"/>
  <c r="B20" i="39"/>
  <c r="B21" i="39"/>
  <c r="B23" i="39"/>
  <c r="B26" i="39"/>
  <c r="B11" i="40"/>
  <c r="B12" i="40"/>
  <c r="B13" i="40"/>
  <c r="B21" i="40"/>
  <c r="B22" i="40"/>
  <c r="B23" i="40"/>
  <c r="B34" i="40"/>
  <c r="B35" i="40"/>
  <c r="B36" i="40"/>
  <c r="B47" i="40"/>
  <c r="B48" i="40"/>
  <c r="B49" i="40"/>
  <c r="B50" i="40"/>
  <c r="C8" i="38"/>
  <c r="C18" i="38"/>
  <c r="C20" i="38"/>
  <c r="C25" i="38"/>
  <c r="C27" i="38"/>
  <c r="C33" i="38"/>
  <c r="B15" i="39"/>
  <c r="B8" i="40"/>
  <c r="B18" i="40"/>
  <c r="B28" i="40"/>
  <c r="B44" i="40"/>
  <c r="C13" i="41"/>
  <c r="C21" i="41"/>
  <c r="C47" i="41"/>
  <c r="C49" i="41"/>
  <c r="C51" i="41"/>
  <c r="C53" i="41"/>
  <c r="C55" i="41"/>
  <c r="C57" i="41"/>
  <c r="C68" i="41"/>
  <c r="C71" i="41"/>
  <c r="C73" i="41"/>
  <c r="C75" i="41"/>
  <c r="C77" i="41"/>
  <c r="C79" i="41"/>
  <c r="C85" i="41"/>
  <c r="C87" i="41"/>
  <c r="C88" i="41"/>
  <c r="C90" i="41"/>
  <c r="C91" i="41"/>
  <c r="C92" i="41"/>
  <c r="B15" i="42"/>
  <c r="B17" i="42"/>
  <c r="B20" i="42"/>
  <c r="B26" i="42"/>
  <c r="B28" i="42"/>
  <c r="C44" i="43"/>
  <c r="B7" i="39"/>
  <c r="B6" i="40"/>
  <c r="B7" i="40"/>
  <c r="B16" i="40"/>
  <c r="B17" i="40"/>
  <c r="B26" i="40"/>
  <c r="B27" i="40"/>
  <c r="B42" i="40"/>
  <c r="B43" i="40"/>
  <c r="C48" i="41"/>
  <c r="C50" i="41"/>
  <c r="C52" i="41"/>
  <c r="C54" i="41"/>
  <c r="C56" i="41"/>
  <c r="C72" i="41"/>
  <c r="C80" i="41"/>
  <c r="B21" i="42"/>
  <c r="B23" i="42"/>
  <c r="B29" i="42"/>
  <c r="C58" i="41"/>
  <c r="C59" i="41"/>
  <c r="C69" i="41"/>
  <c r="C74" i="41"/>
  <c r="C76" i="41"/>
  <c r="C78" i="41"/>
  <c r="C86" i="41"/>
  <c r="B16" i="42"/>
  <c r="B19" i="42"/>
  <c r="B24" i="42"/>
  <c r="B27" i="42"/>
  <c r="B31" i="42"/>
  <c r="F419" i="27"/>
  <c r="F423" i="27"/>
  <c r="F126" i="27" s="1"/>
  <c r="F424" i="27"/>
  <c r="F127" i="27" s="1"/>
  <c r="F421" i="27"/>
  <c r="F125" i="27" s="1"/>
  <c r="F422" i="27"/>
  <c r="F420" i="27"/>
  <c r="F103" i="27"/>
  <c r="F68" i="27"/>
  <c r="F93" i="28" s="1"/>
  <c r="F102" i="27"/>
  <c r="G2" i="31"/>
  <c r="G2" i="32"/>
  <c r="G2" i="28"/>
  <c r="G2" i="27"/>
  <c r="G337" i="27"/>
  <c r="G335" i="27" s="1"/>
  <c r="G332" i="27"/>
  <c r="G373" i="27"/>
  <c r="G374" i="27" s="1"/>
  <c r="G368" i="27"/>
  <c r="G369" i="27" s="1"/>
  <c r="G362" i="27"/>
  <c r="G347" i="27"/>
  <c r="G377" i="27"/>
  <c r="G376" i="27" s="1"/>
  <c r="G357" i="27"/>
  <c r="G355" i="27" s="1"/>
  <c r="G352" i="27"/>
  <c r="G342" i="27"/>
  <c r="G340" i="27" s="1"/>
  <c r="G358" i="27"/>
  <c r="F343" i="27"/>
  <c r="F88" i="28"/>
  <c r="H171" i="1"/>
  <c r="H176" i="1" s="1"/>
  <c r="D38" i="35" s="1"/>
  <c r="E281" i="27"/>
  <c r="H160" i="1"/>
  <c r="D24" i="35" s="1"/>
  <c r="H161" i="1"/>
  <c r="D25" i="35" s="1"/>
  <c r="C271" i="33"/>
  <c r="R190" i="1"/>
  <c r="E148" i="1"/>
  <c r="C349" i="29"/>
  <c r="P183" i="1"/>
  <c r="H163" i="1"/>
  <c r="D27" i="35" s="1"/>
  <c r="H162" i="1"/>
  <c r="D26" i="35" s="1"/>
  <c r="E144" i="1"/>
  <c r="E145" i="1"/>
  <c r="H122" i="1"/>
  <c r="H113" i="1"/>
  <c r="E172" i="1"/>
  <c r="E136" i="1"/>
  <c r="E159" i="1"/>
  <c r="H39" i="1"/>
  <c r="X39" i="1"/>
  <c r="AB39" i="1"/>
  <c r="W39" i="1"/>
  <c r="AA39" i="1"/>
  <c r="V39" i="1"/>
  <c r="Z39" i="1"/>
  <c r="U39" i="1"/>
  <c r="Y39" i="1"/>
  <c r="H36" i="1"/>
  <c r="R39" i="1"/>
  <c r="S39" i="1"/>
  <c r="Q39" i="1"/>
  <c r="T39" i="1"/>
  <c r="I39" i="1"/>
  <c r="G2" i="1"/>
  <c r="M39" i="1"/>
  <c r="N39" i="1"/>
  <c r="O39" i="1"/>
  <c r="P39" i="1"/>
  <c r="J39" i="1"/>
  <c r="K39" i="1"/>
  <c r="L39" i="1"/>
  <c r="F39" i="1"/>
  <c r="H110" i="1"/>
  <c r="I119" i="1"/>
  <c r="G39" i="1"/>
  <c r="D34" i="35" l="1"/>
  <c r="G378" i="27"/>
  <c r="G60" i="28" s="1"/>
  <c r="H51" i="1"/>
  <c r="H49" i="1"/>
  <c r="H48" i="1"/>
  <c r="H50" i="1"/>
  <c r="G338" i="27"/>
  <c r="P186" i="1"/>
  <c r="F44" i="35"/>
  <c r="F140" i="27"/>
  <c r="F197" i="28"/>
  <c r="F282" i="27"/>
  <c r="G348" i="27"/>
  <c r="G345" i="27"/>
  <c r="G333" i="27"/>
  <c r="G330" i="27"/>
  <c r="G140" i="27"/>
  <c r="G197" i="28"/>
  <c r="E462" i="27"/>
  <c r="E409" i="27"/>
  <c r="E302" i="27"/>
  <c r="E290" i="27"/>
  <c r="E278" i="27"/>
  <c r="E270" i="27"/>
  <c r="E261" i="27"/>
  <c r="E252" i="27"/>
  <c r="E244" i="27"/>
  <c r="E245" i="27" s="1"/>
  <c r="E151" i="27"/>
  <c r="E142" i="27"/>
  <c r="E143" i="27" s="1"/>
  <c r="E131" i="27"/>
  <c r="E132" i="27" s="1"/>
  <c r="E117" i="27"/>
  <c r="E118" i="27" s="1"/>
  <c r="F47" i="28"/>
  <c r="G353" i="27"/>
  <c r="G350" i="27"/>
  <c r="G363" i="27"/>
  <c r="G360" i="27"/>
  <c r="G85" i="28" s="1"/>
  <c r="E176" i="27"/>
  <c r="E191" i="27"/>
  <c r="E279" i="27"/>
  <c r="E472" i="27"/>
  <c r="E152" i="1"/>
  <c r="N170" i="1"/>
  <c r="O170" i="1" s="1"/>
  <c r="P170" i="1" s="1"/>
  <c r="Q170" i="1" s="1"/>
  <c r="T192" i="1"/>
  <c r="G50" i="35" s="1"/>
  <c r="U193" i="1"/>
  <c r="F277" i="27"/>
  <c r="C77" i="43"/>
  <c r="C73" i="43"/>
  <c r="C76" i="43"/>
  <c r="C43" i="43"/>
  <c r="C79" i="43"/>
  <c r="C45" i="43"/>
  <c r="C74" i="43"/>
  <c r="C71" i="43"/>
  <c r="C46" i="43"/>
  <c r="C78" i="43"/>
  <c r="C72" i="43"/>
  <c r="C81" i="43"/>
  <c r="C47" i="43"/>
  <c r="F124" i="27"/>
  <c r="F128" i="27" s="1"/>
  <c r="G322" i="28"/>
  <c r="G281" i="28"/>
  <c r="C52" i="31"/>
  <c r="C43" i="51" s="1"/>
  <c r="E71" i="1"/>
  <c r="E153" i="27"/>
  <c r="E197" i="27"/>
  <c r="E182" i="27"/>
  <c r="E119" i="27"/>
  <c r="E144" i="27"/>
  <c r="E247" i="27"/>
  <c r="E255" i="27"/>
  <c r="E264" i="27"/>
  <c r="E293" i="27"/>
  <c r="E305" i="27"/>
  <c r="E273" i="27"/>
  <c r="E477" i="27"/>
  <c r="E133" i="27"/>
  <c r="C62" i="41"/>
  <c r="C63" i="41"/>
  <c r="C64" i="41"/>
  <c r="C65" i="41"/>
  <c r="C66" i="41"/>
  <c r="C67" i="41"/>
  <c r="C401" i="27"/>
  <c r="C15" i="41" s="1"/>
  <c r="C402" i="27"/>
  <c r="C16" i="41" s="1"/>
  <c r="C403" i="27"/>
  <c r="C17" i="41" s="1"/>
  <c r="C404" i="27"/>
  <c r="C18" i="41" s="1"/>
  <c r="C405" i="27"/>
  <c r="C19" i="41" s="1"/>
  <c r="C406" i="27"/>
  <c r="C20" i="41" s="1"/>
  <c r="C427" i="27"/>
  <c r="C41" i="41" s="1"/>
  <c r="C428" i="27"/>
  <c r="C42" i="41" s="1"/>
  <c r="C429" i="27"/>
  <c r="C43" i="41" s="1"/>
  <c r="C430" i="27"/>
  <c r="C44" i="41" s="1"/>
  <c r="C431" i="27"/>
  <c r="C45" i="41" s="1"/>
  <c r="C432" i="27"/>
  <c r="C46" i="41" s="1"/>
  <c r="C393" i="27"/>
  <c r="C7" i="41" s="1"/>
  <c r="C395" i="27"/>
  <c r="C9" i="41" s="1"/>
  <c r="C397" i="27"/>
  <c r="C11" i="41" s="1"/>
  <c r="C392" i="27"/>
  <c r="C6" i="41" s="1"/>
  <c r="C394" i="27"/>
  <c r="C8" i="41" s="1"/>
  <c r="C396" i="27"/>
  <c r="C10" i="41" s="1"/>
  <c r="C125" i="27"/>
  <c r="C15" i="38" s="1"/>
  <c r="C126" i="27"/>
  <c r="C16" i="38" s="1"/>
  <c r="C127" i="27"/>
  <c r="C17" i="38" s="1"/>
  <c r="C124" i="27"/>
  <c r="C14" i="38" s="1"/>
  <c r="C515" i="27"/>
  <c r="C516" i="27"/>
  <c r="C113" i="27"/>
  <c r="C6" i="38" s="1"/>
  <c r="C112" i="27"/>
  <c r="C5" i="38" s="1"/>
  <c r="E27" i="31"/>
  <c r="E33" i="31"/>
  <c r="C12" i="41"/>
  <c r="B6" i="42"/>
  <c r="C121" i="32"/>
  <c r="C7" i="61" s="1"/>
  <c r="C88" i="32"/>
  <c r="C9" i="60" s="1"/>
  <c r="C87" i="32"/>
  <c r="C8" i="60" s="1"/>
  <c r="C86" i="32"/>
  <c r="C7" i="60" s="1"/>
  <c r="C53" i="32"/>
  <c r="C9" i="59" s="1"/>
  <c r="C52" i="32"/>
  <c r="C8" i="59" s="1"/>
  <c r="C51" i="32"/>
  <c r="C7" i="59" s="1"/>
  <c r="C56" i="31"/>
  <c r="C47" i="51" s="1"/>
  <c r="C18" i="32"/>
  <c r="C12" i="58" s="1"/>
  <c r="C17" i="32"/>
  <c r="C11" i="58" s="1"/>
  <c r="C16" i="32"/>
  <c r="C10" i="58" s="1"/>
  <c r="C15" i="32"/>
  <c r="C9" i="58" s="1"/>
  <c r="C14" i="32"/>
  <c r="C8" i="58" s="1"/>
  <c r="C13" i="32"/>
  <c r="C7" i="58" s="1"/>
  <c r="C275" i="28"/>
  <c r="C8" i="50" s="1"/>
  <c r="C31" i="31"/>
  <c r="C24" i="51" s="1"/>
  <c r="C32" i="31"/>
  <c r="C25" i="51" s="1"/>
  <c r="H2" i="32"/>
  <c r="H2" i="31"/>
  <c r="H2" i="28"/>
  <c r="H197" i="28" s="1"/>
  <c r="H2" i="27"/>
  <c r="H140" i="27" s="1"/>
  <c r="H357" i="27"/>
  <c r="H373" i="27"/>
  <c r="H374" i="27" s="1"/>
  <c r="H352" i="27"/>
  <c r="H377" i="27"/>
  <c r="H368" i="27"/>
  <c r="H369" i="27" s="1"/>
  <c r="H362" i="27"/>
  <c r="H342" i="27"/>
  <c r="H347" i="27"/>
  <c r="H332" i="27"/>
  <c r="H337" i="27"/>
  <c r="H335" i="27" s="1"/>
  <c r="G343" i="27"/>
  <c r="G47" i="28" s="1"/>
  <c r="G88" i="28"/>
  <c r="G199" i="28" s="1"/>
  <c r="G102" i="27"/>
  <c r="G68" i="27"/>
  <c r="G93" i="28" s="1"/>
  <c r="F69" i="27"/>
  <c r="F703" i="27" s="1"/>
  <c r="F425" i="27"/>
  <c r="G419" i="27"/>
  <c r="G422" i="27"/>
  <c r="G421" i="27"/>
  <c r="G125" i="27" s="1"/>
  <c r="G420" i="27"/>
  <c r="G423" i="27"/>
  <c r="G126" i="27" s="1"/>
  <c r="G424" i="27"/>
  <c r="G127" i="27" s="1"/>
  <c r="G103" i="27"/>
  <c r="F104" i="28"/>
  <c r="F435" i="27"/>
  <c r="E151" i="1"/>
  <c r="I171" i="1"/>
  <c r="C9" i="28"/>
  <c r="C8" i="28"/>
  <c r="E82" i="31"/>
  <c r="E103" i="1"/>
  <c r="E47" i="31"/>
  <c r="E48" i="31" s="1"/>
  <c r="E155" i="31"/>
  <c r="E125" i="31"/>
  <c r="E156" i="31"/>
  <c r="E101" i="31"/>
  <c r="C135" i="32"/>
  <c r="C128" i="32"/>
  <c r="C14" i="61" s="1"/>
  <c r="C125" i="32"/>
  <c r="C11" i="61" s="1"/>
  <c r="C120" i="32"/>
  <c r="C6" i="61" s="1"/>
  <c r="C134" i="32"/>
  <c r="C126" i="32"/>
  <c r="C12" i="61" s="1"/>
  <c r="C122" i="32"/>
  <c r="C8" i="61" s="1"/>
  <c r="C119" i="32"/>
  <c r="C5" i="61" s="1"/>
  <c r="C102" i="32"/>
  <c r="C95" i="32"/>
  <c r="C16" i="60" s="1"/>
  <c r="C92" i="32"/>
  <c r="C13" i="60" s="1"/>
  <c r="C93" i="32"/>
  <c r="C14" i="60" s="1"/>
  <c r="C85" i="32"/>
  <c r="C6" i="60" s="1"/>
  <c r="C101" i="32"/>
  <c r="C89" i="32"/>
  <c r="C10" i="60" s="1"/>
  <c r="C84" i="32"/>
  <c r="C5" i="60" s="1"/>
  <c r="C66" i="32"/>
  <c r="C58" i="32"/>
  <c r="C14" i="59" s="1"/>
  <c r="C60" i="32"/>
  <c r="C16" i="59" s="1"/>
  <c r="C54" i="32"/>
  <c r="C10" i="59" s="1"/>
  <c r="C50" i="32"/>
  <c r="C6" i="59" s="1"/>
  <c r="C49" i="32"/>
  <c r="C5" i="59" s="1"/>
  <c r="C67" i="32"/>
  <c r="C57" i="32"/>
  <c r="C13" i="59" s="1"/>
  <c r="C53" i="31"/>
  <c r="C44" i="51" s="1"/>
  <c r="C315" i="28"/>
  <c r="C55" i="31"/>
  <c r="C46" i="51" s="1"/>
  <c r="C242" i="31"/>
  <c r="C22" i="57" s="1"/>
  <c r="C63" i="31"/>
  <c r="C54" i="51" s="1"/>
  <c r="C241" i="31"/>
  <c r="C21" i="57" s="1"/>
  <c r="C238" i="31"/>
  <c r="C18" i="57" s="1"/>
  <c r="C236" i="31"/>
  <c r="C16" i="57" s="1"/>
  <c r="C234" i="31"/>
  <c r="C14" i="57" s="1"/>
  <c r="C232" i="31"/>
  <c r="C12" i="57" s="1"/>
  <c r="C229" i="31"/>
  <c r="C9" i="57" s="1"/>
  <c r="C228" i="31"/>
  <c r="C8" i="57" s="1"/>
  <c r="C226" i="31"/>
  <c r="C6" i="57" s="1"/>
  <c r="C224" i="31"/>
  <c r="C4" i="57" s="1"/>
  <c r="C240" i="31"/>
  <c r="C20" i="57" s="1"/>
  <c r="C239" i="31"/>
  <c r="C19" i="57" s="1"/>
  <c r="C237" i="31"/>
  <c r="C17" i="57" s="1"/>
  <c r="C235" i="31"/>
  <c r="C15" i="57" s="1"/>
  <c r="C233" i="31"/>
  <c r="C13" i="57" s="1"/>
  <c r="C230" i="31"/>
  <c r="C10" i="57" s="1"/>
  <c r="C227" i="31"/>
  <c r="C7" i="57" s="1"/>
  <c r="C225" i="31"/>
  <c r="C5" i="57" s="1"/>
  <c r="C64" i="31"/>
  <c r="C55" i="51" s="1"/>
  <c r="C61" i="31"/>
  <c r="C52" i="51" s="1"/>
  <c r="C62" i="31"/>
  <c r="C53" i="51" s="1"/>
  <c r="C60" i="31"/>
  <c r="C51" i="51" s="1"/>
  <c r="C50" i="31"/>
  <c r="C41" i="51" s="1"/>
  <c r="C54" i="31"/>
  <c r="C45" i="51" s="1"/>
  <c r="C44" i="31"/>
  <c r="C35" i="51" s="1"/>
  <c r="C42" i="31"/>
  <c r="C33" i="51" s="1"/>
  <c r="C43" i="31"/>
  <c r="C34" i="51" s="1"/>
  <c r="C41" i="31"/>
  <c r="C32" i="51" s="1"/>
  <c r="C38" i="31"/>
  <c r="C29" i="51" s="1"/>
  <c r="C37" i="31"/>
  <c r="C28" i="51" s="1"/>
  <c r="I161" i="1"/>
  <c r="I160" i="1"/>
  <c r="C25" i="31"/>
  <c r="C20" i="51" s="1"/>
  <c r="C26" i="31"/>
  <c r="C21" i="51" s="1"/>
  <c r="E93" i="1"/>
  <c r="E98" i="1"/>
  <c r="J264" i="33"/>
  <c r="J212" i="33"/>
  <c r="J133" i="33"/>
  <c r="C25" i="32"/>
  <c r="C19" i="58" s="1"/>
  <c r="C23" i="32"/>
  <c r="C17" i="58" s="1"/>
  <c r="C12" i="32"/>
  <c r="C6" i="58" s="1"/>
  <c r="J290" i="33"/>
  <c r="C32" i="32"/>
  <c r="C31" i="32"/>
  <c r="C22" i="32"/>
  <c r="C16" i="58" s="1"/>
  <c r="C19" i="32"/>
  <c r="C13" i="58" s="1"/>
  <c r="C11" i="32"/>
  <c r="C5" i="58" s="1"/>
  <c r="S190" i="1"/>
  <c r="G114" i="1"/>
  <c r="F199" i="28"/>
  <c r="J368" i="29"/>
  <c r="J290" i="29"/>
  <c r="J211" i="29"/>
  <c r="J342" i="29"/>
  <c r="C361" i="28"/>
  <c r="C358" i="28"/>
  <c r="C356" i="28"/>
  <c r="C354" i="28"/>
  <c r="C336" i="28"/>
  <c r="C327" i="28"/>
  <c r="C325" i="28"/>
  <c r="C322" i="28"/>
  <c r="C319" i="28"/>
  <c r="C317" i="28"/>
  <c r="C314" i="28"/>
  <c r="C312" i="28"/>
  <c r="C288" i="28"/>
  <c r="C286" i="28"/>
  <c r="C13" i="50" s="1"/>
  <c r="C285" i="28"/>
  <c r="C283" i="28"/>
  <c r="C282" i="28"/>
  <c r="C281" i="28"/>
  <c r="C278" i="28"/>
  <c r="C276" i="28"/>
  <c r="C9" i="50" s="1"/>
  <c r="C273" i="28"/>
  <c r="C6" i="50" s="1"/>
  <c r="C263" i="28"/>
  <c r="C261" i="28"/>
  <c r="C258" i="28"/>
  <c r="C256" i="28"/>
  <c r="C254" i="28"/>
  <c r="C248" i="28"/>
  <c r="C247" i="28"/>
  <c r="C244" i="28"/>
  <c r="C235" i="28"/>
  <c r="C28" i="49" s="1"/>
  <c r="C233" i="28"/>
  <c r="C26" i="49" s="1"/>
  <c r="C231" i="28"/>
  <c r="C24" i="49" s="1"/>
  <c r="C230" i="28"/>
  <c r="C23" i="49" s="1"/>
  <c r="C227" i="28"/>
  <c r="C20" i="49" s="1"/>
  <c r="C225" i="28"/>
  <c r="C18" i="49" s="1"/>
  <c r="C223" i="28"/>
  <c r="C16" i="49" s="1"/>
  <c r="C222" i="28"/>
  <c r="C15" i="49" s="1"/>
  <c r="C219" i="28"/>
  <c r="C12" i="49" s="1"/>
  <c r="C217" i="28"/>
  <c r="C10" i="49" s="1"/>
  <c r="C215" i="28"/>
  <c r="C8" i="49" s="1"/>
  <c r="C363" i="28"/>
  <c r="C360" i="28"/>
  <c r="C359" i="28"/>
  <c r="C357" i="28"/>
  <c r="C355" i="28"/>
  <c r="C353" i="28"/>
  <c r="C335" i="28"/>
  <c r="C329" i="28"/>
  <c r="C326" i="28"/>
  <c r="C324" i="28"/>
  <c r="C323" i="28"/>
  <c r="C320" i="28"/>
  <c r="C318" i="28"/>
  <c r="C316" i="28"/>
  <c r="C313" i="28"/>
  <c r="C295" i="28"/>
  <c r="C294" i="28"/>
  <c r="C279" i="28"/>
  <c r="C277" i="28"/>
  <c r="C274" i="28"/>
  <c r="C7" i="50" s="1"/>
  <c r="C272" i="28"/>
  <c r="C5" i="50" s="1"/>
  <c r="C262" i="28"/>
  <c r="C260" i="28"/>
  <c r="C257" i="28"/>
  <c r="C253" i="28"/>
  <c r="C252" i="28"/>
  <c r="C249" i="28"/>
  <c r="C243" i="28"/>
  <c r="C242" i="28"/>
  <c r="C241" i="28"/>
  <c r="C236" i="28"/>
  <c r="C29" i="49" s="1"/>
  <c r="C234" i="28"/>
  <c r="C27" i="49" s="1"/>
  <c r="C232" i="28"/>
  <c r="C25" i="49" s="1"/>
  <c r="C229" i="28"/>
  <c r="C22" i="49" s="1"/>
  <c r="C228" i="28"/>
  <c r="C21" i="49" s="1"/>
  <c r="C226" i="28"/>
  <c r="C19" i="49" s="1"/>
  <c r="C224" i="28"/>
  <c r="C17" i="49" s="1"/>
  <c r="C220" i="28"/>
  <c r="C13" i="49" s="1"/>
  <c r="C218" i="28"/>
  <c r="C11" i="49" s="1"/>
  <c r="C216" i="28"/>
  <c r="C9" i="49" s="1"/>
  <c r="C214" i="28"/>
  <c r="C7" i="49" s="1"/>
  <c r="C179" i="28"/>
  <c r="C138" i="28"/>
  <c r="C19" i="47" s="1"/>
  <c r="C125" i="28"/>
  <c r="C7" i="47" s="1"/>
  <c r="C123" i="28"/>
  <c r="C5" i="47" s="1"/>
  <c r="C77" i="28"/>
  <c r="C33" i="45" s="1"/>
  <c r="C76" i="28"/>
  <c r="C32" i="45" s="1"/>
  <c r="C73" i="28"/>
  <c r="C71" i="28"/>
  <c r="C69" i="28"/>
  <c r="C67" i="28"/>
  <c r="C63" i="28"/>
  <c r="C62" i="28"/>
  <c r="C19" i="45" s="1"/>
  <c r="C60" i="28"/>
  <c r="C58" i="28"/>
  <c r="C54" i="28"/>
  <c r="C52" i="28"/>
  <c r="C50" i="28"/>
  <c r="C48" i="28"/>
  <c r="C46" i="28"/>
  <c r="C39" i="28"/>
  <c r="C36" i="44" s="1"/>
  <c r="C35" i="28"/>
  <c r="C34" i="28"/>
  <c r="C32" i="28"/>
  <c r="C30" i="28"/>
  <c r="C27" i="44" s="1"/>
  <c r="C27" i="28"/>
  <c r="C23" i="28"/>
  <c r="C20" i="28"/>
  <c r="C18" i="28"/>
  <c r="C15" i="28"/>
  <c r="C13" i="28"/>
  <c r="C11" i="28"/>
  <c r="C7" i="28"/>
  <c r="C147" i="28"/>
  <c r="C28" i="47" s="1"/>
  <c r="C141" i="28"/>
  <c r="C22" i="47" s="1"/>
  <c r="C139" i="28"/>
  <c r="C20" i="47" s="1"/>
  <c r="C133" i="28"/>
  <c r="C15" i="47" s="1"/>
  <c r="C131" i="28"/>
  <c r="C13" i="47" s="1"/>
  <c r="C116" i="28"/>
  <c r="B36" i="46" s="1"/>
  <c r="C113" i="28"/>
  <c r="B33" i="46" s="1"/>
  <c r="C111" i="28"/>
  <c r="B31" i="46" s="1"/>
  <c r="C108" i="28"/>
  <c r="B28" i="46" s="1"/>
  <c r="C105" i="28"/>
  <c r="B25" i="46" s="1"/>
  <c r="C104" i="28"/>
  <c r="B24" i="46" s="1"/>
  <c r="C102" i="28"/>
  <c r="B22" i="46" s="1"/>
  <c r="C99" i="28"/>
  <c r="B19" i="46" s="1"/>
  <c r="C95" i="28"/>
  <c r="B15" i="46" s="1"/>
  <c r="C93" i="28"/>
  <c r="B13" i="46" s="1"/>
  <c r="C89" i="28"/>
  <c r="B9" i="46" s="1"/>
  <c r="C87" i="28"/>
  <c r="B7" i="46" s="1"/>
  <c r="C85" i="28"/>
  <c r="B5" i="46" s="1"/>
  <c r="C83" i="28"/>
  <c r="B3" i="46" s="1"/>
  <c r="C68" i="28"/>
  <c r="C59" i="28"/>
  <c r="C53" i="28"/>
  <c r="C49" i="28"/>
  <c r="C38" i="28"/>
  <c r="C31" i="28"/>
  <c r="C28" i="44" s="1"/>
  <c r="C25" i="28"/>
  <c r="C21" i="28"/>
  <c r="C17" i="28"/>
  <c r="C12" i="28"/>
  <c r="C146" i="28"/>
  <c r="C27" i="47" s="1"/>
  <c r="C140" i="28"/>
  <c r="C21" i="47" s="1"/>
  <c r="C132" i="28"/>
  <c r="C14" i="47" s="1"/>
  <c r="C122" i="28"/>
  <c r="C4" i="47" s="1"/>
  <c r="C114" i="28"/>
  <c r="B34" i="46" s="1"/>
  <c r="C112" i="28"/>
  <c r="B32" i="46" s="1"/>
  <c r="C110" i="28"/>
  <c r="B30" i="46" s="1"/>
  <c r="C107" i="28"/>
  <c r="B27" i="46" s="1"/>
  <c r="C103" i="28"/>
  <c r="B23" i="46" s="1"/>
  <c r="C101" i="28"/>
  <c r="B21" i="46" s="1"/>
  <c r="C97" i="28"/>
  <c r="B17" i="46" s="1"/>
  <c r="C96" i="28"/>
  <c r="B16" i="46" s="1"/>
  <c r="C94" i="28"/>
  <c r="B14" i="46" s="1"/>
  <c r="C91" i="28"/>
  <c r="B11" i="46" s="1"/>
  <c r="C90" i="28"/>
  <c r="B10" i="46" s="1"/>
  <c r="C88" i="28"/>
  <c r="B8" i="46" s="1"/>
  <c r="C86" i="28"/>
  <c r="B6" i="46" s="1"/>
  <c r="C84" i="28"/>
  <c r="B4" i="46" s="1"/>
  <c r="C75" i="28"/>
  <c r="C70" i="28"/>
  <c r="C65" i="28"/>
  <c r="C61" i="28"/>
  <c r="C56" i="28"/>
  <c r="C51" i="28"/>
  <c r="C47" i="28"/>
  <c r="C36" i="28"/>
  <c r="C33" i="28"/>
  <c r="C28" i="28"/>
  <c r="C24" i="28"/>
  <c r="C19" i="28"/>
  <c r="C14" i="28"/>
  <c r="C10" i="28"/>
  <c r="Q183" i="1"/>
  <c r="G115" i="1"/>
  <c r="I162" i="1"/>
  <c r="I163" i="1"/>
  <c r="F123" i="1"/>
  <c r="F124" i="1" s="1"/>
  <c r="I122" i="1"/>
  <c r="H123" i="1"/>
  <c r="H124" i="1" s="1"/>
  <c r="G123" i="1"/>
  <c r="G124" i="1" s="1"/>
  <c r="F114" i="1"/>
  <c r="I113" i="1"/>
  <c r="H114" i="1"/>
  <c r="E67" i="1"/>
  <c r="E78" i="1"/>
  <c r="E83" i="1"/>
  <c r="E88" i="1"/>
  <c r="E164" i="1"/>
  <c r="H111" i="1"/>
  <c r="H112" i="1" s="1"/>
  <c r="E38" i="1"/>
  <c r="E55" i="1" s="1"/>
  <c r="F37" i="1"/>
  <c r="E39" i="1"/>
  <c r="I36" i="1"/>
  <c r="H120" i="1"/>
  <c r="H121" i="1" s="1"/>
  <c r="H2" i="1"/>
  <c r="H109" i="1" s="1"/>
  <c r="I120" i="1"/>
  <c r="G120" i="1"/>
  <c r="G121" i="1" s="1"/>
  <c r="G111" i="1"/>
  <c r="G112" i="1" s="1"/>
  <c r="F120" i="1"/>
  <c r="F121" i="1" s="1"/>
  <c r="F111" i="1"/>
  <c r="F112" i="1" s="1"/>
  <c r="E146" i="1"/>
  <c r="J119" i="1"/>
  <c r="I110" i="1"/>
  <c r="B210" i="1"/>
  <c r="B3" i="36" s="1"/>
  <c r="I51" i="1" l="1"/>
  <c r="I50" i="1"/>
  <c r="I48" i="1"/>
  <c r="I49" i="1"/>
  <c r="H338" i="27"/>
  <c r="F157" i="31"/>
  <c r="G31" i="31"/>
  <c r="H333" i="27"/>
  <c r="H330" i="27"/>
  <c r="H340" i="27"/>
  <c r="H88" i="28" s="1"/>
  <c r="H353" i="27"/>
  <c r="H350" i="27"/>
  <c r="H358" i="27"/>
  <c r="H355" i="27"/>
  <c r="F28" i="31"/>
  <c r="F29" i="31" s="1"/>
  <c r="F25" i="31" s="1"/>
  <c r="F478" i="27"/>
  <c r="F479" i="27" s="1"/>
  <c r="F306" i="27"/>
  <c r="F307" i="27" s="1"/>
  <c r="F265" i="27"/>
  <c r="F266" i="27" s="1"/>
  <c r="F248" i="27"/>
  <c r="F249" i="27" s="1"/>
  <c r="F120" i="27"/>
  <c r="F121" i="27" s="1"/>
  <c r="F198" i="27"/>
  <c r="F199" i="27" s="1"/>
  <c r="E73" i="1"/>
  <c r="E192" i="27"/>
  <c r="E194" i="27"/>
  <c r="E193" i="27"/>
  <c r="E212" i="27" s="1"/>
  <c r="E195" i="27"/>
  <c r="E116" i="27"/>
  <c r="E141" i="27"/>
  <c r="E140" i="27"/>
  <c r="E197" i="28"/>
  <c r="F83" i="31"/>
  <c r="F84" i="31" s="1"/>
  <c r="H348" i="27"/>
  <c r="H345" i="27"/>
  <c r="H363" i="27"/>
  <c r="H360" i="27"/>
  <c r="H85" i="28" s="1"/>
  <c r="C5" i="46" s="1"/>
  <c r="H378" i="27"/>
  <c r="H60" i="28" s="1"/>
  <c r="D17" i="45" s="1"/>
  <c r="H376" i="27"/>
  <c r="F34" i="31"/>
  <c r="F35" i="31" s="1"/>
  <c r="F134" i="27"/>
  <c r="F274" i="27"/>
  <c r="F275" i="27" s="1"/>
  <c r="F294" i="27"/>
  <c r="F295" i="27" s="1"/>
  <c r="F256" i="27"/>
  <c r="F257" i="27" s="1"/>
  <c r="F145" i="27"/>
  <c r="F183" i="27"/>
  <c r="F184" i="27" s="1"/>
  <c r="F154" i="27"/>
  <c r="F155" i="27" s="1"/>
  <c r="E177" i="27"/>
  <c r="E179" i="27"/>
  <c r="E178" i="27"/>
  <c r="E204" i="27" s="1"/>
  <c r="E224" i="27" s="1"/>
  <c r="E180" i="27"/>
  <c r="E130" i="27"/>
  <c r="F494" i="27"/>
  <c r="I111" i="1"/>
  <c r="I109" i="1" s="1"/>
  <c r="R170" i="1"/>
  <c r="S170" i="1" s="1"/>
  <c r="T170" i="1" s="1"/>
  <c r="U170" i="1" s="1"/>
  <c r="E447" i="27"/>
  <c r="E451" i="27"/>
  <c r="E214" i="27"/>
  <c r="E213" i="27"/>
  <c r="E210" i="27"/>
  <c r="I121" i="1"/>
  <c r="V193" i="1"/>
  <c r="U192" i="1"/>
  <c r="E202" i="27"/>
  <c r="E222" i="27" s="1"/>
  <c r="E206" i="27"/>
  <c r="E205" i="27"/>
  <c r="E225" i="27" s="1"/>
  <c r="B8" i="42"/>
  <c r="C517" i="27"/>
  <c r="G277" i="27"/>
  <c r="G124" i="27"/>
  <c r="G128" i="27" s="1"/>
  <c r="B7" i="42"/>
  <c r="C518" i="27"/>
  <c r="H281" i="28"/>
  <c r="H322" i="28"/>
  <c r="E114" i="32"/>
  <c r="E1" i="27"/>
  <c r="E77" i="27"/>
  <c r="E169" i="27"/>
  <c r="E64" i="27"/>
  <c r="E328" i="27"/>
  <c r="E387" i="27"/>
  <c r="E509" i="27"/>
  <c r="E554" i="27"/>
  <c r="E237" i="27"/>
  <c r="E658" i="27"/>
  <c r="E107" i="27"/>
  <c r="H102" i="27"/>
  <c r="E87" i="1"/>
  <c r="E72" i="1"/>
  <c r="E66" i="1"/>
  <c r="E97" i="1"/>
  <c r="E102" i="1"/>
  <c r="E82" i="1"/>
  <c r="E77" i="1"/>
  <c r="Q186" i="1"/>
  <c r="E92" i="1"/>
  <c r="F135" i="27"/>
  <c r="F158" i="31"/>
  <c r="E143" i="31"/>
  <c r="E145" i="31" s="1"/>
  <c r="E159" i="31"/>
  <c r="F32" i="31"/>
  <c r="E297" i="23"/>
  <c r="C7" i="44"/>
  <c r="E306" i="23"/>
  <c r="C16" i="44"/>
  <c r="E315" i="23"/>
  <c r="C25" i="44"/>
  <c r="E321" i="23"/>
  <c r="C33" i="44"/>
  <c r="E333" i="23"/>
  <c r="C9" i="45"/>
  <c r="E342" i="23"/>
  <c r="C18" i="45"/>
  <c r="E351" i="23"/>
  <c r="C27" i="45"/>
  <c r="E299" i="23"/>
  <c r="C9" i="44"/>
  <c r="E308" i="23"/>
  <c r="C18" i="44"/>
  <c r="E323" i="23"/>
  <c r="C35" i="44"/>
  <c r="E334" i="23"/>
  <c r="C10" i="45"/>
  <c r="E349" i="23"/>
  <c r="C25" i="45"/>
  <c r="E294" i="23"/>
  <c r="C4" i="44"/>
  <c r="E300" i="23"/>
  <c r="C10" i="44"/>
  <c r="E305" i="23"/>
  <c r="C15" i="44"/>
  <c r="E310" i="23"/>
  <c r="C20" i="44"/>
  <c r="E319" i="23"/>
  <c r="C31" i="44"/>
  <c r="E328" i="23"/>
  <c r="C4" i="45"/>
  <c r="E332" i="23"/>
  <c r="C8" i="45"/>
  <c r="E335" i="23"/>
  <c r="C11" i="45"/>
  <c r="E341" i="23"/>
  <c r="C17" i="45"/>
  <c r="E344" i="23"/>
  <c r="C20" i="45"/>
  <c r="E350" i="23"/>
  <c r="C26" i="45"/>
  <c r="E353" i="23"/>
  <c r="C29" i="45"/>
  <c r="D360" i="23"/>
  <c r="C26" i="48"/>
  <c r="D394" i="23"/>
  <c r="E389" i="23" s="1"/>
  <c r="D397" i="23"/>
  <c r="E392" i="23" s="1"/>
  <c r="C284" i="28"/>
  <c r="C11" i="50" s="1"/>
  <c r="C12" i="50"/>
  <c r="B402" i="23"/>
  <c r="C15" i="50"/>
  <c r="F283" i="27"/>
  <c r="F280" i="27" s="1"/>
  <c r="E296" i="23"/>
  <c r="C6" i="44"/>
  <c r="E301" i="23"/>
  <c r="C11" i="44"/>
  <c r="E311" i="23"/>
  <c r="C21" i="44"/>
  <c r="E318" i="23"/>
  <c r="C30" i="44"/>
  <c r="E329" i="23"/>
  <c r="C5" i="45"/>
  <c r="E337" i="23"/>
  <c r="C13" i="45"/>
  <c r="E346" i="23"/>
  <c r="C22" i="45"/>
  <c r="E355" i="23"/>
  <c r="C31" i="45"/>
  <c r="E304" i="23"/>
  <c r="C14" i="44"/>
  <c r="E312" i="23"/>
  <c r="C22" i="44"/>
  <c r="E331" i="23"/>
  <c r="C7" i="45"/>
  <c r="E340" i="23"/>
  <c r="C16" i="45"/>
  <c r="E298" i="23"/>
  <c r="C8" i="44"/>
  <c r="E302" i="23"/>
  <c r="C12" i="44"/>
  <c r="E307" i="23"/>
  <c r="C17" i="44"/>
  <c r="E314" i="23"/>
  <c r="C24" i="44"/>
  <c r="E317" i="23"/>
  <c r="C29" i="44"/>
  <c r="E320" i="23"/>
  <c r="C32" i="44"/>
  <c r="E330" i="23"/>
  <c r="C6" i="45"/>
  <c r="E339" i="23"/>
  <c r="C15" i="45"/>
  <c r="E348" i="23"/>
  <c r="C24" i="45"/>
  <c r="D396" i="23"/>
  <c r="E391" i="23" s="1"/>
  <c r="D395" i="23"/>
  <c r="E390" i="23" s="1"/>
  <c r="F146" i="27"/>
  <c r="E295" i="23"/>
  <c r="C5" i="44"/>
  <c r="F9" i="28"/>
  <c r="H343" i="27"/>
  <c r="H47" i="28" s="1"/>
  <c r="D5" i="45" s="1"/>
  <c r="J36" i="1"/>
  <c r="I2" i="31"/>
  <c r="I2" i="32"/>
  <c r="I2" i="28"/>
  <c r="I197" i="28" s="1"/>
  <c r="I2" i="27"/>
  <c r="I140" i="27" s="1"/>
  <c r="I377" i="27"/>
  <c r="I376" i="27" s="1"/>
  <c r="I342" i="27"/>
  <c r="I340" i="27" s="1"/>
  <c r="I373" i="27"/>
  <c r="I357" i="27"/>
  <c r="I355" i="27" s="1"/>
  <c r="I332" i="27"/>
  <c r="I347" i="27"/>
  <c r="I368" i="27"/>
  <c r="I337" i="27"/>
  <c r="I335" i="27" s="1"/>
  <c r="I352" i="27"/>
  <c r="I362" i="27"/>
  <c r="I369" i="27"/>
  <c r="I358" i="27"/>
  <c r="I374" i="27"/>
  <c r="H103" i="27"/>
  <c r="G104" i="28"/>
  <c r="G435" i="27"/>
  <c r="H31" i="31" s="1"/>
  <c r="G425" i="27"/>
  <c r="H68" i="27"/>
  <c r="G69" i="27"/>
  <c r="G703" i="27" s="1"/>
  <c r="H419" i="27"/>
  <c r="D32" i="41" s="1"/>
  <c r="H421" i="27"/>
  <c r="H420" i="27"/>
  <c r="D33" i="41" s="1"/>
  <c r="H422" i="27"/>
  <c r="D35" i="41" s="1"/>
  <c r="H423" i="27"/>
  <c r="H424" i="27"/>
  <c r="J171" i="1"/>
  <c r="F301" i="27"/>
  <c r="F289" i="27"/>
  <c r="G301" i="27"/>
  <c r="G289" i="27"/>
  <c r="F260" i="27"/>
  <c r="F269" i="27"/>
  <c r="G260" i="27"/>
  <c r="G269" i="27"/>
  <c r="F216" i="31"/>
  <c r="B438" i="27"/>
  <c r="E49" i="31"/>
  <c r="F75" i="31"/>
  <c r="E44" i="32"/>
  <c r="E79" i="32"/>
  <c r="E221" i="31"/>
  <c r="E213" i="31"/>
  <c r="E151" i="31"/>
  <c r="E173" i="31"/>
  <c r="E71" i="31"/>
  <c r="E141" i="31"/>
  <c r="J160" i="1"/>
  <c r="J161" i="1"/>
  <c r="E6" i="31"/>
  <c r="E1" i="32"/>
  <c r="E1" i="31"/>
  <c r="E6" i="32"/>
  <c r="T190" i="1"/>
  <c r="G48" i="35" s="1"/>
  <c r="E343" i="23"/>
  <c r="E1" i="28"/>
  <c r="E267" i="28"/>
  <c r="E207" i="28"/>
  <c r="E348" i="28"/>
  <c r="E307" i="28"/>
  <c r="E154" i="28"/>
  <c r="E81" i="28"/>
  <c r="E43" i="28"/>
  <c r="E4" i="28"/>
  <c r="E119" i="28"/>
  <c r="E199" i="28"/>
  <c r="F46" i="1"/>
  <c r="F700" i="27"/>
  <c r="F701" i="27" s="1"/>
  <c r="F148" i="1"/>
  <c r="R183" i="1"/>
  <c r="R186" i="1" s="1"/>
  <c r="H115" i="1"/>
  <c r="F115" i="1"/>
  <c r="F222" i="1"/>
  <c r="F231" i="1"/>
  <c r="F44" i="1"/>
  <c r="E34" i="1"/>
  <c r="J163" i="1"/>
  <c r="J162" i="1"/>
  <c r="I2" i="1"/>
  <c r="I118" i="1" s="1"/>
  <c r="F145" i="1"/>
  <c r="E123" i="1"/>
  <c r="K119" i="1"/>
  <c r="J122" i="1"/>
  <c r="I123" i="1"/>
  <c r="E114" i="1"/>
  <c r="J113" i="1"/>
  <c r="I114" i="1"/>
  <c r="J2" i="1"/>
  <c r="F45" i="1"/>
  <c r="F172" i="1"/>
  <c r="K36" i="1"/>
  <c r="E120" i="1"/>
  <c r="E1" i="1"/>
  <c r="E60" i="1"/>
  <c r="E6" i="1"/>
  <c r="E130" i="1"/>
  <c r="E208" i="1"/>
  <c r="F136" i="1"/>
  <c r="E111" i="1"/>
  <c r="G37" i="1"/>
  <c r="F38" i="1"/>
  <c r="F55" i="1" s="1"/>
  <c r="F43" i="1"/>
  <c r="F118" i="1"/>
  <c r="G118" i="1"/>
  <c r="F109" i="1"/>
  <c r="G109" i="1"/>
  <c r="H118" i="1"/>
  <c r="J120" i="1"/>
  <c r="K120" i="1"/>
  <c r="K121" i="1" s="1"/>
  <c r="L36" i="1"/>
  <c r="L50" i="1" s="1"/>
  <c r="J110" i="1"/>
  <c r="J111" i="1" s="1"/>
  <c r="K50" i="1" l="1"/>
  <c r="K49" i="1"/>
  <c r="K51" i="1"/>
  <c r="K48" i="1"/>
  <c r="I338" i="27"/>
  <c r="J49" i="1"/>
  <c r="J50" i="1"/>
  <c r="J51" i="1"/>
  <c r="J48" i="1"/>
  <c r="L51" i="1"/>
  <c r="I378" i="27"/>
  <c r="I60" i="28" s="1"/>
  <c r="L49" i="1"/>
  <c r="L48" i="1"/>
  <c r="D5" i="37"/>
  <c r="H93" i="28"/>
  <c r="C13" i="46" s="1"/>
  <c r="C8" i="46"/>
  <c r="H199" i="28"/>
  <c r="F462" i="27"/>
  <c r="F409" i="27"/>
  <c r="F302" i="27"/>
  <c r="F290" i="27"/>
  <c r="F278" i="27"/>
  <c r="F270" i="27"/>
  <c r="F261" i="27"/>
  <c r="F252" i="27"/>
  <c r="F244" i="27"/>
  <c r="F151" i="27"/>
  <c r="F142" i="27"/>
  <c r="F131" i="27"/>
  <c r="F117" i="27"/>
  <c r="F101" i="1"/>
  <c r="F96" i="1"/>
  <c r="F91" i="1"/>
  <c r="F86" i="1"/>
  <c r="F81" i="1"/>
  <c r="F76" i="1"/>
  <c r="F65" i="1"/>
  <c r="F159" i="1"/>
  <c r="F144" i="1"/>
  <c r="H126" i="27"/>
  <c r="D16" i="38" s="1"/>
  <c r="D36" i="41"/>
  <c r="I363" i="27"/>
  <c r="I360" i="27"/>
  <c r="I85" i="28" s="1"/>
  <c r="I348" i="27"/>
  <c r="I345" i="27"/>
  <c r="E168" i="31"/>
  <c r="E229" i="31" s="1"/>
  <c r="F146" i="31"/>
  <c r="F227" i="31" s="1"/>
  <c r="F238" i="31" s="1"/>
  <c r="E226" i="27"/>
  <c r="E496" i="27"/>
  <c r="E196" i="27"/>
  <c r="E215" i="27" s="1"/>
  <c r="E209" i="27" s="1"/>
  <c r="E211" i="27"/>
  <c r="H127" i="27"/>
  <c r="D17" i="38" s="1"/>
  <c r="D37" i="41"/>
  <c r="H125" i="27"/>
  <c r="D15" i="38" s="1"/>
  <c r="D34" i="41"/>
  <c r="I353" i="27"/>
  <c r="I350" i="27"/>
  <c r="I333" i="27"/>
  <c r="I330" i="27"/>
  <c r="E490" i="27"/>
  <c r="E181" i="27"/>
  <c r="E207" i="27" s="1"/>
  <c r="E203" i="27"/>
  <c r="E223" i="27" s="1"/>
  <c r="D24" i="51"/>
  <c r="G494" i="27"/>
  <c r="E700" i="27"/>
  <c r="E301" i="27"/>
  <c r="E269" i="27"/>
  <c r="E260" i="27"/>
  <c r="E289" i="27"/>
  <c r="I124" i="1"/>
  <c r="F152" i="1"/>
  <c r="E482" i="27"/>
  <c r="V170" i="1"/>
  <c r="W170" i="1" s="1"/>
  <c r="X170" i="1" s="1"/>
  <c r="Y170" i="1" s="1"/>
  <c r="I112" i="1"/>
  <c r="E112" i="1"/>
  <c r="E121" i="1"/>
  <c r="E124" i="1"/>
  <c r="F116" i="31"/>
  <c r="F92" i="31"/>
  <c r="F117" i="31"/>
  <c r="F91" i="31"/>
  <c r="F93" i="31"/>
  <c r="F118" i="31"/>
  <c r="F119" i="31"/>
  <c r="F94" i="31"/>
  <c r="F95" i="31"/>
  <c r="F120" i="31"/>
  <c r="F121" i="31"/>
  <c r="F122" i="31"/>
  <c r="F96" i="31"/>
  <c r="F97" i="31"/>
  <c r="F123" i="31"/>
  <c r="F98" i="31"/>
  <c r="F124" i="31"/>
  <c r="F99" i="31"/>
  <c r="F100" i="31"/>
  <c r="V192" i="1"/>
  <c r="W193" i="1"/>
  <c r="H277" i="27"/>
  <c r="C26" i="40" s="1"/>
  <c r="H124" i="27"/>
  <c r="I322" i="28"/>
  <c r="I281" i="28"/>
  <c r="D68" i="23"/>
  <c r="E438" i="27"/>
  <c r="E504" i="27" s="1"/>
  <c r="B21" i="27"/>
  <c r="I102" i="27"/>
  <c r="F431" i="27"/>
  <c r="F432" i="27"/>
  <c r="F429" i="27"/>
  <c r="F430" i="27"/>
  <c r="F428" i="27"/>
  <c r="F427" i="27"/>
  <c r="F453" i="27"/>
  <c r="F304" i="27"/>
  <c r="F320" i="27" s="1"/>
  <c r="F322" i="27" s="1"/>
  <c r="F18" i="28" s="1"/>
  <c r="E164" i="31"/>
  <c r="F292" i="27"/>
  <c r="F315" i="27" s="1"/>
  <c r="F317" i="27" s="1"/>
  <c r="F19" i="28" s="1"/>
  <c r="E165" i="31"/>
  <c r="E163" i="31"/>
  <c r="F76" i="31"/>
  <c r="F81" i="31" s="1"/>
  <c r="E162" i="31"/>
  <c r="F263" i="27"/>
  <c r="F396" i="27"/>
  <c r="F393" i="27"/>
  <c r="F456" i="27"/>
  <c r="F394" i="27"/>
  <c r="F454" i="27"/>
  <c r="F455" i="27"/>
  <c r="F272" i="27"/>
  <c r="F397" i="27"/>
  <c r="F392" i="27"/>
  <c r="F395" i="27"/>
  <c r="F458" i="27"/>
  <c r="F457" i="27"/>
  <c r="F138" i="27"/>
  <c r="F190" i="27"/>
  <c r="F246" i="27"/>
  <c r="F175" i="27"/>
  <c r="F115" i="27"/>
  <c r="F191" i="31"/>
  <c r="F193" i="31"/>
  <c r="F195" i="31"/>
  <c r="F192" i="31"/>
  <c r="F194" i="31"/>
  <c r="F190" i="31"/>
  <c r="L2" i="32"/>
  <c r="L2" i="31"/>
  <c r="L2" i="28"/>
  <c r="L197" i="28" s="1"/>
  <c r="L2" i="27"/>
  <c r="L140" i="27" s="1"/>
  <c r="K2" i="31"/>
  <c r="K2" i="32"/>
  <c r="K2" i="28"/>
  <c r="K197" i="28" s="1"/>
  <c r="K2" i="27"/>
  <c r="K140" i="27" s="1"/>
  <c r="H435" i="27"/>
  <c r="I31" i="31" s="1"/>
  <c r="H425" i="27"/>
  <c r="D38" i="41" s="1"/>
  <c r="I103" i="27"/>
  <c r="H104" i="28"/>
  <c r="C24" i="46" s="1"/>
  <c r="I343" i="27"/>
  <c r="I47" i="28" s="1"/>
  <c r="I88" i="28"/>
  <c r="I199" i="28" s="1"/>
  <c r="I419" i="27"/>
  <c r="I420" i="27"/>
  <c r="I421" i="27"/>
  <c r="I125" i="27" s="1"/>
  <c r="I424" i="27"/>
  <c r="I127" i="27" s="1"/>
  <c r="I422" i="27"/>
  <c r="I423" i="27"/>
  <c r="I126" i="27" s="1"/>
  <c r="I68" i="27"/>
  <c r="I93" i="28" s="1"/>
  <c r="H69" i="27"/>
  <c r="G9" i="28"/>
  <c r="J2" i="32"/>
  <c r="J2" i="31"/>
  <c r="J2" i="28"/>
  <c r="J197" i="28" s="1"/>
  <c r="J2" i="27"/>
  <c r="J140" i="27" s="1"/>
  <c r="J352" i="27"/>
  <c r="J357" i="27"/>
  <c r="J373" i="27"/>
  <c r="K373" i="27" s="1"/>
  <c r="J332" i="27"/>
  <c r="J342" i="27"/>
  <c r="J340" i="27" s="1"/>
  <c r="J347" i="27"/>
  <c r="J362" i="27"/>
  <c r="J377" i="27"/>
  <c r="J337" i="27"/>
  <c r="J338" i="27" s="1"/>
  <c r="J368" i="27"/>
  <c r="K368" i="27" s="1"/>
  <c r="F151" i="1"/>
  <c r="K171" i="1"/>
  <c r="H301" i="27"/>
  <c r="H289" i="27"/>
  <c r="F176" i="23"/>
  <c r="D62" i="23"/>
  <c r="H269" i="27"/>
  <c r="H260" i="27"/>
  <c r="F119" i="27"/>
  <c r="F153" i="27"/>
  <c r="F154" i="31"/>
  <c r="F50" i="31" s="1"/>
  <c r="F224" i="31"/>
  <c r="K161" i="1"/>
  <c r="K160" i="1"/>
  <c r="E118" i="1"/>
  <c r="U190" i="1"/>
  <c r="F164" i="1"/>
  <c r="F162" i="23"/>
  <c r="D57" i="23"/>
  <c r="G151" i="23" s="1"/>
  <c r="D80" i="23"/>
  <c r="S183" i="1"/>
  <c r="I115" i="1"/>
  <c r="E115" i="1"/>
  <c r="K2" i="1"/>
  <c r="K118" i="1" s="1"/>
  <c r="K162" i="1"/>
  <c r="K163" i="1"/>
  <c r="F114" i="32"/>
  <c r="J118" i="1"/>
  <c r="J121" i="1"/>
  <c r="E109" i="1"/>
  <c r="L119" i="1"/>
  <c r="K122" i="1"/>
  <c r="J123" i="1"/>
  <c r="J124" i="1" s="1"/>
  <c r="K113" i="1"/>
  <c r="J114" i="1"/>
  <c r="J109" i="1"/>
  <c r="J112" i="1"/>
  <c r="G45" i="1"/>
  <c r="H37" i="1"/>
  <c r="G43" i="1"/>
  <c r="G46" i="1"/>
  <c r="G38" i="1"/>
  <c r="G55" i="1" s="1"/>
  <c r="G44" i="1"/>
  <c r="F146" i="1"/>
  <c r="M36" i="1"/>
  <c r="M49" i="1" s="1"/>
  <c r="L2" i="1"/>
  <c r="K110" i="1"/>
  <c r="K111" i="1" s="1"/>
  <c r="K112" i="1" s="1"/>
  <c r="E227" i="27" l="1"/>
  <c r="E682" i="27" s="1"/>
  <c r="M51" i="1"/>
  <c r="M50" i="1"/>
  <c r="M48" i="1"/>
  <c r="E201" i="27"/>
  <c r="J374" i="27"/>
  <c r="D6" i="37"/>
  <c r="H703" i="27"/>
  <c r="E146" i="31"/>
  <c r="F13" i="32"/>
  <c r="G154" i="27"/>
  <c r="K377" i="27"/>
  <c r="K376" i="27" s="1"/>
  <c r="J376" i="27"/>
  <c r="J348" i="27"/>
  <c r="J345" i="27"/>
  <c r="J333" i="27"/>
  <c r="J330" i="27"/>
  <c r="K357" i="27"/>
  <c r="K355" i="27" s="1"/>
  <c r="J355" i="27"/>
  <c r="F565" i="27"/>
  <c r="F570" i="27" s="1"/>
  <c r="F607" i="27"/>
  <c r="F593" i="27"/>
  <c r="F598" i="27" s="1"/>
  <c r="F621" i="27"/>
  <c r="F626" i="27" s="1"/>
  <c r="E208" i="27"/>
  <c r="E217" i="27"/>
  <c r="E263" i="27"/>
  <c r="C16" i="40"/>
  <c r="E304" i="27"/>
  <c r="C42" i="40"/>
  <c r="E216" i="27"/>
  <c r="E17" i="28" s="1"/>
  <c r="D48" i="41"/>
  <c r="E667" i="27"/>
  <c r="E63" i="28"/>
  <c r="G101" i="1"/>
  <c r="G96" i="1"/>
  <c r="G91" i="1"/>
  <c r="G86" i="1"/>
  <c r="G81" i="1"/>
  <c r="G76" i="1"/>
  <c r="G65" i="1"/>
  <c r="G120" i="27"/>
  <c r="G121" i="27" s="1"/>
  <c r="K337" i="27"/>
  <c r="K335" i="27" s="1"/>
  <c r="J335" i="27"/>
  <c r="J363" i="27"/>
  <c r="J360" i="27"/>
  <c r="J85" i="28" s="1"/>
  <c r="J353" i="27"/>
  <c r="J350" i="27"/>
  <c r="F118" i="27"/>
  <c r="F84" i="27"/>
  <c r="F92" i="27" s="1"/>
  <c r="F579" i="27"/>
  <c r="F584" i="27" s="1"/>
  <c r="E241" i="31"/>
  <c r="E240" i="31" s="1"/>
  <c r="F148" i="27"/>
  <c r="E227" i="31"/>
  <c r="E238" i="31" s="1"/>
  <c r="H128" i="27"/>
  <c r="D14" i="38"/>
  <c r="E499" i="27"/>
  <c r="E498" i="27"/>
  <c r="E522" i="27" s="1"/>
  <c r="C12" i="42" s="1"/>
  <c r="E292" i="27"/>
  <c r="C34" i="40"/>
  <c r="E272" i="27"/>
  <c r="C21" i="40"/>
  <c r="E701" i="27"/>
  <c r="E702" i="27" s="1"/>
  <c r="E501" i="27"/>
  <c r="E500" i="27" s="1"/>
  <c r="F116" i="27"/>
  <c r="H494" i="27"/>
  <c r="D86" i="41" s="1"/>
  <c r="J378" i="27"/>
  <c r="J60" i="28" s="1"/>
  <c r="F101" i="31"/>
  <c r="F125" i="31"/>
  <c r="Z170" i="1"/>
  <c r="AA170" i="1" s="1"/>
  <c r="AB170" i="1" s="1"/>
  <c r="AC170" i="1" s="1"/>
  <c r="E219" i="27"/>
  <c r="E228" i="27"/>
  <c r="E367" i="27" s="1"/>
  <c r="E365" i="27" s="1"/>
  <c r="E315" i="27"/>
  <c r="E291" i="27"/>
  <c r="G116" i="31"/>
  <c r="G92" i="31"/>
  <c r="G117" i="31"/>
  <c r="G119" i="31"/>
  <c r="G118" i="31"/>
  <c r="G93" i="31"/>
  <c r="G94" i="31"/>
  <c r="G120" i="31"/>
  <c r="G121" i="31"/>
  <c r="G95" i="31"/>
  <c r="G96" i="31"/>
  <c r="G122" i="31"/>
  <c r="G97" i="31"/>
  <c r="G123" i="31"/>
  <c r="G98" i="31"/>
  <c r="G124" i="31"/>
  <c r="G125" i="31" s="1"/>
  <c r="G99" i="31"/>
  <c r="G100" i="31"/>
  <c r="X193" i="1"/>
  <c r="H51" i="35" s="1"/>
  <c r="W192" i="1"/>
  <c r="E303" i="27"/>
  <c r="E320" i="27"/>
  <c r="I277" i="27"/>
  <c r="I124" i="27"/>
  <c r="I128" i="27" s="1"/>
  <c r="J281" i="28"/>
  <c r="J322" i="28"/>
  <c r="K322" i="28"/>
  <c r="K281" i="28"/>
  <c r="L281" i="28"/>
  <c r="L322" i="28"/>
  <c r="F635" i="27"/>
  <c r="E503" i="27"/>
  <c r="B24" i="27"/>
  <c r="B35" i="27" s="1"/>
  <c r="B672" i="27"/>
  <c r="F303" i="27"/>
  <c r="F321" i="27" s="1"/>
  <c r="F319" i="27" s="1"/>
  <c r="F279" i="27"/>
  <c r="F273" i="27"/>
  <c r="F33" i="31"/>
  <c r="S186" i="1"/>
  <c r="F27" i="31"/>
  <c r="F291" i="27"/>
  <c r="F316" i="27" s="1"/>
  <c r="F318" i="27" s="1"/>
  <c r="E239" i="31"/>
  <c r="B50" i="51"/>
  <c r="G73" i="31"/>
  <c r="F398" i="27"/>
  <c r="F433" i="27"/>
  <c r="F271" i="27"/>
  <c r="F262" i="27"/>
  <c r="F245" i="27"/>
  <c r="F459" i="27"/>
  <c r="F176" i="27"/>
  <c r="F191" i="27"/>
  <c r="F139" i="27"/>
  <c r="F71" i="1"/>
  <c r="F93" i="1"/>
  <c r="F281" i="27"/>
  <c r="F293" i="27"/>
  <c r="F26" i="31"/>
  <c r="F189" i="31"/>
  <c r="F255" i="27"/>
  <c r="F247" i="27"/>
  <c r="G32" i="31"/>
  <c r="H74" i="31"/>
  <c r="D4" i="52" s="1"/>
  <c r="L337" i="27"/>
  <c r="K338" i="27"/>
  <c r="L373" i="27"/>
  <c r="L374" i="27" s="1"/>
  <c r="K374" i="27"/>
  <c r="L368" i="27"/>
  <c r="L369" i="27" s="1"/>
  <c r="K369" i="27"/>
  <c r="L377" i="27"/>
  <c r="K378" i="27"/>
  <c r="K60" i="28" s="1"/>
  <c r="K358" i="27"/>
  <c r="L357" i="27"/>
  <c r="J358" i="27"/>
  <c r="J369" i="27"/>
  <c r="J343" i="27"/>
  <c r="J88" i="28"/>
  <c r="J199" i="28" s="1"/>
  <c r="J419" i="27"/>
  <c r="J421" i="27"/>
  <c r="J125" i="27" s="1"/>
  <c r="J422" i="27"/>
  <c r="J420" i="27"/>
  <c r="J423" i="27"/>
  <c r="J126" i="27" s="1"/>
  <c r="J424" i="27"/>
  <c r="J127" i="27" s="1"/>
  <c r="I425" i="27"/>
  <c r="K347" i="27"/>
  <c r="K332" i="27"/>
  <c r="K330" i="27" s="1"/>
  <c r="K352" i="27"/>
  <c r="K419" i="27"/>
  <c r="K422" i="27"/>
  <c r="K421" i="27"/>
  <c r="K125" i="27" s="1"/>
  <c r="K420" i="27"/>
  <c r="K423" i="27"/>
  <c r="K126" i="27" s="1"/>
  <c r="K424" i="27"/>
  <c r="K127" i="27" s="1"/>
  <c r="M2" i="31"/>
  <c r="M2" i="32"/>
  <c r="M2" i="27"/>
  <c r="M140" i="27" s="1"/>
  <c r="M2" i="28"/>
  <c r="M197" i="28" s="1"/>
  <c r="J68" i="27"/>
  <c r="J93" i="28" s="1"/>
  <c r="I69" i="27"/>
  <c r="I703" i="27" s="1"/>
  <c r="I435" i="27"/>
  <c r="J103" i="27"/>
  <c r="I104" i="28"/>
  <c r="J102" i="27"/>
  <c r="K102" i="27" s="1"/>
  <c r="L102" i="27" s="1"/>
  <c r="H9" i="28"/>
  <c r="D6" i="44" s="1"/>
  <c r="K362" i="27"/>
  <c r="K360" i="27" s="1"/>
  <c r="K85" i="28" s="1"/>
  <c r="K342" i="27"/>
  <c r="K340" i="27" s="1"/>
  <c r="L419" i="27"/>
  <c r="E32" i="41" s="1"/>
  <c r="L423" i="27"/>
  <c r="L424" i="27"/>
  <c r="L421" i="27"/>
  <c r="L420" i="27"/>
  <c r="E33" i="41" s="1"/>
  <c r="L422" i="27"/>
  <c r="E35" i="41" s="1"/>
  <c r="L171" i="1"/>
  <c r="E34" i="35" s="1"/>
  <c r="J301" i="27"/>
  <c r="J289" i="27"/>
  <c r="I301" i="27"/>
  <c r="I289" i="27"/>
  <c r="K301" i="27"/>
  <c r="K289" i="27"/>
  <c r="F477" i="27"/>
  <c r="F133" i="27"/>
  <c r="F103" i="1"/>
  <c r="AT504" i="27"/>
  <c r="F82" i="31"/>
  <c r="F305" i="27"/>
  <c r="F67" i="1"/>
  <c r="F98" i="1"/>
  <c r="F144" i="27"/>
  <c r="F264" i="27"/>
  <c r="I260" i="27"/>
  <c r="I269" i="27"/>
  <c r="K260" i="27"/>
  <c r="K269" i="27"/>
  <c r="E103" i="28"/>
  <c r="E219" i="28"/>
  <c r="F182" i="27"/>
  <c r="F197" i="27"/>
  <c r="F156" i="31"/>
  <c r="F155" i="31"/>
  <c r="F47" i="31"/>
  <c r="F48" i="31" s="1"/>
  <c r="G33" i="31"/>
  <c r="G27" i="31"/>
  <c r="G273" i="27"/>
  <c r="G153" i="27"/>
  <c r="J269" i="27"/>
  <c r="J260" i="27"/>
  <c r="AT503" i="27"/>
  <c r="F233" i="31"/>
  <c r="F44" i="32"/>
  <c r="F79" i="32"/>
  <c r="F221" i="31"/>
  <c r="F213" i="31"/>
  <c r="F151" i="31"/>
  <c r="F173" i="31"/>
  <c r="F71" i="31"/>
  <c r="F141" i="31"/>
  <c r="L160" i="1"/>
  <c r="E24" i="35" s="1"/>
  <c r="L161" i="1"/>
  <c r="E25" i="35" s="1"/>
  <c r="F78" i="1"/>
  <c r="F88" i="1"/>
  <c r="F83" i="1"/>
  <c r="F6" i="31"/>
  <c r="F1" i="32"/>
  <c r="F1" i="31"/>
  <c r="F6" i="32"/>
  <c r="V190" i="1"/>
  <c r="F77" i="27"/>
  <c r="F64" i="27"/>
  <c r="G148" i="1"/>
  <c r="H43" i="1"/>
  <c r="F1" i="28"/>
  <c r="F1" i="27"/>
  <c r="F169" i="27"/>
  <c r="F509" i="27"/>
  <c r="F237" i="27"/>
  <c r="F328" i="27"/>
  <c r="F107" i="27"/>
  <c r="F387" i="27"/>
  <c r="F554" i="27"/>
  <c r="F658" i="27"/>
  <c r="F348" i="28"/>
  <c r="F307" i="28"/>
  <c r="F267" i="28"/>
  <c r="F207" i="28"/>
  <c r="F119" i="28"/>
  <c r="F81" i="28"/>
  <c r="F154" i="28"/>
  <c r="F43" i="28"/>
  <c r="F4" i="28"/>
  <c r="F702" i="27"/>
  <c r="F218" i="28" s="1"/>
  <c r="T183" i="1"/>
  <c r="T186" i="1" s="1"/>
  <c r="G700" i="27"/>
  <c r="G701" i="27" s="1"/>
  <c r="J115" i="1"/>
  <c r="F34" i="1"/>
  <c r="L163" i="1"/>
  <c r="E27" i="35" s="1"/>
  <c r="L162" i="1"/>
  <c r="E26" i="35" s="1"/>
  <c r="G114" i="32"/>
  <c r="G145" i="1"/>
  <c r="G144" i="1"/>
  <c r="M119" i="1"/>
  <c r="L120" i="1"/>
  <c r="L122" i="1"/>
  <c r="K123" i="1"/>
  <c r="K124" i="1" s="1"/>
  <c r="L113" i="1"/>
  <c r="K114" i="1"/>
  <c r="H45" i="1"/>
  <c r="H38" i="1"/>
  <c r="H55" i="1" s="1"/>
  <c r="H44" i="1"/>
  <c r="I37" i="1"/>
  <c r="I46" i="1" s="1"/>
  <c r="H46" i="1"/>
  <c r="F60" i="1"/>
  <c r="F6" i="1"/>
  <c r="F1" i="1"/>
  <c r="F130" i="1"/>
  <c r="F208" i="1"/>
  <c r="G172" i="1"/>
  <c r="G159" i="1"/>
  <c r="G136" i="1"/>
  <c r="K109" i="1"/>
  <c r="M2" i="1"/>
  <c r="N36" i="1"/>
  <c r="N48" i="1" s="1"/>
  <c r="L110" i="1"/>
  <c r="L111" i="1" s="1"/>
  <c r="J47" i="28" l="1"/>
  <c r="N49" i="1"/>
  <c r="N50" i="1"/>
  <c r="N51" i="1"/>
  <c r="E230" i="27"/>
  <c r="G44" i="35"/>
  <c r="H154" i="27"/>
  <c r="E670" i="27"/>
  <c r="H101" i="1"/>
  <c r="C27" i="34" s="1"/>
  <c r="H96" i="1"/>
  <c r="C23" i="34" s="1"/>
  <c r="H91" i="1"/>
  <c r="C19" i="34" s="1"/>
  <c r="H86" i="1"/>
  <c r="C15" i="34" s="1"/>
  <c r="H81" i="1"/>
  <c r="C11" i="34" s="1"/>
  <c r="H76" i="1"/>
  <c r="C7" i="34" s="1"/>
  <c r="H65" i="1"/>
  <c r="I101" i="1"/>
  <c r="I96" i="1"/>
  <c r="I91" i="1"/>
  <c r="I86" i="1"/>
  <c r="I81" i="1"/>
  <c r="I76" i="1"/>
  <c r="I65" i="1"/>
  <c r="G198" i="27"/>
  <c r="G199" i="27" s="1"/>
  <c r="E18" i="32"/>
  <c r="G265" i="27"/>
  <c r="G266" i="27" s="1"/>
  <c r="G306" i="27"/>
  <c r="G134" i="27"/>
  <c r="L127" i="27"/>
  <c r="E17" i="38" s="1"/>
  <c r="E37" i="41"/>
  <c r="L352" i="27"/>
  <c r="K350" i="27"/>
  <c r="L347" i="27"/>
  <c r="K345" i="27"/>
  <c r="L358" i="27"/>
  <c r="L355" i="27"/>
  <c r="G248" i="27"/>
  <c r="G294" i="27"/>
  <c r="G295" i="27" s="1"/>
  <c r="G28" i="31"/>
  <c r="G29" i="31" s="1"/>
  <c r="G25" i="31" s="1"/>
  <c r="H73" i="31" s="1"/>
  <c r="H91" i="31" s="1"/>
  <c r="G274" i="27"/>
  <c r="H274" i="27" s="1"/>
  <c r="E322" i="27"/>
  <c r="E18" i="28" s="1"/>
  <c r="E271" i="27"/>
  <c r="E683" i="27"/>
  <c r="E233" i="27"/>
  <c r="E684" i="27" s="1"/>
  <c r="G462" i="27"/>
  <c r="G409" i="27"/>
  <c r="G302" i="27"/>
  <c r="G290" i="27"/>
  <c r="G278" i="27"/>
  <c r="G270" i="27"/>
  <c r="G261" i="27"/>
  <c r="G252" i="27"/>
  <c r="G244" i="27"/>
  <c r="G151" i="27"/>
  <c r="G142" i="27"/>
  <c r="G131" i="27"/>
  <c r="G117" i="27"/>
  <c r="F51" i="32"/>
  <c r="G157" i="31"/>
  <c r="G158" i="31" s="1"/>
  <c r="G154" i="31" s="1"/>
  <c r="G50" i="31" s="1"/>
  <c r="G183" i="27"/>
  <c r="G145" i="27"/>
  <c r="G146" i="27" s="1"/>
  <c r="G83" i="31"/>
  <c r="G84" i="31" s="1"/>
  <c r="G478" i="27"/>
  <c r="G479" i="27" s="1"/>
  <c r="L125" i="27"/>
  <c r="E15" i="38" s="1"/>
  <c r="E34" i="41"/>
  <c r="L126" i="27"/>
  <c r="E16" i="38" s="1"/>
  <c r="E36" i="41"/>
  <c r="J31" i="31"/>
  <c r="L378" i="27"/>
  <c r="L60" i="28" s="1"/>
  <c r="E17" i="45" s="1"/>
  <c r="L376" i="27"/>
  <c r="L338" i="27"/>
  <c r="L335" i="27"/>
  <c r="G256" i="27"/>
  <c r="G257" i="27" s="1"/>
  <c r="G282" i="27"/>
  <c r="G283" i="27" s="1"/>
  <c r="F143" i="27"/>
  <c r="F141" i="27" s="1"/>
  <c r="F436" i="27"/>
  <c r="F447" i="27" s="1"/>
  <c r="G34" i="31"/>
  <c r="H34" i="31" s="1"/>
  <c r="H35" i="31" s="1"/>
  <c r="E321" i="27"/>
  <c r="E323" i="27" s="1"/>
  <c r="E316" i="27"/>
  <c r="E318" i="27" s="1"/>
  <c r="E262" i="27"/>
  <c r="E317" i="27"/>
  <c r="E19" i="28" s="1"/>
  <c r="F323" i="27"/>
  <c r="F193" i="27"/>
  <c r="F192" i="27"/>
  <c r="F178" i="27"/>
  <c r="F177" i="27"/>
  <c r="F195" i="27"/>
  <c r="F194" i="27"/>
  <c r="F180" i="27"/>
  <c r="F179" i="27"/>
  <c r="I494" i="27"/>
  <c r="E232" i="27"/>
  <c r="F463" i="27"/>
  <c r="F483" i="27" s="1"/>
  <c r="F451" i="27"/>
  <c r="F493" i="27"/>
  <c r="I91" i="31"/>
  <c r="I117" i="31"/>
  <c r="I118" i="31"/>
  <c r="I93" i="31"/>
  <c r="I119" i="31"/>
  <c r="I94" i="31"/>
  <c r="I120" i="31"/>
  <c r="I95" i="31"/>
  <c r="I121" i="31"/>
  <c r="I122" i="31"/>
  <c r="I96" i="31"/>
  <c r="I97" i="31"/>
  <c r="I123" i="31"/>
  <c r="I98" i="31"/>
  <c r="I124" i="31"/>
  <c r="I99" i="31"/>
  <c r="I100" i="31"/>
  <c r="E314" i="27"/>
  <c r="H116" i="31"/>
  <c r="D44" i="52" s="1"/>
  <c r="H117" i="31"/>
  <c r="D45" i="52" s="1"/>
  <c r="H92" i="31"/>
  <c r="D20" i="52" s="1"/>
  <c r="H118" i="31"/>
  <c r="D46" i="52" s="1"/>
  <c r="H93" i="31"/>
  <c r="D21" i="52" s="1"/>
  <c r="H119" i="31"/>
  <c r="D47" i="52" s="1"/>
  <c r="H94" i="31"/>
  <c r="D22" i="52" s="1"/>
  <c r="H120" i="31"/>
  <c r="D48" i="52" s="1"/>
  <c r="H121" i="31"/>
  <c r="D49" i="52" s="1"/>
  <c r="H95" i="31"/>
  <c r="D23" i="52" s="1"/>
  <c r="H96" i="31"/>
  <c r="D24" i="52" s="1"/>
  <c r="H122" i="31"/>
  <c r="D50" i="52" s="1"/>
  <c r="H97" i="31"/>
  <c r="D25" i="52" s="1"/>
  <c r="H123" i="31"/>
  <c r="D51" i="52" s="1"/>
  <c r="H124" i="31"/>
  <c r="D52" i="52" s="1"/>
  <c r="H98" i="31"/>
  <c r="D26" i="52" s="1"/>
  <c r="H99" i="31"/>
  <c r="D27" i="52" s="1"/>
  <c r="H100" i="31"/>
  <c r="D28" i="52" s="1"/>
  <c r="G152" i="1"/>
  <c r="E319" i="27"/>
  <c r="X192" i="1"/>
  <c r="H50" i="35" s="1"/>
  <c r="Y193" i="1"/>
  <c r="AD170" i="1"/>
  <c r="AE170" i="1" s="1"/>
  <c r="AF170" i="1" s="1"/>
  <c r="AG170" i="1" s="1"/>
  <c r="F640" i="27"/>
  <c r="K277" i="27"/>
  <c r="J277" i="27"/>
  <c r="L277" i="27"/>
  <c r="K124" i="27"/>
  <c r="K128" i="27" s="1"/>
  <c r="J124" i="27"/>
  <c r="J128" i="27" s="1"/>
  <c r="L124" i="27"/>
  <c r="M322" i="28"/>
  <c r="M281" i="28"/>
  <c r="F644" i="27"/>
  <c r="M102" i="27"/>
  <c r="B52" i="27"/>
  <c r="B58" i="27"/>
  <c r="B60" i="27" s="1"/>
  <c r="G193" i="31"/>
  <c r="M337" i="27"/>
  <c r="F87" i="1"/>
  <c r="G184" i="27"/>
  <c r="F97" i="1"/>
  <c r="F66" i="1"/>
  <c r="G307" i="27"/>
  <c r="G135" i="27"/>
  <c r="G249" i="27"/>
  <c r="G155" i="27"/>
  <c r="F82" i="1"/>
  <c r="F77" i="1"/>
  <c r="F102" i="1"/>
  <c r="F92" i="1"/>
  <c r="F73" i="1"/>
  <c r="F159" i="31"/>
  <c r="G216" i="31"/>
  <c r="E62" i="31"/>
  <c r="G91" i="31"/>
  <c r="G231" i="1"/>
  <c r="G222" i="1"/>
  <c r="G115" i="27"/>
  <c r="F210" i="27"/>
  <c r="F314" i="27"/>
  <c r="F202" i="27"/>
  <c r="F230" i="28"/>
  <c r="K353" i="27"/>
  <c r="M377" i="27"/>
  <c r="M352" i="27"/>
  <c r="G93" i="1"/>
  <c r="G92" i="1" s="1"/>
  <c r="G281" i="27"/>
  <c r="G293" i="27"/>
  <c r="G119" i="27"/>
  <c r="M373" i="27"/>
  <c r="M374" i="27" s="1"/>
  <c r="M368" i="27"/>
  <c r="M369" i="27" s="1"/>
  <c r="G98" i="1"/>
  <c r="G97" i="1" s="1"/>
  <c r="K348" i="27"/>
  <c r="M347" i="27"/>
  <c r="M357" i="27"/>
  <c r="G67" i="1"/>
  <c r="G66" i="1" s="1"/>
  <c r="L435" i="27"/>
  <c r="M31" i="31" s="1"/>
  <c r="N2" i="32"/>
  <c r="N2" i="31"/>
  <c r="N2" i="28"/>
  <c r="N197" i="28" s="1"/>
  <c r="N2" i="27"/>
  <c r="N140" i="27" s="1"/>
  <c r="L425" i="27"/>
  <c r="E38" i="41" s="1"/>
  <c r="K88" i="28"/>
  <c r="K199" i="28" s="1"/>
  <c r="L342" i="27"/>
  <c r="L340" i="27" s="1"/>
  <c r="K103" i="27"/>
  <c r="J104" i="28"/>
  <c r="I9" i="28"/>
  <c r="K68" i="27"/>
  <c r="K93" i="28" s="1"/>
  <c r="J69" i="27"/>
  <c r="J703" i="27" s="1"/>
  <c r="J435" i="27"/>
  <c r="K31" i="31" s="1"/>
  <c r="K363" i="27"/>
  <c r="L362" i="27"/>
  <c r="M419" i="27"/>
  <c r="M420" i="27"/>
  <c r="M421" i="27"/>
  <c r="M125" i="27" s="1"/>
  <c r="M424" i="27"/>
  <c r="M127" i="27" s="1"/>
  <c r="M422" i="27"/>
  <c r="M423" i="27"/>
  <c r="M126" i="27" s="1"/>
  <c r="K435" i="27"/>
  <c r="L31" i="31" s="1"/>
  <c r="K425" i="27"/>
  <c r="K333" i="27"/>
  <c r="L332" i="27"/>
  <c r="K343" i="27"/>
  <c r="J425" i="27"/>
  <c r="G151" i="1"/>
  <c r="M171" i="1"/>
  <c r="L301" i="27"/>
  <c r="D42" i="40" s="1"/>
  <c r="L289" i="27"/>
  <c r="D34" i="40" s="1"/>
  <c r="G702" i="27"/>
  <c r="G218" i="28" s="1"/>
  <c r="G477" i="27"/>
  <c r="G133" i="27"/>
  <c r="E62" i="23"/>
  <c r="E68" i="23"/>
  <c r="G264" i="27"/>
  <c r="G103" i="1"/>
  <c r="G102" i="1" s="1"/>
  <c r="G82" i="31"/>
  <c r="G305" i="27"/>
  <c r="G71" i="1"/>
  <c r="G73" i="1" s="1"/>
  <c r="G72" i="1" s="1"/>
  <c r="G255" i="27"/>
  <c r="G144" i="27"/>
  <c r="G247" i="27"/>
  <c r="H27" i="31"/>
  <c r="D22" i="51" s="1"/>
  <c r="H273" i="27"/>
  <c r="F49" i="31"/>
  <c r="G75" i="31"/>
  <c r="E59" i="28"/>
  <c r="I67" i="1"/>
  <c r="I153" i="27"/>
  <c r="L260" i="27"/>
  <c r="D16" i="40" s="1"/>
  <c r="L269" i="27"/>
  <c r="D21" i="40" s="1"/>
  <c r="G182" i="27"/>
  <c r="G197" i="27"/>
  <c r="H198" i="27" s="1"/>
  <c r="G156" i="31"/>
  <c r="G155" i="31"/>
  <c r="G47" i="31"/>
  <c r="G48" i="31" s="1"/>
  <c r="E102" i="28"/>
  <c r="E231" i="28"/>
  <c r="E228" i="28"/>
  <c r="G44" i="32"/>
  <c r="G79" i="32"/>
  <c r="G221" i="31"/>
  <c r="G213" i="31"/>
  <c r="G151" i="31"/>
  <c r="G173" i="31"/>
  <c r="G71" i="31"/>
  <c r="G141" i="31"/>
  <c r="M161" i="1"/>
  <c r="M160" i="1"/>
  <c r="G83" i="1"/>
  <c r="G82" i="1" s="1"/>
  <c r="G78" i="1"/>
  <c r="G77" i="1" s="1"/>
  <c r="G88" i="1"/>
  <c r="G87" i="1" s="1"/>
  <c r="G6" i="31"/>
  <c r="G1" i="32"/>
  <c r="G1" i="31"/>
  <c r="G6" i="32"/>
  <c r="W190" i="1"/>
  <c r="G77" i="27"/>
  <c r="G64" i="27"/>
  <c r="G164" i="1"/>
  <c r="G1" i="28"/>
  <c r="G1" i="27"/>
  <c r="G328" i="27"/>
  <c r="G169" i="27"/>
  <c r="G237" i="27"/>
  <c r="G107" i="27"/>
  <c r="G387" i="27"/>
  <c r="G509" i="27"/>
  <c r="G554" i="27"/>
  <c r="G658" i="27"/>
  <c r="G119" i="28"/>
  <c r="G267" i="28"/>
  <c r="G207" i="28"/>
  <c r="G348" i="28"/>
  <c r="G307" i="28"/>
  <c r="G154" i="28"/>
  <c r="G81" i="28"/>
  <c r="G43" i="28"/>
  <c r="G4" i="28"/>
  <c r="J37" i="1"/>
  <c r="J44" i="1" s="1"/>
  <c r="G162" i="23"/>
  <c r="G176" i="23"/>
  <c r="E57" i="23"/>
  <c r="H151" i="23" s="1"/>
  <c r="E80" i="23"/>
  <c r="I700" i="27"/>
  <c r="I701" i="27" s="1"/>
  <c r="I148" i="1"/>
  <c r="H700" i="27"/>
  <c r="H148" i="1"/>
  <c r="D14" i="35" s="1"/>
  <c r="U183" i="1"/>
  <c r="K115" i="1"/>
  <c r="I38" i="1"/>
  <c r="I55" i="1" s="1"/>
  <c r="G34" i="1"/>
  <c r="M162" i="1"/>
  <c r="M163" i="1"/>
  <c r="H114" i="32"/>
  <c r="I145" i="1"/>
  <c r="I144" i="1"/>
  <c r="H144" i="1"/>
  <c r="D10" i="35" s="1"/>
  <c r="H145" i="1"/>
  <c r="L118" i="1"/>
  <c r="L121" i="1"/>
  <c r="N119" i="1"/>
  <c r="M120" i="1"/>
  <c r="M122" i="1"/>
  <c r="L123" i="1"/>
  <c r="L124" i="1" s="1"/>
  <c r="M113" i="1"/>
  <c r="L114" i="1"/>
  <c r="L109" i="1"/>
  <c r="L112" i="1"/>
  <c r="I43" i="1"/>
  <c r="H136" i="1"/>
  <c r="H172" i="1"/>
  <c r="D35" i="35" s="1"/>
  <c r="I44" i="1"/>
  <c r="I45" i="1"/>
  <c r="H159" i="1"/>
  <c r="D23" i="35" s="1"/>
  <c r="I172" i="1"/>
  <c r="G146" i="1"/>
  <c r="G1" i="1"/>
  <c r="G6" i="1"/>
  <c r="G130" i="1"/>
  <c r="G208" i="1"/>
  <c r="G60" i="1"/>
  <c r="I136" i="1"/>
  <c r="I159" i="1"/>
  <c r="N2" i="1"/>
  <c r="O36" i="1"/>
  <c r="M110" i="1"/>
  <c r="K47" i="28" l="1"/>
  <c r="O48" i="1"/>
  <c r="O51" i="1"/>
  <c r="O49" i="1"/>
  <c r="O50" i="1"/>
  <c r="F222" i="27"/>
  <c r="G191" i="31"/>
  <c r="H101" i="31"/>
  <c r="G195" i="31"/>
  <c r="H134" i="27"/>
  <c r="H135" i="27" s="1"/>
  <c r="H282" i="27"/>
  <c r="H283" i="27" s="1"/>
  <c r="H280" i="27" s="1"/>
  <c r="G275" i="27"/>
  <c r="G272" i="27" s="1"/>
  <c r="G271" i="27" s="1"/>
  <c r="H248" i="27"/>
  <c r="H249" i="27" s="1"/>
  <c r="H246" i="27" s="1"/>
  <c r="H256" i="27"/>
  <c r="H257" i="27" s="1"/>
  <c r="H306" i="27"/>
  <c r="H307" i="27" s="1"/>
  <c r="H304" i="27" s="1"/>
  <c r="H320" i="27" s="1"/>
  <c r="H322" i="27" s="1"/>
  <c r="H18" i="28" s="1"/>
  <c r="G190" i="31"/>
  <c r="H183" i="27"/>
  <c r="H184" i="27" s="1"/>
  <c r="H175" i="27" s="1"/>
  <c r="H176" i="27" s="1"/>
  <c r="H83" i="31"/>
  <c r="H84" i="31" s="1"/>
  <c r="H265" i="27"/>
  <c r="H266" i="27" s="1"/>
  <c r="H263" i="27" s="1"/>
  <c r="H294" i="27"/>
  <c r="H295" i="27" s="1"/>
  <c r="H292" i="27" s="1"/>
  <c r="H315" i="27" s="1"/>
  <c r="H317" i="27" s="1"/>
  <c r="H19" i="28" s="1"/>
  <c r="H157" i="31"/>
  <c r="H145" i="27"/>
  <c r="H146" i="27" s="1"/>
  <c r="H138" i="27" s="1"/>
  <c r="H139" i="27" s="1"/>
  <c r="H478" i="27"/>
  <c r="H479" i="27" s="1"/>
  <c r="G194" i="31"/>
  <c r="G192" i="31"/>
  <c r="D26" i="40"/>
  <c r="J43" i="1"/>
  <c r="I462" i="27"/>
  <c r="I409" i="27"/>
  <c r="I302" i="27"/>
  <c r="I290" i="27"/>
  <c r="I278" i="27"/>
  <c r="I270" i="27"/>
  <c r="I261" i="27"/>
  <c r="I252" i="27"/>
  <c r="I244" i="27"/>
  <c r="I151" i="27"/>
  <c r="I142" i="27"/>
  <c r="I131" i="27"/>
  <c r="I117" i="27"/>
  <c r="H462" i="27"/>
  <c r="H409" i="27"/>
  <c r="H302" i="27"/>
  <c r="H290" i="27"/>
  <c r="H278" i="27"/>
  <c r="H270" i="27"/>
  <c r="H261" i="27"/>
  <c r="H252" i="27"/>
  <c r="H244" i="27"/>
  <c r="H151" i="27"/>
  <c r="H142" i="27"/>
  <c r="H131" i="27"/>
  <c r="H117" i="27"/>
  <c r="H152" i="1"/>
  <c r="H701" i="27"/>
  <c r="H702" i="27" s="1"/>
  <c r="H218" i="28" s="1"/>
  <c r="H230" i="28" s="1"/>
  <c r="E88" i="32"/>
  <c r="E37" i="31"/>
  <c r="I274" i="27"/>
  <c r="M358" i="27"/>
  <c r="M355" i="27"/>
  <c r="H120" i="27"/>
  <c r="M353" i="27"/>
  <c r="M350" i="27"/>
  <c r="D19" i="52"/>
  <c r="G224" i="31"/>
  <c r="G233" i="31" s="1"/>
  <c r="M338" i="27"/>
  <c r="M335" i="27"/>
  <c r="D17" i="35"/>
  <c r="H125" i="31"/>
  <c r="D53" i="52" s="1"/>
  <c r="F496" i="27"/>
  <c r="F63" i="28" s="1"/>
  <c r="G35" i="31"/>
  <c r="D3" i="52"/>
  <c r="E24" i="51"/>
  <c r="H28" i="31"/>
  <c r="H29" i="31" s="1"/>
  <c r="H25" i="31" s="1"/>
  <c r="D20" i="51" s="1"/>
  <c r="C24" i="40"/>
  <c r="D11" i="35"/>
  <c r="E121" i="32"/>
  <c r="I28" i="31"/>
  <c r="L333" i="27"/>
  <c r="L330" i="27"/>
  <c r="L363" i="27"/>
  <c r="L360" i="27"/>
  <c r="L85" i="28" s="1"/>
  <c r="D5" i="46" s="1"/>
  <c r="M348" i="27"/>
  <c r="M345" i="27"/>
  <c r="M378" i="27"/>
  <c r="M60" i="28" s="1"/>
  <c r="M376" i="27"/>
  <c r="G118" i="27"/>
  <c r="F164" i="31"/>
  <c r="L128" i="27"/>
  <c r="E14" i="38"/>
  <c r="E48" i="41"/>
  <c r="D5" i="35"/>
  <c r="L348" i="27"/>
  <c r="L345" i="27"/>
  <c r="L353" i="27"/>
  <c r="L350" i="27"/>
  <c r="F472" i="27"/>
  <c r="J494" i="27"/>
  <c r="L494" i="27"/>
  <c r="K494" i="27"/>
  <c r="G116" i="27"/>
  <c r="M111" i="1"/>
  <c r="AH170" i="1"/>
  <c r="AI170" i="1" s="1"/>
  <c r="AJ170" i="1" s="1"/>
  <c r="AK170" i="1" s="1"/>
  <c r="Y192" i="1"/>
  <c r="Z193" i="1"/>
  <c r="M277" i="27"/>
  <c r="M124" i="27"/>
  <c r="M128" i="27" s="1"/>
  <c r="N281" i="28"/>
  <c r="N322" i="28"/>
  <c r="E322" i="28"/>
  <c r="E281" i="28"/>
  <c r="E113" i="28"/>
  <c r="F113" i="28" s="1"/>
  <c r="G113" i="28" s="1"/>
  <c r="H113" i="28" s="1"/>
  <c r="C33" i="46" s="1"/>
  <c r="B53" i="27"/>
  <c r="B55" i="27" s="1"/>
  <c r="B56" i="27" s="1"/>
  <c r="H231" i="1"/>
  <c r="N337" i="27"/>
  <c r="G431" i="27"/>
  <c r="G432" i="27"/>
  <c r="G429" i="27"/>
  <c r="G430" i="27"/>
  <c r="G428" i="27"/>
  <c r="G427" i="27"/>
  <c r="G397" i="27"/>
  <c r="H222" i="1"/>
  <c r="H153" i="27"/>
  <c r="N352" i="27"/>
  <c r="H199" i="27"/>
  <c r="H190" i="27" s="1"/>
  <c r="H191" i="27" s="1"/>
  <c r="H155" i="27"/>
  <c r="U186" i="1"/>
  <c r="I66" i="1"/>
  <c r="I273" i="27"/>
  <c r="I33" i="31"/>
  <c r="I27" i="31"/>
  <c r="F72" i="1"/>
  <c r="F165" i="31"/>
  <c r="F163" i="31"/>
  <c r="F162" i="31"/>
  <c r="F168" i="31"/>
  <c r="G26" i="31"/>
  <c r="H216" i="31"/>
  <c r="C4" i="56" s="1"/>
  <c r="G101" i="31"/>
  <c r="D29" i="52" s="1"/>
  <c r="G159" i="31"/>
  <c r="G165" i="31" s="1"/>
  <c r="G393" i="27"/>
  <c r="G457" i="27"/>
  <c r="G392" i="27"/>
  <c r="G453" i="27"/>
  <c r="G456" i="27"/>
  <c r="G395" i="27"/>
  <c r="G454" i="27"/>
  <c r="G455" i="27"/>
  <c r="G458" i="27"/>
  <c r="G396" i="27"/>
  <c r="G175" i="27"/>
  <c r="F203" i="27"/>
  <c r="F181" i="27"/>
  <c r="F205" i="27"/>
  <c r="F213" i="27"/>
  <c r="F214" i="27"/>
  <c r="G280" i="27"/>
  <c r="G263" i="27"/>
  <c r="G304" i="27"/>
  <c r="G138" i="27"/>
  <c r="G190" i="27"/>
  <c r="F204" i="27"/>
  <c r="F206" i="27"/>
  <c r="F211" i="27"/>
  <c r="F196" i="27"/>
  <c r="F212" i="27"/>
  <c r="G292" i="27"/>
  <c r="G246" i="27"/>
  <c r="G394" i="27"/>
  <c r="G230" i="28"/>
  <c r="N377" i="27"/>
  <c r="H75" i="31"/>
  <c r="D5" i="52" s="1"/>
  <c r="H93" i="1"/>
  <c r="H92" i="1" s="1"/>
  <c r="C20" i="34" s="1" a="1"/>
  <c r="C20" i="34" s="1"/>
  <c r="H281" i="27"/>
  <c r="I93" i="1"/>
  <c r="I281" i="27"/>
  <c r="I144" i="27"/>
  <c r="H305" i="27"/>
  <c r="N368" i="27"/>
  <c r="N369" i="27" s="1"/>
  <c r="G76" i="31"/>
  <c r="G81" i="31" s="1"/>
  <c r="H103" i="1"/>
  <c r="H102" i="1" s="1"/>
  <c r="C28" i="34" s="1" a="1"/>
  <c r="C28" i="34" s="1"/>
  <c r="H33" i="31"/>
  <c r="H119" i="27"/>
  <c r="N373" i="27"/>
  <c r="N374" i="27" s="1"/>
  <c r="N347" i="27"/>
  <c r="H67" i="1"/>
  <c r="H66" i="1" s="1"/>
  <c r="N357" i="27"/>
  <c r="L9" i="28"/>
  <c r="I98" i="1"/>
  <c r="H255" i="27"/>
  <c r="N102" i="27"/>
  <c r="K37" i="1"/>
  <c r="J45" i="1"/>
  <c r="O2" i="31"/>
  <c r="O2" i="32"/>
  <c r="O2" i="28"/>
  <c r="O197" i="28" s="1"/>
  <c r="O2" i="27"/>
  <c r="O140" i="27" s="1"/>
  <c r="O337" i="27"/>
  <c r="K9" i="28"/>
  <c r="M435" i="27"/>
  <c r="J9" i="28"/>
  <c r="L68" i="27"/>
  <c r="K69" i="27"/>
  <c r="K703" i="27" s="1"/>
  <c r="L88" i="28"/>
  <c r="D8" i="46" s="1"/>
  <c r="M342" i="27"/>
  <c r="M340" i="27" s="1"/>
  <c r="M332" i="27"/>
  <c r="M425" i="27"/>
  <c r="M362" i="27"/>
  <c r="L103" i="27"/>
  <c r="K104" i="28"/>
  <c r="L343" i="27"/>
  <c r="L47" i="28" s="1"/>
  <c r="E5" i="45" s="1"/>
  <c r="N419" i="27"/>
  <c r="N423" i="27"/>
  <c r="N126" i="27" s="1"/>
  <c r="N424" i="27"/>
  <c r="N127" i="27" s="1"/>
  <c r="N421" i="27"/>
  <c r="N125" i="27" s="1"/>
  <c r="N422" i="27"/>
  <c r="N420" i="27"/>
  <c r="J46" i="1"/>
  <c r="J38" i="1"/>
  <c r="J55" i="1" s="1"/>
  <c r="I293" i="27"/>
  <c r="H151" i="1"/>
  <c r="D16" i="35" s="1"/>
  <c r="I151" i="1"/>
  <c r="N171" i="1"/>
  <c r="I702" i="27"/>
  <c r="I218" i="28" s="1"/>
  <c r="M301" i="27"/>
  <c r="M289" i="27"/>
  <c r="H477" i="27"/>
  <c r="H133" i="27"/>
  <c r="I477" i="27"/>
  <c r="I133" i="27"/>
  <c r="F62" i="23"/>
  <c r="F68" i="23"/>
  <c r="I82" i="31"/>
  <c r="H82" i="31"/>
  <c r="I305" i="27"/>
  <c r="H293" i="27"/>
  <c r="I255" i="27"/>
  <c r="I71" i="1"/>
  <c r="H71" i="1"/>
  <c r="H73" i="1" s="1"/>
  <c r="H72" i="1" s="1"/>
  <c r="H98" i="1"/>
  <c r="H97" i="1" s="1"/>
  <c r="C24" i="34" s="1" a="1"/>
  <c r="C24" i="34" s="1"/>
  <c r="H144" i="27"/>
  <c r="I119" i="27"/>
  <c r="I103" i="1"/>
  <c r="H247" i="27"/>
  <c r="H264" i="27"/>
  <c r="I247" i="27"/>
  <c r="I264" i="27"/>
  <c r="E48" i="28"/>
  <c r="I155" i="31"/>
  <c r="I47" i="31"/>
  <c r="I48" i="31" s="1"/>
  <c r="H182" i="27"/>
  <c r="H197" i="27"/>
  <c r="I198" i="27" s="1"/>
  <c r="H156" i="31"/>
  <c r="H155" i="31"/>
  <c r="C5" i="54" s="1"/>
  <c r="H47" i="31"/>
  <c r="D38" i="51" s="1"/>
  <c r="M260" i="27"/>
  <c r="M269" i="27"/>
  <c r="G49" i="31"/>
  <c r="I182" i="27"/>
  <c r="I197" i="27"/>
  <c r="I156" i="31"/>
  <c r="E41" i="31"/>
  <c r="E65" i="28"/>
  <c r="H44" i="32"/>
  <c r="H79" i="32"/>
  <c r="H221" i="31"/>
  <c r="H213" i="31"/>
  <c r="H151" i="31"/>
  <c r="H173" i="31"/>
  <c r="H71" i="31"/>
  <c r="H141" i="31"/>
  <c r="N160" i="1"/>
  <c r="N161" i="1"/>
  <c r="I83" i="1"/>
  <c r="H83" i="1"/>
  <c r="H82" i="1" s="1"/>
  <c r="C12" i="34" s="1" a="1"/>
  <c r="C12" i="34" s="1"/>
  <c r="I88" i="1"/>
  <c r="I78" i="1"/>
  <c r="H78" i="1"/>
  <c r="H77" i="1" s="1"/>
  <c r="C8" i="34" s="1" a="1"/>
  <c r="C8" i="34" s="1"/>
  <c r="H88" i="1"/>
  <c r="H87" i="1" s="1"/>
  <c r="C16" i="34" s="1" a="1"/>
  <c r="C16" i="34" s="1"/>
  <c r="H6" i="31"/>
  <c r="H1" i="32"/>
  <c r="H1" i="31"/>
  <c r="H6" i="32"/>
  <c r="X190" i="1"/>
  <c r="H48" i="35" s="1"/>
  <c r="H77" i="27"/>
  <c r="H64" i="27"/>
  <c r="I164" i="1"/>
  <c r="H1" i="28"/>
  <c r="H1" i="27"/>
  <c r="H107" i="27"/>
  <c r="H387" i="27"/>
  <c r="H554" i="27"/>
  <c r="H658" i="27"/>
  <c r="H169" i="27"/>
  <c r="H509" i="27"/>
  <c r="H237" i="27"/>
  <c r="H328" i="27"/>
  <c r="H154" i="28"/>
  <c r="H43" i="28"/>
  <c r="H4" i="28"/>
  <c r="H81" i="28"/>
  <c r="H348" i="28"/>
  <c r="H307" i="28"/>
  <c r="H267" i="28"/>
  <c r="H207" i="28"/>
  <c r="H119" i="28"/>
  <c r="H164" i="1"/>
  <c r="D28" i="35" s="1"/>
  <c r="E218" i="28"/>
  <c r="H162" i="23"/>
  <c r="H176" i="23"/>
  <c r="F57" i="23"/>
  <c r="I151" i="23" s="1"/>
  <c r="F80" i="23"/>
  <c r="J700" i="27"/>
  <c r="J701" i="27" s="1"/>
  <c r="V183" i="1"/>
  <c r="V186" i="1" s="1"/>
  <c r="L115" i="1"/>
  <c r="I114" i="32"/>
  <c r="H34" i="1"/>
  <c r="N163" i="1"/>
  <c r="N162" i="1"/>
  <c r="J114" i="32"/>
  <c r="H146" i="1"/>
  <c r="D12" i="35" s="1"/>
  <c r="J145" i="1"/>
  <c r="M118" i="1"/>
  <c r="M121" i="1"/>
  <c r="O119" i="1"/>
  <c r="N120" i="1"/>
  <c r="N122" i="1"/>
  <c r="M123" i="1"/>
  <c r="N113" i="1"/>
  <c r="M114" i="1"/>
  <c r="H60" i="1"/>
  <c r="H208" i="1"/>
  <c r="H6" i="1"/>
  <c r="H1" i="1"/>
  <c r="H130" i="1"/>
  <c r="I146" i="1"/>
  <c r="J159" i="1"/>
  <c r="M109" i="1"/>
  <c r="K45" i="1"/>
  <c r="K44" i="1"/>
  <c r="K46" i="1"/>
  <c r="K43" i="1"/>
  <c r="L37" i="1"/>
  <c r="K38" i="1"/>
  <c r="K55" i="1" s="1"/>
  <c r="P36" i="1"/>
  <c r="O2" i="1"/>
  <c r="N110" i="1"/>
  <c r="N111" i="1" s="1"/>
  <c r="E5" i="37" l="1"/>
  <c r="L93" i="28"/>
  <c r="D13" i="46" s="1"/>
  <c r="P50" i="1"/>
  <c r="P48" i="1"/>
  <c r="P49" i="1"/>
  <c r="P51" i="1"/>
  <c r="H192" i="31"/>
  <c r="C20" i="55" s="1"/>
  <c r="H190" i="31"/>
  <c r="C18" i="55" s="1"/>
  <c r="I248" i="27"/>
  <c r="J248" i="27" s="1"/>
  <c r="I306" i="27"/>
  <c r="I282" i="27"/>
  <c r="J282" i="27" s="1"/>
  <c r="D11" i="49"/>
  <c r="H143" i="27"/>
  <c r="H141" i="27" s="1"/>
  <c r="G189" i="31"/>
  <c r="I294" i="27"/>
  <c r="J294" i="27" s="1"/>
  <c r="I83" i="31"/>
  <c r="J83" i="31" s="1"/>
  <c r="I134" i="27"/>
  <c r="J134" i="27" s="1"/>
  <c r="I256" i="27"/>
  <c r="J256" i="27" s="1"/>
  <c r="J257" i="27" s="1"/>
  <c r="C28" i="40"/>
  <c r="I157" i="31"/>
  <c r="J157" i="31" s="1"/>
  <c r="J158" i="31" s="1"/>
  <c r="I183" i="27"/>
  <c r="J183" i="27" s="1"/>
  <c r="J184" i="27" s="1"/>
  <c r="J175" i="27" s="1"/>
  <c r="J176" i="27" s="1"/>
  <c r="I265" i="27"/>
  <c r="I266" i="27" s="1"/>
  <c r="C18" i="40"/>
  <c r="H193" i="31"/>
  <c r="C21" i="55" s="1"/>
  <c r="H194" i="31"/>
  <c r="C22" i="55" s="1"/>
  <c r="I145" i="27"/>
  <c r="J145" i="27" s="1"/>
  <c r="I120" i="27"/>
  <c r="J120" i="27" s="1"/>
  <c r="J121" i="27" s="1"/>
  <c r="J115" i="27" s="1"/>
  <c r="D25" i="38"/>
  <c r="I478" i="27"/>
  <c r="I479" i="27" s="1"/>
  <c r="C8" i="40"/>
  <c r="H191" i="31"/>
  <c r="C19" i="55" s="1"/>
  <c r="H195" i="31"/>
  <c r="C23" i="55" s="1"/>
  <c r="E6" i="44"/>
  <c r="E86" i="41"/>
  <c r="K101" i="1"/>
  <c r="K96" i="1"/>
  <c r="K91" i="1"/>
  <c r="K86" i="1"/>
  <c r="K81" i="1"/>
  <c r="K76" i="1"/>
  <c r="K65" i="1"/>
  <c r="J306" i="27"/>
  <c r="J478" i="27"/>
  <c r="J198" i="27"/>
  <c r="G51" i="32"/>
  <c r="J101" i="1"/>
  <c r="J96" i="1"/>
  <c r="J91" i="1"/>
  <c r="J86" i="1"/>
  <c r="J81" i="1"/>
  <c r="J76" i="1"/>
  <c r="J65" i="1"/>
  <c r="N362" i="27"/>
  <c r="M360" i="27"/>
  <c r="M85" i="28" s="1"/>
  <c r="N332" i="27"/>
  <c r="M330" i="27"/>
  <c r="N31" i="31"/>
  <c r="O338" i="27"/>
  <c r="O335" i="27"/>
  <c r="I34" i="31"/>
  <c r="J34" i="31" s="1"/>
  <c r="D26" i="51"/>
  <c r="G148" i="27"/>
  <c r="G621" i="27"/>
  <c r="G626" i="27" s="1"/>
  <c r="C36" i="40"/>
  <c r="F226" i="27"/>
  <c r="C15" i="39"/>
  <c r="C44" i="40"/>
  <c r="C7" i="39"/>
  <c r="G593" i="27"/>
  <c r="G598" i="27" s="1"/>
  <c r="G607" i="27"/>
  <c r="G565" i="27"/>
  <c r="G570" i="27" s="1"/>
  <c r="F229" i="31"/>
  <c r="F239" i="31" s="1"/>
  <c r="J28" i="31"/>
  <c r="J29" i="31" s="1"/>
  <c r="J25" i="31" s="1"/>
  <c r="J274" i="27"/>
  <c r="N353" i="27"/>
  <c r="N350" i="27"/>
  <c r="N338" i="27"/>
  <c r="N335" i="27"/>
  <c r="F490" i="27"/>
  <c r="F482" i="27" s="1"/>
  <c r="C45" i="40"/>
  <c r="C37" i="40"/>
  <c r="D29" i="38"/>
  <c r="D82" i="41"/>
  <c r="C3" i="34"/>
  <c r="C17" i="39"/>
  <c r="C9" i="39"/>
  <c r="C14" i="40"/>
  <c r="D10" i="38"/>
  <c r="N358" i="27"/>
  <c r="N355" i="27"/>
  <c r="N348" i="27"/>
  <c r="N345" i="27"/>
  <c r="N378" i="27"/>
  <c r="N60" i="28" s="1"/>
  <c r="N376" i="27"/>
  <c r="G579" i="27"/>
  <c r="G584" i="27" s="1"/>
  <c r="G84" i="27"/>
  <c r="G92" i="27" s="1"/>
  <c r="C4" i="34" a="1"/>
  <c r="C4" i="34" s="1"/>
  <c r="I154" i="27"/>
  <c r="J154" i="27" s="1"/>
  <c r="D35" i="38"/>
  <c r="C19" i="40"/>
  <c r="D21" i="38"/>
  <c r="D12" i="52"/>
  <c r="C9" i="40"/>
  <c r="C6" i="54"/>
  <c r="C29" i="40"/>
  <c r="F667" i="27"/>
  <c r="G13" i="32"/>
  <c r="F225" i="27"/>
  <c r="F223" i="27"/>
  <c r="F224" i="27"/>
  <c r="H193" i="27"/>
  <c r="H212" i="27" s="1"/>
  <c r="H192" i="27"/>
  <c r="H211" i="27" s="1"/>
  <c r="H178" i="27"/>
  <c r="H204" i="27" s="1"/>
  <c r="H224" i="27" s="1"/>
  <c r="H177" i="27"/>
  <c r="H203" i="27" s="1"/>
  <c r="H195" i="27"/>
  <c r="H214" i="27" s="1"/>
  <c r="H194" i="27"/>
  <c r="H213" i="27" s="1"/>
  <c r="H180" i="27"/>
  <c r="H206" i="27" s="1"/>
  <c r="H179" i="27"/>
  <c r="H205" i="27" s="1"/>
  <c r="M494" i="27"/>
  <c r="H210" i="27"/>
  <c r="K91" i="31"/>
  <c r="K117" i="31"/>
  <c r="K118" i="31"/>
  <c r="K93" i="31"/>
  <c r="K119" i="31"/>
  <c r="K94" i="31"/>
  <c r="K120" i="31"/>
  <c r="K95" i="31"/>
  <c r="K121" i="31"/>
  <c r="K96" i="31"/>
  <c r="K122" i="31"/>
  <c r="K97" i="31"/>
  <c r="K123" i="31"/>
  <c r="K98" i="31"/>
  <c r="K124" i="31"/>
  <c r="K99" i="31"/>
  <c r="K100" i="31"/>
  <c r="M124" i="1"/>
  <c r="J91" i="31"/>
  <c r="J117" i="31"/>
  <c r="J118" i="31"/>
  <c r="J93" i="31"/>
  <c r="J119" i="31"/>
  <c r="J94" i="31"/>
  <c r="J120" i="31"/>
  <c r="J95" i="31"/>
  <c r="J121" i="31"/>
  <c r="J122" i="31"/>
  <c r="J96" i="31"/>
  <c r="J97" i="31"/>
  <c r="J123" i="31"/>
  <c r="J98" i="31"/>
  <c r="J124" i="31"/>
  <c r="J99" i="31"/>
  <c r="J100" i="31"/>
  <c r="Z192" i="1"/>
  <c r="AA193" i="1"/>
  <c r="AL170" i="1"/>
  <c r="AM170" i="1" s="1"/>
  <c r="AN170" i="1" s="1"/>
  <c r="AO170" i="1" s="1"/>
  <c r="M112" i="1"/>
  <c r="N277" i="27"/>
  <c r="N124" i="27"/>
  <c r="N128" i="27" s="1"/>
  <c r="O322" i="28"/>
  <c r="O281" i="28"/>
  <c r="G635" i="27"/>
  <c r="I113" i="28"/>
  <c r="J113" i="28" s="1"/>
  <c r="K113" i="28" s="1"/>
  <c r="L113" i="28" s="1"/>
  <c r="D33" i="46" s="1"/>
  <c r="C56" i="27"/>
  <c r="I231" i="1"/>
  <c r="J231" i="1" s="1"/>
  <c r="O102" i="27"/>
  <c r="H431" i="27"/>
  <c r="D45" i="41" s="1"/>
  <c r="H432" i="27"/>
  <c r="D46" i="41" s="1"/>
  <c r="H429" i="27"/>
  <c r="D43" i="41" s="1"/>
  <c r="H430" i="27"/>
  <c r="D44" i="41" s="1"/>
  <c r="H428" i="27"/>
  <c r="D42" i="41" s="1"/>
  <c r="H427" i="27"/>
  <c r="D41" i="41" s="1"/>
  <c r="H202" i="27"/>
  <c r="H394" i="27"/>
  <c r="D8" i="41" s="1"/>
  <c r="H458" i="27"/>
  <c r="D67" i="41" s="1"/>
  <c r="H453" i="27"/>
  <c r="D62" i="41" s="1"/>
  <c r="H456" i="27"/>
  <c r="D65" i="41" s="1"/>
  <c r="H454" i="27"/>
  <c r="D63" i="41" s="1"/>
  <c r="H396" i="27"/>
  <c r="D10" i="41" s="1"/>
  <c r="H303" i="27"/>
  <c r="H321" i="27" s="1"/>
  <c r="H319" i="27" s="1"/>
  <c r="I307" i="27"/>
  <c r="H279" i="27"/>
  <c r="H457" i="27"/>
  <c r="H565" i="27" s="1"/>
  <c r="H455" i="27"/>
  <c r="D64" i="41" s="1"/>
  <c r="H395" i="27"/>
  <c r="D9" i="41" s="1"/>
  <c r="H393" i="27"/>
  <c r="D7" i="41" s="1"/>
  <c r="H397" i="27"/>
  <c r="D11" i="41" s="1"/>
  <c r="H392" i="27"/>
  <c r="D6" i="41" s="1"/>
  <c r="O352" i="27"/>
  <c r="H121" i="27"/>
  <c r="H115" i="27" s="1"/>
  <c r="H291" i="27"/>
  <c r="H316" i="27" s="1"/>
  <c r="H314" i="27" s="1"/>
  <c r="H245" i="27"/>
  <c r="G279" i="27"/>
  <c r="I199" i="27"/>
  <c r="O347" i="27"/>
  <c r="O377" i="27"/>
  <c r="H262" i="27"/>
  <c r="O368" i="27"/>
  <c r="O369" i="27" s="1"/>
  <c r="I87" i="1"/>
  <c r="I82" i="1"/>
  <c r="I102" i="1"/>
  <c r="I73" i="1"/>
  <c r="I97" i="1"/>
  <c r="H275" i="27"/>
  <c r="I77" i="1"/>
  <c r="L199" i="28"/>
  <c r="I92" i="1"/>
  <c r="I29" i="31"/>
  <c r="I25" i="31" s="1"/>
  <c r="I73" i="31"/>
  <c r="I216" i="31"/>
  <c r="H26" i="31"/>
  <c r="D21" i="51" s="1"/>
  <c r="H158" i="31"/>
  <c r="F161" i="31"/>
  <c r="G163" i="31"/>
  <c r="G164" i="31"/>
  <c r="G162" i="31"/>
  <c r="G168" i="31"/>
  <c r="G229" i="31" s="1"/>
  <c r="G241" i="31" s="1"/>
  <c r="G240" i="31" s="1"/>
  <c r="G62" i="31" s="1"/>
  <c r="H48" i="31"/>
  <c r="D39" i="51" s="1"/>
  <c r="I222" i="1"/>
  <c r="J222" i="1" s="1"/>
  <c r="G398" i="27"/>
  <c r="G459" i="27"/>
  <c r="G433" i="27"/>
  <c r="G245" i="27"/>
  <c r="G315" i="27"/>
  <c r="G317" i="27" s="1"/>
  <c r="G19" i="28" s="1"/>
  <c r="D16" i="44" s="1"/>
  <c r="G191" i="27"/>
  <c r="C16" i="39" s="1"/>
  <c r="G139" i="27"/>
  <c r="G320" i="27"/>
  <c r="G322" i="27" s="1"/>
  <c r="G18" i="28" s="1"/>
  <c r="D15" i="44" s="1"/>
  <c r="G291" i="27"/>
  <c r="G262" i="27"/>
  <c r="E12" i="28"/>
  <c r="F215" i="27"/>
  <c r="F219" i="28"/>
  <c r="F228" i="27"/>
  <c r="F367" i="27" s="1"/>
  <c r="F365" i="27" s="1"/>
  <c r="F102" i="28" s="1"/>
  <c r="F219" i="27"/>
  <c r="F207" i="27"/>
  <c r="G303" i="27"/>
  <c r="G176" i="27"/>
  <c r="C8" i="39" s="1"/>
  <c r="I230" i="28"/>
  <c r="J93" i="1"/>
  <c r="J92" i="1" s="1"/>
  <c r="O373" i="27"/>
  <c r="O374" i="27" s="1"/>
  <c r="H76" i="31"/>
  <c r="D6" i="52" s="1"/>
  <c r="J305" i="27"/>
  <c r="O357" i="27"/>
  <c r="E38" i="31"/>
  <c r="E55" i="31" s="1"/>
  <c r="J144" i="27"/>
  <c r="P2" i="32"/>
  <c r="P2" i="31"/>
  <c r="P2" i="28"/>
  <c r="P197" i="28" s="1"/>
  <c r="P2" i="27"/>
  <c r="P140" i="27" s="1"/>
  <c r="P337" i="27"/>
  <c r="N425" i="27"/>
  <c r="M88" i="28"/>
  <c r="M199" i="28" s="1"/>
  <c r="N342" i="27"/>
  <c r="N340" i="27" s="1"/>
  <c r="M9" i="28"/>
  <c r="O362" i="27"/>
  <c r="N435" i="27"/>
  <c r="O31" i="31" s="1"/>
  <c r="M103" i="27"/>
  <c r="L104" i="28"/>
  <c r="D24" i="46" s="1"/>
  <c r="M363" i="27"/>
  <c r="M333" i="27"/>
  <c r="M343" i="27"/>
  <c r="M47" i="28" s="1"/>
  <c r="M68" i="27"/>
  <c r="M93" i="28" s="1"/>
  <c r="L69" i="27"/>
  <c r="O332" i="27"/>
  <c r="O419" i="27"/>
  <c r="O422" i="27"/>
  <c r="O421" i="27"/>
  <c r="O125" i="27" s="1"/>
  <c r="O420" i="27"/>
  <c r="O423" i="27"/>
  <c r="O126" i="27" s="1"/>
  <c r="O424" i="27"/>
  <c r="O127" i="27" s="1"/>
  <c r="J136" i="1"/>
  <c r="J172" i="1"/>
  <c r="J144" i="1"/>
  <c r="J148" i="1"/>
  <c r="J247" i="27"/>
  <c r="J153" i="27"/>
  <c r="O171" i="1"/>
  <c r="N301" i="27"/>
  <c r="N289" i="27"/>
  <c r="J702" i="27"/>
  <c r="J218" i="28" s="1"/>
  <c r="J477" i="27"/>
  <c r="J133" i="27"/>
  <c r="G62" i="23"/>
  <c r="G68" i="23"/>
  <c r="J71" i="1"/>
  <c r="J73" i="1" s="1"/>
  <c r="J72" i="1" s="1"/>
  <c r="J293" i="27"/>
  <c r="J67" i="1"/>
  <c r="J119" i="27"/>
  <c r="J103" i="1"/>
  <c r="J102" i="1" s="1"/>
  <c r="J255" i="27"/>
  <c r="J264" i="27"/>
  <c r="K33" i="31"/>
  <c r="K27" i="31"/>
  <c r="K273" i="27"/>
  <c r="K153" i="27"/>
  <c r="N269" i="27"/>
  <c r="N260" i="27"/>
  <c r="H224" i="31"/>
  <c r="H13" i="32" s="1"/>
  <c r="H49" i="31"/>
  <c r="D40" i="51" s="1"/>
  <c r="I49" i="31"/>
  <c r="J155" i="31"/>
  <c r="J47" i="31"/>
  <c r="J48" i="31" s="1"/>
  <c r="E314" i="28"/>
  <c r="E356" i="28"/>
  <c r="E276" i="28"/>
  <c r="J44" i="32"/>
  <c r="J79" i="32"/>
  <c r="I44" i="32"/>
  <c r="I79" i="32"/>
  <c r="J221" i="31"/>
  <c r="J213" i="31"/>
  <c r="I221" i="31"/>
  <c r="I213" i="31"/>
  <c r="J151" i="31"/>
  <c r="J173" i="31"/>
  <c r="I151" i="31"/>
  <c r="I173" i="31"/>
  <c r="I71" i="31"/>
  <c r="I141" i="31"/>
  <c r="J71" i="31"/>
  <c r="J141" i="31"/>
  <c r="O161" i="1"/>
  <c r="O160" i="1"/>
  <c r="J83" i="1"/>
  <c r="J82" i="1" s="1"/>
  <c r="I6" i="31"/>
  <c r="J6" i="31"/>
  <c r="I1" i="32"/>
  <c r="I1" i="31"/>
  <c r="I6" i="32"/>
  <c r="J1" i="32"/>
  <c r="J1" i="31"/>
  <c r="J6" i="32"/>
  <c r="Y190" i="1"/>
  <c r="J77" i="27"/>
  <c r="J64" i="27"/>
  <c r="I77" i="27"/>
  <c r="I64" i="27"/>
  <c r="J1" i="28"/>
  <c r="J1" i="27"/>
  <c r="J169" i="27"/>
  <c r="J509" i="27"/>
  <c r="J237" i="27"/>
  <c r="J328" i="27"/>
  <c r="J107" i="27"/>
  <c r="J387" i="27"/>
  <c r="J554" i="27"/>
  <c r="J658" i="27"/>
  <c r="J348" i="28"/>
  <c r="J307" i="28"/>
  <c r="J267" i="28"/>
  <c r="J207" i="28"/>
  <c r="J119" i="28"/>
  <c r="J81" i="28"/>
  <c r="J154" i="28"/>
  <c r="J43" i="28"/>
  <c r="J4" i="28"/>
  <c r="J164" i="1"/>
  <c r="I34" i="1"/>
  <c r="I1" i="28"/>
  <c r="I1" i="27"/>
  <c r="I237" i="27"/>
  <c r="I107" i="27"/>
  <c r="I387" i="27"/>
  <c r="I509" i="27"/>
  <c r="I554" i="27"/>
  <c r="I658" i="27"/>
  <c r="I328" i="27"/>
  <c r="I169" i="27"/>
  <c r="I267" i="28"/>
  <c r="I207" i="28"/>
  <c r="I348" i="28"/>
  <c r="I307" i="28"/>
  <c r="I154" i="28"/>
  <c r="I81" i="28"/>
  <c r="I43" i="28"/>
  <c r="I4" i="28"/>
  <c r="I119" i="28"/>
  <c r="E230" i="28"/>
  <c r="D23" i="49" s="1"/>
  <c r="I162" i="23"/>
  <c r="I176" i="23"/>
  <c r="G57" i="23"/>
  <c r="J151" i="23" s="1"/>
  <c r="G80" i="23"/>
  <c r="K700" i="27"/>
  <c r="K701" i="27" s="1"/>
  <c r="K148" i="1"/>
  <c r="W183" i="1"/>
  <c r="M115" i="1"/>
  <c r="I60" i="1"/>
  <c r="I6" i="1"/>
  <c r="I1" i="1"/>
  <c r="I130" i="1"/>
  <c r="I208" i="1"/>
  <c r="J34" i="1"/>
  <c r="O162" i="1"/>
  <c r="O163" i="1"/>
  <c r="K114" i="32"/>
  <c r="K145" i="1"/>
  <c r="K144" i="1"/>
  <c r="N118" i="1"/>
  <c r="N121" i="1"/>
  <c r="P119" i="1"/>
  <c r="O120" i="1"/>
  <c r="O122" i="1"/>
  <c r="N123" i="1"/>
  <c r="N124" i="1" s="1"/>
  <c r="O113" i="1"/>
  <c r="N114" i="1"/>
  <c r="N109" i="1"/>
  <c r="N112" i="1"/>
  <c r="K172" i="1"/>
  <c r="K136" i="1"/>
  <c r="K159" i="1"/>
  <c r="J208" i="1"/>
  <c r="J60" i="1"/>
  <c r="J130" i="1"/>
  <c r="J6" i="1"/>
  <c r="L45" i="1"/>
  <c r="Q36" i="1"/>
  <c r="J146" i="1"/>
  <c r="J1" i="1"/>
  <c r="M37" i="1"/>
  <c r="L44" i="1"/>
  <c r="L43" i="1"/>
  <c r="L46" i="1"/>
  <c r="L38" i="1"/>
  <c r="L55" i="1" s="1"/>
  <c r="P2" i="1"/>
  <c r="O110" i="1"/>
  <c r="O111" i="1" s="1"/>
  <c r="Q49" i="1" l="1"/>
  <c r="Q51" i="1"/>
  <c r="Q50" i="1"/>
  <c r="Q48" i="1"/>
  <c r="R36" i="1"/>
  <c r="L703" i="27"/>
  <c r="E6" i="37"/>
  <c r="W186" i="1"/>
  <c r="I135" i="27"/>
  <c r="I283" i="27"/>
  <c r="I280" i="27" s="1"/>
  <c r="I84" i="31"/>
  <c r="K134" i="27"/>
  <c r="I249" i="27"/>
  <c r="I246" i="27" s="1"/>
  <c r="F501" i="27"/>
  <c r="F500" i="27" s="1"/>
  <c r="J265" i="27"/>
  <c r="J266" i="27" s="1"/>
  <c r="J263" i="27" s="1"/>
  <c r="I295" i="27"/>
  <c r="K256" i="27"/>
  <c r="K257" i="27" s="1"/>
  <c r="K120" i="27"/>
  <c r="K121" i="27" s="1"/>
  <c r="K115" i="27" s="1"/>
  <c r="K118" i="27" s="1"/>
  <c r="K294" i="27"/>
  <c r="K306" i="27"/>
  <c r="C43" i="40"/>
  <c r="I35" i="31"/>
  <c r="I146" i="27"/>
  <c r="I138" i="27" s="1"/>
  <c r="K248" i="27"/>
  <c r="I155" i="27"/>
  <c r="C35" i="40"/>
  <c r="H189" i="31"/>
  <c r="C17" i="55" s="1"/>
  <c r="K478" i="27"/>
  <c r="K145" i="27"/>
  <c r="K462" i="27"/>
  <c r="K409" i="27"/>
  <c r="K302" i="27"/>
  <c r="K290" i="27"/>
  <c r="K278" i="27"/>
  <c r="K270" i="27"/>
  <c r="K261" i="27"/>
  <c r="K252" i="27"/>
  <c r="K244" i="27"/>
  <c r="K151" i="27"/>
  <c r="K142" i="27"/>
  <c r="K131" i="27"/>
  <c r="K117" i="27"/>
  <c r="K154" i="27"/>
  <c r="L154" i="27" s="1"/>
  <c r="O333" i="27"/>
  <c r="O330" i="27"/>
  <c r="G436" i="27"/>
  <c r="G447" i="27" s="1"/>
  <c r="H118" i="27"/>
  <c r="D9" i="38" s="1"/>
  <c r="D7" i="38"/>
  <c r="L101" i="1"/>
  <c r="D27" i="34" s="1"/>
  <c r="L96" i="1"/>
  <c r="D23" i="34" s="1"/>
  <c r="L91" i="1"/>
  <c r="L86" i="1"/>
  <c r="L81" i="1"/>
  <c r="L76" i="1"/>
  <c r="L65" i="1"/>
  <c r="J462" i="27"/>
  <c r="J409" i="27"/>
  <c r="J302" i="27"/>
  <c r="J290" i="27"/>
  <c r="J278" i="27"/>
  <c r="J270" i="27"/>
  <c r="J261" i="27"/>
  <c r="J252" i="27"/>
  <c r="J244" i="27"/>
  <c r="J151" i="27"/>
  <c r="J142" i="27"/>
  <c r="J131" i="27"/>
  <c r="J117" i="27"/>
  <c r="O363" i="27"/>
  <c r="O360" i="27"/>
  <c r="O85" i="28" s="1"/>
  <c r="O358" i="27"/>
  <c r="O355" i="27"/>
  <c r="C17" i="40"/>
  <c r="C7" i="40"/>
  <c r="O378" i="27"/>
  <c r="O60" i="28" s="1"/>
  <c r="O376" i="27"/>
  <c r="O348" i="27"/>
  <c r="O345" i="27"/>
  <c r="C27" i="40"/>
  <c r="D4" i="57"/>
  <c r="F241" i="31"/>
  <c r="D10" i="43"/>
  <c r="D11" i="34"/>
  <c r="J273" i="27"/>
  <c r="D19" i="34"/>
  <c r="J281" i="27"/>
  <c r="J33" i="31"/>
  <c r="P338" i="27"/>
  <c r="P335" i="27"/>
  <c r="F498" i="27"/>
  <c r="G143" i="27"/>
  <c r="D28" i="38" s="1"/>
  <c r="D26" i="38"/>
  <c r="G493" i="27"/>
  <c r="I92" i="31"/>
  <c r="I101" i="31" s="1"/>
  <c r="J118" i="27"/>
  <c r="J116" i="27" s="1"/>
  <c r="O353" i="27"/>
  <c r="O350" i="27"/>
  <c r="D7" i="58"/>
  <c r="D66" i="41"/>
  <c r="N333" i="27"/>
  <c r="N330" i="27"/>
  <c r="N363" i="27"/>
  <c r="N360" i="27"/>
  <c r="N85" i="28" s="1"/>
  <c r="D7" i="34"/>
  <c r="D15" i="34"/>
  <c r="F227" i="27"/>
  <c r="H222" i="27"/>
  <c r="H219" i="27" s="1"/>
  <c r="F499" i="27"/>
  <c r="H318" i="27"/>
  <c r="H323" i="27"/>
  <c r="H225" i="27"/>
  <c r="H223" i="27"/>
  <c r="H226" i="27"/>
  <c r="G193" i="27"/>
  <c r="G192" i="27"/>
  <c r="J178" i="27"/>
  <c r="J204" i="27" s="1"/>
  <c r="J177" i="27"/>
  <c r="J203" i="27" s="1"/>
  <c r="G178" i="27"/>
  <c r="G177" i="27"/>
  <c r="G180" i="27"/>
  <c r="G179" i="27"/>
  <c r="G195" i="27"/>
  <c r="G194" i="27"/>
  <c r="J180" i="27"/>
  <c r="J206" i="27" s="1"/>
  <c r="J179" i="27"/>
  <c r="J205" i="27" s="1"/>
  <c r="N494" i="27"/>
  <c r="G463" i="27"/>
  <c r="G472" i="27" s="1"/>
  <c r="J151" i="1"/>
  <c r="AP170" i="1"/>
  <c r="AQ170" i="1" s="1"/>
  <c r="AR170" i="1" s="1"/>
  <c r="AB193" i="1"/>
  <c r="I51" i="35" s="1"/>
  <c r="AA192" i="1"/>
  <c r="L91" i="31"/>
  <c r="E19" i="52" s="1"/>
  <c r="L117" i="31"/>
  <c r="E45" i="52" s="1"/>
  <c r="L118" i="31"/>
  <c r="E46" i="52" s="1"/>
  <c r="L119" i="31"/>
  <c r="E47" i="52" s="1"/>
  <c r="L93" i="31"/>
  <c r="E21" i="52" s="1"/>
  <c r="L94" i="31"/>
  <c r="E22" i="52" s="1"/>
  <c r="L121" i="31"/>
  <c r="E49" i="52" s="1"/>
  <c r="L120" i="31"/>
  <c r="E48" i="52" s="1"/>
  <c r="L95" i="31"/>
  <c r="E23" i="52" s="1"/>
  <c r="L96" i="31"/>
  <c r="E24" i="52" s="1"/>
  <c r="L122" i="31"/>
  <c r="E50" i="52" s="1"/>
  <c r="L123" i="31"/>
  <c r="E51" i="52" s="1"/>
  <c r="L97" i="31"/>
  <c r="E25" i="52" s="1"/>
  <c r="L124" i="31"/>
  <c r="E52" i="52" s="1"/>
  <c r="L98" i="31"/>
  <c r="E26" i="52" s="1"/>
  <c r="L99" i="31"/>
  <c r="E27" i="52" s="1"/>
  <c r="L100" i="31"/>
  <c r="E28" i="52" s="1"/>
  <c r="G644" i="27"/>
  <c r="O277" i="27"/>
  <c r="O124" i="27"/>
  <c r="P281" i="28"/>
  <c r="P322" i="28"/>
  <c r="H635" i="27"/>
  <c r="D65" i="43" s="1"/>
  <c r="G640" i="27"/>
  <c r="H621" i="27"/>
  <c r="D54" i="43" s="1"/>
  <c r="H607" i="27"/>
  <c r="D43" i="43" s="1"/>
  <c r="H593" i="27"/>
  <c r="D32" i="43" s="1"/>
  <c r="H579" i="27"/>
  <c r="D21" i="43" s="1"/>
  <c r="H68" i="23"/>
  <c r="H84" i="27"/>
  <c r="D15" i="37" s="1"/>
  <c r="M113" i="28"/>
  <c r="N113" i="28" s="1"/>
  <c r="O113" i="28" s="1"/>
  <c r="P113" i="28" s="1"/>
  <c r="E33" i="46" s="1"/>
  <c r="P102" i="27"/>
  <c r="P347" i="27"/>
  <c r="O128" i="27"/>
  <c r="K231" i="1"/>
  <c r="I184" i="27"/>
  <c r="I175" i="27" s="1"/>
  <c r="I431" i="27"/>
  <c r="I432" i="27"/>
  <c r="I429" i="27"/>
  <c r="I430" i="27"/>
  <c r="I428" i="27"/>
  <c r="I427" i="27"/>
  <c r="J78" i="1"/>
  <c r="J77" i="1" s="1"/>
  <c r="H181" i="27"/>
  <c r="H207" i="27" s="1"/>
  <c r="P368" i="27"/>
  <c r="P369" i="27" s="1"/>
  <c r="P377" i="27"/>
  <c r="P352" i="27"/>
  <c r="J249" i="27"/>
  <c r="J246" i="27" s="1"/>
  <c r="J245" i="27" s="1"/>
  <c r="J479" i="27"/>
  <c r="J456" i="27" s="1"/>
  <c r="H459" i="27"/>
  <c r="H463" i="27" s="1"/>
  <c r="H472" i="27" s="1"/>
  <c r="J197" i="27"/>
  <c r="I257" i="27"/>
  <c r="J283" i="27"/>
  <c r="J280" i="27" s="1"/>
  <c r="J279" i="27" s="1"/>
  <c r="J307" i="27"/>
  <c r="J304" i="27" s="1"/>
  <c r="J320" i="27" s="1"/>
  <c r="J322" i="27" s="1"/>
  <c r="J18" i="28" s="1"/>
  <c r="I121" i="27"/>
  <c r="I115" i="27" s="1"/>
  <c r="H433" i="27"/>
  <c r="D47" i="41" s="1"/>
  <c r="J146" i="27"/>
  <c r="J138" i="27" s="1"/>
  <c r="J139" i="27" s="1"/>
  <c r="H398" i="27"/>
  <c r="H436" i="27" s="1"/>
  <c r="H447" i="27" s="1"/>
  <c r="H490" i="27" s="1"/>
  <c r="J155" i="27"/>
  <c r="J199" i="27"/>
  <c r="J190" i="27" s="1"/>
  <c r="J191" i="27" s="1"/>
  <c r="K71" i="1"/>
  <c r="K73" i="1" s="1"/>
  <c r="K72" i="1" s="1"/>
  <c r="H196" i="27"/>
  <c r="H215" i="27" s="1"/>
  <c r="H209" i="27" s="1"/>
  <c r="H216" i="27" s="1"/>
  <c r="H17" i="28" s="1"/>
  <c r="I192" i="31"/>
  <c r="I26" i="31"/>
  <c r="I190" i="31"/>
  <c r="J135" i="27"/>
  <c r="J295" i="27"/>
  <c r="J292" i="27" s="1"/>
  <c r="J315" i="27" s="1"/>
  <c r="J317" i="27" s="1"/>
  <c r="J19" i="28" s="1"/>
  <c r="P373" i="27"/>
  <c r="P374" i="27" s="1"/>
  <c r="F232" i="27"/>
  <c r="F48" i="28" s="1"/>
  <c r="J27" i="31"/>
  <c r="J82" i="31"/>
  <c r="L700" i="27"/>
  <c r="L701" i="27" s="1"/>
  <c r="I275" i="27"/>
  <c r="I272" i="27" s="1"/>
  <c r="J66" i="1"/>
  <c r="J182" i="27"/>
  <c r="H272" i="27"/>
  <c r="C23" i="40" s="1"/>
  <c r="I72" i="1"/>
  <c r="I191" i="31"/>
  <c r="I194" i="31"/>
  <c r="I193" i="31"/>
  <c r="I195" i="31"/>
  <c r="J84" i="31"/>
  <c r="I158" i="31"/>
  <c r="I159" i="31" s="1"/>
  <c r="H154" i="31"/>
  <c r="G239" i="31"/>
  <c r="J35" i="31"/>
  <c r="H159" i="31"/>
  <c r="C7" i="54" s="1"/>
  <c r="I457" i="27"/>
  <c r="I393" i="27"/>
  <c r="G451" i="27"/>
  <c r="G161" i="31"/>
  <c r="H81" i="31"/>
  <c r="D11" i="52" s="1"/>
  <c r="I224" i="31"/>
  <c r="I397" i="27"/>
  <c r="I454" i="27"/>
  <c r="I453" i="27"/>
  <c r="I458" i="27"/>
  <c r="I392" i="27"/>
  <c r="I395" i="27"/>
  <c r="F59" i="28"/>
  <c r="I455" i="27"/>
  <c r="I456" i="27"/>
  <c r="I396" i="27"/>
  <c r="I394" i="27"/>
  <c r="G321" i="27"/>
  <c r="G323" i="27" s="1"/>
  <c r="F201" i="27"/>
  <c r="I190" i="27"/>
  <c r="E234" i="28"/>
  <c r="E233" i="28"/>
  <c r="E217" i="28"/>
  <c r="E236" i="28"/>
  <c r="E235" i="28"/>
  <c r="I304" i="27"/>
  <c r="I292" i="27"/>
  <c r="I263" i="27"/>
  <c r="G202" i="27"/>
  <c r="F231" i="28"/>
  <c r="F228" i="28"/>
  <c r="F18" i="32"/>
  <c r="F209" i="27"/>
  <c r="G316" i="27"/>
  <c r="G318" i="27" s="1"/>
  <c r="G210" i="27"/>
  <c r="J230" i="28"/>
  <c r="K93" i="1"/>
  <c r="K92" i="1" s="1"/>
  <c r="K281" i="27"/>
  <c r="K98" i="1"/>
  <c r="K97" i="1" s="1"/>
  <c r="K305" i="27"/>
  <c r="J190" i="31"/>
  <c r="J191" i="31"/>
  <c r="J192" i="31"/>
  <c r="J193" i="31"/>
  <c r="J194" i="31"/>
  <c r="J195" i="31"/>
  <c r="H32" i="31"/>
  <c r="D25" i="51" s="1"/>
  <c r="I74" i="31"/>
  <c r="J98" i="1"/>
  <c r="P357" i="27"/>
  <c r="J88" i="1"/>
  <c r="K119" i="27"/>
  <c r="K293" i="27"/>
  <c r="J156" i="31"/>
  <c r="Q2" i="1"/>
  <c r="Q2" i="31"/>
  <c r="Q2" i="32"/>
  <c r="Q2" i="27"/>
  <c r="Q140" i="27" s="1"/>
  <c r="Q2" i="28"/>
  <c r="Q197" i="28" s="1"/>
  <c r="Q337" i="27"/>
  <c r="N68" i="27"/>
  <c r="N93" i="28" s="1"/>
  <c r="M69" i="27"/>
  <c r="M703" i="27" s="1"/>
  <c r="N9" i="28"/>
  <c r="R2" i="32"/>
  <c r="R2" i="31"/>
  <c r="R2" i="28"/>
  <c r="R197" i="28" s="1"/>
  <c r="R2" i="27"/>
  <c r="R140" i="27" s="1"/>
  <c r="O435" i="27"/>
  <c r="O425" i="27"/>
  <c r="N103" i="27"/>
  <c r="M104" i="28"/>
  <c r="N343" i="27"/>
  <c r="N47" i="28" s="1"/>
  <c r="N88" i="28"/>
  <c r="N199" i="28" s="1"/>
  <c r="O342" i="27"/>
  <c r="O340" i="27" s="1"/>
  <c r="P362" i="27"/>
  <c r="P332" i="27"/>
  <c r="P419" i="27"/>
  <c r="F32" i="41" s="1"/>
  <c r="P421" i="27"/>
  <c r="P420" i="27"/>
  <c r="F33" i="41" s="1"/>
  <c r="P422" i="27"/>
  <c r="F35" i="41" s="1"/>
  <c r="P423" i="27"/>
  <c r="P424" i="27"/>
  <c r="K151" i="1"/>
  <c r="P171" i="1"/>
  <c r="F34" i="35" s="1"/>
  <c r="O301" i="27"/>
  <c r="O289" i="27"/>
  <c r="K702" i="27"/>
  <c r="K218" i="28" s="1"/>
  <c r="K477" i="27"/>
  <c r="K133" i="27"/>
  <c r="L134" i="27" s="1"/>
  <c r="K222" i="1"/>
  <c r="I62" i="23"/>
  <c r="I68" i="23"/>
  <c r="J176" i="23"/>
  <c r="H62" i="23"/>
  <c r="K67" i="1"/>
  <c r="K66" i="1" s="1"/>
  <c r="K103" i="1"/>
  <c r="K102" i="1" s="1"/>
  <c r="K247" i="27"/>
  <c r="L248" i="27" s="1"/>
  <c r="K82" i="31"/>
  <c r="K144" i="27"/>
  <c r="K264" i="27"/>
  <c r="K255" i="27"/>
  <c r="J202" i="27"/>
  <c r="E42" i="31"/>
  <c r="E44" i="31" s="1"/>
  <c r="H233" i="31"/>
  <c r="K182" i="27"/>
  <c r="K197" i="27"/>
  <c r="K156" i="31"/>
  <c r="J154" i="31"/>
  <c r="J50" i="31" s="1"/>
  <c r="J159" i="31"/>
  <c r="L33" i="31"/>
  <c r="L273" i="27"/>
  <c r="O260" i="27"/>
  <c r="O269" i="27"/>
  <c r="J49" i="31"/>
  <c r="K155" i="31"/>
  <c r="K47" i="31"/>
  <c r="K48" i="31" s="1"/>
  <c r="K44" i="32"/>
  <c r="K79" i="32"/>
  <c r="K221" i="31"/>
  <c r="K213" i="31"/>
  <c r="K151" i="31"/>
  <c r="K173" i="31"/>
  <c r="K71" i="31"/>
  <c r="K141" i="31"/>
  <c r="P160" i="1"/>
  <c r="F24" i="35" s="1"/>
  <c r="P161" i="1"/>
  <c r="F25" i="35" s="1"/>
  <c r="K88" i="1"/>
  <c r="K87" i="1" s="1"/>
  <c r="K83" i="1"/>
  <c r="K82" i="1" s="1"/>
  <c r="K78" i="1"/>
  <c r="K77" i="1" s="1"/>
  <c r="K6" i="31"/>
  <c r="K1" i="32"/>
  <c r="K1" i="31"/>
  <c r="K6" i="32"/>
  <c r="Z190" i="1"/>
  <c r="K77" i="27"/>
  <c r="K64" i="27"/>
  <c r="H57" i="23"/>
  <c r="K151" i="23" s="1"/>
  <c r="J162" i="23"/>
  <c r="H80" i="23"/>
  <c r="K164" i="1"/>
  <c r="K1" i="28"/>
  <c r="K1" i="27"/>
  <c r="K328" i="27"/>
  <c r="K169" i="27"/>
  <c r="K237" i="27"/>
  <c r="K107" i="27"/>
  <c r="K387" i="27"/>
  <c r="K509" i="27"/>
  <c r="K554" i="27"/>
  <c r="K658" i="27"/>
  <c r="K267" i="28"/>
  <c r="K207" i="28"/>
  <c r="K348" i="28"/>
  <c r="K307" i="28"/>
  <c r="K154" i="28"/>
  <c r="K81" i="28"/>
  <c r="K43" i="28"/>
  <c r="K4" i="28"/>
  <c r="K119" i="28"/>
  <c r="E229" i="28"/>
  <c r="K162" i="23"/>
  <c r="K176" i="23"/>
  <c r="I57" i="23"/>
  <c r="L151" i="23" s="1"/>
  <c r="I80" i="23"/>
  <c r="L148" i="1"/>
  <c r="E14" i="35" s="1"/>
  <c r="X183" i="1"/>
  <c r="X186" i="1" s="1"/>
  <c r="N115" i="1"/>
  <c r="K34" i="1"/>
  <c r="P163" i="1"/>
  <c r="F27" i="35" s="1"/>
  <c r="P162" i="1"/>
  <c r="F26" i="35" s="1"/>
  <c r="L114" i="32"/>
  <c r="L144" i="1"/>
  <c r="L145" i="1"/>
  <c r="O118" i="1"/>
  <c r="O121" i="1"/>
  <c r="P120" i="1"/>
  <c r="Q119" i="1"/>
  <c r="P122" i="1"/>
  <c r="O123" i="1"/>
  <c r="O124" i="1" s="1"/>
  <c r="P113" i="1"/>
  <c r="O114" i="1"/>
  <c r="O109" i="1"/>
  <c r="O112" i="1"/>
  <c r="L172" i="1"/>
  <c r="E35" i="35" s="1"/>
  <c r="L136" i="1"/>
  <c r="L159" i="1"/>
  <c r="E23" i="35" s="1"/>
  <c r="K208" i="1"/>
  <c r="K60" i="1"/>
  <c r="K130" i="1"/>
  <c r="K6" i="1"/>
  <c r="M45" i="1"/>
  <c r="K1" i="1"/>
  <c r="K146" i="1"/>
  <c r="M44" i="1"/>
  <c r="N37" i="1"/>
  <c r="M38" i="1"/>
  <c r="M55" i="1" s="1"/>
  <c r="M46" i="1"/>
  <c r="M43" i="1"/>
  <c r="R2" i="1"/>
  <c r="S36" i="1"/>
  <c r="P110" i="1"/>
  <c r="J143" i="27" l="1"/>
  <c r="J262" i="27"/>
  <c r="L27" i="31"/>
  <c r="K265" i="27"/>
  <c r="L265" i="27" s="1"/>
  <c r="H44" i="35"/>
  <c r="S50" i="1"/>
  <c r="S49" i="1"/>
  <c r="S51" i="1"/>
  <c r="S48" i="1"/>
  <c r="R48" i="1"/>
  <c r="R51" i="1"/>
  <c r="R50" i="1"/>
  <c r="R49" i="1"/>
  <c r="F670" i="27"/>
  <c r="L120" i="27"/>
  <c r="L294" i="27"/>
  <c r="L256" i="27"/>
  <c r="L306" i="27"/>
  <c r="L478" i="27"/>
  <c r="H219" i="28"/>
  <c r="H228" i="28" s="1"/>
  <c r="L145" i="27"/>
  <c r="H116" i="27"/>
  <c r="D8" i="38" s="1"/>
  <c r="G141" i="27"/>
  <c r="D27" i="38" s="1"/>
  <c r="L462" i="27"/>
  <c r="L409" i="27"/>
  <c r="L302" i="27"/>
  <c r="L290" i="27"/>
  <c r="L278" i="27"/>
  <c r="L270" i="27"/>
  <c r="L261" i="27"/>
  <c r="L252" i="27"/>
  <c r="L244" i="27"/>
  <c r="L151" i="27"/>
  <c r="L142" i="27"/>
  <c r="L131" i="27"/>
  <c r="L117" i="27"/>
  <c r="E120" i="32"/>
  <c r="E119" i="32" s="1"/>
  <c r="E252" i="28"/>
  <c r="P127" i="27"/>
  <c r="F17" i="38" s="1"/>
  <c r="F37" i="41"/>
  <c r="P125" i="27"/>
  <c r="F15" i="38" s="1"/>
  <c r="F34" i="41"/>
  <c r="P333" i="27"/>
  <c r="P330" i="27"/>
  <c r="O494" i="27"/>
  <c r="P31" i="31"/>
  <c r="F24" i="51" s="1"/>
  <c r="R337" i="27"/>
  <c r="Q335" i="27"/>
  <c r="K157" i="31"/>
  <c r="K158" i="31" s="1"/>
  <c r="P358" i="27"/>
  <c r="P355" i="27"/>
  <c r="E232" i="28"/>
  <c r="F208" i="27"/>
  <c r="I621" i="27"/>
  <c r="F37" i="31"/>
  <c r="F38" i="31" s="1"/>
  <c r="F55" i="31" s="1"/>
  <c r="I84" i="27"/>
  <c r="I13" i="32"/>
  <c r="G166" i="31"/>
  <c r="G228" i="31" s="1"/>
  <c r="G242" i="31" s="1"/>
  <c r="G63" i="31" s="1"/>
  <c r="K183" i="27"/>
  <c r="L183" i="27" s="1"/>
  <c r="L184" i="27" s="1"/>
  <c r="L175" i="27" s="1"/>
  <c r="L176" i="27" s="1"/>
  <c r="I271" i="27"/>
  <c r="K83" i="31"/>
  <c r="L83" i="31" s="1"/>
  <c r="P378" i="27"/>
  <c r="P60" i="28" s="1"/>
  <c r="F17" i="45" s="1"/>
  <c r="P376" i="27"/>
  <c r="D68" i="41"/>
  <c r="D433" i="23" s="1"/>
  <c r="E5" i="35"/>
  <c r="E10" i="35"/>
  <c r="D12" i="41"/>
  <c r="D432" i="23" s="1"/>
  <c r="M101" i="1"/>
  <c r="M96" i="1"/>
  <c r="M91" i="1"/>
  <c r="M86" i="1"/>
  <c r="M81" i="1"/>
  <c r="M76" i="1"/>
  <c r="M65" i="1"/>
  <c r="H51" i="32"/>
  <c r="D7" i="59" s="1"/>
  <c r="D13" i="57"/>
  <c r="P126" i="27"/>
  <c r="F16" i="38" s="1"/>
  <c r="F36" i="41"/>
  <c r="P363" i="27"/>
  <c r="P360" i="27"/>
  <c r="P85" i="28" s="1"/>
  <c r="E5" i="46" s="1"/>
  <c r="F216" i="27"/>
  <c r="F17" i="28" s="1"/>
  <c r="I593" i="27"/>
  <c r="I607" i="27"/>
  <c r="I579" i="27"/>
  <c r="G496" i="27"/>
  <c r="G63" i="28" s="1"/>
  <c r="I565" i="27"/>
  <c r="H50" i="31"/>
  <c r="D41" i="51" s="1"/>
  <c r="C4" i="54"/>
  <c r="K28" i="31"/>
  <c r="L28" i="31" s="1"/>
  <c r="M28" i="31" s="1"/>
  <c r="E22" i="51"/>
  <c r="I118" i="27"/>
  <c r="K198" i="27"/>
  <c r="L198" i="27" s="1"/>
  <c r="P353" i="27"/>
  <c r="P350" i="27"/>
  <c r="P348" i="27"/>
  <c r="P345" i="27"/>
  <c r="G490" i="27"/>
  <c r="G501" i="27" s="1"/>
  <c r="D77" i="41"/>
  <c r="E11" i="35"/>
  <c r="K34" i="31"/>
  <c r="L34" i="31" s="1"/>
  <c r="M34" i="31" s="1"/>
  <c r="E26" i="51"/>
  <c r="K282" i="27"/>
  <c r="L282" i="27" s="1"/>
  <c r="K274" i="27"/>
  <c r="L274" i="27" s="1"/>
  <c r="M274" i="27" s="1"/>
  <c r="D24" i="40"/>
  <c r="F240" i="31"/>
  <c r="D55" i="41"/>
  <c r="H501" i="27"/>
  <c r="H500" i="27" s="1"/>
  <c r="G222" i="27"/>
  <c r="C26" i="39" s="1"/>
  <c r="F217" i="27"/>
  <c r="H227" i="27"/>
  <c r="H230" i="27" s="1"/>
  <c r="G483" i="27"/>
  <c r="G482" i="27" s="1"/>
  <c r="J193" i="27"/>
  <c r="J212" i="27" s="1"/>
  <c r="J224" i="27" s="1"/>
  <c r="J192" i="27"/>
  <c r="J211" i="27" s="1"/>
  <c r="J223" i="27" s="1"/>
  <c r="J195" i="27"/>
  <c r="J214" i="27" s="1"/>
  <c r="J226" i="27" s="1"/>
  <c r="J194" i="27"/>
  <c r="J213" i="27" s="1"/>
  <c r="J225" i="27" s="1"/>
  <c r="K116" i="27"/>
  <c r="I116" i="27"/>
  <c r="J141" i="27"/>
  <c r="H493" i="27"/>
  <c r="H201" i="27"/>
  <c r="H208" i="27" s="1"/>
  <c r="H228" i="27"/>
  <c r="H367" i="27" s="1"/>
  <c r="H365" i="27" s="1"/>
  <c r="H102" i="28" s="1"/>
  <c r="C22" i="46" s="1"/>
  <c r="J210" i="27"/>
  <c r="J222" i="27" s="1"/>
  <c r="M116" i="31"/>
  <c r="M91" i="31"/>
  <c r="M92" i="31"/>
  <c r="M118" i="31"/>
  <c r="M119" i="31"/>
  <c r="M94" i="31"/>
  <c r="M95" i="31"/>
  <c r="M120" i="31"/>
  <c r="M121" i="31"/>
  <c r="M122" i="31"/>
  <c r="M96" i="31"/>
  <c r="M97" i="31"/>
  <c r="M123" i="31"/>
  <c r="M124" i="31"/>
  <c r="M98" i="31"/>
  <c r="M99" i="31"/>
  <c r="M100" i="31"/>
  <c r="AC193" i="1"/>
  <c r="AB192" i="1"/>
  <c r="I50" i="35" s="1"/>
  <c r="H584" i="27"/>
  <c r="P277" i="27"/>
  <c r="E26" i="40" s="1"/>
  <c r="P124" i="27"/>
  <c r="R281" i="28"/>
  <c r="R322" i="28"/>
  <c r="Q322" i="28"/>
  <c r="Q281" i="28"/>
  <c r="H640" i="27"/>
  <c r="I635" i="27"/>
  <c r="H626" i="27"/>
  <c r="H644" i="27"/>
  <c r="D72" i="43" s="1"/>
  <c r="H598" i="27"/>
  <c r="H570" i="27"/>
  <c r="I92" i="27"/>
  <c r="Q113" i="28"/>
  <c r="R113" i="28" s="1"/>
  <c r="H92" i="27"/>
  <c r="Q352" i="27"/>
  <c r="Q373" i="27"/>
  <c r="R373" i="27" s="1"/>
  <c r="R374" i="27" s="1"/>
  <c r="L231" i="1"/>
  <c r="Q347" i="27"/>
  <c r="K479" i="27"/>
  <c r="K431" i="27" s="1"/>
  <c r="J431" i="27"/>
  <c r="J432" i="27"/>
  <c r="J429" i="27"/>
  <c r="J430" i="27"/>
  <c r="J428" i="27"/>
  <c r="J427" i="27"/>
  <c r="K249" i="27"/>
  <c r="K246" i="27" s="1"/>
  <c r="K245" i="27" s="1"/>
  <c r="Q377" i="27"/>
  <c r="Q368" i="27"/>
  <c r="R368" i="27" s="1"/>
  <c r="R369" i="27" s="1"/>
  <c r="J457" i="27"/>
  <c r="J565" i="27" s="1"/>
  <c r="J392" i="27"/>
  <c r="J84" i="27" s="1"/>
  <c r="J92" i="27" s="1"/>
  <c r="J393" i="27"/>
  <c r="J394" i="27"/>
  <c r="J621" i="27" s="1"/>
  <c r="J453" i="27"/>
  <c r="J458" i="27"/>
  <c r="J395" i="27"/>
  <c r="J607" i="27" s="1"/>
  <c r="J397" i="27"/>
  <c r="J396" i="27"/>
  <c r="J454" i="27"/>
  <c r="J579" i="27" s="1"/>
  <c r="J455" i="27"/>
  <c r="J593" i="27" s="1"/>
  <c r="K146" i="27"/>
  <c r="K138" i="27" s="1"/>
  <c r="K139" i="27" s="1"/>
  <c r="K143" i="27" s="1"/>
  <c r="H483" i="27"/>
  <c r="H482" i="27" s="1"/>
  <c r="H498" i="27" s="1"/>
  <c r="J303" i="27"/>
  <c r="J321" i="27" s="1"/>
  <c r="J319" i="27" s="1"/>
  <c r="K135" i="27"/>
  <c r="H451" i="27"/>
  <c r="D59" i="41" s="1"/>
  <c r="K307" i="27"/>
  <c r="K304" i="27" s="1"/>
  <c r="K320" i="27" s="1"/>
  <c r="K322" i="27" s="1"/>
  <c r="K18" i="28" s="1"/>
  <c r="K155" i="27"/>
  <c r="K266" i="27"/>
  <c r="K263" i="27" s="1"/>
  <c r="K262" i="27" s="1"/>
  <c r="J291" i="27"/>
  <c r="J316" i="27" s="1"/>
  <c r="J314" i="27" s="1"/>
  <c r="K295" i="27"/>
  <c r="K292" i="27" s="1"/>
  <c r="K315" i="27" s="1"/>
  <c r="K317" i="27" s="1"/>
  <c r="K19" i="28" s="1"/>
  <c r="L153" i="27"/>
  <c r="H148" i="27"/>
  <c r="J87" i="1"/>
  <c r="H271" i="27"/>
  <c r="C22" i="40" s="1"/>
  <c r="J97" i="1"/>
  <c r="J275" i="27"/>
  <c r="J272" i="27" s="1"/>
  <c r="J271" i="27" s="1"/>
  <c r="I154" i="31"/>
  <c r="I50" i="31" s="1"/>
  <c r="I189" i="31"/>
  <c r="I215" i="31"/>
  <c r="J73" i="31"/>
  <c r="J26" i="31"/>
  <c r="H163" i="31"/>
  <c r="C11" i="54" s="1"/>
  <c r="H165" i="31"/>
  <c r="C13" i="54" s="1"/>
  <c r="H162" i="31"/>
  <c r="C10" i="54" s="1"/>
  <c r="H168" i="31"/>
  <c r="C16" i="54" s="1"/>
  <c r="H164" i="31"/>
  <c r="C12" i="54" s="1"/>
  <c r="I233" i="31"/>
  <c r="I116" i="31"/>
  <c r="I398" i="27"/>
  <c r="F522" i="27"/>
  <c r="I459" i="27"/>
  <c r="I433" i="27"/>
  <c r="E256" i="28"/>
  <c r="I176" i="27"/>
  <c r="G213" i="27"/>
  <c r="G211" i="27"/>
  <c r="G196" i="27"/>
  <c r="G314" i="27"/>
  <c r="C48" i="40" s="1"/>
  <c r="F88" i="32"/>
  <c r="G206" i="27"/>
  <c r="G204" i="27"/>
  <c r="I315" i="27"/>
  <c r="I317" i="27" s="1"/>
  <c r="I19" i="28" s="1"/>
  <c r="I291" i="27"/>
  <c r="F682" i="27"/>
  <c r="F230" i="27"/>
  <c r="F683" i="27" s="1"/>
  <c r="G212" i="27"/>
  <c r="G214" i="27"/>
  <c r="I245" i="27"/>
  <c r="I279" i="27"/>
  <c r="F229" i="28"/>
  <c r="F252" i="28" s="1"/>
  <c r="F121" i="32"/>
  <c r="G205" i="27"/>
  <c r="G203" i="27"/>
  <c r="G181" i="27"/>
  <c r="I262" i="27"/>
  <c r="I139" i="27"/>
  <c r="I320" i="27"/>
  <c r="I322" i="27" s="1"/>
  <c r="I18" i="28" s="1"/>
  <c r="I303" i="27"/>
  <c r="I191" i="27"/>
  <c r="G319" i="27"/>
  <c r="C49" i="40" s="1"/>
  <c r="K230" i="28"/>
  <c r="Q102" i="27"/>
  <c r="R102" i="27" s="1"/>
  <c r="Q338" i="27"/>
  <c r="L93" i="1"/>
  <c r="L92" i="1" s="1"/>
  <c r="D20" i="34" s="1" a="1"/>
  <c r="D20" i="34" s="1"/>
  <c r="L281" i="27"/>
  <c r="D29" i="40" s="1"/>
  <c r="Q357" i="27"/>
  <c r="L121" i="27"/>
  <c r="L115" i="27" s="1"/>
  <c r="L118" i="27" s="1"/>
  <c r="L67" i="1"/>
  <c r="L66" i="1" s="1"/>
  <c r="L222" i="1"/>
  <c r="J189" i="31"/>
  <c r="I75" i="31"/>
  <c r="I32" i="31"/>
  <c r="J74" i="31"/>
  <c r="J215" i="31"/>
  <c r="L702" i="27"/>
  <c r="L218" i="28" s="1"/>
  <c r="E11" i="49" s="1"/>
  <c r="S2" i="31"/>
  <c r="S2" i="32"/>
  <c r="S2" i="28"/>
  <c r="S197" i="28" s="1"/>
  <c r="S2" i="27"/>
  <c r="S140" i="27" s="1"/>
  <c r="S337" i="27"/>
  <c r="P435" i="27"/>
  <c r="Q31" i="31" s="1"/>
  <c r="P425" i="27"/>
  <c r="F38" i="41" s="1"/>
  <c r="O103" i="27"/>
  <c r="N104" i="28"/>
  <c r="O9" i="28"/>
  <c r="Q419" i="27"/>
  <c r="Q420" i="27"/>
  <c r="Q421" i="27"/>
  <c r="Q125" i="27" s="1"/>
  <c r="Q424" i="27"/>
  <c r="Q127" i="27" s="1"/>
  <c r="Q422" i="27"/>
  <c r="Q423" i="27"/>
  <c r="Q126" i="27" s="1"/>
  <c r="O343" i="27"/>
  <c r="O47" i="28" s="1"/>
  <c r="O88" i="28"/>
  <c r="O199" i="28" s="1"/>
  <c r="P342" i="27"/>
  <c r="P340" i="27" s="1"/>
  <c r="R419" i="27"/>
  <c r="R423" i="27"/>
  <c r="R126" i="27" s="1"/>
  <c r="R424" i="27"/>
  <c r="R127" i="27" s="1"/>
  <c r="R421" i="27"/>
  <c r="R125" i="27" s="1"/>
  <c r="R422" i="27"/>
  <c r="R420" i="27"/>
  <c r="O68" i="27"/>
  <c r="O93" i="28" s="1"/>
  <c r="N69" i="27"/>
  <c r="N703" i="27" s="1"/>
  <c r="Q332" i="27"/>
  <c r="Q330" i="27" s="1"/>
  <c r="Q362" i="27"/>
  <c r="Q360" i="27" s="1"/>
  <c r="Q85" i="28" s="1"/>
  <c r="L151" i="1"/>
  <c r="E16" i="35" s="1"/>
  <c r="Q171" i="1"/>
  <c r="P301" i="27"/>
  <c r="E42" i="40" s="1"/>
  <c r="P289" i="27"/>
  <c r="E34" i="40" s="1"/>
  <c r="L477" i="27"/>
  <c r="L133" i="27"/>
  <c r="M134" i="27" s="1"/>
  <c r="J62" i="23"/>
  <c r="J68" i="23"/>
  <c r="L98" i="1"/>
  <c r="L97" i="1" s="1"/>
  <c r="L257" i="27"/>
  <c r="L82" i="31"/>
  <c r="L305" i="27"/>
  <c r="L264" i="27"/>
  <c r="L103" i="1"/>
  <c r="L102" i="1" s="1"/>
  <c r="D28" i="34" s="1" a="1"/>
  <c r="D28" i="34" s="1"/>
  <c r="L71" i="1"/>
  <c r="D3" i="34" s="1"/>
  <c r="L119" i="27"/>
  <c r="M120" i="27" s="1"/>
  <c r="L247" i="27"/>
  <c r="M248" i="27" s="1"/>
  <c r="L293" i="27"/>
  <c r="J181" i="27"/>
  <c r="J207" i="27" s="1"/>
  <c r="L144" i="27"/>
  <c r="L255" i="27"/>
  <c r="K49" i="31"/>
  <c r="L182" i="27"/>
  <c r="L197" i="27"/>
  <c r="L156" i="31"/>
  <c r="J165" i="31"/>
  <c r="J164" i="31"/>
  <c r="J168" i="31"/>
  <c r="J229" i="31" s="1"/>
  <c r="J163" i="31"/>
  <c r="J162" i="31"/>
  <c r="E43" i="31"/>
  <c r="K73" i="31"/>
  <c r="K92" i="31" s="1"/>
  <c r="M153" i="27"/>
  <c r="P260" i="27"/>
  <c r="E16" i="40" s="1"/>
  <c r="P269" i="27"/>
  <c r="E21" i="40" s="1"/>
  <c r="I165" i="31"/>
  <c r="I164" i="31"/>
  <c r="I168" i="31"/>
  <c r="I163" i="31"/>
  <c r="I162" i="31"/>
  <c r="H231" i="28"/>
  <c r="L155" i="31"/>
  <c r="D5" i="54" s="1"/>
  <c r="L47" i="31"/>
  <c r="E38" i="51" s="1"/>
  <c r="L44" i="32"/>
  <c r="L79" i="32"/>
  <c r="L221" i="31"/>
  <c r="L213" i="31"/>
  <c r="L151" i="31"/>
  <c r="L173" i="31"/>
  <c r="L71" i="31"/>
  <c r="L141" i="31"/>
  <c r="Q161" i="1"/>
  <c r="Q160" i="1"/>
  <c r="L78" i="1"/>
  <c r="L77" i="1" s="1"/>
  <c r="D8" i="34" s="1" a="1"/>
  <c r="D8" i="34" s="1"/>
  <c r="L83" i="1"/>
  <c r="L82" i="1" s="1"/>
  <c r="D12" i="34" s="1" a="1"/>
  <c r="D12" i="34" s="1"/>
  <c r="L88" i="1"/>
  <c r="L87" i="1" s="1"/>
  <c r="L6" i="31"/>
  <c r="L1" i="32"/>
  <c r="L1" i="31"/>
  <c r="L6" i="32"/>
  <c r="AA190" i="1"/>
  <c r="L77" i="27"/>
  <c r="L64" i="27"/>
  <c r="L1" i="28"/>
  <c r="L1" i="27"/>
  <c r="L107" i="27"/>
  <c r="L387" i="27"/>
  <c r="L554" i="27"/>
  <c r="L658" i="27"/>
  <c r="L169" i="27"/>
  <c r="L509" i="27"/>
  <c r="L237" i="27"/>
  <c r="L328" i="27"/>
  <c r="L348" i="28"/>
  <c r="L307" i="28"/>
  <c r="L267" i="28"/>
  <c r="L207" i="28"/>
  <c r="L119" i="28"/>
  <c r="L154" i="28"/>
  <c r="L43" i="28"/>
  <c r="L4" i="28"/>
  <c r="L81" i="28"/>
  <c r="L164" i="1"/>
  <c r="E28" i="35" s="1"/>
  <c r="L162" i="23"/>
  <c r="L176" i="23"/>
  <c r="J57" i="23"/>
  <c r="M151" i="23" s="1"/>
  <c r="J80" i="23"/>
  <c r="M700" i="27"/>
  <c r="M148" i="1"/>
  <c r="Y183" i="1"/>
  <c r="O115" i="1"/>
  <c r="L34" i="1"/>
  <c r="Q162" i="1"/>
  <c r="Q163" i="1"/>
  <c r="M114" i="32"/>
  <c r="M145" i="1"/>
  <c r="M144" i="1"/>
  <c r="P118" i="1"/>
  <c r="P121" i="1"/>
  <c r="R119" i="1"/>
  <c r="Q120" i="1"/>
  <c r="Q122" i="1"/>
  <c r="P123" i="1"/>
  <c r="P124" i="1" s="1"/>
  <c r="Q113" i="1"/>
  <c r="P114" i="1"/>
  <c r="M172" i="1"/>
  <c r="M136" i="1"/>
  <c r="M159" i="1"/>
  <c r="L208" i="1"/>
  <c r="L60" i="1"/>
  <c r="L130" i="1"/>
  <c r="L6" i="1"/>
  <c r="N45" i="1"/>
  <c r="L1" i="1"/>
  <c r="L146" i="1"/>
  <c r="N44" i="1"/>
  <c r="O37" i="1"/>
  <c r="N38" i="1"/>
  <c r="N55" i="1" s="1"/>
  <c r="N43" i="1"/>
  <c r="N46" i="1"/>
  <c r="T36" i="1"/>
  <c r="S2" i="1"/>
  <c r="P111" i="1"/>
  <c r="Q110" i="1"/>
  <c r="T51" i="1" l="1"/>
  <c r="T49" i="1"/>
  <c r="T48" i="1"/>
  <c r="T50" i="1"/>
  <c r="M294" i="27"/>
  <c r="M256" i="27"/>
  <c r="M265" i="27"/>
  <c r="M478" i="27"/>
  <c r="M306" i="27"/>
  <c r="M145" i="27"/>
  <c r="F41" i="31"/>
  <c r="K35" i="31"/>
  <c r="K84" i="31"/>
  <c r="L29" i="31"/>
  <c r="L190" i="31" s="1"/>
  <c r="K184" i="27"/>
  <c r="K175" i="27" s="1"/>
  <c r="K176" i="27" s="1"/>
  <c r="K178" i="27" s="1"/>
  <c r="K204" i="27" s="1"/>
  <c r="M83" i="31"/>
  <c r="K283" i="27"/>
  <c r="K280" i="27" s="1"/>
  <c r="K279" i="27" s="1"/>
  <c r="K199" i="27"/>
  <c r="K190" i="27" s="1"/>
  <c r="K191" i="27" s="1"/>
  <c r="K193" i="27" s="1"/>
  <c r="K212" i="27" s="1"/>
  <c r="K29" i="31"/>
  <c r="K154" i="31"/>
  <c r="K50" i="31" s="1"/>
  <c r="K159" i="31"/>
  <c r="K164" i="31" s="1"/>
  <c r="G225" i="27"/>
  <c r="L157" i="31"/>
  <c r="L158" i="31" s="1"/>
  <c r="L154" i="31" s="1"/>
  <c r="D4" i="54" s="1"/>
  <c r="N101" i="1"/>
  <c r="N96" i="1"/>
  <c r="N91" i="1"/>
  <c r="N86" i="1"/>
  <c r="N81" i="1"/>
  <c r="N76" i="1"/>
  <c r="N65" i="1"/>
  <c r="M462" i="27"/>
  <c r="M409" i="27"/>
  <c r="M302" i="27"/>
  <c r="M290" i="27"/>
  <c r="M278" i="27"/>
  <c r="M270" i="27"/>
  <c r="M261" i="27"/>
  <c r="M252" i="27"/>
  <c r="M244" i="27"/>
  <c r="M151" i="27"/>
  <c r="M142" i="27"/>
  <c r="M131" i="27"/>
  <c r="M117" i="27"/>
  <c r="M198" i="27"/>
  <c r="Q358" i="27"/>
  <c r="Q355" i="27"/>
  <c r="I143" i="27"/>
  <c r="I141" i="27" s="1"/>
  <c r="J216" i="31"/>
  <c r="D24" i="34" a="1"/>
  <c r="D24" i="34" s="1"/>
  <c r="D16" i="34" a="1"/>
  <c r="D16" i="34" s="1"/>
  <c r="M154" i="27"/>
  <c r="N154" i="27" s="1"/>
  <c r="E35" i="38"/>
  <c r="Q348" i="27"/>
  <c r="Q345" i="27"/>
  <c r="G498" i="27"/>
  <c r="D90" i="41" s="1"/>
  <c r="D85" i="41"/>
  <c r="G500" i="27"/>
  <c r="D92" i="41"/>
  <c r="F62" i="31"/>
  <c r="E82" i="41"/>
  <c r="E21" i="38"/>
  <c r="D17" i="39"/>
  <c r="E7" i="38"/>
  <c r="G667" i="27"/>
  <c r="D19" i="40"/>
  <c r="E10" i="38"/>
  <c r="E12" i="35"/>
  <c r="M701" i="27"/>
  <c r="M702" i="27" s="1"/>
  <c r="M218" i="28" s="1"/>
  <c r="M230" i="28" s="1"/>
  <c r="M183" i="27"/>
  <c r="S338" i="27"/>
  <c r="S335" i="27"/>
  <c r="M282" i="27"/>
  <c r="G223" i="27"/>
  <c r="I463" i="27"/>
  <c r="I472" i="27" s="1"/>
  <c r="I436" i="27"/>
  <c r="I447" i="27" s="1"/>
  <c r="I51" i="32"/>
  <c r="J92" i="31"/>
  <c r="J101" i="31" s="1"/>
  <c r="Q378" i="27"/>
  <c r="Q60" i="28" s="1"/>
  <c r="Q376" i="27"/>
  <c r="R352" i="27"/>
  <c r="S352" i="27" s="1"/>
  <c r="Q350" i="27"/>
  <c r="I644" i="27"/>
  <c r="P128" i="27"/>
  <c r="F14" i="38"/>
  <c r="E29" i="38"/>
  <c r="D9" i="40"/>
  <c r="D14" i="40"/>
  <c r="F48" i="41"/>
  <c r="E9" i="38"/>
  <c r="D37" i="40"/>
  <c r="D45" i="40"/>
  <c r="E12" i="52"/>
  <c r="D9" i="39"/>
  <c r="D6" i="54"/>
  <c r="R338" i="27"/>
  <c r="R335" i="27"/>
  <c r="E134" i="32"/>
  <c r="E133" i="32" s="1"/>
  <c r="H670" i="27"/>
  <c r="G224" i="27"/>
  <c r="G226" i="27"/>
  <c r="H499" i="27"/>
  <c r="G499" i="27"/>
  <c r="J318" i="27"/>
  <c r="J323" i="27"/>
  <c r="H217" i="27"/>
  <c r="J219" i="27"/>
  <c r="L178" i="27"/>
  <c r="L204" i="27" s="1"/>
  <c r="L177" i="27"/>
  <c r="L203" i="27" s="1"/>
  <c r="I193" i="27"/>
  <c r="I192" i="27"/>
  <c r="I178" i="27"/>
  <c r="I177" i="27"/>
  <c r="L180" i="27"/>
  <c r="L206" i="27" s="1"/>
  <c r="L179" i="27"/>
  <c r="L205" i="27" s="1"/>
  <c r="I195" i="27"/>
  <c r="I194" i="27"/>
  <c r="I180" i="27"/>
  <c r="I179" i="27"/>
  <c r="L116" i="27"/>
  <c r="E8" i="38" s="1"/>
  <c r="J201" i="27"/>
  <c r="J208" i="27" s="1"/>
  <c r="P494" i="27"/>
  <c r="F86" i="41" s="1"/>
  <c r="I451" i="27"/>
  <c r="I493" i="27"/>
  <c r="H496" i="27"/>
  <c r="H667" i="27" s="1"/>
  <c r="K141" i="27"/>
  <c r="H12" i="28"/>
  <c r="N116" i="31"/>
  <c r="N91" i="31"/>
  <c r="N92" i="31"/>
  <c r="N118" i="31"/>
  <c r="N119" i="31"/>
  <c r="N94" i="31"/>
  <c r="N120" i="31"/>
  <c r="N95" i="31"/>
  <c r="N121" i="31"/>
  <c r="N96" i="31"/>
  <c r="N122" i="31"/>
  <c r="N97" i="31"/>
  <c r="N123" i="31"/>
  <c r="N98" i="31"/>
  <c r="N124" i="31"/>
  <c r="N99" i="31"/>
  <c r="N100" i="31"/>
  <c r="AD193" i="1"/>
  <c r="AC192" i="1"/>
  <c r="P112" i="1"/>
  <c r="S113" i="28"/>
  <c r="R277" i="27"/>
  <c r="I584" i="27"/>
  <c r="J584" i="27" s="1"/>
  <c r="I570" i="27"/>
  <c r="J570" i="27" s="1"/>
  <c r="I598" i="27"/>
  <c r="J598" i="27" s="1"/>
  <c r="I626" i="27"/>
  <c r="J626" i="27" s="1"/>
  <c r="Q277" i="27"/>
  <c r="R124" i="27"/>
  <c r="R128" i="27" s="1"/>
  <c r="Q124" i="27"/>
  <c r="Q128" i="27" s="1"/>
  <c r="Q369" i="27"/>
  <c r="S322" i="28"/>
  <c r="S281" i="28"/>
  <c r="K455" i="27"/>
  <c r="K593" i="27" s="1"/>
  <c r="L479" i="27"/>
  <c r="L432" i="27" s="1"/>
  <c r="J635" i="27"/>
  <c r="J644" i="27" s="1"/>
  <c r="I640" i="27"/>
  <c r="Q353" i="27"/>
  <c r="L155" i="27"/>
  <c r="Q374" i="27"/>
  <c r="R357" i="27"/>
  <c r="S373" i="27"/>
  <c r="S374" i="27" s="1"/>
  <c r="R377" i="27"/>
  <c r="R347" i="27"/>
  <c r="L249" i="27"/>
  <c r="L246" i="27" s="1"/>
  <c r="D8" i="40" s="1"/>
  <c r="S368" i="27"/>
  <c r="S369" i="27" s="1"/>
  <c r="K454" i="27"/>
  <c r="K579" i="27" s="1"/>
  <c r="K395" i="27"/>
  <c r="K607" i="27" s="1"/>
  <c r="K458" i="27"/>
  <c r="K427" i="27"/>
  <c r="K430" i="27"/>
  <c r="K432" i="27"/>
  <c r="K453" i="27"/>
  <c r="K394" i="27"/>
  <c r="K621" i="27" s="1"/>
  <c r="K393" i="27"/>
  <c r="K456" i="27"/>
  <c r="K396" i="27"/>
  <c r="K457" i="27"/>
  <c r="K565" i="27" s="1"/>
  <c r="K397" i="27"/>
  <c r="K392" i="27"/>
  <c r="K84" i="27" s="1"/>
  <c r="K92" i="27" s="1"/>
  <c r="K428" i="27"/>
  <c r="K429" i="27"/>
  <c r="L135" i="27"/>
  <c r="H682" i="27"/>
  <c r="J398" i="27"/>
  <c r="J436" i="27" s="1"/>
  <c r="J447" i="27" s="1"/>
  <c r="J433" i="27"/>
  <c r="J493" i="27" s="1"/>
  <c r="J459" i="27"/>
  <c r="J463" i="27" s="1"/>
  <c r="J472" i="27" s="1"/>
  <c r="L199" i="27"/>
  <c r="L190" i="27" s="1"/>
  <c r="L191" i="27" s="1"/>
  <c r="L146" i="27"/>
  <c r="L138" i="27" s="1"/>
  <c r="L139" i="27" s="1"/>
  <c r="L143" i="27" s="1"/>
  <c r="D434" i="23"/>
  <c r="L283" i="27"/>
  <c r="L280" i="27" s="1"/>
  <c r="L295" i="27"/>
  <c r="L292" i="27" s="1"/>
  <c r="L315" i="27" s="1"/>
  <c r="L317" i="27" s="1"/>
  <c r="L19" i="28" s="1"/>
  <c r="E16" i="44" s="1"/>
  <c r="J219" i="28"/>
  <c r="J231" i="28" s="1"/>
  <c r="J228" i="27"/>
  <c r="J367" i="27" s="1"/>
  <c r="J365" i="27" s="1"/>
  <c r="J102" i="28" s="1"/>
  <c r="J196" i="27"/>
  <c r="J215" i="27" s="1"/>
  <c r="J209" i="27" s="1"/>
  <c r="J216" i="27" s="1"/>
  <c r="J17" i="28" s="1"/>
  <c r="K303" i="27"/>
  <c r="K321" i="27" s="1"/>
  <c r="K319" i="27" s="1"/>
  <c r="L307" i="27"/>
  <c r="L304" i="27" s="1"/>
  <c r="L320" i="27" s="1"/>
  <c r="L322" i="27" s="1"/>
  <c r="L18" i="28" s="1"/>
  <c r="E15" i="44" s="1"/>
  <c r="K291" i="27"/>
  <c r="K316" i="27" s="1"/>
  <c r="K314" i="27" s="1"/>
  <c r="M231" i="1"/>
  <c r="M29" i="31"/>
  <c r="M25" i="31" s="1"/>
  <c r="L266" i="27"/>
  <c r="L263" i="27" s="1"/>
  <c r="D18" i="40" s="1"/>
  <c r="M273" i="27"/>
  <c r="K275" i="27"/>
  <c r="Y186" i="1"/>
  <c r="M27" i="31"/>
  <c r="L73" i="1"/>
  <c r="L35" i="31"/>
  <c r="L84" i="31"/>
  <c r="H229" i="31"/>
  <c r="D9" i="57" s="1"/>
  <c r="H161" i="31"/>
  <c r="L48" i="31"/>
  <c r="E39" i="51" s="1"/>
  <c r="I229" i="31"/>
  <c r="I125" i="31"/>
  <c r="M222" i="1"/>
  <c r="G59" i="28"/>
  <c r="I321" i="27"/>
  <c r="I323" i="27" s="1"/>
  <c r="G207" i="27"/>
  <c r="F233" i="27"/>
  <c r="F12" i="28"/>
  <c r="H683" i="27"/>
  <c r="G670" i="27"/>
  <c r="I210" i="27"/>
  <c r="G219" i="27"/>
  <c r="C23" i="39" s="1"/>
  <c r="G219" i="28"/>
  <c r="D12" i="49" s="1"/>
  <c r="G228" i="27"/>
  <c r="F120" i="32"/>
  <c r="F134" i="32" s="1"/>
  <c r="I316" i="27"/>
  <c r="I318" i="27" s="1"/>
  <c r="G215" i="27"/>
  <c r="I202" i="27"/>
  <c r="E257" i="28"/>
  <c r="L230" i="28"/>
  <c r="E23" i="49" s="1"/>
  <c r="H229" i="28"/>
  <c r="H252" i="28" s="1"/>
  <c r="S102" i="27"/>
  <c r="S357" i="27"/>
  <c r="M93" i="1"/>
  <c r="M281" i="27"/>
  <c r="M247" i="27"/>
  <c r="J75" i="31"/>
  <c r="J116" i="31"/>
  <c r="J125" i="31" s="1"/>
  <c r="K101" i="31"/>
  <c r="M103" i="1"/>
  <c r="M33" i="31"/>
  <c r="J32" i="31"/>
  <c r="K74" i="31"/>
  <c r="I76" i="31"/>
  <c r="F42" i="31"/>
  <c r="F44" i="31" s="1"/>
  <c r="R435" i="27"/>
  <c r="S31" i="31" s="1"/>
  <c r="Q363" i="27"/>
  <c r="R362" i="27"/>
  <c r="R360" i="27" s="1"/>
  <c r="R85" i="28" s="1"/>
  <c r="P68" i="27"/>
  <c r="O69" i="27"/>
  <c r="O703" i="27" s="1"/>
  <c r="P103" i="27"/>
  <c r="O104" i="28"/>
  <c r="S419" i="27"/>
  <c r="S422" i="27"/>
  <c r="S421" i="27"/>
  <c r="S125" i="27" s="1"/>
  <c r="S420" i="27"/>
  <c r="S423" i="27"/>
  <c r="S126" i="27" s="1"/>
  <c r="S424" i="27"/>
  <c r="S127" i="27" s="1"/>
  <c r="T2" i="32"/>
  <c r="T2" i="31"/>
  <c r="T2" i="28"/>
  <c r="T197" i="28" s="1"/>
  <c r="T2" i="27"/>
  <c r="T140" i="27" s="1"/>
  <c r="T337" i="27"/>
  <c r="T373" i="27"/>
  <c r="T374" i="27" s="1"/>
  <c r="T368" i="27"/>
  <c r="T369" i="27" s="1"/>
  <c r="Q333" i="27"/>
  <c r="R332" i="27"/>
  <c r="R425" i="27"/>
  <c r="P343" i="27"/>
  <c r="P47" i="28" s="1"/>
  <c r="F5" i="45" s="1"/>
  <c r="P88" i="28"/>
  <c r="E8" i="46" s="1"/>
  <c r="Q342" i="27"/>
  <c r="Q340" i="27" s="1"/>
  <c r="Q425" i="27"/>
  <c r="P9" i="28"/>
  <c r="F6" i="44" s="1"/>
  <c r="M151" i="1"/>
  <c r="R171" i="1"/>
  <c r="R301" i="27"/>
  <c r="R289" i="27"/>
  <c r="Q301" i="27"/>
  <c r="Q289" i="27"/>
  <c r="M477" i="27"/>
  <c r="M133" i="27"/>
  <c r="M305" i="27"/>
  <c r="K62" i="23"/>
  <c r="K68" i="23"/>
  <c r="M67" i="1"/>
  <c r="M119" i="27"/>
  <c r="H59" i="28"/>
  <c r="H37" i="31" s="1"/>
  <c r="M82" i="31"/>
  <c r="M293" i="27"/>
  <c r="L202" i="27"/>
  <c r="M264" i="27"/>
  <c r="M71" i="1"/>
  <c r="M98" i="1"/>
  <c r="M144" i="27"/>
  <c r="M255" i="27"/>
  <c r="I161" i="31"/>
  <c r="J161" i="31"/>
  <c r="N27" i="31"/>
  <c r="N273" i="27"/>
  <c r="N153" i="27"/>
  <c r="R269" i="27"/>
  <c r="R260" i="27"/>
  <c r="L49" i="31"/>
  <c r="E40" i="51" s="1"/>
  <c r="Q260" i="27"/>
  <c r="Q269" i="27"/>
  <c r="M182" i="27"/>
  <c r="M197" i="27"/>
  <c r="M156" i="31"/>
  <c r="M155" i="31"/>
  <c r="M47" i="31"/>
  <c r="M48" i="31" s="1"/>
  <c r="K216" i="31"/>
  <c r="J241" i="31"/>
  <c r="J240" i="31" s="1"/>
  <c r="J62" i="31" s="1"/>
  <c r="J239" i="31"/>
  <c r="E123" i="32"/>
  <c r="E125" i="32"/>
  <c r="M44" i="32"/>
  <c r="M79" i="32"/>
  <c r="M221" i="31"/>
  <c r="M213" i="31"/>
  <c r="M151" i="31"/>
  <c r="M173" i="31"/>
  <c r="M71" i="31"/>
  <c r="M141" i="31"/>
  <c r="R160" i="1"/>
  <c r="R161" i="1"/>
  <c r="M88" i="1"/>
  <c r="M83" i="1"/>
  <c r="M78" i="1"/>
  <c r="M6" i="31"/>
  <c r="M1" i="32"/>
  <c r="M1" i="31"/>
  <c r="M6" i="32"/>
  <c r="AB190" i="1"/>
  <c r="I48" i="35" s="1"/>
  <c r="M77" i="27"/>
  <c r="M64" i="27"/>
  <c r="M164" i="1"/>
  <c r="M1" i="28"/>
  <c r="M1" i="27"/>
  <c r="M237" i="27"/>
  <c r="M107" i="27"/>
  <c r="M387" i="27"/>
  <c r="M509" i="27"/>
  <c r="M554" i="27"/>
  <c r="M658" i="27"/>
  <c r="M328" i="27"/>
  <c r="M169" i="27"/>
  <c r="M267" i="28"/>
  <c r="M207" i="28"/>
  <c r="M348" i="28"/>
  <c r="M307" i="28"/>
  <c r="M154" i="28"/>
  <c r="M81" i="28"/>
  <c r="M43" i="28"/>
  <c r="M4" i="28"/>
  <c r="M119" i="28"/>
  <c r="E253" i="28"/>
  <c r="M162" i="23"/>
  <c r="M176" i="23"/>
  <c r="K57" i="23"/>
  <c r="N151" i="23" s="1"/>
  <c r="K80" i="23"/>
  <c r="N700" i="27"/>
  <c r="N148" i="1"/>
  <c r="Z183" i="1"/>
  <c r="Z186" i="1" s="1"/>
  <c r="P115" i="1"/>
  <c r="M34" i="1"/>
  <c r="R163" i="1"/>
  <c r="R162" i="1"/>
  <c r="N114" i="32"/>
  <c r="N144" i="1"/>
  <c r="N145" i="1"/>
  <c r="Q118" i="1"/>
  <c r="Q121" i="1"/>
  <c r="S119" i="1"/>
  <c r="R120" i="1"/>
  <c r="R122" i="1"/>
  <c r="Q123" i="1"/>
  <c r="R113" i="1"/>
  <c r="Q114" i="1"/>
  <c r="N172" i="1"/>
  <c r="N136" i="1"/>
  <c r="N159" i="1"/>
  <c r="M208" i="1"/>
  <c r="M60" i="1"/>
  <c r="M130" i="1"/>
  <c r="M6" i="1"/>
  <c r="P109" i="1"/>
  <c r="U36" i="1"/>
  <c r="O45" i="1"/>
  <c r="M1" i="1"/>
  <c r="M146" i="1"/>
  <c r="O44" i="1"/>
  <c r="P37" i="1"/>
  <c r="O43" i="1"/>
  <c r="O46" i="1"/>
  <c r="O38" i="1"/>
  <c r="O55" i="1" s="1"/>
  <c r="R110" i="1"/>
  <c r="Q111" i="1"/>
  <c r="T2" i="1"/>
  <c r="P93" i="28" l="1"/>
  <c r="E13" i="46" s="1"/>
  <c r="F5" i="37"/>
  <c r="U50" i="1"/>
  <c r="U51" i="1"/>
  <c r="U49" i="1"/>
  <c r="U48" i="1"/>
  <c r="E46" i="41"/>
  <c r="L194" i="31"/>
  <c r="L193" i="31"/>
  <c r="L195" i="31"/>
  <c r="L191" i="31"/>
  <c r="K192" i="27"/>
  <c r="K211" i="27" s="1"/>
  <c r="L25" i="31"/>
  <c r="M73" i="31" s="1"/>
  <c r="K163" i="31"/>
  <c r="K165" i="31"/>
  <c r="L159" i="31"/>
  <c r="L162" i="31" s="1"/>
  <c r="L50" i="31"/>
  <c r="E41" i="51" s="1"/>
  <c r="K224" i="27"/>
  <c r="L192" i="31"/>
  <c r="K194" i="27"/>
  <c r="K213" i="27" s="1"/>
  <c r="I483" i="27"/>
  <c r="K180" i="27"/>
  <c r="K206" i="27" s="1"/>
  <c r="K168" i="31"/>
  <c r="K229" i="31" s="1"/>
  <c r="K239" i="31" s="1"/>
  <c r="K162" i="31"/>
  <c r="K210" i="27"/>
  <c r="D16" i="39"/>
  <c r="K195" i="27"/>
  <c r="K214" i="27" s="1"/>
  <c r="D7" i="39"/>
  <c r="D8" i="39"/>
  <c r="K179" i="27"/>
  <c r="K205" i="27" s="1"/>
  <c r="K177" i="27"/>
  <c r="K203" i="27" s="1"/>
  <c r="K202" i="27"/>
  <c r="D28" i="40"/>
  <c r="K25" i="31"/>
  <c r="K191" i="31"/>
  <c r="D19" i="55" s="1"/>
  <c r="K194" i="31"/>
  <c r="D22" i="55" s="1"/>
  <c r="K190" i="31"/>
  <c r="K195" i="31"/>
  <c r="D23" i="55" s="1"/>
  <c r="K193" i="31"/>
  <c r="D21" i="55" s="1"/>
  <c r="K192" i="31"/>
  <c r="M157" i="31"/>
  <c r="M158" i="31" s="1"/>
  <c r="M159" i="31" s="1"/>
  <c r="N701" i="27"/>
  <c r="N702" i="27" s="1"/>
  <c r="N218" i="28" s="1"/>
  <c r="O154" i="27"/>
  <c r="I166" i="31"/>
  <c r="N265" i="27"/>
  <c r="N120" i="27"/>
  <c r="N121" i="27" s="1"/>
  <c r="N115" i="27" s="1"/>
  <c r="N118" i="27" s="1"/>
  <c r="N306" i="27"/>
  <c r="N248" i="27"/>
  <c r="I241" i="31"/>
  <c r="I240" i="31" s="1"/>
  <c r="N28" i="31"/>
  <c r="O28" i="31" s="1"/>
  <c r="M93" i="31"/>
  <c r="M101" i="31" s="1"/>
  <c r="O101" i="1"/>
  <c r="O96" i="1"/>
  <c r="O91" i="1"/>
  <c r="O86" i="1"/>
  <c r="O81" i="1"/>
  <c r="O76" i="1"/>
  <c r="O65" i="1"/>
  <c r="N462" i="27"/>
  <c r="N409" i="27"/>
  <c r="N302" i="27"/>
  <c r="N290" i="27"/>
  <c r="N278" i="27"/>
  <c r="N270" i="27"/>
  <c r="N261" i="27"/>
  <c r="N252" i="27"/>
  <c r="N244" i="27"/>
  <c r="N151" i="27"/>
  <c r="N142" i="27"/>
  <c r="N131" i="27"/>
  <c r="N117" i="27"/>
  <c r="N198" i="27"/>
  <c r="J166" i="31"/>
  <c r="J228" i="31" s="1"/>
  <c r="J242" i="31" s="1"/>
  <c r="J63" i="31" s="1"/>
  <c r="N145" i="27"/>
  <c r="N146" i="27" s="1"/>
  <c r="N138" i="27" s="1"/>
  <c r="N139" i="27" s="1"/>
  <c r="N143" i="27" s="1"/>
  <c r="N294" i="27"/>
  <c r="N134" i="27"/>
  <c r="N135" i="27" s="1"/>
  <c r="S332" i="27"/>
  <c r="R330" i="27"/>
  <c r="T338" i="27"/>
  <c r="T335" i="27"/>
  <c r="N34" i="31"/>
  <c r="N35" i="31" s="1"/>
  <c r="N282" i="27"/>
  <c r="S358" i="27"/>
  <c r="S355" i="27"/>
  <c r="G37" i="31"/>
  <c r="D28" i="51" s="1"/>
  <c r="D16" i="45"/>
  <c r="I490" i="27"/>
  <c r="I501" i="27" s="1"/>
  <c r="H166" i="31"/>
  <c r="H228" i="31" s="1"/>
  <c r="H242" i="31" s="1"/>
  <c r="H63" i="31" s="1"/>
  <c r="N274" i="27"/>
  <c r="O274" i="27" s="1"/>
  <c r="R348" i="27"/>
  <c r="R345" i="27"/>
  <c r="D91" i="41"/>
  <c r="R353" i="27"/>
  <c r="R350" i="27"/>
  <c r="D36" i="40"/>
  <c r="E25" i="38"/>
  <c r="J224" i="31"/>
  <c r="E28" i="38"/>
  <c r="N157" i="31"/>
  <c r="N158" i="31" s="1"/>
  <c r="N154" i="31" s="1"/>
  <c r="N50" i="31" s="1"/>
  <c r="N183" i="27"/>
  <c r="N184" i="27" s="1"/>
  <c r="N175" i="27" s="1"/>
  <c r="N176" i="27" s="1"/>
  <c r="N256" i="27"/>
  <c r="N257" i="27" s="1"/>
  <c r="N83" i="31"/>
  <c r="N84" i="31" s="1"/>
  <c r="N478" i="27"/>
  <c r="N479" i="27" s="1"/>
  <c r="R378" i="27"/>
  <c r="R60" i="28" s="1"/>
  <c r="R376" i="27"/>
  <c r="R358" i="27"/>
  <c r="R355" i="27"/>
  <c r="S353" i="27"/>
  <c r="S350" i="27"/>
  <c r="I496" i="27"/>
  <c r="I63" i="28" s="1"/>
  <c r="D44" i="40"/>
  <c r="D15" i="39"/>
  <c r="D88" i="41"/>
  <c r="E26" i="38"/>
  <c r="H63" i="28"/>
  <c r="D20" i="45" s="1"/>
  <c r="I222" i="27"/>
  <c r="K323" i="27"/>
  <c r="K318" i="27"/>
  <c r="G227" i="27"/>
  <c r="J217" i="27"/>
  <c r="J227" i="27"/>
  <c r="J682" i="27" s="1"/>
  <c r="L193" i="27"/>
  <c r="L212" i="27" s="1"/>
  <c r="L224" i="27" s="1"/>
  <c r="L192" i="27"/>
  <c r="L211" i="27" s="1"/>
  <c r="L223" i="27" s="1"/>
  <c r="L195" i="27"/>
  <c r="L214" i="27" s="1"/>
  <c r="L226" i="27" s="1"/>
  <c r="L194" i="27"/>
  <c r="L213" i="27" s="1"/>
  <c r="L225" i="27" s="1"/>
  <c r="R494" i="27"/>
  <c r="L141" i="27"/>
  <c r="E27" i="38" s="1"/>
  <c r="J12" i="28"/>
  <c r="L210" i="27"/>
  <c r="L431" i="27"/>
  <c r="E45" i="41" s="1"/>
  <c r="Q124" i="1"/>
  <c r="AE193" i="1"/>
  <c r="AD192" i="1"/>
  <c r="Q112" i="1"/>
  <c r="O116" i="31"/>
  <c r="O91" i="31"/>
  <c r="O92" i="31"/>
  <c r="O118" i="31"/>
  <c r="O119" i="31"/>
  <c r="O94" i="31"/>
  <c r="O121" i="31"/>
  <c r="O120" i="31"/>
  <c r="O95" i="31"/>
  <c r="O96" i="31"/>
  <c r="O122" i="31"/>
  <c r="O97" i="31"/>
  <c r="O123" i="31"/>
  <c r="O98" i="31"/>
  <c r="O124" i="31"/>
  <c r="O99" i="31"/>
  <c r="O100" i="31"/>
  <c r="S347" i="27"/>
  <c r="K598" i="27"/>
  <c r="K584" i="27"/>
  <c r="S277" i="27"/>
  <c r="S124" i="27"/>
  <c r="S128" i="27" s="1"/>
  <c r="L454" i="27"/>
  <c r="L579" i="27" s="1"/>
  <c r="E21" i="43" s="1"/>
  <c r="L394" i="27"/>
  <c r="L621" i="27" s="1"/>
  <c r="E54" i="43" s="1"/>
  <c r="T281" i="28"/>
  <c r="T322" i="28"/>
  <c r="L393" i="27"/>
  <c r="E7" i="41" s="1"/>
  <c r="L395" i="27"/>
  <c r="L607" i="27" s="1"/>
  <c r="E43" i="43" s="1"/>
  <c r="L396" i="27"/>
  <c r="E10" i="41" s="1"/>
  <c r="L428" i="27"/>
  <c r="E42" i="41" s="1"/>
  <c r="L429" i="27"/>
  <c r="E43" i="41" s="1"/>
  <c r="T352" i="27"/>
  <c r="L455" i="27"/>
  <c r="L593" i="27" s="1"/>
  <c r="E32" i="43" s="1"/>
  <c r="L456" i="27"/>
  <c r="E65" i="41" s="1"/>
  <c r="L392" i="27"/>
  <c r="L84" i="27" s="1"/>
  <c r="L92" i="27" s="1"/>
  <c r="L457" i="27"/>
  <c r="L565" i="27" s="1"/>
  <c r="E10" i="43" s="1"/>
  <c r="L397" i="27"/>
  <c r="E11" i="41" s="1"/>
  <c r="L458" i="27"/>
  <c r="E67" i="41" s="1"/>
  <c r="L453" i="27"/>
  <c r="E62" i="41" s="1"/>
  <c r="L427" i="27"/>
  <c r="E41" i="41" s="1"/>
  <c r="L430" i="27"/>
  <c r="E44" i="41" s="1"/>
  <c r="G522" i="27"/>
  <c r="K635" i="27"/>
  <c r="J640" i="27"/>
  <c r="K626" i="27"/>
  <c r="T102" i="27"/>
  <c r="M155" i="27"/>
  <c r="K570" i="27"/>
  <c r="M249" i="27"/>
  <c r="T357" i="27"/>
  <c r="K398" i="27"/>
  <c r="K436" i="27" s="1"/>
  <c r="K447" i="27" s="1"/>
  <c r="T347" i="27"/>
  <c r="S377" i="27"/>
  <c r="L245" i="27"/>
  <c r="D7" i="40" s="1"/>
  <c r="K433" i="27"/>
  <c r="K459" i="27"/>
  <c r="K463" i="27" s="1"/>
  <c r="K472" i="27" s="1"/>
  <c r="J483" i="27"/>
  <c r="J451" i="27"/>
  <c r="J496" i="27" s="1"/>
  <c r="J667" i="27" s="1"/>
  <c r="M199" i="27"/>
  <c r="L291" i="27"/>
  <c r="L316" i="27" s="1"/>
  <c r="L314" i="27" s="1"/>
  <c r="M295" i="27"/>
  <c r="M307" i="27"/>
  <c r="L279" i="27"/>
  <c r="D27" i="40" s="1"/>
  <c r="J490" i="27"/>
  <c r="L303" i="27"/>
  <c r="L321" i="27" s="1"/>
  <c r="L319" i="27" s="1"/>
  <c r="M283" i="27"/>
  <c r="J18" i="32"/>
  <c r="J228" i="28"/>
  <c r="J88" i="32" s="1"/>
  <c r="M266" i="27"/>
  <c r="L262" i="27"/>
  <c r="D17" i="40" s="1"/>
  <c r="L215" i="31"/>
  <c r="M216" i="31" s="1"/>
  <c r="M190" i="31"/>
  <c r="M215" i="31"/>
  <c r="M82" i="1"/>
  <c r="M97" i="1"/>
  <c r="M102" i="1"/>
  <c r="M92" i="1"/>
  <c r="L275" i="27"/>
  <c r="L272" i="27" s="1"/>
  <c r="M77" i="1"/>
  <c r="M87" i="1"/>
  <c r="M73" i="1"/>
  <c r="M66" i="1"/>
  <c r="P199" i="28"/>
  <c r="L72" i="1"/>
  <c r="D4" i="34" s="1" a="1"/>
  <c r="D4" i="34" s="1"/>
  <c r="K272" i="27"/>
  <c r="H239" i="31"/>
  <c r="D19" i="57" s="1"/>
  <c r="H241" i="31"/>
  <c r="D21" i="57" s="1"/>
  <c r="H18" i="32"/>
  <c r="E126" i="32"/>
  <c r="F119" i="32"/>
  <c r="M195" i="31"/>
  <c r="M193" i="31"/>
  <c r="M192" i="31"/>
  <c r="M191" i="31"/>
  <c r="M194" i="31"/>
  <c r="I239" i="31"/>
  <c r="N231" i="1"/>
  <c r="N222" i="1"/>
  <c r="M184" i="27"/>
  <c r="M257" i="27"/>
  <c r="M121" i="27"/>
  <c r="E258" i="28"/>
  <c r="I205" i="27"/>
  <c r="I206" i="27"/>
  <c r="G18" i="32"/>
  <c r="G228" i="28"/>
  <c r="D21" i="49" s="1"/>
  <c r="G231" i="28"/>
  <c r="D24" i="49" s="1"/>
  <c r="I214" i="27"/>
  <c r="I211" i="27"/>
  <c r="I196" i="27"/>
  <c r="G201" i="27"/>
  <c r="I204" i="27"/>
  <c r="I203" i="27"/>
  <c r="I181" i="27"/>
  <c r="G209" i="27"/>
  <c r="I314" i="27"/>
  <c r="G367" i="27"/>
  <c r="G365" i="27" s="1"/>
  <c r="G102" i="28" s="1"/>
  <c r="G232" i="27"/>
  <c r="H232" i="27"/>
  <c r="H48" i="28" s="1"/>
  <c r="I213" i="27"/>
  <c r="I212" i="27"/>
  <c r="F236" i="28"/>
  <c r="F684" i="27"/>
  <c r="F217" i="28" s="1"/>
  <c r="F233" i="28"/>
  <c r="F235" i="28"/>
  <c r="F234" i="28"/>
  <c r="I319" i="27"/>
  <c r="J229" i="28"/>
  <c r="J252" i="28" s="1"/>
  <c r="J121" i="32"/>
  <c r="H522" i="27"/>
  <c r="N93" i="1"/>
  <c r="N92" i="1" s="1"/>
  <c r="N281" i="27"/>
  <c r="N305" i="27"/>
  <c r="N293" i="27"/>
  <c r="N247" i="27"/>
  <c r="K75" i="31"/>
  <c r="K116" i="31"/>
  <c r="K125" i="31" s="1"/>
  <c r="N103" i="1"/>
  <c r="N102" i="1" s="1"/>
  <c r="N33" i="31"/>
  <c r="K32" i="31"/>
  <c r="L74" i="31"/>
  <c r="E4" i="52" s="1"/>
  <c r="I81" i="31"/>
  <c r="J76" i="31"/>
  <c r="F43" i="31"/>
  <c r="R9" i="28"/>
  <c r="U2" i="31"/>
  <c r="U2" i="32"/>
  <c r="U2" i="27"/>
  <c r="U140" i="27" s="1"/>
  <c r="U2" i="28"/>
  <c r="U197" i="28" s="1"/>
  <c r="U368" i="27"/>
  <c r="U369" i="27" s="1"/>
  <c r="U373" i="27"/>
  <c r="U374" i="27" s="1"/>
  <c r="U352" i="27"/>
  <c r="U337" i="27"/>
  <c r="R333" i="27"/>
  <c r="T332" i="27"/>
  <c r="T419" i="27"/>
  <c r="G32" i="41" s="1"/>
  <c r="T421" i="27"/>
  <c r="T424" i="27"/>
  <c r="T423" i="27"/>
  <c r="T420" i="27"/>
  <c r="G33" i="41" s="1"/>
  <c r="T422" i="27"/>
  <c r="G35" i="41" s="1"/>
  <c r="S435" i="27"/>
  <c r="T31" i="31" s="1"/>
  <c r="S425" i="27"/>
  <c r="Q68" i="27"/>
  <c r="Q93" i="28" s="1"/>
  <c r="P69" i="27"/>
  <c r="Q343" i="27"/>
  <c r="Q47" i="28" s="1"/>
  <c r="Q88" i="28"/>
  <c r="Q199" i="28" s="1"/>
  <c r="R342" i="27"/>
  <c r="Q103" i="27"/>
  <c r="P104" i="28"/>
  <c r="E24" i="46" s="1"/>
  <c r="T113" i="28"/>
  <c r="F33" i="46" s="1"/>
  <c r="R363" i="27"/>
  <c r="S362" i="27"/>
  <c r="S360" i="27" s="1"/>
  <c r="S85" i="28" s="1"/>
  <c r="N151" i="1"/>
  <c r="S171" i="1"/>
  <c r="S301" i="27"/>
  <c r="S289" i="27"/>
  <c r="N477" i="27"/>
  <c r="N133" i="27"/>
  <c r="N119" i="27"/>
  <c r="L62" i="23"/>
  <c r="L68" i="23"/>
  <c r="N71" i="1"/>
  <c r="N73" i="1" s="1"/>
  <c r="N72" i="1" s="1"/>
  <c r="N67" i="1"/>
  <c r="N66" i="1" s="1"/>
  <c r="N144" i="27"/>
  <c r="N255" i="27"/>
  <c r="N264" i="27"/>
  <c r="L163" i="31"/>
  <c r="D11" i="54" s="1"/>
  <c r="H41" i="31"/>
  <c r="N82" i="31"/>
  <c r="L181" i="27"/>
  <c r="L207" i="27" s="1"/>
  <c r="L164" i="31"/>
  <c r="D12" i="54" s="1"/>
  <c r="N98" i="1"/>
  <c r="N97" i="1" s="1"/>
  <c r="O27" i="31"/>
  <c r="O273" i="27"/>
  <c r="O153" i="27"/>
  <c r="K224" i="31"/>
  <c r="K13" i="32" s="1"/>
  <c r="M49" i="31"/>
  <c r="N182" i="27"/>
  <c r="N197" i="27"/>
  <c r="N156" i="31"/>
  <c r="N155" i="31"/>
  <c r="N47" i="31"/>
  <c r="N48" i="31" s="1"/>
  <c r="S260" i="27"/>
  <c r="S269" i="27"/>
  <c r="N44" i="32"/>
  <c r="N79" i="32"/>
  <c r="N221" i="31"/>
  <c r="N213" i="31"/>
  <c r="N151" i="31"/>
  <c r="N173" i="31"/>
  <c r="N71" i="31"/>
  <c r="N141" i="31"/>
  <c r="S160" i="1"/>
  <c r="S161" i="1"/>
  <c r="N78" i="1"/>
  <c r="N77" i="1" s="1"/>
  <c r="N88" i="1"/>
  <c r="N87" i="1" s="1"/>
  <c r="N83" i="1"/>
  <c r="N82" i="1" s="1"/>
  <c r="N6" i="31"/>
  <c r="N1" i="32"/>
  <c r="N1" i="31"/>
  <c r="N6" i="32"/>
  <c r="AC190" i="1"/>
  <c r="N77" i="27"/>
  <c r="N64" i="27"/>
  <c r="N164" i="1"/>
  <c r="N1" i="28"/>
  <c r="N1" i="27"/>
  <c r="N169" i="27"/>
  <c r="N509" i="27"/>
  <c r="N237" i="27"/>
  <c r="N328" i="27"/>
  <c r="N107" i="27"/>
  <c r="N387" i="27"/>
  <c r="N554" i="27"/>
  <c r="N658" i="27"/>
  <c r="N348" i="28"/>
  <c r="N307" i="28"/>
  <c r="N267" i="28"/>
  <c r="N207" i="28"/>
  <c r="N119" i="28"/>
  <c r="N81" i="28"/>
  <c r="N154" i="28"/>
  <c r="N43" i="28"/>
  <c r="N4" i="28"/>
  <c r="E254" i="28"/>
  <c r="N162" i="23"/>
  <c r="N176" i="23"/>
  <c r="L57" i="23"/>
  <c r="O151" i="23" s="1"/>
  <c r="L80" i="23"/>
  <c r="O700" i="27"/>
  <c r="O148" i="1"/>
  <c r="AA183" i="1"/>
  <c r="AA186" i="1" s="1"/>
  <c r="Q115" i="1"/>
  <c r="V36" i="1"/>
  <c r="W36" i="1" s="1"/>
  <c r="U2" i="1"/>
  <c r="N34" i="1"/>
  <c r="S162" i="1"/>
  <c r="S163" i="1"/>
  <c r="O114" i="32"/>
  <c r="O145" i="1"/>
  <c r="O144" i="1"/>
  <c r="R118" i="1"/>
  <c r="R121" i="1"/>
  <c r="T119" i="1"/>
  <c r="S120" i="1"/>
  <c r="S122" i="1"/>
  <c r="R123" i="1"/>
  <c r="R124" i="1" s="1"/>
  <c r="S113" i="1"/>
  <c r="R114" i="1"/>
  <c r="O172" i="1"/>
  <c r="O136" i="1"/>
  <c r="O159" i="1"/>
  <c r="N208" i="1"/>
  <c r="N60" i="1"/>
  <c r="N130" i="1"/>
  <c r="N6" i="1"/>
  <c r="Q109" i="1"/>
  <c r="P45" i="1"/>
  <c r="V2" i="1"/>
  <c r="N1" i="1"/>
  <c r="N146" i="1"/>
  <c r="Q37" i="1"/>
  <c r="P44" i="1"/>
  <c r="P46" i="1"/>
  <c r="P38" i="1"/>
  <c r="P55" i="1" s="1"/>
  <c r="P43" i="1"/>
  <c r="S110" i="1"/>
  <c r="R111" i="1"/>
  <c r="W48" i="1" l="1"/>
  <c r="W51" i="1"/>
  <c r="W49" i="1"/>
  <c r="W50" i="1"/>
  <c r="K225" i="27"/>
  <c r="P703" i="27"/>
  <c r="F6" i="37"/>
  <c r="D10" i="54"/>
  <c r="V48" i="1"/>
  <c r="V51" i="1"/>
  <c r="V49" i="1"/>
  <c r="V50" i="1"/>
  <c r="I223" i="27"/>
  <c r="L168" i="31"/>
  <c r="L229" i="31" s="1"/>
  <c r="L241" i="31" s="1"/>
  <c r="L240" i="31" s="1"/>
  <c r="L62" i="31" s="1"/>
  <c r="O256" i="27"/>
  <c r="O257" i="27" s="1"/>
  <c r="O478" i="27"/>
  <c r="O479" i="27" s="1"/>
  <c r="O294" i="27"/>
  <c r="E20" i="51"/>
  <c r="L189" i="31"/>
  <c r="L165" i="31"/>
  <c r="D13" i="54" s="1"/>
  <c r="K161" i="31"/>
  <c r="O120" i="27"/>
  <c r="O121" i="27" s="1"/>
  <c r="O115" i="27" s="1"/>
  <c r="D7" i="54"/>
  <c r="D49" i="40"/>
  <c r="N29" i="31"/>
  <c r="N25" i="31" s="1"/>
  <c r="N215" i="31" s="1"/>
  <c r="O216" i="31" s="1"/>
  <c r="O224" i="31" s="1"/>
  <c r="K223" i="27"/>
  <c r="O183" i="27"/>
  <c r="O184" i="27" s="1"/>
  <c r="O175" i="27" s="1"/>
  <c r="O176" i="27" s="1"/>
  <c r="D12" i="58"/>
  <c r="O198" i="27"/>
  <c r="O145" i="27"/>
  <c r="O146" i="27" s="1"/>
  <c r="O138" i="27" s="1"/>
  <c r="O139" i="27" s="1"/>
  <c r="O143" i="27" s="1"/>
  <c r="O134" i="27"/>
  <c r="O248" i="27"/>
  <c r="O282" i="27"/>
  <c r="I482" i="27"/>
  <c r="I59" i="28" s="1"/>
  <c r="D20" i="55"/>
  <c r="P154" i="27"/>
  <c r="P28" i="31"/>
  <c r="K241" i="31"/>
  <c r="K240" i="31" s="1"/>
  <c r="K62" i="31" s="1"/>
  <c r="K196" i="27"/>
  <c r="K215" i="27" s="1"/>
  <c r="K209" i="27" s="1"/>
  <c r="K216" i="27" s="1"/>
  <c r="K17" i="28" s="1"/>
  <c r="K226" i="27"/>
  <c r="K181" i="27"/>
  <c r="K207" i="27" s="1"/>
  <c r="K201" i="27" s="1"/>
  <c r="K208" i="27" s="1"/>
  <c r="K12" i="28" s="1"/>
  <c r="K222" i="27"/>
  <c r="O157" i="31"/>
  <c r="O158" i="31" s="1"/>
  <c r="O154" i="31" s="1"/>
  <c r="O50" i="31" s="1"/>
  <c r="O83" i="31"/>
  <c r="O265" i="27"/>
  <c r="O34" i="31"/>
  <c r="O306" i="27"/>
  <c r="D48" i="40"/>
  <c r="K189" i="31"/>
  <c r="D17" i="55" s="1"/>
  <c r="L73" i="31"/>
  <c r="L75" i="31" s="1"/>
  <c r="E5" i="52" s="1"/>
  <c r="K215" i="31"/>
  <c r="L216" i="31" s="1"/>
  <c r="K26" i="31"/>
  <c r="L26" i="31" s="1"/>
  <c r="E21" i="51" s="1"/>
  <c r="D18" i="55"/>
  <c r="N230" i="28"/>
  <c r="P101" i="1"/>
  <c r="P96" i="1"/>
  <c r="P91" i="1"/>
  <c r="P86" i="1"/>
  <c r="P81" i="1"/>
  <c r="E11" i="34" s="1"/>
  <c r="P76" i="1"/>
  <c r="P65" i="1"/>
  <c r="O462" i="27"/>
  <c r="O409" i="27"/>
  <c r="O302" i="27"/>
  <c r="O290" i="27"/>
  <c r="O278" i="27"/>
  <c r="O270" i="27"/>
  <c r="O261" i="27"/>
  <c r="O252" i="27"/>
  <c r="O244" i="27"/>
  <c r="O151" i="27"/>
  <c r="O142" i="27"/>
  <c r="O131" i="27"/>
  <c r="O117" i="27"/>
  <c r="O701" i="27"/>
  <c r="O702" i="27" s="1"/>
  <c r="O218" i="28" s="1"/>
  <c r="I498" i="27"/>
  <c r="P274" i="27"/>
  <c r="T126" i="27"/>
  <c r="G16" i="38" s="1"/>
  <c r="G36" i="41"/>
  <c r="T125" i="27"/>
  <c r="G15" i="38" s="1"/>
  <c r="G34" i="41"/>
  <c r="T333" i="27"/>
  <c r="T330" i="27"/>
  <c r="U338" i="27"/>
  <c r="U335" i="27"/>
  <c r="G216" i="27"/>
  <c r="G17" i="28" s="1"/>
  <c r="D14" i="44" s="1"/>
  <c r="C20" i="39"/>
  <c r="G208" i="27"/>
  <c r="C19" i="39"/>
  <c r="F123" i="32"/>
  <c r="F138" i="32" s="1"/>
  <c r="M224" i="31"/>
  <c r="M233" i="31" s="1"/>
  <c r="T348" i="27"/>
  <c r="T345" i="27"/>
  <c r="T358" i="27"/>
  <c r="T355" i="27"/>
  <c r="T353" i="27"/>
  <c r="T350" i="27"/>
  <c r="S348" i="27"/>
  <c r="S345" i="27"/>
  <c r="D35" i="40"/>
  <c r="E66" i="41"/>
  <c r="I667" i="27"/>
  <c r="E63" i="41"/>
  <c r="E15" i="37"/>
  <c r="E6" i="41"/>
  <c r="E19" i="34"/>
  <c r="E27" i="34"/>
  <c r="K166" i="31"/>
  <c r="R343" i="27"/>
  <c r="R47" i="28" s="1"/>
  <c r="R340" i="27"/>
  <c r="T127" i="27"/>
  <c r="G17" i="38" s="1"/>
  <c r="G37" i="41"/>
  <c r="U353" i="27"/>
  <c r="U350" i="27"/>
  <c r="I148" i="27"/>
  <c r="K271" i="27"/>
  <c r="D23" i="40"/>
  <c r="N191" i="31"/>
  <c r="S378" i="27"/>
  <c r="S60" i="28" s="1"/>
  <c r="S376" i="27"/>
  <c r="I500" i="27"/>
  <c r="D43" i="40"/>
  <c r="E9" i="41"/>
  <c r="J13" i="32"/>
  <c r="J233" i="31"/>
  <c r="E8" i="41"/>
  <c r="E64" i="41"/>
  <c r="S333" i="27"/>
  <c r="S330" i="27"/>
  <c r="E7" i="34"/>
  <c r="E15" i="34"/>
  <c r="E23" i="34"/>
  <c r="J63" i="28"/>
  <c r="I224" i="27"/>
  <c r="L318" i="27"/>
  <c r="L323" i="27"/>
  <c r="G217" i="27"/>
  <c r="C21" i="39" s="1"/>
  <c r="L222" i="27"/>
  <c r="L219" i="28" s="1"/>
  <c r="I226" i="27"/>
  <c r="I225" i="27"/>
  <c r="J501" i="27"/>
  <c r="J500" i="27" s="1"/>
  <c r="N178" i="27"/>
  <c r="N204" i="27" s="1"/>
  <c r="N177" i="27"/>
  <c r="N203" i="27" s="1"/>
  <c r="N180" i="27"/>
  <c r="N206" i="27" s="1"/>
  <c r="N179" i="27"/>
  <c r="N205" i="27" s="1"/>
  <c r="N116" i="27"/>
  <c r="K451" i="27"/>
  <c r="K496" i="27" s="1"/>
  <c r="K667" i="27" s="1"/>
  <c r="K493" i="27"/>
  <c r="L201" i="27"/>
  <c r="L208" i="27" s="1"/>
  <c r="S494" i="27"/>
  <c r="N141" i="27"/>
  <c r="M479" i="27"/>
  <c r="M432" i="27" s="1"/>
  <c r="P116" i="31"/>
  <c r="F44" i="52" s="1"/>
  <c r="P91" i="31"/>
  <c r="F19" i="52" s="1"/>
  <c r="P92" i="31"/>
  <c r="F20" i="52" s="1"/>
  <c r="P118" i="31"/>
  <c r="F46" i="52" s="1"/>
  <c r="P94" i="31"/>
  <c r="F22" i="52" s="1"/>
  <c r="P119" i="31"/>
  <c r="F47" i="52" s="1"/>
  <c r="P121" i="31"/>
  <c r="F49" i="52" s="1"/>
  <c r="P120" i="31"/>
  <c r="F48" i="52" s="1"/>
  <c r="P95" i="31"/>
  <c r="F23" i="52" s="1"/>
  <c r="P96" i="31"/>
  <c r="F24" i="52" s="1"/>
  <c r="P122" i="31"/>
  <c r="F50" i="52" s="1"/>
  <c r="P97" i="31"/>
  <c r="F25" i="52" s="1"/>
  <c r="P123" i="31"/>
  <c r="F51" i="52" s="1"/>
  <c r="P98" i="31"/>
  <c r="F26" i="52" s="1"/>
  <c r="P124" i="31"/>
  <c r="F52" i="52" s="1"/>
  <c r="P99" i="31"/>
  <c r="F27" i="52" s="1"/>
  <c r="P100" i="31"/>
  <c r="F28" i="52" s="1"/>
  <c r="AF193" i="1"/>
  <c r="J51" i="35" s="1"/>
  <c r="AE192" i="1"/>
  <c r="L584" i="27"/>
  <c r="T277" i="27"/>
  <c r="F26" i="40" s="1"/>
  <c r="T124" i="27"/>
  <c r="L635" i="27"/>
  <c r="L644" i="27" s="1"/>
  <c r="L398" i="27"/>
  <c r="L436" i="27" s="1"/>
  <c r="L447" i="27" s="1"/>
  <c r="E55" i="41" s="1"/>
  <c r="L433" i="27"/>
  <c r="E47" i="41" s="1"/>
  <c r="L459" i="27"/>
  <c r="E68" i="41" s="1"/>
  <c r="L570" i="27"/>
  <c r="L626" i="27"/>
  <c r="U322" i="28"/>
  <c r="U281" i="28"/>
  <c r="T377" i="27"/>
  <c r="M135" i="27"/>
  <c r="K640" i="27"/>
  <c r="K644" i="27"/>
  <c r="U102" i="27"/>
  <c r="N155" i="27"/>
  <c r="L598" i="27"/>
  <c r="N295" i="27"/>
  <c r="N292" i="27" s="1"/>
  <c r="N315" i="27" s="1"/>
  <c r="N317" i="27" s="1"/>
  <c r="N19" i="28" s="1"/>
  <c r="U347" i="27"/>
  <c r="V347" i="27" s="1"/>
  <c r="U357" i="27"/>
  <c r="N249" i="27"/>
  <c r="N246" i="27" s="1"/>
  <c r="N245" i="27" s="1"/>
  <c r="K483" i="27"/>
  <c r="K490" i="27"/>
  <c r="N431" i="27"/>
  <c r="N432" i="27"/>
  <c r="N429" i="27"/>
  <c r="N430" i="27"/>
  <c r="N428" i="27"/>
  <c r="N427" i="27"/>
  <c r="N283" i="27"/>
  <c r="N280" i="27" s="1"/>
  <c r="N279" i="27" s="1"/>
  <c r="J482" i="27"/>
  <c r="J498" i="27" s="1"/>
  <c r="J230" i="27"/>
  <c r="J683" i="27" s="1"/>
  <c r="N307" i="27"/>
  <c r="N304" i="27" s="1"/>
  <c r="N320" i="27" s="1"/>
  <c r="N322" i="27" s="1"/>
  <c r="N18" i="28" s="1"/>
  <c r="M146" i="27"/>
  <c r="M138" i="27" s="1"/>
  <c r="N266" i="27"/>
  <c r="N263" i="27" s="1"/>
  <c r="N262" i="27" s="1"/>
  <c r="N199" i="27"/>
  <c r="N190" i="27" s="1"/>
  <c r="N191" i="27" s="1"/>
  <c r="L196" i="27"/>
  <c r="L215" i="27" s="1"/>
  <c r="L227" i="27" s="1"/>
  <c r="N190" i="31"/>
  <c r="O29" i="31"/>
  <c r="O25" i="31" s="1"/>
  <c r="N195" i="31"/>
  <c r="M35" i="31"/>
  <c r="M84" i="31"/>
  <c r="M72" i="1"/>
  <c r="M275" i="27"/>
  <c r="M272" i="27" s="1"/>
  <c r="L271" i="27"/>
  <c r="P700" i="27"/>
  <c r="H88" i="32"/>
  <c r="H121" i="32"/>
  <c r="H240" i="31"/>
  <c r="D20" i="57" s="1"/>
  <c r="N73" i="31"/>
  <c r="M189" i="31"/>
  <c r="M164" i="31"/>
  <c r="N216" i="31"/>
  <c r="G41" i="31"/>
  <c r="D32" i="51" s="1"/>
  <c r="M154" i="31"/>
  <c r="M50" i="31" s="1"/>
  <c r="I228" i="31"/>
  <c r="I62" i="31"/>
  <c r="U113" i="28"/>
  <c r="O231" i="1"/>
  <c r="O222" i="1"/>
  <c r="G38" i="31"/>
  <c r="G55" i="31" s="1"/>
  <c r="J120" i="32"/>
  <c r="G48" i="28"/>
  <c r="D6" i="45" s="1"/>
  <c r="I219" i="27"/>
  <c r="I219" i="28"/>
  <c r="I228" i="27"/>
  <c r="I215" i="27"/>
  <c r="G88" i="32"/>
  <c r="M246" i="27"/>
  <c r="M175" i="27"/>
  <c r="M263" i="27"/>
  <c r="M190" i="27"/>
  <c r="F232" i="28"/>
  <c r="I207" i="27"/>
  <c r="M280" i="27"/>
  <c r="G682" i="27"/>
  <c r="G230" i="27"/>
  <c r="G233" i="27" s="1"/>
  <c r="G121" i="32"/>
  <c r="G229" i="28"/>
  <c r="M115" i="27"/>
  <c r="M304" i="27"/>
  <c r="M292" i="27"/>
  <c r="O93" i="1"/>
  <c r="O92" i="1" s="1"/>
  <c r="O281" i="27"/>
  <c r="O247" i="27"/>
  <c r="O119" i="27"/>
  <c r="O305" i="27"/>
  <c r="P306" i="27" s="1"/>
  <c r="O98" i="1"/>
  <c r="O97" i="1" s="1"/>
  <c r="O71" i="1"/>
  <c r="O73" i="1" s="1"/>
  <c r="O72" i="1" s="1"/>
  <c r="K76" i="31"/>
  <c r="K81" i="31" s="1"/>
  <c r="K148" i="27" s="1"/>
  <c r="N395" i="27"/>
  <c r="N607" i="27" s="1"/>
  <c r="N453" i="27"/>
  <c r="N397" i="27"/>
  <c r="N458" i="27"/>
  <c r="L116" i="31"/>
  <c r="L125" i="31" s="1"/>
  <c r="E53" i="52" s="1"/>
  <c r="O103" i="1"/>
  <c r="O102" i="1" s="1"/>
  <c r="O33" i="31"/>
  <c r="L32" i="31"/>
  <c r="E25" i="51" s="1"/>
  <c r="M74" i="31"/>
  <c r="J81" i="31"/>
  <c r="J148" i="27" s="1"/>
  <c r="O67" i="1"/>
  <c r="O66" i="1" s="1"/>
  <c r="N392" i="27"/>
  <c r="N84" i="27" s="1"/>
  <c r="N457" i="27"/>
  <c r="N565" i="27" s="1"/>
  <c r="N396" i="27"/>
  <c r="N394" i="27"/>
  <c r="N621" i="27" s="1"/>
  <c r="N393" i="27"/>
  <c r="N454" i="27"/>
  <c r="N579" i="27" s="1"/>
  <c r="N456" i="27"/>
  <c r="N455" i="27"/>
  <c r="N593" i="27" s="1"/>
  <c r="T435" i="27"/>
  <c r="W2" i="31"/>
  <c r="W2" i="32"/>
  <c r="W2" i="28"/>
  <c r="W197" i="28" s="1"/>
  <c r="W2" i="27"/>
  <c r="W140" i="27" s="1"/>
  <c r="V2" i="32"/>
  <c r="V2" i="31"/>
  <c r="V2" i="28"/>
  <c r="V197" i="28" s="1"/>
  <c r="V2" i="27"/>
  <c r="V140" i="27" s="1"/>
  <c r="V337" i="27"/>
  <c r="V352" i="27"/>
  <c r="V373" i="27"/>
  <c r="W373" i="27" s="1"/>
  <c r="W374" i="27" s="1"/>
  <c r="V368" i="27"/>
  <c r="W368" i="27" s="1"/>
  <c r="W369" i="27" s="1"/>
  <c r="R103" i="27"/>
  <c r="Q104" i="28"/>
  <c r="R68" i="27"/>
  <c r="R93" i="28" s="1"/>
  <c r="Q69" i="27"/>
  <c r="Q703" i="27" s="1"/>
  <c r="U332" i="27"/>
  <c r="U419" i="27"/>
  <c r="U420" i="27"/>
  <c r="U421" i="27"/>
  <c r="U125" i="27" s="1"/>
  <c r="U424" i="27"/>
  <c r="U127" i="27" s="1"/>
  <c r="U422" i="27"/>
  <c r="U423" i="27"/>
  <c r="U126" i="27" s="1"/>
  <c r="S363" i="27"/>
  <c r="T362" i="27"/>
  <c r="T360" i="27" s="1"/>
  <c r="T85" i="28" s="1"/>
  <c r="F5" i="46" s="1"/>
  <c r="R88" i="28"/>
  <c r="R199" i="28" s="1"/>
  <c r="S342" i="27"/>
  <c r="S340" i="27" s="1"/>
  <c r="S9" i="28"/>
  <c r="T425" i="27"/>
  <c r="G38" i="41" s="1"/>
  <c r="O151" i="1"/>
  <c r="T171" i="1"/>
  <c r="G34" i="35" s="1"/>
  <c r="T301" i="27"/>
  <c r="F42" i="40" s="1"/>
  <c r="T289" i="27"/>
  <c r="F34" i="40" s="1"/>
  <c r="O477" i="27"/>
  <c r="O133" i="27"/>
  <c r="O135" i="27"/>
  <c r="M62" i="23"/>
  <c r="M68" i="23"/>
  <c r="O82" i="31"/>
  <c r="M163" i="31"/>
  <c r="N159" i="31"/>
  <c r="N162" i="31" s="1"/>
  <c r="M165" i="31"/>
  <c r="M162" i="31"/>
  <c r="M168" i="31"/>
  <c r="N202" i="27"/>
  <c r="O293" i="27"/>
  <c r="P294" i="27" s="1"/>
  <c r="O144" i="27"/>
  <c r="O264" i="27"/>
  <c r="O255" i="27"/>
  <c r="K233" i="31"/>
  <c r="K51" i="32" s="1"/>
  <c r="O47" i="31"/>
  <c r="O48" i="31" s="1"/>
  <c r="O155" i="31"/>
  <c r="P33" i="31"/>
  <c r="P27" i="31"/>
  <c r="P273" i="27"/>
  <c r="T260" i="27"/>
  <c r="F16" i="40" s="1"/>
  <c r="T269" i="27"/>
  <c r="F21" i="40" s="1"/>
  <c r="I670" i="27"/>
  <c r="N49" i="31"/>
  <c r="O182" i="27"/>
  <c r="O197" i="27"/>
  <c r="O156" i="31"/>
  <c r="O44" i="32"/>
  <c r="O79" i="32"/>
  <c r="O221" i="31"/>
  <c r="O213" i="31"/>
  <c r="O151" i="31"/>
  <c r="O173" i="31"/>
  <c r="O71" i="31"/>
  <c r="O141" i="31"/>
  <c r="T161" i="1"/>
  <c r="G25" i="35" s="1"/>
  <c r="T160" i="1"/>
  <c r="G24" i="35" s="1"/>
  <c r="O83" i="1"/>
  <c r="O82" i="1" s="1"/>
  <c r="O78" i="1"/>
  <c r="O77" i="1" s="1"/>
  <c r="O88" i="1"/>
  <c r="O87" i="1" s="1"/>
  <c r="O6" i="31"/>
  <c r="O1" i="32"/>
  <c r="O1" i="31"/>
  <c r="O6" i="32"/>
  <c r="AD190" i="1"/>
  <c r="O77" i="27"/>
  <c r="O64" i="27"/>
  <c r="O164" i="1"/>
  <c r="P148" i="1"/>
  <c r="F14" i="35" s="1"/>
  <c r="O1" i="28"/>
  <c r="O1" i="27"/>
  <c r="O328" i="27"/>
  <c r="O169" i="27"/>
  <c r="O237" i="27"/>
  <c r="O107" i="27"/>
  <c r="O387" i="27"/>
  <c r="O509" i="27"/>
  <c r="O554" i="27"/>
  <c r="O658" i="27"/>
  <c r="O119" i="28"/>
  <c r="O267" i="28"/>
  <c r="O207" i="28"/>
  <c r="O348" i="28"/>
  <c r="O307" i="28"/>
  <c r="O154" i="28"/>
  <c r="O81" i="28"/>
  <c r="O43" i="28"/>
  <c r="O4" i="28"/>
  <c r="O162" i="23"/>
  <c r="O176" i="23"/>
  <c r="M57" i="23"/>
  <c r="P151" i="23" s="1"/>
  <c r="M80" i="23"/>
  <c r="AB183" i="1"/>
  <c r="I44" i="35" s="1"/>
  <c r="R115" i="1"/>
  <c r="O34" i="1"/>
  <c r="T163" i="1"/>
  <c r="G27" i="35" s="1"/>
  <c r="T162" i="1"/>
  <c r="G26" i="35" s="1"/>
  <c r="P114" i="32"/>
  <c r="P144" i="1"/>
  <c r="P145" i="1"/>
  <c r="S118" i="1"/>
  <c r="S121" i="1"/>
  <c r="T120" i="1"/>
  <c r="U119" i="1"/>
  <c r="T122" i="1"/>
  <c r="S123" i="1"/>
  <c r="S124" i="1" s="1"/>
  <c r="T113" i="1"/>
  <c r="S114" i="1"/>
  <c r="R109" i="1"/>
  <c r="R112" i="1"/>
  <c r="P172" i="1"/>
  <c r="F35" i="35" s="1"/>
  <c r="P136" i="1"/>
  <c r="P159" i="1"/>
  <c r="F23" i="35" s="1"/>
  <c r="O208" i="1"/>
  <c r="O60" i="1"/>
  <c r="O130" i="1"/>
  <c r="O6" i="1"/>
  <c r="Q45" i="1"/>
  <c r="X36" i="1"/>
  <c r="W2" i="1"/>
  <c r="O146" i="1"/>
  <c r="Q44" i="1"/>
  <c r="R37" i="1"/>
  <c r="Q46" i="1"/>
  <c r="Q43" i="1"/>
  <c r="Q38" i="1"/>
  <c r="Q55" i="1" s="1"/>
  <c r="O1" i="1"/>
  <c r="T110" i="1"/>
  <c r="S111" i="1"/>
  <c r="X51" i="1" l="1"/>
  <c r="X49" i="1"/>
  <c r="X50" i="1"/>
  <c r="X48" i="1"/>
  <c r="O118" i="27"/>
  <c r="P256" i="27"/>
  <c r="P257" i="27" s="1"/>
  <c r="N194" i="31"/>
  <c r="P157" i="31"/>
  <c r="P158" i="31" s="1"/>
  <c r="P154" i="31" s="1"/>
  <c r="E4" i="54" s="1"/>
  <c r="P183" i="27"/>
  <c r="Q28" i="31"/>
  <c r="P265" i="27"/>
  <c r="P282" i="27"/>
  <c r="N192" i="31"/>
  <c r="N193" i="31"/>
  <c r="L239" i="31"/>
  <c r="E19" i="57" s="1"/>
  <c r="P478" i="27"/>
  <c r="P479" i="27" s="1"/>
  <c r="E9" i="57"/>
  <c r="E21" i="57"/>
  <c r="L161" i="31"/>
  <c r="I499" i="27"/>
  <c r="D16" i="54"/>
  <c r="K227" i="27"/>
  <c r="K230" i="27" s="1"/>
  <c r="K683" i="27" s="1"/>
  <c r="P145" i="27"/>
  <c r="P146" i="27" s="1"/>
  <c r="P138" i="27" s="1"/>
  <c r="P139" i="27" s="1"/>
  <c r="P83" i="31"/>
  <c r="P84" i="31" s="1"/>
  <c r="P120" i="27"/>
  <c r="P121" i="27" s="1"/>
  <c r="P115" i="27" s="1"/>
  <c r="E53" i="51"/>
  <c r="P198" i="27"/>
  <c r="P134" i="27"/>
  <c r="P135" i="27" s="1"/>
  <c r="K217" i="27"/>
  <c r="P248" i="27"/>
  <c r="P34" i="31"/>
  <c r="Q34" i="31" s="1"/>
  <c r="D7" i="61"/>
  <c r="M26" i="31"/>
  <c r="N26" i="31" s="1"/>
  <c r="O26" i="31" s="1"/>
  <c r="E20" i="57"/>
  <c r="K219" i="27"/>
  <c r="K228" i="27"/>
  <c r="K219" i="28"/>
  <c r="E12" i="49" s="1"/>
  <c r="Q274" i="27"/>
  <c r="D3" i="56"/>
  <c r="L224" i="31"/>
  <c r="D4" i="56"/>
  <c r="L92" i="31"/>
  <c r="E3" i="52"/>
  <c r="E72" i="43"/>
  <c r="I227" i="27"/>
  <c r="D9" i="60"/>
  <c r="O230" i="28"/>
  <c r="Q101" i="1"/>
  <c r="Q96" i="1"/>
  <c r="Q91" i="1"/>
  <c r="Q86" i="1"/>
  <c r="Q81" i="1"/>
  <c r="Q76" i="1"/>
  <c r="Q65" i="1"/>
  <c r="P462" i="27"/>
  <c r="P409" i="27"/>
  <c r="P302" i="27"/>
  <c r="P290" i="27"/>
  <c r="P278" i="27"/>
  <c r="P270" i="27"/>
  <c r="P261" i="27"/>
  <c r="P252" i="27"/>
  <c r="P244" i="27"/>
  <c r="P151" i="27"/>
  <c r="P142" i="27"/>
  <c r="P131" i="27"/>
  <c r="P117" i="27"/>
  <c r="I37" i="31"/>
  <c r="L166" i="31"/>
  <c r="D14" i="54" s="1"/>
  <c r="V348" i="27"/>
  <c r="V345" i="27"/>
  <c r="W337" i="27"/>
  <c r="V335" i="27"/>
  <c r="G252" i="28"/>
  <c r="D22" i="49"/>
  <c r="M51" i="32"/>
  <c r="U358" i="27"/>
  <c r="U355" i="27"/>
  <c r="T378" i="27"/>
  <c r="T60" i="28" s="1"/>
  <c r="G17" i="45" s="1"/>
  <c r="T376" i="27"/>
  <c r="D9" i="54"/>
  <c r="J51" i="32"/>
  <c r="K228" i="31"/>
  <c r="K242" i="31" s="1"/>
  <c r="K63" i="31" s="1"/>
  <c r="F22" i="51"/>
  <c r="E24" i="40"/>
  <c r="E12" i="41"/>
  <c r="E432" i="23" s="1"/>
  <c r="F11" i="35"/>
  <c r="U333" i="27"/>
  <c r="U330" i="27"/>
  <c r="W352" i="27"/>
  <c r="W350" i="27" s="1"/>
  <c r="V350" i="27"/>
  <c r="T494" i="27"/>
  <c r="U31" i="31"/>
  <c r="M118" i="27"/>
  <c r="M116" i="27" s="1"/>
  <c r="N93" i="31"/>
  <c r="N101" i="31" s="1"/>
  <c r="P701" i="27"/>
  <c r="P702" i="27" s="1"/>
  <c r="P218" i="28" s="1"/>
  <c r="M271" i="27"/>
  <c r="U348" i="27"/>
  <c r="U345" i="27"/>
  <c r="T128" i="27"/>
  <c r="G14" i="38"/>
  <c r="F26" i="51"/>
  <c r="E44" i="52"/>
  <c r="F10" i="35"/>
  <c r="D26" i="39"/>
  <c r="D22" i="40"/>
  <c r="F5" i="35"/>
  <c r="M13" i="32"/>
  <c r="E65" i="43"/>
  <c r="O233" i="31"/>
  <c r="O51" i="32" s="1"/>
  <c r="O13" i="32"/>
  <c r="K63" i="28"/>
  <c r="J670" i="27"/>
  <c r="J499" i="27"/>
  <c r="J522" i="27"/>
  <c r="K501" i="27"/>
  <c r="K500" i="27" s="1"/>
  <c r="O178" i="27"/>
  <c r="O204" i="27" s="1"/>
  <c r="O177" i="27"/>
  <c r="O203" i="27" s="1"/>
  <c r="L228" i="27"/>
  <c r="N193" i="27"/>
  <c r="N212" i="27" s="1"/>
  <c r="N224" i="27" s="1"/>
  <c r="N192" i="27"/>
  <c r="N211" i="27" s="1"/>
  <c r="N223" i="27" s="1"/>
  <c r="L219" i="27"/>
  <c r="M431" i="27"/>
  <c r="N195" i="27"/>
  <c r="N214" i="27" s="1"/>
  <c r="N226" i="27" s="1"/>
  <c r="N194" i="27"/>
  <c r="N213" i="27" s="1"/>
  <c r="N225" i="27" s="1"/>
  <c r="O180" i="27"/>
  <c r="O206" i="27" s="1"/>
  <c r="O179" i="27"/>
  <c r="O205" i="27" s="1"/>
  <c r="L228" i="28"/>
  <c r="L231" i="28"/>
  <c r="L121" i="32" s="1"/>
  <c r="L18" i="32"/>
  <c r="O141" i="27"/>
  <c r="O116" i="27"/>
  <c r="L682" i="27"/>
  <c r="L463" i="27"/>
  <c r="L472" i="27" s="1"/>
  <c r="E77" i="41" s="1"/>
  <c r="L12" i="28"/>
  <c r="L493" i="27"/>
  <c r="M395" i="27"/>
  <c r="M393" i="27"/>
  <c r="M455" i="27"/>
  <c r="M428" i="27"/>
  <c r="M396" i="27"/>
  <c r="M457" i="27"/>
  <c r="M456" i="27"/>
  <c r="M397" i="27"/>
  <c r="M429" i="27"/>
  <c r="M453" i="27"/>
  <c r="M458" i="27"/>
  <c r="M394" i="27"/>
  <c r="M454" i="27"/>
  <c r="M392" i="27"/>
  <c r="M427" i="27"/>
  <c r="M430" i="27"/>
  <c r="AG193" i="1"/>
  <c r="AF192" i="1"/>
  <c r="J50" i="35" s="1"/>
  <c r="Q116" i="31"/>
  <c r="Q91" i="31"/>
  <c r="Q92" i="31"/>
  <c r="Q117" i="31"/>
  <c r="Q93" i="31"/>
  <c r="Q119" i="31"/>
  <c r="Q95" i="31"/>
  <c r="Q120" i="31"/>
  <c r="Q121" i="31"/>
  <c r="Q122" i="31"/>
  <c r="Q96" i="31"/>
  <c r="Q97" i="31"/>
  <c r="Q123" i="31"/>
  <c r="Q98" i="31"/>
  <c r="Q124" i="31"/>
  <c r="Q99" i="31"/>
  <c r="Q100" i="31"/>
  <c r="U377" i="27"/>
  <c r="V377" i="27" s="1"/>
  <c r="U277" i="27"/>
  <c r="U124" i="27"/>
  <c r="U128" i="27" s="1"/>
  <c r="L640" i="27"/>
  <c r="O191" i="31"/>
  <c r="N635" i="27"/>
  <c r="N644" i="27" s="1"/>
  <c r="E433" i="23"/>
  <c r="O73" i="31"/>
  <c r="O93" i="31" s="1"/>
  <c r="O101" i="31" s="1"/>
  <c r="L451" i="27"/>
  <c r="E59" i="41" s="1"/>
  <c r="W322" i="28"/>
  <c r="W281" i="28"/>
  <c r="V281" i="28"/>
  <c r="V322" i="28"/>
  <c r="V113" i="28"/>
  <c r="W113" i="28" s="1"/>
  <c r="X113" i="28" s="1"/>
  <c r="G33" i="46" s="1"/>
  <c r="V357" i="27"/>
  <c r="O155" i="27"/>
  <c r="N291" i="27"/>
  <c r="N316" i="27" s="1"/>
  <c r="N314" i="27" s="1"/>
  <c r="O295" i="27"/>
  <c r="O292" i="27" s="1"/>
  <c r="O291" i="27" s="1"/>
  <c r="O316" i="27" s="1"/>
  <c r="O249" i="27"/>
  <c r="O246" i="27" s="1"/>
  <c r="O245" i="27" s="1"/>
  <c r="N92" i="27"/>
  <c r="K482" i="27"/>
  <c r="K498" i="27" s="1"/>
  <c r="P222" i="1"/>
  <c r="V102" i="27"/>
  <c r="W102" i="27" s="1"/>
  <c r="O431" i="27"/>
  <c r="O432" i="27"/>
  <c r="O429" i="27"/>
  <c r="O430" i="27"/>
  <c r="O428" i="27"/>
  <c r="O427" i="27"/>
  <c r="O266" i="27"/>
  <c r="O263" i="27" s="1"/>
  <c r="O262" i="27" s="1"/>
  <c r="O283" i="27"/>
  <c r="O280" i="27" s="1"/>
  <c r="O279" i="27" s="1"/>
  <c r="J59" i="28"/>
  <c r="J37" i="31" s="1"/>
  <c r="J41" i="31" s="1"/>
  <c r="L209" i="27"/>
  <c r="L216" i="27" s="1"/>
  <c r="L17" i="28" s="1"/>
  <c r="N210" i="27"/>
  <c r="N222" i="27" s="1"/>
  <c r="O307" i="27"/>
  <c r="O304" i="27" s="1"/>
  <c r="O320" i="27" s="1"/>
  <c r="O322" i="27" s="1"/>
  <c r="O18" i="28" s="1"/>
  <c r="N303" i="27"/>
  <c r="N321" i="27" s="1"/>
  <c r="N319" i="27" s="1"/>
  <c r="O193" i="31"/>
  <c r="O199" i="27"/>
  <c r="O190" i="27" s="1"/>
  <c r="O191" i="27" s="1"/>
  <c r="O195" i="31"/>
  <c r="O194" i="31"/>
  <c r="O192" i="31"/>
  <c r="O190" i="31"/>
  <c r="N189" i="31"/>
  <c r="P153" i="27"/>
  <c r="N275" i="27"/>
  <c r="N272" i="27" s="1"/>
  <c r="N271" i="27" s="1"/>
  <c r="H120" i="32"/>
  <c r="H62" i="31"/>
  <c r="D53" i="51" s="1"/>
  <c r="J119" i="32"/>
  <c r="J134" i="32"/>
  <c r="O84" i="31"/>
  <c r="O35" i="31"/>
  <c r="I242" i="31"/>
  <c r="G42" i="31"/>
  <c r="G44" i="31" s="1"/>
  <c r="M229" i="31"/>
  <c r="N224" i="31"/>
  <c r="N13" i="32" s="1"/>
  <c r="P231" i="1"/>
  <c r="H38" i="31"/>
  <c r="G120" i="32"/>
  <c r="M191" i="27"/>
  <c r="M262" i="27"/>
  <c r="M176" i="27"/>
  <c r="I231" i="28"/>
  <c r="I18" i="32"/>
  <c r="I228" i="28"/>
  <c r="M315" i="27"/>
  <c r="M317" i="27" s="1"/>
  <c r="M19" i="28" s="1"/>
  <c r="M291" i="27"/>
  <c r="M320" i="27"/>
  <c r="M322" i="27" s="1"/>
  <c r="M18" i="28" s="1"/>
  <c r="M303" i="27"/>
  <c r="G236" i="28"/>
  <c r="G235" i="28"/>
  <c r="G684" i="27"/>
  <c r="G217" i="28" s="1"/>
  <c r="G234" i="28"/>
  <c r="G233" i="28"/>
  <c r="G683" i="27"/>
  <c r="H233" i="27"/>
  <c r="G12" i="28"/>
  <c r="D9" i="44" s="1"/>
  <c r="M279" i="27"/>
  <c r="I201" i="27"/>
  <c r="F256" i="28"/>
  <c r="M245" i="27"/>
  <c r="M139" i="27"/>
  <c r="I209" i="27"/>
  <c r="I232" i="27"/>
  <c r="I367" i="27"/>
  <c r="I365" i="27" s="1"/>
  <c r="I102" i="28" s="1"/>
  <c r="J232" i="27"/>
  <c r="J48" i="28" s="1"/>
  <c r="I522" i="27"/>
  <c r="D12" i="42" s="1"/>
  <c r="P93" i="1"/>
  <c r="P92" i="1" s="1"/>
  <c r="E20" i="34" s="1" a="1"/>
  <c r="E20" i="34" s="1"/>
  <c r="P281" i="27"/>
  <c r="O215" i="31"/>
  <c r="P103" i="1"/>
  <c r="P102" i="1" s="1"/>
  <c r="E28" i="34" s="1" a="1"/>
  <c r="E28" i="34" s="1"/>
  <c r="P73" i="31"/>
  <c r="P255" i="27"/>
  <c r="O456" i="27"/>
  <c r="L76" i="31"/>
  <c r="E6" i="52" s="1"/>
  <c r="O395" i="27"/>
  <c r="O607" i="27" s="1"/>
  <c r="O458" i="27"/>
  <c r="O393" i="27"/>
  <c r="O394" i="27"/>
  <c r="O621" i="27" s="1"/>
  <c r="O457" i="27"/>
  <c r="O565" i="27" s="1"/>
  <c r="O397" i="27"/>
  <c r="O396" i="27"/>
  <c r="O392" i="27"/>
  <c r="O84" i="27" s="1"/>
  <c r="O455" i="27"/>
  <c r="O593" i="27" s="1"/>
  <c r="O453" i="27"/>
  <c r="O454" i="27"/>
  <c r="O579" i="27" s="1"/>
  <c r="M75" i="31"/>
  <c r="M117" i="31"/>
  <c r="M32" i="31"/>
  <c r="N74" i="31"/>
  <c r="N398" i="27"/>
  <c r="N436" i="27" s="1"/>
  <c r="N433" i="27"/>
  <c r="N493" i="27" s="1"/>
  <c r="T9" i="28"/>
  <c r="N459" i="27"/>
  <c r="L230" i="27"/>
  <c r="V358" i="27"/>
  <c r="AC183" i="1"/>
  <c r="AB186" i="1"/>
  <c r="P305" i="27"/>
  <c r="Q306" i="27" s="1"/>
  <c r="V369" i="27"/>
  <c r="V338" i="27"/>
  <c r="X2" i="32"/>
  <c r="X2" i="31"/>
  <c r="X2" i="28"/>
  <c r="X197" i="28" s="1"/>
  <c r="X2" i="27"/>
  <c r="X140" i="27" s="1"/>
  <c r="X352" i="27"/>
  <c r="X373" i="27"/>
  <c r="X374" i="27" s="1"/>
  <c r="X337" i="27"/>
  <c r="X368" i="27"/>
  <c r="X369" i="27" s="1"/>
  <c r="T363" i="27"/>
  <c r="U362" i="27"/>
  <c r="U360" i="27" s="1"/>
  <c r="U85" i="28" s="1"/>
  <c r="U425" i="27"/>
  <c r="S103" i="27"/>
  <c r="R104" i="28"/>
  <c r="W353" i="27"/>
  <c r="W347" i="27"/>
  <c r="W419" i="27"/>
  <c r="W422" i="27"/>
  <c r="W421" i="27"/>
  <c r="W125" i="27" s="1"/>
  <c r="W420" i="27"/>
  <c r="W423" i="27"/>
  <c r="W126" i="27" s="1"/>
  <c r="W424" i="27"/>
  <c r="W127" i="27" s="1"/>
  <c r="S343" i="27"/>
  <c r="S47" i="28" s="1"/>
  <c r="S88" i="28"/>
  <c r="S199" i="28" s="1"/>
  <c r="T342" i="27"/>
  <c r="T340" i="27" s="1"/>
  <c r="S68" i="27"/>
  <c r="S93" i="28" s="1"/>
  <c r="R69" i="27"/>
  <c r="R703" i="27" s="1"/>
  <c r="V353" i="27"/>
  <c r="V374" i="27"/>
  <c r="V332" i="27"/>
  <c r="V330" i="27" s="1"/>
  <c r="V419" i="27"/>
  <c r="V422" i="27"/>
  <c r="V420" i="27"/>
  <c r="V421" i="27"/>
  <c r="V125" i="27" s="1"/>
  <c r="V424" i="27"/>
  <c r="V127" i="27" s="1"/>
  <c r="V423" i="27"/>
  <c r="V126" i="27" s="1"/>
  <c r="P151" i="1"/>
  <c r="F16" i="35" s="1"/>
  <c r="U171" i="1"/>
  <c r="U301" i="27"/>
  <c r="U289" i="27"/>
  <c r="V301" i="27"/>
  <c r="V289" i="27"/>
  <c r="P98" i="1"/>
  <c r="P97" i="1" s="1"/>
  <c r="E24" i="34" s="1" a="1"/>
  <c r="E24" i="34" s="1"/>
  <c r="P477" i="27"/>
  <c r="P133" i="27"/>
  <c r="N164" i="31"/>
  <c r="N62" i="23"/>
  <c r="N68" i="23"/>
  <c r="O159" i="31"/>
  <c r="O162" i="31" s="1"/>
  <c r="N163" i="31"/>
  <c r="N181" i="27"/>
  <c r="N207" i="27" s="1"/>
  <c r="P119" i="27"/>
  <c r="O202" i="27"/>
  <c r="N168" i="31"/>
  <c r="N229" i="31" s="1"/>
  <c r="N241" i="31" s="1"/>
  <c r="N240" i="31" s="1"/>
  <c r="N62" i="31" s="1"/>
  <c r="N165" i="31"/>
  <c r="M161" i="31"/>
  <c r="P82" i="31"/>
  <c r="P184" i="27"/>
  <c r="P175" i="27" s="1"/>
  <c r="P176" i="27" s="1"/>
  <c r="P293" i="27"/>
  <c r="Q294" i="27" s="1"/>
  <c r="P71" i="1"/>
  <c r="P73" i="1" s="1"/>
  <c r="P72" i="1" s="1"/>
  <c r="E4" i="34" s="1" a="1"/>
  <c r="E4" i="34" s="1"/>
  <c r="P67" i="1"/>
  <c r="P66" i="1" s="1"/>
  <c r="P144" i="27"/>
  <c r="P247" i="27"/>
  <c r="P264" i="27"/>
  <c r="Q265" i="27" s="1"/>
  <c r="V269" i="27"/>
  <c r="V260" i="27"/>
  <c r="P182" i="27"/>
  <c r="Q183" i="27" s="1"/>
  <c r="P197" i="27"/>
  <c r="P156" i="31"/>
  <c r="O49" i="31"/>
  <c r="Q153" i="27"/>
  <c r="U260" i="27"/>
  <c r="U269" i="27"/>
  <c r="P47" i="31"/>
  <c r="F38" i="51" s="1"/>
  <c r="P155" i="31"/>
  <c r="E5" i="54" s="1"/>
  <c r="P44" i="32"/>
  <c r="P79" i="32"/>
  <c r="P221" i="31"/>
  <c r="P213" i="31"/>
  <c r="P151" i="31"/>
  <c r="P173" i="31"/>
  <c r="P71" i="31"/>
  <c r="P141" i="31"/>
  <c r="U160" i="1"/>
  <c r="U161" i="1"/>
  <c r="P83" i="1"/>
  <c r="P82" i="1" s="1"/>
  <c r="E12" i="34" s="1" a="1"/>
  <c r="E12" i="34" s="1"/>
  <c r="P78" i="1"/>
  <c r="P77" i="1" s="1"/>
  <c r="E8" i="34" s="1" a="1"/>
  <c r="E8" i="34" s="1"/>
  <c r="P88" i="1"/>
  <c r="P87" i="1" s="1"/>
  <c r="E16" i="34" s="1" a="1"/>
  <c r="E16" i="34" s="1"/>
  <c r="P6" i="31"/>
  <c r="P1" i="32"/>
  <c r="P1" i="31"/>
  <c r="P6" i="32"/>
  <c r="AE190" i="1"/>
  <c r="P77" i="27"/>
  <c r="P64" i="27"/>
  <c r="P164" i="1"/>
  <c r="F28" i="35" s="1"/>
  <c r="P1" i="28"/>
  <c r="P1" i="27"/>
  <c r="P107" i="27"/>
  <c r="P387" i="27"/>
  <c r="P554" i="27"/>
  <c r="P658" i="27"/>
  <c r="P169" i="27"/>
  <c r="P509" i="27"/>
  <c r="P237" i="27"/>
  <c r="P328" i="27"/>
  <c r="P154" i="28"/>
  <c r="P43" i="28"/>
  <c r="P4" i="28"/>
  <c r="P81" i="28"/>
  <c r="P348" i="28"/>
  <c r="P307" i="28"/>
  <c r="P267" i="28"/>
  <c r="P207" i="28"/>
  <c r="P119" i="28"/>
  <c r="P162" i="23"/>
  <c r="P176" i="23"/>
  <c r="N57" i="23"/>
  <c r="Q151" i="23" s="1"/>
  <c r="N80" i="23"/>
  <c r="Q700" i="27"/>
  <c r="Q148" i="1"/>
  <c r="S115" i="1"/>
  <c r="P34" i="1"/>
  <c r="U162" i="1"/>
  <c r="U163" i="1"/>
  <c r="Q114" i="32"/>
  <c r="Q145" i="1"/>
  <c r="Q144" i="1"/>
  <c r="T118" i="1"/>
  <c r="T121" i="1"/>
  <c r="U120" i="1"/>
  <c r="V119" i="1"/>
  <c r="U122" i="1"/>
  <c r="T123" i="1"/>
  <c r="T124" i="1" s="1"/>
  <c r="U113" i="1"/>
  <c r="T114" i="1"/>
  <c r="S109" i="1"/>
  <c r="S112" i="1"/>
  <c r="Q172" i="1"/>
  <c r="Q136" i="1"/>
  <c r="Q159" i="1"/>
  <c r="P208" i="1"/>
  <c r="P60" i="1"/>
  <c r="P130" i="1"/>
  <c r="P6" i="1"/>
  <c r="R45" i="1"/>
  <c r="P1" i="1"/>
  <c r="T111" i="1"/>
  <c r="U110" i="1"/>
  <c r="X2" i="1"/>
  <c r="Y36" i="1"/>
  <c r="P146" i="1"/>
  <c r="F12" i="35" s="1"/>
  <c r="R44" i="1"/>
  <c r="R46" i="1"/>
  <c r="R43" i="1"/>
  <c r="S37" i="1"/>
  <c r="R38" i="1"/>
  <c r="R55" i="1" s="1"/>
  <c r="L483" i="27" l="1"/>
  <c r="L490" i="27"/>
  <c r="L501" i="27" s="1"/>
  <c r="P118" i="27"/>
  <c r="Y48" i="1"/>
  <c r="Y49" i="1"/>
  <c r="Y51" i="1"/>
  <c r="Y50" i="1"/>
  <c r="AD183" i="1"/>
  <c r="AD186" i="1" s="1"/>
  <c r="P143" i="27"/>
  <c r="Q256" i="27"/>
  <c r="Q157" i="31"/>
  <c r="Q248" i="27"/>
  <c r="Q83" i="31"/>
  <c r="Q478" i="27"/>
  <c r="K682" i="27"/>
  <c r="Q134" i="27"/>
  <c r="Q282" i="27"/>
  <c r="K233" i="27"/>
  <c r="K234" i="28" s="1"/>
  <c r="Q198" i="27"/>
  <c r="Q145" i="27"/>
  <c r="Q120" i="27"/>
  <c r="L88" i="32"/>
  <c r="P35" i="31"/>
  <c r="D23" i="39"/>
  <c r="K18" i="32"/>
  <c r="E12" i="58" s="1"/>
  <c r="K231" i="28"/>
  <c r="K228" i="28"/>
  <c r="K88" i="32" s="1"/>
  <c r="K367" i="27"/>
  <c r="K365" i="27" s="1"/>
  <c r="K102" i="28" s="1"/>
  <c r="K232" i="27"/>
  <c r="K48" i="28" s="1"/>
  <c r="L101" i="31"/>
  <c r="E29" i="52" s="1"/>
  <c r="E20" i="52"/>
  <c r="L13" i="32"/>
  <c r="E7" i="58" s="1"/>
  <c r="L233" i="31"/>
  <c r="E4" i="57"/>
  <c r="L228" i="31"/>
  <c r="V378" i="27"/>
  <c r="V60" i="28" s="1"/>
  <c r="V376" i="27"/>
  <c r="F11" i="49"/>
  <c r="P230" i="28"/>
  <c r="F23" i="49" s="1"/>
  <c r="R101" i="1"/>
  <c r="R96" i="1"/>
  <c r="R91" i="1"/>
  <c r="R86" i="1"/>
  <c r="R81" i="1"/>
  <c r="R76" i="1"/>
  <c r="R65" i="1"/>
  <c r="Q462" i="27"/>
  <c r="Q409" i="27"/>
  <c r="Q302" i="27"/>
  <c r="Q290" i="27"/>
  <c r="Q278" i="27"/>
  <c r="Q270" i="27"/>
  <c r="Q261" i="27"/>
  <c r="Q252" i="27"/>
  <c r="Q244" i="27"/>
  <c r="Q151" i="27"/>
  <c r="Q142" i="27"/>
  <c r="Q131" i="27"/>
  <c r="Q117" i="27"/>
  <c r="Q701" i="27"/>
  <c r="Q702" i="27" s="1"/>
  <c r="Q218" i="28" s="1"/>
  <c r="X347" i="27"/>
  <c r="W345" i="27"/>
  <c r="X338" i="27"/>
  <c r="X335" i="27"/>
  <c r="X353" i="27"/>
  <c r="X350" i="27"/>
  <c r="I216" i="27"/>
  <c r="I17" i="28" s="1"/>
  <c r="E14" i="44" s="1"/>
  <c r="D20" i="39"/>
  <c r="I208" i="27"/>
  <c r="D19" i="39"/>
  <c r="G134" i="32"/>
  <c r="D6" i="61"/>
  <c r="M579" i="27"/>
  <c r="M593" i="27"/>
  <c r="M607" i="27"/>
  <c r="E14" i="40"/>
  <c r="E17" i="39"/>
  <c r="F29" i="38"/>
  <c r="E19" i="40"/>
  <c r="E7" i="39"/>
  <c r="F7" i="38"/>
  <c r="F12" i="52"/>
  <c r="E92" i="41"/>
  <c r="E6" i="54"/>
  <c r="E3" i="34"/>
  <c r="M166" i="31"/>
  <c r="M143" i="27"/>
  <c r="F28" i="38" s="1"/>
  <c r="F26" i="38"/>
  <c r="E8" i="39"/>
  <c r="M239" i="31"/>
  <c r="Q154" i="27"/>
  <c r="R154" i="27" s="1"/>
  <c r="F35" i="38"/>
  <c r="W357" i="27"/>
  <c r="V355" i="27"/>
  <c r="U378" i="27"/>
  <c r="U60" i="28" s="1"/>
  <c r="U376" i="27"/>
  <c r="M84" i="27"/>
  <c r="M621" i="27"/>
  <c r="M565" i="27"/>
  <c r="F82" i="41"/>
  <c r="F21" i="38"/>
  <c r="E9" i="39"/>
  <c r="E45" i="40"/>
  <c r="F3" i="52"/>
  <c r="F9" i="38"/>
  <c r="E37" i="40"/>
  <c r="E9" i="40"/>
  <c r="E29" i="40"/>
  <c r="F10" i="38"/>
  <c r="F25" i="38"/>
  <c r="W338" i="27"/>
  <c r="W335" i="27"/>
  <c r="K670" i="27"/>
  <c r="L232" i="27"/>
  <c r="L48" i="28" s="1"/>
  <c r="L367" i="27"/>
  <c r="L365" i="27" s="1"/>
  <c r="L102" i="28" s="1"/>
  <c r="D22" i="46" s="1"/>
  <c r="K499" i="27"/>
  <c r="N323" i="27"/>
  <c r="N318" i="27"/>
  <c r="I217" i="27"/>
  <c r="K522" i="27"/>
  <c r="L217" i="27"/>
  <c r="M178" i="27"/>
  <c r="M177" i="27"/>
  <c r="M193" i="27"/>
  <c r="M192" i="27"/>
  <c r="O193" i="27"/>
  <c r="O212" i="27" s="1"/>
  <c r="O224" i="27" s="1"/>
  <c r="O192" i="27"/>
  <c r="O211" i="27" s="1"/>
  <c r="O223" i="27" s="1"/>
  <c r="P178" i="27"/>
  <c r="P204" i="27" s="1"/>
  <c r="P177" i="27"/>
  <c r="P203" i="27" s="1"/>
  <c r="L229" i="28"/>
  <c r="L252" i="28" s="1"/>
  <c r="M180" i="27"/>
  <c r="M179" i="27"/>
  <c r="M195" i="27"/>
  <c r="M194" i="27"/>
  <c r="O195" i="27"/>
  <c r="O214" i="27" s="1"/>
  <c r="O226" i="27" s="1"/>
  <c r="O194" i="27"/>
  <c r="O213" i="27" s="1"/>
  <c r="O225" i="27" s="1"/>
  <c r="P180" i="27"/>
  <c r="P206" i="27" s="1"/>
  <c r="P179" i="27"/>
  <c r="P205" i="27" s="1"/>
  <c r="L496" i="27"/>
  <c r="L500" i="27"/>
  <c r="N201" i="27"/>
  <c r="N208" i="27" s="1"/>
  <c r="P141" i="27"/>
  <c r="N463" i="27"/>
  <c r="N472" i="27" s="1"/>
  <c r="P116" i="27"/>
  <c r="F8" i="38" s="1"/>
  <c r="N219" i="28"/>
  <c r="N231" i="28" s="1"/>
  <c r="P202" i="27"/>
  <c r="M635" i="27"/>
  <c r="M433" i="27"/>
  <c r="M459" i="27"/>
  <c r="M398" i="27"/>
  <c r="R116" i="31"/>
  <c r="R91" i="31"/>
  <c r="R92" i="31"/>
  <c r="R117" i="31"/>
  <c r="R119" i="31"/>
  <c r="R93" i="31"/>
  <c r="R120" i="31"/>
  <c r="R95" i="31"/>
  <c r="R121" i="31"/>
  <c r="R96" i="31"/>
  <c r="R122" i="31"/>
  <c r="R97" i="31"/>
  <c r="R123" i="31"/>
  <c r="R98" i="31"/>
  <c r="R124" i="31"/>
  <c r="R99" i="31"/>
  <c r="R100" i="31"/>
  <c r="AH193" i="1"/>
  <c r="AG192" i="1"/>
  <c r="V277" i="27"/>
  <c r="W277" i="27"/>
  <c r="V124" i="27"/>
  <c r="V128" i="27" s="1"/>
  <c r="W124" i="27"/>
  <c r="W128" i="27" s="1"/>
  <c r="E434" i="23"/>
  <c r="L482" i="27"/>
  <c r="L498" i="27" s="1"/>
  <c r="E90" i="41" s="1"/>
  <c r="X281" i="28"/>
  <c r="X322" i="28"/>
  <c r="O635" i="27"/>
  <c r="O644" i="27" s="1"/>
  <c r="X357" i="27"/>
  <c r="P155" i="27"/>
  <c r="W377" i="27"/>
  <c r="P295" i="27"/>
  <c r="P292" i="27" s="1"/>
  <c r="P315" i="27" s="1"/>
  <c r="P317" i="27" s="1"/>
  <c r="P19" i="28" s="1"/>
  <c r="O315" i="27"/>
  <c r="O317" i="27" s="1"/>
  <c r="O19" i="28" s="1"/>
  <c r="P249" i="27"/>
  <c r="P246" i="27" s="1"/>
  <c r="E8" i="40" s="1"/>
  <c r="K59" i="28"/>
  <c r="K37" i="31" s="1"/>
  <c r="K41" i="31" s="1"/>
  <c r="O92" i="27"/>
  <c r="Q222" i="1"/>
  <c r="P29" i="31"/>
  <c r="P431" i="27"/>
  <c r="F45" i="41" s="1"/>
  <c r="P432" i="27"/>
  <c r="F46" i="41" s="1"/>
  <c r="P429" i="27"/>
  <c r="F43" i="41" s="1"/>
  <c r="P430" i="27"/>
  <c r="F44" i="41" s="1"/>
  <c r="P428" i="27"/>
  <c r="F42" i="41" s="1"/>
  <c r="P427" i="27"/>
  <c r="F41" i="41" s="1"/>
  <c r="P266" i="27"/>
  <c r="P263" i="27" s="1"/>
  <c r="E18" i="40" s="1"/>
  <c r="P307" i="27"/>
  <c r="P304" i="27" s="1"/>
  <c r="P320" i="27" s="1"/>
  <c r="P322" i="27" s="1"/>
  <c r="P18" i="28" s="1"/>
  <c r="F15" i="44" s="1"/>
  <c r="O303" i="27"/>
  <c r="O321" i="27" s="1"/>
  <c r="O319" i="27" s="1"/>
  <c r="P283" i="27"/>
  <c r="P280" i="27" s="1"/>
  <c r="E28" i="40" s="1"/>
  <c r="N196" i="27"/>
  <c r="N215" i="27" s="1"/>
  <c r="N227" i="27" s="1"/>
  <c r="O210" i="27"/>
  <c r="O222" i="27" s="1"/>
  <c r="Q231" i="1"/>
  <c r="P199" i="27"/>
  <c r="P190" i="27" s="1"/>
  <c r="P191" i="27" s="1"/>
  <c r="E16" i="39" s="1"/>
  <c r="O189" i="31"/>
  <c r="Q29" i="31"/>
  <c r="Q25" i="31" s="1"/>
  <c r="K233" i="28"/>
  <c r="K684" i="27"/>
  <c r="K217" i="28" s="1"/>
  <c r="K232" i="28" s="1"/>
  <c r="K256" i="28" s="1"/>
  <c r="X102" i="27"/>
  <c r="Q27" i="31"/>
  <c r="AC186" i="1"/>
  <c r="O275" i="27"/>
  <c r="Q273" i="27"/>
  <c r="Q33" i="31"/>
  <c r="H134" i="32"/>
  <c r="H119" i="32"/>
  <c r="G43" i="31"/>
  <c r="Q35" i="31"/>
  <c r="H42" i="31"/>
  <c r="D33" i="51" s="1"/>
  <c r="D29" i="51"/>
  <c r="G119" i="32"/>
  <c r="P50" i="31"/>
  <c r="F41" i="51" s="1"/>
  <c r="N233" i="31"/>
  <c r="M241" i="31"/>
  <c r="I63" i="31"/>
  <c r="I41" i="31"/>
  <c r="P48" i="31"/>
  <c r="F39" i="51" s="1"/>
  <c r="L81" i="31"/>
  <c r="E11" i="52" s="1"/>
  <c r="P93" i="31"/>
  <c r="F21" i="52" s="1"/>
  <c r="P216" i="31"/>
  <c r="E4" i="56" s="1"/>
  <c r="H55" i="31"/>
  <c r="D46" i="51" s="1"/>
  <c r="I48" i="28"/>
  <c r="G232" i="28"/>
  <c r="G17" i="32"/>
  <c r="M316" i="27"/>
  <c r="M318" i="27" s="1"/>
  <c r="L683" i="27"/>
  <c r="I230" i="27"/>
  <c r="I233" i="27" s="1"/>
  <c r="I682" i="27"/>
  <c r="H233" i="28"/>
  <c r="D26" i="49" s="1"/>
  <c r="H234" i="28"/>
  <c r="D27" i="49" s="1"/>
  <c r="H236" i="28"/>
  <c r="D29" i="49" s="1"/>
  <c r="H684" i="27"/>
  <c r="H217" i="28" s="1"/>
  <c r="D10" i="49" s="1"/>
  <c r="H235" i="28"/>
  <c r="D28" i="49" s="1"/>
  <c r="M321" i="27"/>
  <c r="M323" i="27" s="1"/>
  <c r="I88" i="32"/>
  <c r="I229" i="28"/>
  <c r="I121" i="32"/>
  <c r="M202" i="27"/>
  <c r="M210" i="27"/>
  <c r="Q93" i="1"/>
  <c r="Q281" i="27"/>
  <c r="Q293" i="27"/>
  <c r="P454" i="27"/>
  <c r="F63" i="41" s="1"/>
  <c r="M76" i="31"/>
  <c r="M81" i="31" s="1"/>
  <c r="P394" i="27"/>
  <c r="F8" i="41" s="1"/>
  <c r="P393" i="27"/>
  <c r="F7" i="41" s="1"/>
  <c r="P392" i="27"/>
  <c r="F6" i="41" s="1"/>
  <c r="P456" i="27"/>
  <c r="F65" i="41" s="1"/>
  <c r="P455" i="27"/>
  <c r="F64" i="41" s="1"/>
  <c r="N447" i="27"/>
  <c r="P397" i="27"/>
  <c r="F11" i="41" s="1"/>
  <c r="P396" i="27"/>
  <c r="F10" i="41" s="1"/>
  <c r="P395" i="27"/>
  <c r="F9" i="41" s="1"/>
  <c r="P458" i="27"/>
  <c r="F67" i="41" s="1"/>
  <c r="P457" i="27"/>
  <c r="P565" i="27" s="1"/>
  <c r="P453" i="27"/>
  <c r="F62" i="41" s="1"/>
  <c r="O459" i="27"/>
  <c r="O433" i="27"/>
  <c r="O398" i="27"/>
  <c r="O436" i="27" s="1"/>
  <c r="M125" i="31"/>
  <c r="N75" i="31"/>
  <c r="N117" i="31"/>
  <c r="N125" i="31" s="1"/>
  <c r="N32" i="31"/>
  <c r="O74" i="31"/>
  <c r="Q74" i="31"/>
  <c r="N451" i="27"/>
  <c r="N496" i="27" s="1"/>
  <c r="N667" i="27" s="1"/>
  <c r="W348" i="27"/>
  <c r="L233" i="27"/>
  <c r="L235" i="28" s="1"/>
  <c r="Q67" i="1"/>
  <c r="Q264" i="27"/>
  <c r="Y2" i="31"/>
  <c r="Y2" i="32"/>
  <c r="Y2" i="27"/>
  <c r="Y140" i="27" s="1"/>
  <c r="Y2" i="28"/>
  <c r="Y197" i="28" s="1"/>
  <c r="Y368" i="27"/>
  <c r="Y369" i="27" s="1"/>
  <c r="Y352" i="27"/>
  <c r="Y373" i="27"/>
  <c r="Y374" i="27" s="1"/>
  <c r="Y357" i="27"/>
  <c r="Y337" i="27"/>
  <c r="Y335" i="27" s="1"/>
  <c r="Y347" i="27"/>
  <c r="Y338" i="27"/>
  <c r="V333" i="27"/>
  <c r="W332" i="27"/>
  <c r="W330" i="27" s="1"/>
  <c r="Y113" i="28"/>
  <c r="T343" i="27"/>
  <c r="T47" i="28" s="1"/>
  <c r="G5" i="45" s="1"/>
  <c r="T88" i="28"/>
  <c r="F8" i="46" s="1"/>
  <c r="U342" i="27"/>
  <c r="U340" i="27" s="1"/>
  <c r="W435" i="27"/>
  <c r="X31" i="31" s="1"/>
  <c r="W425" i="27"/>
  <c r="X419" i="27"/>
  <c r="H32" i="41" s="1"/>
  <c r="X421" i="27"/>
  <c r="H34" i="41" s="1"/>
  <c r="X424" i="27"/>
  <c r="H37" i="41" s="1"/>
  <c r="X423" i="27"/>
  <c r="H36" i="41" s="1"/>
  <c r="X420" i="27"/>
  <c r="H33" i="41" s="1"/>
  <c r="X422" i="27"/>
  <c r="H35" i="41" s="1"/>
  <c r="V435" i="27"/>
  <c r="W31" i="31" s="1"/>
  <c r="V425" i="27"/>
  <c r="T68" i="27"/>
  <c r="S69" i="27"/>
  <c r="S703" i="27" s="1"/>
  <c r="T103" i="27"/>
  <c r="S104" i="28"/>
  <c r="U363" i="27"/>
  <c r="V362" i="27"/>
  <c r="V360" i="27" s="1"/>
  <c r="V85" i="28" s="1"/>
  <c r="X377" i="27"/>
  <c r="Q305" i="27"/>
  <c r="Q151" i="1"/>
  <c r="V171" i="1"/>
  <c r="W301" i="27"/>
  <c r="W289" i="27"/>
  <c r="N228" i="27"/>
  <c r="N367" i="27" s="1"/>
  <c r="N365" i="27" s="1"/>
  <c r="N102" i="28" s="1"/>
  <c r="N219" i="27"/>
  <c r="Q71" i="1"/>
  <c r="Q119" i="27"/>
  <c r="Q247" i="27"/>
  <c r="Q98" i="1"/>
  <c r="Q477" i="27"/>
  <c r="Q133" i="27"/>
  <c r="Q144" i="27"/>
  <c r="Q255" i="27"/>
  <c r="O164" i="31"/>
  <c r="O163" i="31"/>
  <c r="N239" i="31"/>
  <c r="O62" i="23"/>
  <c r="O68" i="23"/>
  <c r="O168" i="31"/>
  <c r="O229" i="31" s="1"/>
  <c r="O239" i="31" s="1"/>
  <c r="O165" i="31"/>
  <c r="P159" i="31"/>
  <c r="P165" i="31" s="1"/>
  <c r="N161" i="31"/>
  <c r="Q82" i="31"/>
  <c r="O181" i="27"/>
  <c r="O207" i="27" s="1"/>
  <c r="Q103" i="1"/>
  <c r="Q182" i="27"/>
  <c r="Q197" i="27"/>
  <c r="Q156" i="31"/>
  <c r="Q155" i="31"/>
  <c r="Q47" i="31"/>
  <c r="Q48" i="31" s="1"/>
  <c r="R305" i="27"/>
  <c r="R33" i="31"/>
  <c r="R27" i="31"/>
  <c r="R273" i="27"/>
  <c r="R153" i="27"/>
  <c r="W260" i="27"/>
  <c r="W269" i="27"/>
  <c r="P49" i="31"/>
  <c r="F40" i="51" s="1"/>
  <c r="I38" i="31"/>
  <c r="I55" i="31" s="1"/>
  <c r="Q44" i="32"/>
  <c r="Q79" i="32"/>
  <c r="Q221" i="31"/>
  <c r="Q213" i="31"/>
  <c r="Q151" i="31"/>
  <c r="Q173" i="31"/>
  <c r="Q71" i="31"/>
  <c r="Q141" i="31"/>
  <c r="AE183" i="1"/>
  <c r="AE186" i="1" s="1"/>
  <c r="V161" i="1"/>
  <c r="V160" i="1"/>
  <c r="Q78" i="1"/>
  <c r="Q88" i="1"/>
  <c r="Q83" i="1"/>
  <c r="Q6" i="31"/>
  <c r="Q1" i="32"/>
  <c r="Q1" i="31"/>
  <c r="Q6" i="32"/>
  <c r="AF190" i="1"/>
  <c r="J48" i="35" s="1"/>
  <c r="Q77" i="27"/>
  <c r="Q64" i="27"/>
  <c r="Q164" i="1"/>
  <c r="Q1" i="28"/>
  <c r="Q1" i="27"/>
  <c r="Q237" i="27"/>
  <c r="Q107" i="27"/>
  <c r="Q387" i="27"/>
  <c r="Q509" i="27"/>
  <c r="Q554" i="27"/>
  <c r="Q658" i="27"/>
  <c r="Q328" i="27"/>
  <c r="Q169" i="27"/>
  <c r="Q267" i="28"/>
  <c r="Q207" i="28"/>
  <c r="Q348" i="28"/>
  <c r="Q307" i="28"/>
  <c r="Q154" i="28"/>
  <c r="Q81" i="28"/>
  <c r="Q43" i="28"/>
  <c r="Q4" i="28"/>
  <c r="Q119" i="28"/>
  <c r="Q162" i="23"/>
  <c r="Q176" i="23"/>
  <c r="O57" i="23"/>
  <c r="R151" i="23" s="1"/>
  <c r="O80" i="23"/>
  <c r="R700" i="27"/>
  <c r="R701" i="27" s="1"/>
  <c r="R148" i="1"/>
  <c r="T115" i="1"/>
  <c r="Q34" i="1"/>
  <c r="V163" i="1"/>
  <c r="V162" i="1"/>
  <c r="R114" i="32"/>
  <c r="R144" i="1"/>
  <c r="R145" i="1"/>
  <c r="U118" i="1"/>
  <c r="U121" i="1"/>
  <c r="V120" i="1"/>
  <c r="W119" i="1"/>
  <c r="V122" i="1"/>
  <c r="U123" i="1"/>
  <c r="V113" i="1"/>
  <c r="U114" i="1"/>
  <c r="T109" i="1"/>
  <c r="T112" i="1"/>
  <c r="R172" i="1"/>
  <c r="R136" i="1"/>
  <c r="R159" i="1"/>
  <c r="Q208" i="1"/>
  <c r="Q60" i="1"/>
  <c r="Q130" i="1"/>
  <c r="Q6" i="1"/>
  <c r="S45" i="1"/>
  <c r="V110" i="1"/>
  <c r="U111" i="1"/>
  <c r="Q1" i="1"/>
  <c r="Q146" i="1"/>
  <c r="Z36" i="1"/>
  <c r="Y2" i="1"/>
  <c r="S44" i="1"/>
  <c r="T37" i="1"/>
  <c r="S38" i="1"/>
  <c r="S55" i="1" s="1"/>
  <c r="S43" i="1"/>
  <c r="S46" i="1"/>
  <c r="Z50" i="1" l="1"/>
  <c r="Z49" i="1"/>
  <c r="Z51" i="1"/>
  <c r="Z48" i="1"/>
  <c r="T93" i="28"/>
  <c r="F13" i="46" s="1"/>
  <c r="G5" i="37"/>
  <c r="Y102" i="27"/>
  <c r="K235" i="28"/>
  <c r="K236" i="28"/>
  <c r="E9" i="60"/>
  <c r="K121" i="32"/>
  <c r="E7" i="61" s="1"/>
  <c r="K229" i="28"/>
  <c r="E22" i="49" s="1"/>
  <c r="E24" i="49"/>
  <c r="E21" i="49"/>
  <c r="E13" i="54"/>
  <c r="D5" i="61"/>
  <c r="F16" i="44"/>
  <c r="E6" i="45"/>
  <c r="M141" i="27"/>
  <c r="L51" i="32"/>
  <c r="E7" i="59" s="1"/>
  <c r="E13" i="57"/>
  <c r="L242" i="31"/>
  <c r="E8" i="57"/>
  <c r="Q230" i="28"/>
  <c r="S101" i="1"/>
  <c r="S96" i="1"/>
  <c r="S91" i="1"/>
  <c r="S86" i="1"/>
  <c r="S81" i="1"/>
  <c r="S76" i="1"/>
  <c r="S65" i="1"/>
  <c r="R462" i="27"/>
  <c r="R409" i="27"/>
  <c r="R302" i="27"/>
  <c r="R290" i="27"/>
  <c r="R278" i="27"/>
  <c r="R270" i="27"/>
  <c r="R261" i="27"/>
  <c r="R252" i="27"/>
  <c r="R244" i="27"/>
  <c r="R151" i="27"/>
  <c r="R142" i="27"/>
  <c r="R131" i="27"/>
  <c r="R117" i="27"/>
  <c r="S154" i="27"/>
  <c r="R198" i="27"/>
  <c r="R83" i="31"/>
  <c r="R256" i="27"/>
  <c r="R257" i="27" s="1"/>
  <c r="R134" i="27"/>
  <c r="R135" i="27" s="1"/>
  <c r="R120" i="27"/>
  <c r="R121" i="27" s="1"/>
  <c r="R115" i="27" s="1"/>
  <c r="R118" i="27" s="1"/>
  <c r="R306" i="27"/>
  <c r="S306" i="27" s="1"/>
  <c r="Y348" i="27"/>
  <c r="Y345" i="27"/>
  <c r="Y358" i="27"/>
  <c r="Y355" i="27"/>
  <c r="Y353" i="27"/>
  <c r="Y350" i="27"/>
  <c r="R265" i="27"/>
  <c r="M148" i="27"/>
  <c r="R294" i="27"/>
  <c r="R295" i="27" s="1"/>
  <c r="R292" i="27" s="1"/>
  <c r="R315" i="27" s="1"/>
  <c r="R317" i="27" s="1"/>
  <c r="R19" i="28" s="1"/>
  <c r="N51" i="32"/>
  <c r="R274" i="27"/>
  <c r="S274" i="27" s="1"/>
  <c r="W378" i="27"/>
  <c r="W60" i="28" s="1"/>
  <c r="H17" i="45" s="1"/>
  <c r="W376" i="27"/>
  <c r="X358" i="27"/>
  <c r="X355" i="27"/>
  <c r="M644" i="27"/>
  <c r="L667" i="27"/>
  <c r="E88" i="41"/>
  <c r="E15" i="39"/>
  <c r="E7" i="54"/>
  <c r="M570" i="27"/>
  <c r="N570" i="27" s="1"/>
  <c r="O570" i="27" s="1"/>
  <c r="F10" i="43"/>
  <c r="M626" i="27"/>
  <c r="N626" i="27" s="1"/>
  <c r="O626" i="27" s="1"/>
  <c r="M92" i="27"/>
  <c r="E44" i="40"/>
  <c r="E36" i="40"/>
  <c r="E85" i="41"/>
  <c r="M598" i="27"/>
  <c r="N598" i="27" s="1"/>
  <c r="O598" i="27" s="1"/>
  <c r="M584" i="27"/>
  <c r="N584" i="27" s="1"/>
  <c r="O584" i="27" s="1"/>
  <c r="X348" i="27"/>
  <c r="X345" i="27"/>
  <c r="R157" i="31"/>
  <c r="R158" i="31" s="1"/>
  <c r="R154" i="31" s="1"/>
  <c r="R50" i="31" s="1"/>
  <c r="R183" i="27"/>
  <c r="R184" i="27" s="1"/>
  <c r="R175" i="27" s="1"/>
  <c r="R176" i="27" s="1"/>
  <c r="N166" i="31"/>
  <c r="R145" i="27"/>
  <c r="R146" i="27" s="1"/>
  <c r="R138" i="27" s="1"/>
  <c r="R139" i="27" s="1"/>
  <c r="R143" i="27" s="1"/>
  <c r="R478" i="27"/>
  <c r="R479" i="27" s="1"/>
  <c r="R248" i="27"/>
  <c r="R249" i="27" s="1"/>
  <c r="R246" i="27" s="1"/>
  <c r="X378" i="27"/>
  <c r="X60" i="28" s="1"/>
  <c r="X376" i="27"/>
  <c r="R282" i="27"/>
  <c r="I252" i="28"/>
  <c r="R34" i="31"/>
  <c r="S34" i="31" s="1"/>
  <c r="R28" i="31"/>
  <c r="S28" i="31" s="1"/>
  <c r="P195" i="31"/>
  <c r="E23" i="55" s="1"/>
  <c r="P25" i="31"/>
  <c r="F20" i="51" s="1"/>
  <c r="M436" i="27"/>
  <c r="M447" i="27" s="1"/>
  <c r="M493" i="27"/>
  <c r="F27" i="38"/>
  <c r="D21" i="39"/>
  <c r="F66" i="41"/>
  <c r="W358" i="27"/>
  <c r="W355" i="27"/>
  <c r="N63" i="28"/>
  <c r="L63" i="28"/>
  <c r="E20" i="45" s="1"/>
  <c r="N228" i="28"/>
  <c r="N88" i="32" s="1"/>
  <c r="N18" i="32"/>
  <c r="L120" i="32"/>
  <c r="M222" i="27"/>
  <c r="L499" i="27"/>
  <c r="E91" i="41" s="1"/>
  <c r="O323" i="27"/>
  <c r="O318" i="27"/>
  <c r="P193" i="27"/>
  <c r="P212" i="27" s="1"/>
  <c r="P224" i="27" s="1"/>
  <c r="P192" i="27"/>
  <c r="P211" i="27" s="1"/>
  <c r="P223" i="27" s="1"/>
  <c r="N483" i="27"/>
  <c r="N490" i="27"/>
  <c r="N501" i="27" s="1"/>
  <c r="L670" i="27"/>
  <c r="P195" i="27"/>
  <c r="P214" i="27" s="1"/>
  <c r="P226" i="27" s="1"/>
  <c r="P194" i="27"/>
  <c r="P213" i="27" s="1"/>
  <c r="P225" i="27" s="1"/>
  <c r="O201" i="27"/>
  <c r="O208" i="27" s="1"/>
  <c r="W494" i="27"/>
  <c r="O451" i="27"/>
  <c r="O496" i="27" s="1"/>
  <c r="O667" i="27" s="1"/>
  <c r="O493" i="27"/>
  <c r="O314" i="27"/>
  <c r="N682" i="27"/>
  <c r="V494" i="27"/>
  <c r="O463" i="27"/>
  <c r="O472" i="27" s="1"/>
  <c r="N500" i="27"/>
  <c r="O219" i="28"/>
  <c r="O231" i="28" s="1"/>
  <c r="M463" i="27"/>
  <c r="M472" i="27" s="1"/>
  <c r="N12" i="28"/>
  <c r="M451" i="27"/>
  <c r="M640" i="27"/>
  <c r="N640" i="27" s="1"/>
  <c r="O640" i="27" s="1"/>
  <c r="S116" i="31"/>
  <c r="S91" i="31"/>
  <c r="S92" i="31"/>
  <c r="S117" i="31"/>
  <c r="S93" i="31"/>
  <c r="S119" i="31"/>
  <c r="S120" i="31"/>
  <c r="S95" i="31"/>
  <c r="S121" i="31"/>
  <c r="S96" i="31"/>
  <c r="S122" i="31"/>
  <c r="S123" i="31"/>
  <c r="S97" i="31"/>
  <c r="S98" i="31"/>
  <c r="S124" i="31"/>
  <c r="S99" i="31"/>
  <c r="S100" i="31"/>
  <c r="AH192" i="1"/>
  <c r="AI193" i="1"/>
  <c r="U112" i="1"/>
  <c r="U124" i="1"/>
  <c r="X277" i="27"/>
  <c r="G26" i="40" s="1"/>
  <c r="Q155" i="27"/>
  <c r="P291" i="27"/>
  <c r="L59" i="28"/>
  <c r="L37" i="31" s="1"/>
  <c r="E28" i="51" s="1"/>
  <c r="Y322" i="28"/>
  <c r="Y281" i="28"/>
  <c r="P635" i="27"/>
  <c r="F65" i="43" s="1"/>
  <c r="P621" i="27"/>
  <c r="F54" i="43" s="1"/>
  <c r="P607" i="27"/>
  <c r="F43" i="43" s="1"/>
  <c r="P593" i="27"/>
  <c r="F32" i="43" s="1"/>
  <c r="P579" i="27"/>
  <c r="F21" i="43" s="1"/>
  <c r="P262" i="27"/>
  <c r="E17" i="40" s="1"/>
  <c r="P190" i="31"/>
  <c r="E18" i="55" s="1"/>
  <c r="P194" i="31"/>
  <c r="E22" i="55" s="1"/>
  <c r="P245" i="27"/>
  <c r="E7" i="40" s="1"/>
  <c r="P84" i="27"/>
  <c r="F15" i="37" s="1"/>
  <c r="Q266" i="27"/>
  <c r="P192" i="31"/>
  <c r="E20" i="55" s="1"/>
  <c r="P191" i="31"/>
  <c r="E19" i="55" s="1"/>
  <c r="P193" i="31"/>
  <c r="E21" i="55" s="1"/>
  <c r="X124" i="27"/>
  <c r="H14" i="38" s="1"/>
  <c r="X126" i="27"/>
  <c r="H16" i="38" s="1"/>
  <c r="X125" i="27"/>
  <c r="H15" i="38" s="1"/>
  <c r="X127" i="27"/>
  <c r="H17" i="38" s="1"/>
  <c r="Q283" i="27"/>
  <c r="O196" i="27"/>
  <c r="O215" i="27" s="1"/>
  <c r="O209" i="27" s="1"/>
  <c r="O216" i="27" s="1"/>
  <c r="O17" i="28" s="1"/>
  <c r="P210" i="27"/>
  <c r="P222" i="27" s="1"/>
  <c r="Q307" i="27"/>
  <c r="P303" i="27"/>
  <c r="P321" i="27" s="1"/>
  <c r="P319" i="27" s="1"/>
  <c r="P279" i="27"/>
  <c r="E27" i="40" s="1"/>
  <c r="N209" i="27"/>
  <c r="N216" i="27" s="1"/>
  <c r="N17" i="28" s="1"/>
  <c r="Q199" i="27"/>
  <c r="K17" i="32"/>
  <c r="R247" i="27"/>
  <c r="S248" i="27" s="1"/>
  <c r="L148" i="27"/>
  <c r="H44" i="31"/>
  <c r="D35" i="51" s="1"/>
  <c r="Q87" i="1"/>
  <c r="T199" i="28"/>
  <c r="P275" i="27"/>
  <c r="P272" i="27" s="1"/>
  <c r="Q82" i="1"/>
  <c r="Q77" i="1"/>
  <c r="Q102" i="1"/>
  <c r="Q97" i="1"/>
  <c r="Q73" i="1"/>
  <c r="Q66" i="1"/>
  <c r="Q92" i="1"/>
  <c r="O272" i="27"/>
  <c r="H43" i="31"/>
  <c r="D34" i="51" s="1"/>
  <c r="G123" i="32"/>
  <c r="Q193" i="31"/>
  <c r="Q191" i="31"/>
  <c r="Q194" i="31"/>
  <c r="Q195" i="31"/>
  <c r="Q158" i="31"/>
  <c r="Q159" i="31" s="1"/>
  <c r="R73" i="31"/>
  <c r="P224" i="31"/>
  <c r="P101" i="31"/>
  <c r="F29" i="52" s="1"/>
  <c r="M228" i="31"/>
  <c r="M240" i="31"/>
  <c r="Q84" i="31"/>
  <c r="Q190" i="31"/>
  <c r="R222" i="1"/>
  <c r="R231" i="1"/>
  <c r="L522" i="27"/>
  <c r="Q257" i="27"/>
  <c r="Q146" i="27"/>
  <c r="Q479" i="27"/>
  <c r="Q121" i="27"/>
  <c r="M213" i="27"/>
  <c r="M212" i="27"/>
  <c r="M214" i="27"/>
  <c r="M203" i="27"/>
  <c r="M181" i="27"/>
  <c r="M204" i="27"/>
  <c r="I120" i="32"/>
  <c r="I12" i="28"/>
  <c r="E9" i="44" s="1"/>
  <c r="I683" i="27"/>
  <c r="J233" i="27"/>
  <c r="M314" i="27"/>
  <c r="G256" i="28"/>
  <c r="Q184" i="27"/>
  <c r="Q135" i="27"/>
  <c r="M211" i="27"/>
  <c r="M196" i="27"/>
  <c r="M205" i="27"/>
  <c r="M206" i="27"/>
  <c r="M319" i="27"/>
  <c r="H232" i="28"/>
  <c r="H256" i="28" s="1"/>
  <c r="H17" i="32"/>
  <c r="I684" i="27"/>
  <c r="I217" i="28" s="1"/>
  <c r="I235" i="28"/>
  <c r="I236" i="28"/>
  <c r="I234" i="28"/>
  <c r="I233" i="28"/>
  <c r="N229" i="28"/>
  <c r="N252" i="28" s="1"/>
  <c r="N121" i="32"/>
  <c r="R93" i="1"/>
  <c r="R92" i="1" s="1"/>
  <c r="R281" i="27"/>
  <c r="R119" i="27"/>
  <c r="R293" i="27"/>
  <c r="Q215" i="31"/>
  <c r="N76" i="31"/>
  <c r="N81" i="31" s="1"/>
  <c r="N148" i="27" s="1"/>
  <c r="R103" i="1"/>
  <c r="R102" i="1" s="1"/>
  <c r="P433" i="27"/>
  <c r="F47" i="41" s="1"/>
  <c r="O447" i="27"/>
  <c r="P398" i="27"/>
  <c r="P436" i="27" s="1"/>
  <c r="P459" i="27"/>
  <c r="F68" i="41" s="1"/>
  <c r="Q118" i="31"/>
  <c r="O75" i="31"/>
  <c r="O117" i="31"/>
  <c r="O125" i="31" s="1"/>
  <c r="L236" i="28"/>
  <c r="L234" i="28"/>
  <c r="O32" i="31"/>
  <c r="P32" i="31" s="1"/>
  <c r="F25" i="51" s="1"/>
  <c r="P74" i="31"/>
  <c r="F4" i="52" s="1"/>
  <c r="L233" i="28"/>
  <c r="L684" i="27"/>
  <c r="L217" i="28" s="1"/>
  <c r="R98" i="1"/>
  <c r="R97" i="1" s="1"/>
  <c r="Z2" i="32"/>
  <c r="Z2" i="31"/>
  <c r="Z2" i="28"/>
  <c r="Z2" i="27"/>
  <c r="Z140" i="27" s="1"/>
  <c r="Z347" i="27"/>
  <c r="Z337" i="27"/>
  <c r="Z368" i="27"/>
  <c r="Z369" i="27" s="1"/>
  <c r="Z352" i="27"/>
  <c r="Z357" i="27"/>
  <c r="Z355" i="27" s="1"/>
  <c r="Z373" i="27"/>
  <c r="Z374" i="27" s="1"/>
  <c r="W362" i="27"/>
  <c r="U103" i="27"/>
  <c r="T104" i="28"/>
  <c r="F24" i="46" s="1"/>
  <c r="X425" i="27"/>
  <c r="H38" i="41" s="1"/>
  <c r="U343" i="27"/>
  <c r="U47" i="28" s="1"/>
  <c r="U88" i="28"/>
  <c r="U199" i="28" s="1"/>
  <c r="V342" i="27"/>
  <c r="V340" i="27" s="1"/>
  <c r="W333" i="27"/>
  <c r="X332" i="27"/>
  <c r="X330" i="27" s="1"/>
  <c r="Y377" i="27"/>
  <c r="Y419" i="27"/>
  <c r="Y420" i="27"/>
  <c r="Y421" i="27"/>
  <c r="Y125" i="27" s="1"/>
  <c r="Y424" i="27"/>
  <c r="Y127" i="27" s="1"/>
  <c r="Y422" i="27"/>
  <c r="Y423" i="27"/>
  <c r="Y126" i="27" s="1"/>
  <c r="V363" i="27"/>
  <c r="U68" i="27"/>
  <c r="U93" i="28" s="1"/>
  <c r="T69" i="27"/>
  <c r="V9" i="28"/>
  <c r="X435" i="27"/>
  <c r="Y31" i="31" s="1"/>
  <c r="W9" i="28"/>
  <c r="R151" i="1"/>
  <c r="W171" i="1"/>
  <c r="X301" i="27"/>
  <c r="G42" i="40" s="1"/>
  <c r="X289" i="27"/>
  <c r="G34" i="40" s="1"/>
  <c r="R702" i="27"/>
  <c r="R218" i="28" s="1"/>
  <c r="R71" i="1"/>
  <c r="R73" i="1" s="1"/>
  <c r="R72" i="1" s="1"/>
  <c r="R67" i="1"/>
  <c r="R66" i="1" s="1"/>
  <c r="R144" i="27"/>
  <c r="S145" i="27" s="1"/>
  <c r="R255" i="27"/>
  <c r="R264" i="27"/>
  <c r="S265" i="27" s="1"/>
  <c r="R477" i="27"/>
  <c r="R133" i="27"/>
  <c r="R84" i="31"/>
  <c r="O219" i="27"/>
  <c r="P164" i="31"/>
  <c r="E12" i="54" s="1"/>
  <c r="P163" i="31"/>
  <c r="E11" i="54" s="1"/>
  <c r="O241" i="31"/>
  <c r="O240" i="31" s="1"/>
  <c r="O62" i="31" s="1"/>
  <c r="O161" i="31"/>
  <c r="P62" i="23"/>
  <c r="P68" i="23"/>
  <c r="P162" i="31"/>
  <c r="E10" i="54" s="1"/>
  <c r="P168" i="31"/>
  <c r="P229" i="31" s="1"/>
  <c r="P239" i="31" s="1"/>
  <c r="F19" i="57" s="1"/>
  <c r="O228" i="27"/>
  <c r="O367" i="27" s="1"/>
  <c r="O365" i="27" s="1"/>
  <c r="O102" i="28" s="1"/>
  <c r="R82" i="31"/>
  <c r="P181" i="27"/>
  <c r="P207" i="27" s="1"/>
  <c r="J38" i="31"/>
  <c r="J55" i="31" s="1"/>
  <c r="I42" i="31"/>
  <c r="I44" i="31" s="1"/>
  <c r="R182" i="27"/>
  <c r="R197" i="27"/>
  <c r="R156" i="31"/>
  <c r="R47" i="31"/>
  <c r="R48" i="31" s="1"/>
  <c r="R155" i="31"/>
  <c r="S27" i="31"/>
  <c r="S273" i="27"/>
  <c r="S153" i="27"/>
  <c r="T154" i="27" s="1"/>
  <c r="X260" i="27"/>
  <c r="G16" i="40" s="1"/>
  <c r="X269" i="27"/>
  <c r="G21" i="40" s="1"/>
  <c r="Q49" i="31"/>
  <c r="R44" i="32"/>
  <c r="R79" i="32"/>
  <c r="R221" i="31"/>
  <c r="R213" i="31"/>
  <c r="R151" i="31"/>
  <c r="R173" i="31"/>
  <c r="R71" i="31"/>
  <c r="R141" i="31"/>
  <c r="AF183" i="1"/>
  <c r="AF186" i="1" s="1"/>
  <c r="W160" i="1"/>
  <c r="W161" i="1"/>
  <c r="R78" i="1"/>
  <c r="R77" i="1" s="1"/>
  <c r="R83" i="1"/>
  <c r="R82" i="1" s="1"/>
  <c r="R88" i="1"/>
  <c r="R87" i="1" s="1"/>
  <c r="R6" i="31"/>
  <c r="R1" i="32"/>
  <c r="R1" i="31"/>
  <c r="R6" i="32"/>
  <c r="AG190" i="1"/>
  <c r="R77" i="27"/>
  <c r="R64" i="27"/>
  <c r="R164" i="1"/>
  <c r="R1" i="28"/>
  <c r="R1" i="27"/>
  <c r="R169" i="27"/>
  <c r="R509" i="27"/>
  <c r="R237" i="27"/>
  <c r="R328" i="27"/>
  <c r="R107" i="27"/>
  <c r="R387" i="27"/>
  <c r="R554" i="27"/>
  <c r="R658" i="27"/>
  <c r="R348" i="28"/>
  <c r="R307" i="28"/>
  <c r="R267" i="28"/>
  <c r="R207" i="28"/>
  <c r="R119" i="28"/>
  <c r="R81" i="28"/>
  <c r="R154" i="28"/>
  <c r="R43" i="28"/>
  <c r="R4" i="28"/>
  <c r="R162" i="23"/>
  <c r="R176" i="23"/>
  <c r="P57" i="23"/>
  <c r="P80" i="23"/>
  <c r="S700" i="27"/>
  <c r="S701" i="27" s="1"/>
  <c r="S148" i="1"/>
  <c r="U115" i="1"/>
  <c r="R34" i="1"/>
  <c r="W162" i="1"/>
  <c r="W163" i="1"/>
  <c r="S114" i="32"/>
  <c r="S145" i="1"/>
  <c r="S144" i="1"/>
  <c r="V118" i="1"/>
  <c r="V121" i="1"/>
  <c r="X119" i="1"/>
  <c r="W120" i="1"/>
  <c r="W122" i="1"/>
  <c r="V123" i="1"/>
  <c r="V124" i="1" s="1"/>
  <c r="W113" i="1"/>
  <c r="V114" i="1"/>
  <c r="S172" i="1"/>
  <c r="S136" i="1"/>
  <c r="S159" i="1"/>
  <c r="R208" i="1"/>
  <c r="R60" i="1"/>
  <c r="R130" i="1"/>
  <c r="R6" i="1"/>
  <c r="U109" i="1"/>
  <c r="U37" i="1"/>
  <c r="T45" i="1"/>
  <c r="W110" i="1"/>
  <c r="V111" i="1"/>
  <c r="R1" i="1"/>
  <c r="Z2" i="1"/>
  <c r="AA36" i="1"/>
  <c r="T44" i="1"/>
  <c r="T43" i="1"/>
  <c r="T46" i="1"/>
  <c r="T38" i="1"/>
  <c r="T55" i="1" s="1"/>
  <c r="R146" i="1"/>
  <c r="Z113" i="28" l="1"/>
  <c r="Z197" i="28"/>
  <c r="J44" i="35"/>
  <c r="Z358" i="27"/>
  <c r="M483" i="27"/>
  <c r="G6" i="37"/>
  <c r="T703" i="27"/>
  <c r="M224" i="27"/>
  <c r="AA50" i="1"/>
  <c r="AA49" i="1"/>
  <c r="AA51" i="1"/>
  <c r="AA48" i="1"/>
  <c r="S198" i="27"/>
  <c r="S120" i="27"/>
  <c r="S83" i="31"/>
  <c r="S84" i="31" s="1"/>
  <c r="S134" i="27"/>
  <c r="S135" i="27" s="1"/>
  <c r="Q73" i="31"/>
  <c r="Q75" i="31" s="1"/>
  <c r="S183" i="27"/>
  <c r="S184" i="27" s="1"/>
  <c r="S175" i="27" s="1"/>
  <c r="S176" i="27" s="1"/>
  <c r="R35" i="31"/>
  <c r="K252" i="28"/>
  <c r="K120" i="32"/>
  <c r="T274" i="27"/>
  <c r="S157" i="31"/>
  <c r="S158" i="31" s="1"/>
  <c r="S154" i="31" s="1"/>
  <c r="S50" i="31" s="1"/>
  <c r="S478" i="27"/>
  <c r="S479" i="27" s="1"/>
  <c r="S256" i="27"/>
  <c r="S257" i="27" s="1"/>
  <c r="S294" i="27"/>
  <c r="S295" i="27" s="1"/>
  <c r="S292" i="27" s="1"/>
  <c r="S315" i="27" s="1"/>
  <c r="S317" i="27" s="1"/>
  <c r="S19" i="28" s="1"/>
  <c r="S282" i="27"/>
  <c r="R29" i="31"/>
  <c r="R190" i="31" s="1"/>
  <c r="E49" i="40"/>
  <c r="L63" i="31"/>
  <c r="E54" i="51" s="1"/>
  <c r="E22" i="57"/>
  <c r="T101" i="1"/>
  <c r="F27" i="34" s="1"/>
  <c r="T96" i="1"/>
  <c r="F23" i="34" s="1"/>
  <c r="T91" i="1"/>
  <c r="F19" i="34" s="1"/>
  <c r="T86" i="1"/>
  <c r="F15" i="34" s="1"/>
  <c r="T81" i="1"/>
  <c r="F11" i="34" s="1"/>
  <c r="T76" i="1"/>
  <c r="T65" i="1"/>
  <c r="T28" i="31"/>
  <c r="O166" i="31"/>
  <c r="O228" i="31" s="1"/>
  <c r="O242" i="31" s="1"/>
  <c r="O63" i="31" s="1"/>
  <c r="X362" i="27"/>
  <c r="X360" i="27" s="1"/>
  <c r="X85" i="28" s="1"/>
  <c r="G5" i="46" s="1"/>
  <c r="W360" i="27"/>
  <c r="W85" i="28" s="1"/>
  <c r="Z353" i="27"/>
  <c r="Z350" i="27"/>
  <c r="Z338" i="27"/>
  <c r="Z335" i="27"/>
  <c r="P13" i="32"/>
  <c r="F7" i="58" s="1"/>
  <c r="F4" i="57"/>
  <c r="O271" i="27"/>
  <c r="E23" i="40"/>
  <c r="P316" i="27"/>
  <c r="P314" i="27" s="1"/>
  <c r="E48" i="40" s="1"/>
  <c r="E35" i="40"/>
  <c r="E26" i="39"/>
  <c r="E16" i="45"/>
  <c r="F12" i="41"/>
  <c r="F432" i="23" s="1"/>
  <c r="N228" i="31"/>
  <c r="N242" i="31" s="1"/>
  <c r="N63" i="31" s="1"/>
  <c r="D25" i="49"/>
  <c r="S462" i="27"/>
  <c r="S409" i="27"/>
  <c r="S302" i="27"/>
  <c r="S290" i="27"/>
  <c r="S278" i="27"/>
  <c r="S270" i="27"/>
  <c r="S261" i="27"/>
  <c r="S252" i="27"/>
  <c r="S244" i="27"/>
  <c r="S151" i="27"/>
  <c r="S142" i="27"/>
  <c r="S131" i="27"/>
  <c r="S117" i="27"/>
  <c r="Y378" i="27"/>
  <c r="Y60" i="28" s="1"/>
  <c r="Y376" i="27"/>
  <c r="Z348" i="27"/>
  <c r="Z345" i="27"/>
  <c r="I134" i="32"/>
  <c r="E6" i="61"/>
  <c r="R25" i="31"/>
  <c r="R215" i="31" s="1"/>
  <c r="S216" i="31" s="1"/>
  <c r="S224" i="31" s="1"/>
  <c r="Q94" i="31"/>
  <c r="M496" i="27"/>
  <c r="M63" i="28" s="1"/>
  <c r="M490" i="27"/>
  <c r="M501" i="27" s="1"/>
  <c r="E16" i="54"/>
  <c r="E43" i="40"/>
  <c r="F9" i="57"/>
  <c r="F7" i="34"/>
  <c r="O483" i="27"/>
  <c r="O490" i="27"/>
  <c r="O501" i="27" s="1"/>
  <c r="O500" i="27" s="1"/>
  <c r="O18" i="32"/>
  <c r="O63" i="28"/>
  <c r="L134" i="32"/>
  <c r="L119" i="32"/>
  <c r="M226" i="27"/>
  <c r="M225" i="27"/>
  <c r="O228" i="28"/>
  <c r="O88" i="32" s="1"/>
  <c r="P318" i="27"/>
  <c r="P323" i="27"/>
  <c r="N482" i="27"/>
  <c r="N498" i="27" s="1"/>
  <c r="O227" i="27"/>
  <c r="O682" i="27" s="1"/>
  <c r="M223" i="27"/>
  <c r="O217" i="27"/>
  <c r="N217" i="27"/>
  <c r="R178" i="27"/>
  <c r="R204" i="27" s="1"/>
  <c r="R177" i="27"/>
  <c r="R203" i="27" s="1"/>
  <c r="N230" i="27"/>
  <c r="N683" i="27" s="1"/>
  <c r="R180" i="27"/>
  <c r="R206" i="27" s="1"/>
  <c r="R179" i="27"/>
  <c r="R205" i="27" s="1"/>
  <c r="R141" i="27"/>
  <c r="X494" i="27"/>
  <c r="P463" i="27"/>
  <c r="P451" i="27"/>
  <c r="P496" i="27" s="1"/>
  <c r="P667" i="27" s="1"/>
  <c r="P493" i="27"/>
  <c r="N670" i="27"/>
  <c r="O12" i="28"/>
  <c r="R116" i="27"/>
  <c r="P219" i="27"/>
  <c r="R202" i="27"/>
  <c r="AI192" i="1"/>
  <c r="AJ193" i="1"/>
  <c r="K51" i="35" s="1"/>
  <c r="T116" i="31"/>
  <c r="G44" i="52" s="1"/>
  <c r="T91" i="31"/>
  <c r="G19" i="52" s="1"/>
  <c r="T117" i="31"/>
  <c r="G45" i="52" s="1"/>
  <c r="T92" i="31"/>
  <c r="G20" i="52" s="1"/>
  <c r="T93" i="31"/>
  <c r="G21" i="52" s="1"/>
  <c r="T119" i="31"/>
  <c r="G47" i="52" s="1"/>
  <c r="T121" i="31"/>
  <c r="G49" i="52" s="1"/>
  <c r="T120" i="31"/>
  <c r="G48" i="52" s="1"/>
  <c r="T95" i="31"/>
  <c r="G23" i="52" s="1"/>
  <c r="T96" i="31"/>
  <c r="G24" i="52" s="1"/>
  <c r="T122" i="31"/>
  <c r="G50" i="52" s="1"/>
  <c r="T123" i="31"/>
  <c r="G51" i="52" s="1"/>
  <c r="T97" i="31"/>
  <c r="G25" i="52" s="1"/>
  <c r="T98" i="31"/>
  <c r="G26" i="52" s="1"/>
  <c r="T124" i="31"/>
  <c r="G52" i="52" s="1"/>
  <c r="T99" i="31"/>
  <c r="G27" i="52" s="1"/>
  <c r="T100" i="31"/>
  <c r="G28" i="52" s="1"/>
  <c r="F414" i="23"/>
  <c r="D424" i="23"/>
  <c r="G420" i="23"/>
  <c r="E418" i="23"/>
  <c r="H424" i="23"/>
  <c r="F416" i="23"/>
  <c r="G416" i="23"/>
  <c r="G424" i="23"/>
  <c r="D414" i="23"/>
  <c r="D422" i="23"/>
  <c r="E414" i="23"/>
  <c r="G422" i="23"/>
  <c r="F413" i="23"/>
  <c r="H425" i="23"/>
  <c r="G413" i="23"/>
  <c r="G425" i="23"/>
  <c r="G417" i="23"/>
  <c r="F423" i="23"/>
  <c r="F417" i="23"/>
  <c r="E423" i="23"/>
  <c r="G415" i="23"/>
  <c r="D423" i="23"/>
  <c r="F415" i="23"/>
  <c r="H421" i="23"/>
  <c r="E421" i="23"/>
  <c r="E415" i="23"/>
  <c r="D421" i="23"/>
  <c r="D415" i="23"/>
  <c r="H418" i="23"/>
  <c r="H420" i="23"/>
  <c r="G418" i="23"/>
  <c r="E420" i="23"/>
  <c r="D416" i="23"/>
  <c r="F424" i="23"/>
  <c r="H416" i="23"/>
  <c r="E424" i="23"/>
  <c r="E416" i="23"/>
  <c r="F422" i="23"/>
  <c r="H422" i="23"/>
  <c r="H414" i="23"/>
  <c r="E422" i="23"/>
  <c r="G414" i="23"/>
  <c r="F425" i="23"/>
  <c r="H413" i="23"/>
  <c r="E425" i="23"/>
  <c r="E413" i="23"/>
  <c r="D425" i="23"/>
  <c r="D413" i="23"/>
  <c r="H423" i="23"/>
  <c r="E417" i="23"/>
  <c r="G423" i="23"/>
  <c r="D417" i="23"/>
  <c r="F421" i="23"/>
  <c r="H417" i="23"/>
  <c r="G421" i="23"/>
  <c r="D418" i="23"/>
  <c r="F420" i="23"/>
  <c r="H415" i="23"/>
  <c r="D420" i="23"/>
  <c r="F418" i="23"/>
  <c r="Y277" i="27"/>
  <c r="Y124" i="27"/>
  <c r="Y128" i="27" s="1"/>
  <c r="R155" i="27"/>
  <c r="Z281" i="28"/>
  <c r="Z322" i="28"/>
  <c r="Q295" i="27"/>
  <c r="Q292" i="27" s="1"/>
  <c r="P640" i="27"/>
  <c r="P626" i="27"/>
  <c r="P644" i="27"/>
  <c r="F72" i="43" s="1"/>
  <c r="Q249" i="27"/>
  <c r="Q246" i="27" s="1"/>
  <c r="P598" i="27"/>
  <c r="P584" i="27"/>
  <c r="P570" i="27"/>
  <c r="P92" i="27"/>
  <c r="P215" i="31"/>
  <c r="P26" i="31"/>
  <c r="F21" i="51" s="1"/>
  <c r="S231" i="1"/>
  <c r="S222" i="1"/>
  <c r="R266" i="27"/>
  <c r="R263" i="27" s="1"/>
  <c r="R262" i="27" s="1"/>
  <c r="P189" i="31"/>
  <c r="E17" i="55" s="1"/>
  <c r="X128" i="27"/>
  <c r="P228" i="27"/>
  <c r="R283" i="27"/>
  <c r="R280" i="27" s="1"/>
  <c r="R279" i="27" s="1"/>
  <c r="Q431" i="27"/>
  <c r="Q432" i="27"/>
  <c r="R431" i="27"/>
  <c r="R432" i="27"/>
  <c r="Q429" i="27"/>
  <c r="Q430" i="27"/>
  <c r="R429" i="27"/>
  <c r="R430" i="27"/>
  <c r="Q428" i="27"/>
  <c r="Q427" i="27"/>
  <c r="R428" i="27"/>
  <c r="R427" i="27"/>
  <c r="R307" i="27"/>
  <c r="R304" i="27" s="1"/>
  <c r="R320" i="27" s="1"/>
  <c r="R322" i="27" s="1"/>
  <c r="R18" i="28" s="1"/>
  <c r="Q453" i="27"/>
  <c r="P219" i="28"/>
  <c r="P18" i="32" s="1"/>
  <c r="R199" i="27"/>
  <c r="R190" i="27" s="1"/>
  <c r="R191" i="27" s="1"/>
  <c r="P196" i="27"/>
  <c r="P215" i="27" s="1"/>
  <c r="P209" i="27" s="1"/>
  <c r="P216" i="27" s="1"/>
  <c r="P17" i="28" s="1"/>
  <c r="S29" i="31"/>
  <c r="P271" i="27"/>
  <c r="Q72" i="1"/>
  <c r="Q275" i="27"/>
  <c r="Q272" i="27" s="1"/>
  <c r="S35" i="31"/>
  <c r="I119" i="32"/>
  <c r="H123" i="32"/>
  <c r="D9" i="61" s="1"/>
  <c r="G138" i="32"/>
  <c r="S155" i="27"/>
  <c r="M62" i="31"/>
  <c r="M242" i="31"/>
  <c r="Q162" i="31"/>
  <c r="R216" i="31"/>
  <c r="L41" i="31"/>
  <c r="E32" i="51" s="1"/>
  <c r="P233" i="31"/>
  <c r="R94" i="31"/>
  <c r="Q154" i="31"/>
  <c r="Q50" i="31" s="1"/>
  <c r="Q396" i="27"/>
  <c r="Q454" i="27"/>
  <c r="Q397" i="27"/>
  <c r="Q456" i="27"/>
  <c r="Q457" i="27"/>
  <c r="Q393" i="27"/>
  <c r="Q455" i="27"/>
  <c r="Q392" i="27"/>
  <c r="Q394" i="27"/>
  <c r="Q458" i="27"/>
  <c r="Q395" i="27"/>
  <c r="I232" i="28"/>
  <c r="I17" i="32"/>
  <c r="Q304" i="27"/>
  <c r="J235" i="28"/>
  <c r="E28" i="49" s="1"/>
  <c r="J234" i="28"/>
  <c r="E27" i="49" s="1"/>
  <c r="J233" i="28"/>
  <c r="E26" i="49" s="1"/>
  <c r="J236" i="28"/>
  <c r="E29" i="49" s="1"/>
  <c r="J684" i="27"/>
  <c r="J217" i="28" s="1"/>
  <c r="E10" i="49" s="1"/>
  <c r="Q115" i="27"/>
  <c r="Q138" i="27"/>
  <c r="Q263" i="27"/>
  <c r="Q190" i="27"/>
  <c r="M215" i="27"/>
  <c r="Q280" i="27"/>
  <c r="Q175" i="27"/>
  <c r="F433" i="23"/>
  <c r="M219" i="27"/>
  <c r="M228" i="27"/>
  <c r="M232" i="27" s="1"/>
  <c r="M219" i="28"/>
  <c r="M207" i="27"/>
  <c r="S121" i="27"/>
  <c r="S115" i="27" s="1"/>
  <c r="S118" i="27" s="1"/>
  <c r="R230" i="28"/>
  <c r="O229" i="28"/>
  <c r="O252" i="28" s="1"/>
  <c r="O121" i="32"/>
  <c r="N120" i="32"/>
  <c r="L232" i="28"/>
  <c r="L256" i="28" s="1"/>
  <c r="L17" i="32"/>
  <c r="S93" i="1"/>
  <c r="S92" i="1" s="1"/>
  <c r="S281" i="27"/>
  <c r="S305" i="27"/>
  <c r="O76" i="31"/>
  <c r="O81" i="31" s="1"/>
  <c r="O148" i="27" s="1"/>
  <c r="Z102" i="27"/>
  <c r="R291" i="27"/>
  <c r="R316" i="27" s="1"/>
  <c r="R314" i="27" s="1"/>
  <c r="R392" i="27"/>
  <c r="R84" i="27" s="1"/>
  <c r="R394" i="27"/>
  <c r="R621" i="27" s="1"/>
  <c r="R457" i="27"/>
  <c r="R565" i="27" s="1"/>
  <c r="R396" i="27"/>
  <c r="R458" i="27"/>
  <c r="R453" i="27"/>
  <c r="R397" i="27"/>
  <c r="R393" i="27"/>
  <c r="R395" i="27"/>
  <c r="R607" i="27" s="1"/>
  <c r="R454" i="27"/>
  <c r="R579" i="27" s="1"/>
  <c r="R456" i="27"/>
  <c r="R455" i="27"/>
  <c r="R593" i="27" s="1"/>
  <c r="S67" i="1"/>
  <c r="S66" i="1" s="1"/>
  <c r="S293" i="27"/>
  <c r="S146" i="27"/>
  <c r="S138" i="27" s="1"/>
  <c r="S139" i="27" s="1"/>
  <c r="S143" i="27" s="1"/>
  <c r="P447" i="27"/>
  <c r="F55" i="41" s="1"/>
  <c r="P161" i="31"/>
  <c r="Q125" i="31"/>
  <c r="P75" i="31"/>
  <c r="F5" i="52" s="1"/>
  <c r="P117" i="31"/>
  <c r="P125" i="31" s="1"/>
  <c r="F53" i="52" s="1"/>
  <c r="S103" i="1"/>
  <c r="S102" i="1" s="1"/>
  <c r="S33" i="31"/>
  <c r="Q32" i="31"/>
  <c r="R74" i="31"/>
  <c r="S119" i="27"/>
  <c r="T120" i="27" s="1"/>
  <c r="S702" i="27"/>
  <c r="S218" i="28" s="1"/>
  <c r="S247" i="27"/>
  <c r="T248" i="27" s="1"/>
  <c r="S71" i="1"/>
  <c r="S73" i="1" s="1"/>
  <c r="S72" i="1" s="1"/>
  <c r="S144" i="27"/>
  <c r="T145" i="27" s="1"/>
  <c r="S264" i="27"/>
  <c r="T265" i="27" s="1"/>
  <c r="S255" i="27"/>
  <c r="R245" i="27"/>
  <c r="W363" i="27"/>
  <c r="AA2" i="31"/>
  <c r="AA2" i="32"/>
  <c r="AA2" i="27"/>
  <c r="AA140" i="27" s="1"/>
  <c r="AA2" i="28"/>
  <c r="AA197" i="28" s="1"/>
  <c r="AA373" i="27"/>
  <c r="AA374" i="27" s="1"/>
  <c r="AA357" i="27"/>
  <c r="AA368" i="27"/>
  <c r="AA369" i="27" s="1"/>
  <c r="AA337" i="27"/>
  <c r="AA347" i="27"/>
  <c r="AA352" i="27"/>
  <c r="Y435" i="27"/>
  <c r="V343" i="27"/>
  <c r="V47" i="28" s="1"/>
  <c r="V88" i="28"/>
  <c r="V199" i="28" s="1"/>
  <c r="W342" i="27"/>
  <c r="W340" i="27" s="1"/>
  <c r="V103" i="27"/>
  <c r="U104" i="28"/>
  <c r="X363" i="27"/>
  <c r="Y362" i="27"/>
  <c r="Y360" i="27" s="1"/>
  <c r="Y85" i="28" s="1"/>
  <c r="Z419" i="27"/>
  <c r="Z421" i="27"/>
  <c r="Z125" i="27" s="1"/>
  <c r="Z424" i="27"/>
  <c r="Z127" i="27" s="1"/>
  <c r="Z423" i="27"/>
  <c r="Z126" i="27" s="1"/>
  <c r="Z422" i="27"/>
  <c r="Z420" i="27"/>
  <c r="X9" i="28"/>
  <c r="V68" i="27"/>
  <c r="V93" i="28" s="1"/>
  <c r="U69" i="27"/>
  <c r="U703" i="27" s="1"/>
  <c r="Y425" i="27"/>
  <c r="X333" i="27"/>
  <c r="Y332" i="27"/>
  <c r="Y330" i="27" s="1"/>
  <c r="Z377" i="27"/>
  <c r="S151" i="1"/>
  <c r="X171" i="1"/>
  <c r="H34" i="35" s="1"/>
  <c r="Y301" i="27"/>
  <c r="Y289" i="27"/>
  <c r="S477" i="27"/>
  <c r="S133" i="27"/>
  <c r="S249" i="27"/>
  <c r="S246" i="27" s="1"/>
  <c r="P241" i="31"/>
  <c r="P240" i="31" s="1"/>
  <c r="P62" i="31" s="1"/>
  <c r="Q62" i="23"/>
  <c r="Q68" i="23"/>
  <c r="R159" i="31"/>
  <c r="R162" i="31" s="1"/>
  <c r="O232" i="27"/>
  <c r="O48" i="28" s="1"/>
  <c r="Q168" i="31"/>
  <c r="Q164" i="31"/>
  <c r="P201" i="27"/>
  <c r="P208" i="27" s="1"/>
  <c r="Q163" i="31"/>
  <c r="Q165" i="31"/>
  <c r="S82" i="31"/>
  <c r="T222" i="1"/>
  <c r="S98" i="1"/>
  <c r="S97" i="1" s="1"/>
  <c r="T33" i="31"/>
  <c r="T27" i="31"/>
  <c r="T273" i="27"/>
  <c r="S155" i="31"/>
  <c r="S47" i="31"/>
  <c r="S48" i="31" s="1"/>
  <c r="R49" i="31"/>
  <c r="K38" i="31"/>
  <c r="K55" i="31" s="1"/>
  <c r="J42" i="31"/>
  <c r="J44" i="31" s="1"/>
  <c r="Y260" i="27"/>
  <c r="Y269" i="27"/>
  <c r="S182" i="27"/>
  <c r="S197" i="27"/>
  <c r="S156" i="31"/>
  <c r="I43" i="31"/>
  <c r="S44" i="32"/>
  <c r="S79" i="32"/>
  <c r="S221" i="31"/>
  <c r="S213" i="31"/>
  <c r="S151" i="31"/>
  <c r="S173" i="31"/>
  <c r="S71" i="31"/>
  <c r="S141" i="31"/>
  <c r="AG183" i="1"/>
  <c r="X161" i="1"/>
  <c r="H25" i="35" s="1"/>
  <c r="X160" i="1"/>
  <c r="H24" i="35" s="1"/>
  <c r="S83" i="1"/>
  <c r="S82" i="1" s="1"/>
  <c r="S78" i="1"/>
  <c r="S77" i="1" s="1"/>
  <c r="S88" i="1"/>
  <c r="S87" i="1" s="1"/>
  <c r="S6" i="31"/>
  <c r="S1" i="32"/>
  <c r="S1" i="31"/>
  <c r="S6" i="32"/>
  <c r="AH190" i="1"/>
  <c r="S77" i="27"/>
  <c r="S64" i="27"/>
  <c r="S164" i="1"/>
  <c r="S1" i="28"/>
  <c r="S1" i="27"/>
  <c r="S328" i="27"/>
  <c r="S169" i="27"/>
  <c r="S237" i="27"/>
  <c r="S107" i="27"/>
  <c r="S387" i="27"/>
  <c r="S509" i="27"/>
  <c r="S554" i="27"/>
  <c r="S658" i="27"/>
  <c r="S267" i="28"/>
  <c r="S207" i="28"/>
  <c r="S348" i="28"/>
  <c r="S307" i="28"/>
  <c r="S154" i="28"/>
  <c r="S81" i="28"/>
  <c r="S43" i="28"/>
  <c r="S4" i="28"/>
  <c r="S119" i="28"/>
  <c r="S162" i="23"/>
  <c r="S176" i="23"/>
  <c r="Q57" i="23"/>
  <c r="Q80" i="23"/>
  <c r="T700" i="27"/>
  <c r="T148" i="1"/>
  <c r="G14" i="35" s="1"/>
  <c r="V115" i="1"/>
  <c r="S34" i="1"/>
  <c r="X163" i="1"/>
  <c r="H27" i="35" s="1"/>
  <c r="X162" i="1"/>
  <c r="H26" i="35" s="1"/>
  <c r="T114" i="32"/>
  <c r="T144" i="1"/>
  <c r="T145" i="1"/>
  <c r="W118" i="1"/>
  <c r="W121" i="1"/>
  <c r="X120" i="1"/>
  <c r="Y119" i="1"/>
  <c r="X122" i="1"/>
  <c r="W123" i="1"/>
  <c r="W124" i="1" s="1"/>
  <c r="X113" i="1"/>
  <c r="W114" i="1"/>
  <c r="V109" i="1"/>
  <c r="V112" i="1"/>
  <c r="T172" i="1"/>
  <c r="G35" i="35" s="1"/>
  <c r="T136" i="1"/>
  <c r="G5" i="35" s="1"/>
  <c r="T159" i="1"/>
  <c r="G23" i="35" s="1"/>
  <c r="S208" i="1"/>
  <c r="S60" i="1"/>
  <c r="S130" i="1"/>
  <c r="S6" i="1"/>
  <c r="U43" i="1"/>
  <c r="U44" i="1"/>
  <c r="U45" i="1"/>
  <c r="U46" i="1"/>
  <c r="U38" i="1"/>
  <c r="U55" i="1" s="1"/>
  <c r="V37" i="1"/>
  <c r="X110" i="1"/>
  <c r="W111" i="1"/>
  <c r="S1" i="1"/>
  <c r="AB36" i="1"/>
  <c r="AA2" i="1"/>
  <c r="S146" i="1"/>
  <c r="AB48" i="1" l="1"/>
  <c r="AB50" i="1"/>
  <c r="AB49" i="1"/>
  <c r="AB51" i="1"/>
  <c r="AA113" i="28"/>
  <c r="I413" i="23"/>
  <c r="J413" i="23" s="1"/>
  <c r="I425" i="23"/>
  <c r="J425" i="23" s="1"/>
  <c r="I420" i="23"/>
  <c r="J420" i="23" s="1"/>
  <c r="T478" i="27"/>
  <c r="T479" i="27" s="1"/>
  <c r="T294" i="27"/>
  <c r="T157" i="31"/>
  <c r="T158" i="31" s="1"/>
  <c r="T154" i="31" s="1"/>
  <c r="F4" i="54" s="1"/>
  <c r="T198" i="27"/>
  <c r="T256" i="27"/>
  <c r="T257" i="27" s="1"/>
  <c r="T282" i="27"/>
  <c r="E23" i="39"/>
  <c r="U28" i="31"/>
  <c r="T83" i="31"/>
  <c r="M482" i="27"/>
  <c r="M498" i="27" s="1"/>
  <c r="T183" i="27"/>
  <c r="T184" i="27" s="1"/>
  <c r="T175" i="27" s="1"/>
  <c r="T176" i="27" s="1"/>
  <c r="U274" i="27"/>
  <c r="T134" i="27"/>
  <c r="T135" i="27" s="1"/>
  <c r="R193" i="31"/>
  <c r="R195" i="31"/>
  <c r="K134" i="32"/>
  <c r="K119" i="32"/>
  <c r="E5" i="61" s="1"/>
  <c r="F12" i="49"/>
  <c r="R191" i="31"/>
  <c r="R192" i="31"/>
  <c r="R194" i="31"/>
  <c r="M500" i="27"/>
  <c r="T701" i="27"/>
  <c r="T702" i="27" s="1"/>
  <c r="T218" i="28" s="1"/>
  <c r="Z378" i="27"/>
  <c r="Z60" i="28" s="1"/>
  <c r="Z376" i="27"/>
  <c r="AA353" i="27"/>
  <c r="AA350" i="27"/>
  <c r="AA358" i="27"/>
  <c r="AA355" i="27"/>
  <c r="P166" i="31"/>
  <c r="E14" i="54" s="1"/>
  <c r="U101" i="1"/>
  <c r="U96" i="1"/>
  <c r="U91" i="1"/>
  <c r="U86" i="1"/>
  <c r="U81" i="1"/>
  <c r="U76" i="1"/>
  <c r="U65" i="1"/>
  <c r="Z31" i="31"/>
  <c r="AA348" i="27"/>
  <c r="AA345" i="27"/>
  <c r="T34" i="31"/>
  <c r="U34" i="31" s="1"/>
  <c r="G26" i="51"/>
  <c r="T306" i="27"/>
  <c r="M227" i="27"/>
  <c r="Q118" i="27"/>
  <c r="Q116" i="27" s="1"/>
  <c r="Q607" i="27"/>
  <c r="Q621" i="27"/>
  <c r="Q626" i="27" s="1"/>
  <c r="Q593" i="27"/>
  <c r="Q598" i="27" s="1"/>
  <c r="Q565" i="27"/>
  <c r="Q570" i="27" s="1"/>
  <c r="F53" i="51"/>
  <c r="Q271" i="27"/>
  <c r="S25" i="31"/>
  <c r="T73" i="31" s="1"/>
  <c r="T94" i="31" s="1"/>
  <c r="T101" i="31" s="1"/>
  <c r="E9" i="54"/>
  <c r="F59" i="41"/>
  <c r="F45" i="52"/>
  <c r="F21" i="57"/>
  <c r="T462" i="27"/>
  <c r="T409" i="27"/>
  <c r="T302" i="27"/>
  <c r="T290" i="27"/>
  <c r="T278" i="27"/>
  <c r="T270" i="27"/>
  <c r="T261" i="27"/>
  <c r="T252" i="27"/>
  <c r="T244" i="27"/>
  <c r="T151" i="27"/>
  <c r="T142" i="27"/>
  <c r="T131" i="27"/>
  <c r="T117" i="27"/>
  <c r="AA338" i="27"/>
  <c r="AA335" i="27"/>
  <c r="Q84" i="27"/>
  <c r="Q92" i="27" s="1"/>
  <c r="Q579" i="27"/>
  <c r="Q584" i="27" s="1"/>
  <c r="P51" i="32"/>
  <c r="F7" i="59" s="1"/>
  <c r="F13" i="57"/>
  <c r="Q216" i="31"/>
  <c r="E3" i="56"/>
  <c r="G10" i="35"/>
  <c r="F24" i="40"/>
  <c r="G22" i="51"/>
  <c r="G11" i="35"/>
  <c r="M667" i="27"/>
  <c r="F88" i="41"/>
  <c r="Q101" i="31"/>
  <c r="F20" i="57"/>
  <c r="E22" i="40"/>
  <c r="S233" i="31"/>
  <c r="S51" i="32" s="1"/>
  <c r="S13" i="32"/>
  <c r="O482" i="27"/>
  <c r="O498" i="27" s="1"/>
  <c r="P63" i="28"/>
  <c r="F20" i="45" s="1"/>
  <c r="N59" i="28"/>
  <c r="N37" i="31" s="1"/>
  <c r="N41" i="31" s="1"/>
  <c r="O670" i="27"/>
  <c r="O120" i="32"/>
  <c r="O119" i="32" s="1"/>
  <c r="R635" i="27"/>
  <c r="R644" i="27" s="1"/>
  <c r="P483" i="27"/>
  <c r="M499" i="27"/>
  <c r="O499" i="27"/>
  <c r="N499" i="27"/>
  <c r="R318" i="27"/>
  <c r="P217" i="27"/>
  <c r="P227" i="27"/>
  <c r="P230" i="27" s="1"/>
  <c r="P683" i="27" s="1"/>
  <c r="S178" i="27"/>
  <c r="S204" i="27" s="1"/>
  <c r="S177" i="27"/>
  <c r="S203" i="27" s="1"/>
  <c r="P472" i="27"/>
  <c r="F77" i="41" s="1"/>
  <c r="R193" i="27"/>
  <c r="R212" i="27" s="1"/>
  <c r="R224" i="27" s="1"/>
  <c r="R192" i="27"/>
  <c r="R211" i="27" s="1"/>
  <c r="R223" i="27" s="1"/>
  <c r="S180" i="27"/>
  <c r="S206" i="27" s="1"/>
  <c r="S179" i="27"/>
  <c r="S205" i="27" s="1"/>
  <c r="R195" i="27"/>
  <c r="R214" i="27" s="1"/>
  <c r="R226" i="27" s="1"/>
  <c r="R194" i="27"/>
  <c r="R213" i="27" s="1"/>
  <c r="R225" i="27" s="1"/>
  <c r="Y494" i="27"/>
  <c r="S141" i="27"/>
  <c r="S116" i="27"/>
  <c r="I416" i="23"/>
  <c r="J416" i="23" s="1"/>
  <c r="I421" i="23"/>
  <c r="J421" i="23" s="1"/>
  <c r="I414" i="23"/>
  <c r="J414" i="23" s="1"/>
  <c r="U116" i="31"/>
  <c r="U91" i="31"/>
  <c r="U92" i="31"/>
  <c r="U117" i="31"/>
  <c r="U93" i="31"/>
  <c r="U118" i="31"/>
  <c r="U94" i="31"/>
  <c r="U120" i="31"/>
  <c r="U121" i="31"/>
  <c r="U96" i="31"/>
  <c r="U122" i="31"/>
  <c r="U97" i="31"/>
  <c r="U123" i="31"/>
  <c r="U124" i="31"/>
  <c r="U98" i="31"/>
  <c r="U99" i="31"/>
  <c r="U100" i="31"/>
  <c r="I418" i="23"/>
  <c r="J418" i="23" s="1"/>
  <c r="I417" i="23"/>
  <c r="J417" i="23" s="1"/>
  <c r="I415" i="23"/>
  <c r="J415" i="23" s="1"/>
  <c r="I423" i="23"/>
  <c r="J423" i="23" s="1"/>
  <c r="I422" i="23"/>
  <c r="J422" i="23" s="1"/>
  <c r="I424" i="23"/>
  <c r="J424" i="23" s="1"/>
  <c r="AJ192" i="1"/>
  <c r="K50" i="35" s="1"/>
  <c r="AK193" i="1"/>
  <c r="Z277" i="27"/>
  <c r="Z124" i="27"/>
  <c r="Z128" i="27" s="1"/>
  <c r="AA322" i="28"/>
  <c r="AA281" i="28"/>
  <c r="Q635" i="27"/>
  <c r="S191" i="31"/>
  <c r="P367" i="27"/>
  <c r="P365" i="27" s="1"/>
  <c r="P102" i="28" s="1"/>
  <c r="E22" i="46" s="1"/>
  <c r="Q26" i="31"/>
  <c r="R26" i="31" s="1"/>
  <c r="O230" i="27"/>
  <c r="O683" i="27" s="1"/>
  <c r="T231" i="1"/>
  <c r="S266" i="27"/>
  <c r="S263" i="27" s="1"/>
  <c r="S262" i="27" s="1"/>
  <c r="P231" i="28"/>
  <c r="P121" i="32" s="1"/>
  <c r="R92" i="27"/>
  <c r="AA102" i="27"/>
  <c r="P232" i="27"/>
  <c r="P48" i="28" s="1"/>
  <c r="P228" i="28"/>
  <c r="P88" i="32" s="1"/>
  <c r="R303" i="27"/>
  <c r="R321" i="27" s="1"/>
  <c r="R319" i="27" s="1"/>
  <c r="S283" i="27"/>
  <c r="S280" i="27" s="1"/>
  <c r="S279" i="27" s="1"/>
  <c r="S431" i="27"/>
  <c r="S432" i="27"/>
  <c r="S429" i="27"/>
  <c r="S430" i="27"/>
  <c r="S428" i="27"/>
  <c r="S427" i="27"/>
  <c r="S199" i="27"/>
  <c r="S190" i="27" s="1"/>
  <c r="S191" i="27" s="1"/>
  <c r="R210" i="27"/>
  <c r="R222" i="27" s="1"/>
  <c r="S307" i="27"/>
  <c r="S304" i="27" s="1"/>
  <c r="S320" i="27" s="1"/>
  <c r="S322" i="27" s="1"/>
  <c r="S18" i="28" s="1"/>
  <c r="S395" i="27"/>
  <c r="S607" i="27" s="1"/>
  <c r="S194" i="31"/>
  <c r="S190" i="31"/>
  <c r="S195" i="31"/>
  <c r="S73" i="31"/>
  <c r="T29" i="31"/>
  <c r="T25" i="31" s="1"/>
  <c r="S192" i="31"/>
  <c r="S193" i="31"/>
  <c r="F434" i="23"/>
  <c r="T153" i="27"/>
  <c r="AG186" i="1"/>
  <c r="R275" i="27"/>
  <c r="R272" i="27" s="1"/>
  <c r="R271" i="27" s="1"/>
  <c r="N119" i="32"/>
  <c r="N134" i="32"/>
  <c r="T35" i="31"/>
  <c r="H138" i="32"/>
  <c r="I123" i="32"/>
  <c r="T155" i="27"/>
  <c r="Q229" i="31"/>
  <c r="R224" i="31"/>
  <c r="R13" i="32" s="1"/>
  <c r="R101" i="31"/>
  <c r="M63" i="31"/>
  <c r="T121" i="27"/>
  <c r="T115" i="27" s="1"/>
  <c r="T118" i="27" s="1"/>
  <c r="Q433" i="27"/>
  <c r="Q459" i="27"/>
  <c r="Q398" i="27"/>
  <c r="M201" i="27"/>
  <c r="M18" i="32"/>
  <c r="F12" i="58" s="1"/>
  <c r="M228" i="28"/>
  <c r="M231" i="28"/>
  <c r="Q191" i="27"/>
  <c r="Q262" i="27"/>
  <c r="Q320" i="27"/>
  <c r="Q322" i="27" s="1"/>
  <c r="Q18" i="28" s="1"/>
  <c r="Q303" i="27"/>
  <c r="M48" i="28"/>
  <c r="M367" i="27"/>
  <c r="M365" i="27" s="1"/>
  <c r="M102" i="28" s="1"/>
  <c r="N232" i="27"/>
  <c r="N48" i="28" s="1"/>
  <c r="Q176" i="27"/>
  <c r="Q279" i="27"/>
  <c r="Q245" i="27"/>
  <c r="M209" i="27"/>
  <c r="M59" i="28"/>
  <c r="M670" i="27"/>
  <c r="Q139" i="27"/>
  <c r="Q315" i="27"/>
  <c r="Q317" i="27" s="1"/>
  <c r="Q19" i="28" s="1"/>
  <c r="Q291" i="27"/>
  <c r="J17" i="32"/>
  <c r="E11" i="58" s="1"/>
  <c r="J232" i="28"/>
  <c r="J256" i="28" s="1"/>
  <c r="I256" i="28"/>
  <c r="S230" i="28"/>
  <c r="T93" i="1"/>
  <c r="T92" i="1" s="1"/>
  <c r="F20" i="34" s="1" a="1"/>
  <c r="F20" i="34" s="1"/>
  <c r="T281" i="27"/>
  <c r="U282" i="27" s="1"/>
  <c r="T103" i="1"/>
  <c r="T102" i="1" s="1"/>
  <c r="F28" i="34" s="1" a="1"/>
  <c r="F28" i="34" s="1"/>
  <c r="T293" i="27"/>
  <c r="U294" i="27" s="1"/>
  <c r="S396" i="27"/>
  <c r="S458" i="27"/>
  <c r="P76" i="31"/>
  <c r="F6" i="52" s="1"/>
  <c r="S291" i="27"/>
  <c r="S316" i="27" s="1"/>
  <c r="S314" i="27" s="1"/>
  <c r="T295" i="27"/>
  <c r="T292" i="27" s="1"/>
  <c r="T315" i="27" s="1"/>
  <c r="T317" i="27" s="1"/>
  <c r="T19" i="28" s="1"/>
  <c r="R459" i="27"/>
  <c r="S456" i="27"/>
  <c r="R433" i="27"/>
  <c r="R398" i="27"/>
  <c r="R436" i="27" s="1"/>
  <c r="R447" i="27" s="1"/>
  <c r="S457" i="27"/>
  <c r="S565" i="27" s="1"/>
  <c r="S394" i="27"/>
  <c r="S621" i="27" s="1"/>
  <c r="S397" i="27"/>
  <c r="S392" i="27"/>
  <c r="S84" i="27" s="1"/>
  <c r="S393" i="27"/>
  <c r="S455" i="27"/>
  <c r="S593" i="27" s="1"/>
  <c r="S453" i="27"/>
  <c r="S454" i="27"/>
  <c r="S579" i="27" s="1"/>
  <c r="T98" i="1"/>
  <c r="T97" i="1" s="1"/>
  <c r="F24" i="34" s="1" a="1"/>
  <c r="F24" i="34" s="1"/>
  <c r="T146" i="27"/>
  <c r="T138" i="27" s="1"/>
  <c r="T139" i="27" s="1"/>
  <c r="T143" i="27" s="1"/>
  <c r="R75" i="31"/>
  <c r="R118" i="31"/>
  <c r="AA377" i="27"/>
  <c r="Y333" i="27"/>
  <c r="Z332" i="27"/>
  <c r="Z330" i="27" s="1"/>
  <c r="Z435" i="27"/>
  <c r="AA31" i="31" s="1"/>
  <c r="W343" i="27"/>
  <c r="W47" i="28" s="1"/>
  <c r="W88" i="28"/>
  <c r="W199" i="28" s="1"/>
  <c r="X342" i="27"/>
  <c r="X340" i="27" s="1"/>
  <c r="Y9" i="28"/>
  <c r="AB2" i="32"/>
  <c r="AB2" i="31"/>
  <c r="AB2" i="28"/>
  <c r="AB197" i="28" s="1"/>
  <c r="AB2" i="27"/>
  <c r="AB140" i="27" s="1"/>
  <c r="AC36" i="1"/>
  <c r="AB352" i="27"/>
  <c r="AB347" i="27"/>
  <c r="AB373" i="27"/>
  <c r="AB374" i="27" s="1"/>
  <c r="AB357" i="27"/>
  <c r="AB337" i="27"/>
  <c r="AB368" i="27"/>
  <c r="AB369" i="27" s="1"/>
  <c r="W68" i="27"/>
  <c r="W93" i="28" s="1"/>
  <c r="V69" i="27"/>
  <c r="V703" i="27" s="1"/>
  <c r="Z425" i="27"/>
  <c r="Y363" i="27"/>
  <c r="Z362" i="27"/>
  <c r="Z360" i="27" s="1"/>
  <c r="Z85" i="28" s="1"/>
  <c r="W103" i="27"/>
  <c r="V104" i="28"/>
  <c r="AA419" i="27"/>
  <c r="AA422" i="27"/>
  <c r="AA421" i="27"/>
  <c r="AA125" i="27" s="1"/>
  <c r="AA420" i="27"/>
  <c r="AA423" i="27"/>
  <c r="AA126" i="27" s="1"/>
  <c r="AA424" i="27"/>
  <c r="AA127" i="27" s="1"/>
  <c r="T151" i="1"/>
  <c r="G16" i="35" s="1"/>
  <c r="Y171" i="1"/>
  <c r="Z301" i="27"/>
  <c r="Z289" i="27"/>
  <c r="S245" i="27"/>
  <c r="S202" i="27"/>
  <c r="T249" i="27"/>
  <c r="T246" i="27" s="1"/>
  <c r="F8" i="40" s="1"/>
  <c r="T477" i="27"/>
  <c r="T133" i="27"/>
  <c r="U134" i="27" s="1"/>
  <c r="R181" i="27"/>
  <c r="R207" i="27" s="1"/>
  <c r="T84" i="31"/>
  <c r="S159" i="31"/>
  <c r="S162" i="31" s="1"/>
  <c r="R165" i="31"/>
  <c r="R168" i="31"/>
  <c r="R229" i="31" s="1"/>
  <c r="R241" i="31" s="1"/>
  <c r="R240" i="31" s="1"/>
  <c r="R62" i="31" s="1"/>
  <c r="R163" i="31"/>
  <c r="R164" i="31"/>
  <c r="R62" i="23"/>
  <c r="R68" i="23"/>
  <c r="Q161" i="31"/>
  <c r="P12" i="28"/>
  <c r="T67" i="1"/>
  <c r="T66" i="1" s="1"/>
  <c r="T119" i="27"/>
  <c r="U120" i="27" s="1"/>
  <c r="T255" i="27"/>
  <c r="T82" i="31"/>
  <c r="T305" i="27"/>
  <c r="U222" i="1"/>
  <c r="U231" i="1"/>
  <c r="T71" i="1"/>
  <c r="T73" i="1" s="1"/>
  <c r="T72" i="1" s="1"/>
  <c r="F4" i="34" s="1" a="1"/>
  <c r="F4" i="34" s="1"/>
  <c r="T144" i="27"/>
  <c r="U145" i="27" s="1"/>
  <c r="T247" i="27"/>
  <c r="U248" i="27" s="1"/>
  <c r="T264" i="27"/>
  <c r="U265" i="27" s="1"/>
  <c r="T155" i="31"/>
  <c r="F5" i="54" s="1"/>
  <c r="T47" i="31"/>
  <c r="G38" i="51" s="1"/>
  <c r="U153" i="27"/>
  <c r="Z269" i="27"/>
  <c r="Z260" i="27"/>
  <c r="J43" i="31"/>
  <c r="L38" i="31"/>
  <c r="E29" i="51" s="1"/>
  <c r="K42" i="31"/>
  <c r="K44" i="31" s="1"/>
  <c r="S49" i="31"/>
  <c r="T182" i="27"/>
  <c r="T197" i="27"/>
  <c r="T156" i="31"/>
  <c r="T44" i="32"/>
  <c r="T79" i="32"/>
  <c r="T221" i="31"/>
  <c r="T213" i="31"/>
  <c r="T151" i="31"/>
  <c r="T173" i="31"/>
  <c r="T71" i="31"/>
  <c r="T141" i="31"/>
  <c r="AH183" i="1"/>
  <c r="AH186" i="1" s="1"/>
  <c r="Y161" i="1"/>
  <c r="Y160" i="1"/>
  <c r="T78" i="1"/>
  <c r="T77" i="1" s="1"/>
  <c r="F8" i="34" s="1" a="1"/>
  <c r="F8" i="34" s="1"/>
  <c r="T88" i="1"/>
  <c r="T87" i="1" s="1"/>
  <c r="F16" i="34" s="1" a="1"/>
  <c r="F16" i="34" s="1"/>
  <c r="T83" i="1"/>
  <c r="T82" i="1" s="1"/>
  <c r="F12" i="34" s="1" a="1"/>
  <c r="F12" i="34" s="1"/>
  <c r="T6" i="31"/>
  <c r="T1" i="32"/>
  <c r="T1" i="31"/>
  <c r="T6" i="32"/>
  <c r="AI190" i="1"/>
  <c r="T77" i="27"/>
  <c r="T64" i="27"/>
  <c r="T164" i="1"/>
  <c r="G28" i="35" s="1"/>
  <c r="T1" i="28"/>
  <c r="T1" i="27"/>
  <c r="T107" i="27"/>
  <c r="T387" i="27"/>
  <c r="T554" i="27"/>
  <c r="T658" i="27"/>
  <c r="T169" i="27"/>
  <c r="T509" i="27"/>
  <c r="T237" i="27"/>
  <c r="T328" i="27"/>
  <c r="T348" i="28"/>
  <c r="T307" i="28"/>
  <c r="T267" i="28"/>
  <c r="T207" i="28"/>
  <c r="T119" i="28"/>
  <c r="T154" i="28"/>
  <c r="T43" i="28"/>
  <c r="T4" i="28"/>
  <c r="T81" i="28"/>
  <c r="T162" i="23"/>
  <c r="T176" i="23"/>
  <c r="R57" i="23"/>
  <c r="R80" i="23"/>
  <c r="U700" i="27"/>
  <c r="U701" i="27" s="1"/>
  <c r="U148" i="1"/>
  <c r="W115" i="1"/>
  <c r="T34" i="1"/>
  <c r="Y162" i="1"/>
  <c r="Y163" i="1"/>
  <c r="U114" i="32"/>
  <c r="U145" i="1"/>
  <c r="U144" i="1"/>
  <c r="X118" i="1"/>
  <c r="X121" i="1"/>
  <c r="Y120" i="1"/>
  <c r="Z119" i="1"/>
  <c r="Y122" i="1"/>
  <c r="X123" i="1"/>
  <c r="X124" i="1" s="1"/>
  <c r="Y113" i="1"/>
  <c r="X114" i="1"/>
  <c r="W109" i="1"/>
  <c r="W112" i="1"/>
  <c r="U172" i="1"/>
  <c r="U136" i="1"/>
  <c r="U159" i="1"/>
  <c r="T208" i="1"/>
  <c r="T60" i="1"/>
  <c r="T130" i="1"/>
  <c r="T6" i="1"/>
  <c r="V43" i="1"/>
  <c r="V45" i="1"/>
  <c r="V44" i="1"/>
  <c r="V46" i="1"/>
  <c r="V38" i="1"/>
  <c r="V55" i="1" s="1"/>
  <c r="W37" i="1"/>
  <c r="Y110" i="1"/>
  <c r="X111" i="1"/>
  <c r="T146" i="1"/>
  <c r="AB2" i="1"/>
  <c r="T1" i="1"/>
  <c r="AC50" i="1" l="1"/>
  <c r="AC51" i="1"/>
  <c r="AC49" i="1"/>
  <c r="AC48" i="1"/>
  <c r="U83" i="31"/>
  <c r="U478" i="27"/>
  <c r="U157" i="31"/>
  <c r="U183" i="27"/>
  <c r="U306" i="27"/>
  <c r="U256" i="27"/>
  <c r="U198" i="27"/>
  <c r="S26" i="31"/>
  <c r="G11" i="49"/>
  <c r="T230" i="28"/>
  <c r="R189" i="31"/>
  <c r="S215" i="31"/>
  <c r="F24" i="49"/>
  <c r="G20" i="51"/>
  <c r="G23" i="49"/>
  <c r="F21" i="49"/>
  <c r="P228" i="31"/>
  <c r="U462" i="27"/>
  <c r="U409" i="27"/>
  <c r="U302" i="27"/>
  <c r="U290" i="27"/>
  <c r="U278" i="27"/>
  <c r="U270" i="27"/>
  <c r="U261" i="27"/>
  <c r="U252" i="27"/>
  <c r="U244" i="27"/>
  <c r="U151" i="27"/>
  <c r="U142" i="27"/>
  <c r="U131" i="27"/>
  <c r="U117" i="27"/>
  <c r="Q166" i="31"/>
  <c r="V101" i="1"/>
  <c r="V33" i="31" s="1"/>
  <c r="V96" i="1"/>
  <c r="V91" i="1"/>
  <c r="V86" i="1"/>
  <c r="V81" i="1"/>
  <c r="V76" i="1"/>
  <c r="V65" i="1"/>
  <c r="AB358" i="27"/>
  <c r="AB355" i="27"/>
  <c r="AB348" i="27"/>
  <c r="AB345" i="27"/>
  <c r="AA378" i="27"/>
  <c r="AA60" i="28" s="1"/>
  <c r="AA376" i="27"/>
  <c r="G16" i="44"/>
  <c r="M216" i="27"/>
  <c r="M17" i="28" s="1"/>
  <c r="F14" i="44" s="1"/>
  <c r="E20" i="39"/>
  <c r="F6" i="45"/>
  <c r="M208" i="27"/>
  <c r="E19" i="39"/>
  <c r="Q239" i="31"/>
  <c r="S94" i="31"/>
  <c r="G3" i="52"/>
  <c r="G82" i="41"/>
  <c r="G10" i="38"/>
  <c r="F17" i="39"/>
  <c r="F36" i="40"/>
  <c r="G29" i="38"/>
  <c r="F29" i="40"/>
  <c r="G21" i="38"/>
  <c r="G9" i="38"/>
  <c r="F45" i="40"/>
  <c r="G25" i="38"/>
  <c r="G12" i="35"/>
  <c r="AB338" i="27"/>
  <c r="AB335" i="27"/>
  <c r="AB353" i="27"/>
  <c r="AB350" i="27"/>
  <c r="Q143" i="27"/>
  <c r="G28" i="38" s="1"/>
  <c r="G26" i="38"/>
  <c r="M37" i="31"/>
  <c r="F8" i="39"/>
  <c r="Q436" i="27"/>
  <c r="Q493" i="27"/>
  <c r="U154" i="27"/>
  <c r="V154" i="27" s="1"/>
  <c r="G35" i="38"/>
  <c r="F3" i="34"/>
  <c r="F6" i="54"/>
  <c r="F14" i="40"/>
  <c r="Q224" i="31"/>
  <c r="F9" i="40"/>
  <c r="F9" i="39"/>
  <c r="F37" i="40"/>
  <c r="F19" i="40"/>
  <c r="G12" i="52"/>
  <c r="G7" i="38"/>
  <c r="E25" i="49"/>
  <c r="F7" i="39"/>
  <c r="O59" i="28"/>
  <c r="O37" i="31" s="1"/>
  <c r="O41" i="31" s="1"/>
  <c r="O134" i="32"/>
  <c r="P490" i="27"/>
  <c r="P501" i="27" s="1"/>
  <c r="S318" i="27"/>
  <c r="R323" i="27"/>
  <c r="M217" i="27"/>
  <c r="E21" i="39" s="1"/>
  <c r="T178" i="27"/>
  <c r="T204" i="27" s="1"/>
  <c r="T177" i="27"/>
  <c r="T203" i="27" s="1"/>
  <c r="Q193" i="27"/>
  <c r="Q192" i="27"/>
  <c r="S193" i="27"/>
  <c r="S212" i="27" s="1"/>
  <c r="S224" i="27" s="1"/>
  <c r="S192" i="27"/>
  <c r="S211" i="27" s="1"/>
  <c r="S223" i="27" s="1"/>
  <c r="Q178" i="27"/>
  <c r="Q177" i="27"/>
  <c r="T180" i="27"/>
  <c r="T206" i="27" s="1"/>
  <c r="T179" i="27"/>
  <c r="Q195" i="27"/>
  <c r="Q194" i="27"/>
  <c r="S195" i="27"/>
  <c r="S214" i="27" s="1"/>
  <c r="S226" i="27" s="1"/>
  <c r="S194" i="27"/>
  <c r="S213" i="27" s="1"/>
  <c r="S225" i="27" s="1"/>
  <c r="Q180" i="27"/>
  <c r="Q179" i="27"/>
  <c r="R201" i="27"/>
  <c r="R208" i="27" s="1"/>
  <c r="Z494" i="27"/>
  <c r="R451" i="27"/>
  <c r="R496" i="27" s="1"/>
  <c r="R667" i="27" s="1"/>
  <c r="R493" i="27"/>
  <c r="Q141" i="27"/>
  <c r="Q463" i="27"/>
  <c r="Q472" i="27" s="1"/>
  <c r="T116" i="27"/>
  <c r="G8" i="38" s="1"/>
  <c r="R219" i="28"/>
  <c r="T141" i="27"/>
  <c r="R463" i="27"/>
  <c r="R472" i="27" s="1"/>
  <c r="R490" i="27" s="1"/>
  <c r="R501" i="27" s="1"/>
  <c r="T202" i="27"/>
  <c r="T205" i="27"/>
  <c r="S210" i="27"/>
  <c r="V116" i="31"/>
  <c r="V91" i="31"/>
  <c r="V92" i="31"/>
  <c r="V117" i="31"/>
  <c r="V93" i="31"/>
  <c r="V118" i="31"/>
  <c r="V94" i="31"/>
  <c r="V120" i="31"/>
  <c r="V121" i="31"/>
  <c r="V122" i="31"/>
  <c r="V96" i="31"/>
  <c r="V97" i="31"/>
  <c r="V123" i="31"/>
  <c r="V98" i="31"/>
  <c r="V124" i="31"/>
  <c r="V99" i="31"/>
  <c r="V100" i="31"/>
  <c r="B9" i="27"/>
  <c r="AK192" i="1"/>
  <c r="AL193" i="1"/>
  <c r="R570" i="27"/>
  <c r="S570" i="27" s="1"/>
  <c r="R584" i="27"/>
  <c r="S584" i="27" s="1"/>
  <c r="R598" i="27"/>
  <c r="S598" i="27" s="1"/>
  <c r="R626" i="27"/>
  <c r="S626" i="27" s="1"/>
  <c r="Q640" i="27"/>
  <c r="AA277" i="27"/>
  <c r="AA124" i="27"/>
  <c r="AA128" i="27" s="1"/>
  <c r="AB113" i="28"/>
  <c r="H33" i="46" s="1"/>
  <c r="AB281" i="28"/>
  <c r="AB322" i="28"/>
  <c r="Q644" i="27"/>
  <c r="S635" i="27"/>
  <c r="P229" i="28"/>
  <c r="P252" i="28" s="1"/>
  <c r="R219" i="27"/>
  <c r="O233" i="27"/>
  <c r="O233" i="28" s="1"/>
  <c r="AB102" i="27"/>
  <c r="T266" i="27"/>
  <c r="T263" i="27" s="1"/>
  <c r="F18" i="40" s="1"/>
  <c r="S92" i="27"/>
  <c r="R228" i="27"/>
  <c r="R367" i="27" s="1"/>
  <c r="R365" i="27" s="1"/>
  <c r="R102" i="28" s="1"/>
  <c r="U255" i="27"/>
  <c r="T199" i="27"/>
  <c r="T190" i="27" s="1"/>
  <c r="T191" i="27" s="1"/>
  <c r="F16" i="39" s="1"/>
  <c r="T283" i="27"/>
  <c r="T280" i="27" s="1"/>
  <c r="F28" i="40" s="1"/>
  <c r="T307" i="27"/>
  <c r="T304" i="27" s="1"/>
  <c r="T320" i="27" s="1"/>
  <c r="T322" i="27" s="1"/>
  <c r="T18" i="28" s="1"/>
  <c r="G15" i="44" s="1"/>
  <c r="R196" i="27"/>
  <c r="R215" i="27" s="1"/>
  <c r="R209" i="27" s="1"/>
  <c r="R216" i="27" s="1"/>
  <c r="R17" i="28" s="1"/>
  <c r="S303" i="27"/>
  <c r="S321" i="27" s="1"/>
  <c r="S319" i="27" s="1"/>
  <c r="T431" i="27"/>
  <c r="G45" i="41" s="1"/>
  <c r="T432" i="27"/>
  <c r="G46" i="41" s="1"/>
  <c r="T429" i="27"/>
  <c r="G43" i="41" s="1"/>
  <c r="T430" i="27"/>
  <c r="G44" i="41" s="1"/>
  <c r="T428" i="27"/>
  <c r="G42" i="41" s="1"/>
  <c r="T427" i="27"/>
  <c r="G41" i="41" s="1"/>
  <c r="P233" i="27"/>
  <c r="P235" i="28" s="1"/>
  <c r="P682" i="27"/>
  <c r="T190" i="31"/>
  <c r="F18" i="55" s="1"/>
  <c r="T193" i="31"/>
  <c r="F21" i="55" s="1"/>
  <c r="U29" i="31"/>
  <c r="U25" i="31" s="1"/>
  <c r="T195" i="31"/>
  <c r="F23" i="55" s="1"/>
  <c r="T194" i="31"/>
  <c r="F22" i="55" s="1"/>
  <c r="T192" i="31"/>
  <c r="T191" i="31"/>
  <c r="F19" i="55" s="1"/>
  <c r="T26" i="31"/>
  <c r="G21" i="51" s="1"/>
  <c r="S189" i="31"/>
  <c r="U27" i="31"/>
  <c r="S275" i="27"/>
  <c r="U273" i="27"/>
  <c r="U33" i="31"/>
  <c r="J123" i="32"/>
  <c r="I138" i="32"/>
  <c r="Q451" i="27"/>
  <c r="U155" i="27"/>
  <c r="U121" i="27"/>
  <c r="T48" i="31"/>
  <c r="G39" i="51" s="1"/>
  <c r="L55" i="31"/>
  <c r="E46" i="51" s="1"/>
  <c r="T50" i="31"/>
  <c r="G41" i="51" s="1"/>
  <c r="U35" i="31"/>
  <c r="Q76" i="31"/>
  <c r="R76" i="31" s="1"/>
  <c r="R81" i="31" s="1"/>
  <c r="R148" i="27" s="1"/>
  <c r="T216" i="31"/>
  <c r="F4" i="56" s="1"/>
  <c r="R233" i="31"/>
  <c r="R51" i="32" s="1"/>
  <c r="Q241" i="31"/>
  <c r="Q447" i="27"/>
  <c r="M522" i="27"/>
  <c r="E12" i="42" s="1"/>
  <c r="Q202" i="27"/>
  <c r="Q321" i="27"/>
  <c r="Q323" i="27" s="1"/>
  <c r="M88" i="32"/>
  <c r="F9" i="60" s="1"/>
  <c r="N522" i="27"/>
  <c r="Q316" i="27"/>
  <c r="Q318" i="27" s="1"/>
  <c r="Q210" i="27"/>
  <c r="M121" i="32"/>
  <c r="F7" i="61" s="1"/>
  <c r="M229" i="28"/>
  <c r="M682" i="27"/>
  <c r="M230" i="27"/>
  <c r="M233" i="27" s="1"/>
  <c r="O522" i="27"/>
  <c r="T215" i="31"/>
  <c r="U216" i="31" s="1"/>
  <c r="U73" i="31"/>
  <c r="P81" i="31"/>
  <c r="F11" i="52" s="1"/>
  <c r="T394" i="27"/>
  <c r="G8" i="41" s="1"/>
  <c r="U93" i="1"/>
  <c r="U281" i="27"/>
  <c r="T291" i="27"/>
  <c r="T316" i="27" s="1"/>
  <c r="T314" i="27" s="1"/>
  <c r="T392" i="27"/>
  <c r="G6" i="41" s="1"/>
  <c r="AB377" i="27"/>
  <c r="T395" i="27"/>
  <c r="G9" i="41" s="1"/>
  <c r="T458" i="27"/>
  <c r="G67" i="41" s="1"/>
  <c r="T397" i="27"/>
  <c r="G11" i="41" s="1"/>
  <c r="T457" i="27"/>
  <c r="T565" i="27" s="1"/>
  <c r="G10" i="43" s="1"/>
  <c r="T455" i="27"/>
  <c r="G64" i="41" s="1"/>
  <c r="S459" i="27"/>
  <c r="S398" i="27"/>
  <c r="S436" i="27" s="1"/>
  <c r="S447" i="27" s="1"/>
  <c r="T396" i="27"/>
  <c r="G10" i="41" s="1"/>
  <c r="T393" i="27"/>
  <c r="G7" i="41" s="1"/>
  <c r="T456" i="27"/>
  <c r="G65" i="41" s="1"/>
  <c r="T454" i="27"/>
  <c r="G63" i="41" s="1"/>
  <c r="T453" i="27"/>
  <c r="G62" i="41" s="1"/>
  <c r="S433" i="27"/>
  <c r="U119" i="27"/>
  <c r="U293" i="27"/>
  <c r="R125" i="31"/>
  <c r="T74" i="31"/>
  <c r="X103" i="27"/>
  <c r="W104" i="28"/>
  <c r="Z363" i="27"/>
  <c r="AA362" i="27"/>
  <c r="AA360" i="27" s="1"/>
  <c r="AA85" i="28" s="1"/>
  <c r="X343" i="27"/>
  <c r="X47" i="28" s="1"/>
  <c r="H5" i="45" s="1"/>
  <c r="X88" i="28"/>
  <c r="G8" i="46" s="1"/>
  <c r="Y342" i="27"/>
  <c r="Y340" i="27" s="1"/>
  <c r="Z333" i="27"/>
  <c r="AA332" i="27"/>
  <c r="AA330" i="27" s="1"/>
  <c r="AA435" i="27"/>
  <c r="AA425" i="27"/>
  <c r="X68" i="27"/>
  <c r="W69" i="27"/>
  <c r="W703" i="27" s="1"/>
  <c r="AC2" i="31"/>
  <c r="AC2" i="32"/>
  <c r="AC2" i="28"/>
  <c r="AC197" i="28" s="1"/>
  <c r="AC2" i="27"/>
  <c r="AC140" i="27" s="1"/>
  <c r="AC2" i="1"/>
  <c r="AD36" i="1"/>
  <c r="AC347" i="27"/>
  <c r="AC368" i="27"/>
  <c r="AC369" i="27" s="1"/>
  <c r="AC357" i="27"/>
  <c r="AC355" i="27" s="1"/>
  <c r="AC373" i="27"/>
  <c r="AC374" i="27" s="1"/>
  <c r="AC337" i="27"/>
  <c r="AC352" i="27"/>
  <c r="AB419" i="27"/>
  <c r="I32" i="41" s="1"/>
  <c r="AB420" i="27"/>
  <c r="I33" i="41" s="1"/>
  <c r="AB422" i="27"/>
  <c r="I35" i="41" s="1"/>
  <c r="AB421" i="27"/>
  <c r="I34" i="41" s="1"/>
  <c r="AB424" i="27"/>
  <c r="I37" i="41" s="1"/>
  <c r="AB423" i="27"/>
  <c r="I36" i="41" s="1"/>
  <c r="Z9" i="28"/>
  <c r="U151" i="1"/>
  <c r="Z171" i="1"/>
  <c r="U702" i="27"/>
  <c r="U218" i="28" s="1"/>
  <c r="AA301" i="27"/>
  <c r="AA289" i="27"/>
  <c r="T245" i="27"/>
  <c r="F7" i="40" s="1"/>
  <c r="U477" i="27"/>
  <c r="U133" i="27"/>
  <c r="U67" i="1"/>
  <c r="U71" i="1"/>
  <c r="U103" i="1"/>
  <c r="S181" i="27"/>
  <c r="S207" i="27" s="1"/>
  <c r="T159" i="31"/>
  <c r="T162" i="31" s="1"/>
  <c r="F10" i="54" s="1"/>
  <c r="R239" i="31"/>
  <c r="S163" i="31"/>
  <c r="S165" i="31"/>
  <c r="S168" i="31"/>
  <c r="S229" i="31" s="1"/>
  <c r="S241" i="31" s="1"/>
  <c r="S240" i="31" s="1"/>
  <c r="S62" i="31" s="1"/>
  <c r="S164" i="31"/>
  <c r="R161" i="31"/>
  <c r="S62" i="23"/>
  <c r="S68" i="23"/>
  <c r="U98" i="1"/>
  <c r="U82" i="31"/>
  <c r="U305" i="27"/>
  <c r="V231" i="1"/>
  <c r="U144" i="27"/>
  <c r="U247" i="27"/>
  <c r="U264" i="27"/>
  <c r="L42" i="31"/>
  <c r="E33" i="51" s="1"/>
  <c r="U182" i="27"/>
  <c r="U197" i="27"/>
  <c r="U156" i="31"/>
  <c r="U155" i="31"/>
  <c r="U47" i="31"/>
  <c r="U48" i="31" s="1"/>
  <c r="T49" i="31"/>
  <c r="G40" i="51" s="1"/>
  <c r="V27" i="31"/>
  <c r="V273" i="27"/>
  <c r="V153" i="27"/>
  <c r="AA260" i="27"/>
  <c r="AA269" i="27"/>
  <c r="K43" i="31"/>
  <c r="U44" i="32"/>
  <c r="U79" i="32"/>
  <c r="U221" i="31"/>
  <c r="U213" i="31"/>
  <c r="U151" i="31"/>
  <c r="U173" i="31"/>
  <c r="U71" i="31"/>
  <c r="U141" i="31"/>
  <c r="AI183" i="1"/>
  <c r="AI186" i="1" s="1"/>
  <c r="Z160" i="1"/>
  <c r="Z161" i="1"/>
  <c r="U83" i="1"/>
  <c r="U78" i="1"/>
  <c r="U88" i="1"/>
  <c r="U6" i="31"/>
  <c r="U1" i="32"/>
  <c r="U1" i="31"/>
  <c r="U6" i="32"/>
  <c r="AJ190" i="1"/>
  <c r="K48" i="35" s="1"/>
  <c r="U77" i="27"/>
  <c r="U64" i="27"/>
  <c r="U164" i="1"/>
  <c r="U1" i="28"/>
  <c r="U1" i="27"/>
  <c r="U237" i="27"/>
  <c r="U107" i="27"/>
  <c r="U387" i="27"/>
  <c r="U509" i="27"/>
  <c r="U554" i="27"/>
  <c r="U658" i="27"/>
  <c r="U328" i="27"/>
  <c r="U169" i="27"/>
  <c r="U267" i="28"/>
  <c r="U207" i="28"/>
  <c r="U348" i="28"/>
  <c r="U307" i="28"/>
  <c r="U154" i="28"/>
  <c r="U81" i="28"/>
  <c r="U43" i="28"/>
  <c r="U4" i="28"/>
  <c r="U119" i="28"/>
  <c r="U162" i="23"/>
  <c r="U176" i="23"/>
  <c r="S57" i="23"/>
  <c r="S80" i="23"/>
  <c r="V700" i="27"/>
  <c r="V701" i="27" s="1"/>
  <c r="V148" i="1"/>
  <c r="X115" i="1"/>
  <c r="U34" i="1"/>
  <c r="Z163" i="1"/>
  <c r="Z162" i="1"/>
  <c r="V114" i="32"/>
  <c r="V144" i="1"/>
  <c r="V145" i="1"/>
  <c r="Y118" i="1"/>
  <c r="Y121" i="1"/>
  <c r="Z120" i="1"/>
  <c r="AA119" i="1"/>
  <c r="Z122" i="1"/>
  <c r="Y123" i="1"/>
  <c r="Z113" i="1"/>
  <c r="Y114" i="1"/>
  <c r="X109" i="1"/>
  <c r="X112" i="1"/>
  <c r="V172" i="1"/>
  <c r="W44" i="1"/>
  <c r="W43" i="1"/>
  <c r="V136" i="1"/>
  <c r="V159" i="1"/>
  <c r="U208" i="1"/>
  <c r="U60" i="1"/>
  <c r="U130" i="1"/>
  <c r="U6" i="1"/>
  <c r="U146" i="1"/>
  <c r="W46" i="1"/>
  <c r="W38" i="1"/>
  <c r="W55" i="1" s="1"/>
  <c r="X37" i="1"/>
  <c r="W45" i="1"/>
  <c r="U1" i="1"/>
  <c r="Z110" i="1"/>
  <c r="Y111" i="1"/>
  <c r="AC358" i="27" l="1"/>
  <c r="X93" i="28"/>
  <c r="G13" i="46" s="1"/>
  <c r="H5" i="37"/>
  <c r="AD48" i="1"/>
  <c r="AD51" i="1"/>
  <c r="AD49" i="1"/>
  <c r="AD50" i="1"/>
  <c r="P242" i="31"/>
  <c r="F8" i="57"/>
  <c r="V462" i="27"/>
  <c r="V409" i="27"/>
  <c r="V302" i="27"/>
  <c r="V290" i="27"/>
  <c r="V278" i="27"/>
  <c r="V270" i="27"/>
  <c r="V261" i="27"/>
  <c r="V252" i="27"/>
  <c r="V244" i="27"/>
  <c r="V151" i="27"/>
  <c r="V142" i="27"/>
  <c r="V131" i="27"/>
  <c r="V117" i="27"/>
  <c r="V157" i="31"/>
  <c r="V158" i="31" s="1"/>
  <c r="V154" i="31" s="1"/>
  <c r="V50" i="31" s="1"/>
  <c r="V183" i="27"/>
  <c r="V184" i="27" s="1"/>
  <c r="V175" i="27" s="1"/>
  <c r="V176" i="27" s="1"/>
  <c r="V265" i="27"/>
  <c r="V145" i="27"/>
  <c r="V146" i="27" s="1"/>
  <c r="V138" i="27" s="1"/>
  <c r="V139" i="27" s="1"/>
  <c r="V306" i="27"/>
  <c r="V134" i="27"/>
  <c r="V135" i="27" s="1"/>
  <c r="AC353" i="27"/>
  <c r="AC350" i="27"/>
  <c r="V120" i="27"/>
  <c r="V121" i="27" s="1"/>
  <c r="V115" i="27" s="1"/>
  <c r="AB378" i="27"/>
  <c r="AB60" i="28" s="1"/>
  <c r="I17" i="45" s="1"/>
  <c r="AB376" i="27"/>
  <c r="M252" i="28"/>
  <c r="F22" i="49"/>
  <c r="Q496" i="27"/>
  <c r="Q63" i="28" s="1"/>
  <c r="V34" i="31"/>
  <c r="V35" i="31" s="1"/>
  <c r="F7" i="54"/>
  <c r="F44" i="40"/>
  <c r="S101" i="31"/>
  <c r="G29" i="52" s="1"/>
  <c r="G22" i="52"/>
  <c r="F3" i="56"/>
  <c r="W101" i="1"/>
  <c r="W96" i="1"/>
  <c r="W27" i="31" s="1"/>
  <c r="W91" i="1"/>
  <c r="W86" i="1"/>
  <c r="W81" i="1"/>
  <c r="W76" i="1"/>
  <c r="W153" i="27" s="1"/>
  <c r="W65" i="1"/>
  <c r="W154" i="27"/>
  <c r="V198" i="27"/>
  <c r="V248" i="27"/>
  <c r="V249" i="27" s="1"/>
  <c r="V246" i="27" s="1"/>
  <c r="V83" i="31"/>
  <c r="V84" i="31" s="1"/>
  <c r="R166" i="31"/>
  <c r="V478" i="27"/>
  <c r="V479" i="27" s="1"/>
  <c r="AC338" i="27"/>
  <c r="AC335" i="27"/>
  <c r="AC348" i="27"/>
  <c r="AC345" i="27"/>
  <c r="AA494" i="27"/>
  <c r="AB31" i="31"/>
  <c r="I24" i="51" s="1"/>
  <c r="V294" i="27"/>
  <c r="V295" i="27" s="1"/>
  <c r="V292" i="27" s="1"/>
  <c r="V315" i="27" s="1"/>
  <c r="V317" i="27" s="1"/>
  <c r="V19" i="28" s="1"/>
  <c r="V282" i="27"/>
  <c r="V274" i="27"/>
  <c r="W274" i="27" s="1"/>
  <c r="V28" i="31"/>
  <c r="W28" i="31" s="1"/>
  <c r="V256" i="27"/>
  <c r="V257" i="27" s="1"/>
  <c r="G27" i="38"/>
  <c r="P500" i="27"/>
  <c r="F92" i="41"/>
  <c r="G66" i="41"/>
  <c r="F15" i="39"/>
  <c r="Q13" i="32"/>
  <c r="Q233" i="31"/>
  <c r="F35" i="40"/>
  <c r="P482" i="27"/>
  <c r="R63" i="28"/>
  <c r="Q483" i="27"/>
  <c r="R483" i="27"/>
  <c r="R482" i="27" s="1"/>
  <c r="R498" i="27" s="1"/>
  <c r="S323" i="27"/>
  <c r="T318" i="27"/>
  <c r="Q222" i="27"/>
  <c r="S222" i="27"/>
  <c r="S219" i="27" s="1"/>
  <c r="R217" i="27"/>
  <c r="R227" i="27"/>
  <c r="R230" i="27" s="1"/>
  <c r="R683" i="27" s="1"/>
  <c r="T193" i="27"/>
  <c r="T212" i="27" s="1"/>
  <c r="T224" i="27" s="1"/>
  <c r="T192" i="27"/>
  <c r="T211" i="27" s="1"/>
  <c r="T223" i="27" s="1"/>
  <c r="T195" i="27"/>
  <c r="T214" i="27" s="1"/>
  <c r="T226" i="27" s="1"/>
  <c r="T194" i="27"/>
  <c r="T213" i="27" s="1"/>
  <c r="T225" i="27" s="1"/>
  <c r="R18" i="32"/>
  <c r="R228" i="28"/>
  <c r="R88" i="32" s="1"/>
  <c r="R231" i="28"/>
  <c r="R229" i="28" s="1"/>
  <c r="R252" i="28" s="1"/>
  <c r="S451" i="27"/>
  <c r="S496" i="27" s="1"/>
  <c r="S667" i="27" s="1"/>
  <c r="S493" i="27"/>
  <c r="S463" i="27"/>
  <c r="S472" i="27" s="1"/>
  <c r="S490" i="27" s="1"/>
  <c r="R500" i="27"/>
  <c r="S201" i="27"/>
  <c r="S208" i="27" s="1"/>
  <c r="R12" i="28"/>
  <c r="T210" i="27"/>
  <c r="T222" i="27" s="1"/>
  <c r="Y112" i="1"/>
  <c r="W116" i="31"/>
  <c r="W91" i="31"/>
  <c r="W92" i="31"/>
  <c r="W117" i="31"/>
  <c r="W118" i="31"/>
  <c r="W93" i="31"/>
  <c r="W94" i="31"/>
  <c r="W121" i="31"/>
  <c r="W120" i="31"/>
  <c r="W96" i="31"/>
  <c r="W122" i="31"/>
  <c r="W123" i="31"/>
  <c r="W97" i="31"/>
  <c r="W98" i="31"/>
  <c r="W124" i="31"/>
  <c r="W99" i="31"/>
  <c r="W100" i="31"/>
  <c r="Y124" i="1"/>
  <c r="AM193" i="1"/>
  <c r="AL192" i="1"/>
  <c r="R640" i="27"/>
  <c r="S640" i="27" s="1"/>
  <c r="AB277" i="27"/>
  <c r="H26" i="40" s="1"/>
  <c r="AC322" i="28"/>
  <c r="AC281" i="28"/>
  <c r="S644" i="27"/>
  <c r="T635" i="27"/>
  <c r="G65" i="43" s="1"/>
  <c r="T621" i="27"/>
  <c r="G54" i="43" s="1"/>
  <c r="P120" i="32"/>
  <c r="P134" i="32" s="1"/>
  <c r="T607" i="27"/>
  <c r="G43" i="43" s="1"/>
  <c r="T593" i="27"/>
  <c r="G32" i="43" s="1"/>
  <c r="T579" i="27"/>
  <c r="G21" i="43" s="1"/>
  <c r="O236" i="28"/>
  <c r="O235" i="28"/>
  <c r="P236" i="28"/>
  <c r="U266" i="27"/>
  <c r="O684" i="27"/>
  <c r="O217" i="28" s="1"/>
  <c r="O232" i="28" s="1"/>
  <c r="O256" i="28" s="1"/>
  <c r="O234" i="28"/>
  <c r="T262" i="27"/>
  <c r="F17" i="40" s="1"/>
  <c r="T84" i="27"/>
  <c r="G15" i="37" s="1"/>
  <c r="U199" i="27"/>
  <c r="P234" i="28"/>
  <c r="S196" i="27"/>
  <c r="S215" i="27" s="1"/>
  <c r="S209" i="27" s="1"/>
  <c r="S216" i="27" s="1"/>
  <c r="S17" i="28" s="1"/>
  <c r="T279" i="27"/>
  <c r="F27" i="40" s="1"/>
  <c r="U283" i="27"/>
  <c r="U307" i="27"/>
  <c r="T303" i="27"/>
  <c r="T321" i="27" s="1"/>
  <c r="T319" i="27" s="1"/>
  <c r="AB126" i="27"/>
  <c r="I16" i="38" s="1"/>
  <c r="AB125" i="27"/>
  <c r="I15" i="38" s="1"/>
  <c r="AB127" i="27"/>
  <c r="I17" i="38" s="1"/>
  <c r="AB124" i="27"/>
  <c r="I14" i="38" s="1"/>
  <c r="P233" i="28"/>
  <c r="P684" i="27"/>
  <c r="P217" i="28" s="1"/>
  <c r="P232" i="28" s="1"/>
  <c r="P256" i="28" s="1"/>
  <c r="T189" i="31"/>
  <c r="AC377" i="27"/>
  <c r="V73" i="31"/>
  <c r="V95" i="31" s="1"/>
  <c r="V101" i="31" s="1"/>
  <c r="P148" i="27"/>
  <c r="U77" i="1"/>
  <c r="U82" i="1"/>
  <c r="U97" i="1"/>
  <c r="U102" i="1"/>
  <c r="U73" i="1"/>
  <c r="U92" i="1"/>
  <c r="S272" i="27"/>
  <c r="U87" i="1"/>
  <c r="U66" i="1"/>
  <c r="X199" i="28"/>
  <c r="T275" i="27"/>
  <c r="T272" i="27" s="1"/>
  <c r="P670" i="27"/>
  <c r="K123" i="32"/>
  <c r="J138" i="32"/>
  <c r="V155" i="27"/>
  <c r="U193" i="31"/>
  <c r="Q81" i="31"/>
  <c r="U192" i="31"/>
  <c r="U158" i="31"/>
  <c r="U159" i="31" s="1"/>
  <c r="U95" i="31"/>
  <c r="Q240" i="31"/>
  <c r="T224" i="31"/>
  <c r="T13" i="32" s="1"/>
  <c r="U190" i="31"/>
  <c r="Q228" i="31"/>
  <c r="L44" i="31"/>
  <c r="E35" i="51" s="1"/>
  <c r="U84" i="31"/>
  <c r="U224" i="31"/>
  <c r="M41" i="31"/>
  <c r="V222" i="1"/>
  <c r="M38" i="31"/>
  <c r="M55" i="31" s="1"/>
  <c r="Q490" i="27"/>
  <c r="Q501" i="27" s="1"/>
  <c r="U184" i="27"/>
  <c r="U479" i="27"/>
  <c r="U295" i="27"/>
  <c r="M12" i="28"/>
  <c r="F9" i="44" s="1"/>
  <c r="M683" i="27"/>
  <c r="N233" i="27"/>
  <c r="Q213" i="27"/>
  <c r="Q214" i="27"/>
  <c r="Q314" i="27"/>
  <c r="F48" i="40" s="1"/>
  <c r="Q206" i="27"/>
  <c r="Q203" i="27"/>
  <c r="Q181" i="27"/>
  <c r="U249" i="27"/>
  <c r="U257" i="27"/>
  <c r="U146" i="27"/>
  <c r="U135" i="27"/>
  <c r="M236" i="28"/>
  <c r="M233" i="28"/>
  <c r="M234" i="28"/>
  <c r="M684" i="27"/>
  <c r="M217" i="28" s="1"/>
  <c r="M235" i="28"/>
  <c r="M120" i="32"/>
  <c r="Q212" i="27"/>
  <c r="Q211" i="27"/>
  <c r="Q196" i="27"/>
  <c r="U115" i="27"/>
  <c r="Q319" i="27"/>
  <c r="Q204" i="27"/>
  <c r="Q205" i="27"/>
  <c r="U230" i="28"/>
  <c r="V93" i="1"/>
  <c r="V92" i="1" s="1"/>
  <c r="V281" i="27"/>
  <c r="V305" i="27"/>
  <c r="T398" i="27"/>
  <c r="T436" i="27" s="1"/>
  <c r="T447" i="27" s="1"/>
  <c r="G55" i="41" s="1"/>
  <c r="T433" i="27"/>
  <c r="G47" i="41" s="1"/>
  <c r="T459" i="27"/>
  <c r="G68" i="41" s="1"/>
  <c r="T75" i="31"/>
  <c r="T118" i="31"/>
  <c r="T125" i="31" s="1"/>
  <c r="U74" i="31"/>
  <c r="V98" i="1"/>
  <c r="V97" i="1" s="1"/>
  <c r="V247" i="27"/>
  <c r="V67" i="1"/>
  <c r="V66" i="1" s="1"/>
  <c r="V144" i="27"/>
  <c r="V293" i="27"/>
  <c r="AB425" i="27"/>
  <c r="I38" i="41" s="1"/>
  <c r="AC419" i="27"/>
  <c r="AC420" i="27"/>
  <c r="AC421" i="27"/>
  <c r="AC125" i="27" s="1"/>
  <c r="AC424" i="27"/>
  <c r="AC127" i="27" s="1"/>
  <c r="AC422" i="27"/>
  <c r="AC423" i="27"/>
  <c r="AC126" i="27" s="1"/>
  <c r="AC301" i="27"/>
  <c r="AC289" i="27"/>
  <c r="AC260" i="27"/>
  <c r="AC269" i="27"/>
  <c r="Y68" i="27"/>
  <c r="Y93" i="28" s="1"/>
  <c r="X69" i="27"/>
  <c r="AA9" i="28"/>
  <c r="AA333" i="27"/>
  <c r="AB332" i="27"/>
  <c r="AB330" i="27" s="1"/>
  <c r="AA363" i="27"/>
  <c r="AB362" i="27"/>
  <c r="AB360" i="27" s="1"/>
  <c r="AB85" i="28" s="1"/>
  <c r="H5" i="46" s="1"/>
  <c r="AB435" i="27"/>
  <c r="AC31" i="31" s="1"/>
  <c r="AD2" i="32"/>
  <c r="AD2" i="31"/>
  <c r="AD2" i="28"/>
  <c r="AD197" i="28" s="1"/>
  <c r="AD2" i="27"/>
  <c r="AD140" i="27" s="1"/>
  <c r="AD2" i="1"/>
  <c r="AE36" i="1"/>
  <c r="AD337" i="27"/>
  <c r="AD347" i="27"/>
  <c r="AD368" i="27"/>
  <c r="AD373" i="27"/>
  <c r="AD374" i="27" s="1"/>
  <c r="AD352" i="27"/>
  <c r="AD357" i="27"/>
  <c r="AD369" i="27"/>
  <c r="Y343" i="27"/>
  <c r="Y47" i="28" s="1"/>
  <c r="Y88" i="28"/>
  <c r="Y199" i="28" s="1"/>
  <c r="Z342" i="27"/>
  <c r="Z340" i="27" s="1"/>
  <c r="AC102" i="27"/>
  <c r="Y103" i="27"/>
  <c r="X104" i="28"/>
  <c r="G24" i="46" s="1"/>
  <c r="AC113" i="28"/>
  <c r="AD113" i="28" s="1"/>
  <c r="V151" i="1"/>
  <c r="AA171" i="1"/>
  <c r="V702" i="27"/>
  <c r="V218" i="28" s="1"/>
  <c r="AB301" i="27"/>
  <c r="H42" i="40" s="1"/>
  <c r="AB289" i="27"/>
  <c r="H34" i="40" s="1"/>
  <c r="T181" i="27"/>
  <c r="T207" i="27" s="1"/>
  <c r="T164" i="31"/>
  <c r="F12" i="54" s="1"/>
  <c r="V477" i="27"/>
  <c r="V133" i="27"/>
  <c r="V71" i="1"/>
  <c r="V73" i="1" s="1"/>
  <c r="V72" i="1" s="1"/>
  <c r="V119" i="27"/>
  <c r="V255" i="27"/>
  <c r="V264" i="27"/>
  <c r="T168" i="31"/>
  <c r="T229" i="31" s="1"/>
  <c r="T241" i="31" s="1"/>
  <c r="T240" i="31" s="1"/>
  <c r="T62" i="31" s="1"/>
  <c r="T163" i="31"/>
  <c r="F11" i="54" s="1"/>
  <c r="T165" i="31"/>
  <c r="F13" i="54" s="1"/>
  <c r="S239" i="31"/>
  <c r="S161" i="31"/>
  <c r="T62" i="23"/>
  <c r="T68" i="23"/>
  <c r="V82" i="31"/>
  <c r="W231" i="1"/>
  <c r="W273" i="27"/>
  <c r="AB260" i="27"/>
  <c r="H16" i="40" s="1"/>
  <c r="AB269" i="27"/>
  <c r="H21" i="40" s="1"/>
  <c r="V103" i="1"/>
  <c r="V102" i="1" s="1"/>
  <c r="V182" i="27"/>
  <c r="V197" i="27"/>
  <c r="V156" i="31"/>
  <c r="V155" i="31"/>
  <c r="V47" i="31"/>
  <c r="V48" i="31" s="1"/>
  <c r="U49" i="31"/>
  <c r="L43" i="31"/>
  <c r="E34" i="51" s="1"/>
  <c r="V44" i="32"/>
  <c r="V79" i="32"/>
  <c r="V221" i="31"/>
  <c r="V213" i="31"/>
  <c r="V151" i="31"/>
  <c r="V173" i="31"/>
  <c r="V71" i="31"/>
  <c r="V141" i="31"/>
  <c r="AJ183" i="1"/>
  <c r="AA160" i="1"/>
  <c r="AA161" i="1"/>
  <c r="V88" i="1"/>
  <c r="V87" i="1" s="1"/>
  <c r="V83" i="1"/>
  <c r="V82" i="1" s="1"/>
  <c r="V78" i="1"/>
  <c r="V77" i="1" s="1"/>
  <c r="V6" i="31"/>
  <c r="V1" i="32"/>
  <c r="V1" i="31"/>
  <c r="V6" i="32"/>
  <c r="AK190" i="1"/>
  <c r="V77" i="27"/>
  <c r="V64" i="27"/>
  <c r="V1" i="28"/>
  <c r="V1" i="27"/>
  <c r="V169" i="27"/>
  <c r="V509" i="27"/>
  <c r="V237" i="27"/>
  <c r="V328" i="27"/>
  <c r="V107" i="27"/>
  <c r="V387" i="27"/>
  <c r="V554" i="27"/>
  <c r="V658" i="27"/>
  <c r="V348" i="28"/>
  <c r="V307" i="28"/>
  <c r="V267" i="28"/>
  <c r="V207" i="28"/>
  <c r="V119" i="28"/>
  <c r="V81" i="28"/>
  <c r="V154" i="28"/>
  <c r="V43" i="28"/>
  <c r="V4" i="28"/>
  <c r="T57" i="23"/>
  <c r="T80" i="23"/>
  <c r="W700" i="27"/>
  <c r="W701" i="27" s="1"/>
  <c r="W148" i="1"/>
  <c r="Y115" i="1"/>
  <c r="W114" i="32"/>
  <c r="V34" i="1"/>
  <c r="AA162" i="1"/>
  <c r="AA163" i="1"/>
  <c r="W145" i="1"/>
  <c r="W144" i="1"/>
  <c r="Z118" i="1"/>
  <c r="Z121" i="1"/>
  <c r="AA120" i="1"/>
  <c r="AB119" i="1"/>
  <c r="AC119" i="1" s="1"/>
  <c r="AA122" i="1"/>
  <c r="Z123" i="1"/>
  <c r="Z124" i="1" s="1"/>
  <c r="AA113" i="1"/>
  <c r="Z114" i="1"/>
  <c r="W172" i="1"/>
  <c r="V146" i="1"/>
  <c r="X43" i="1"/>
  <c r="V164" i="1"/>
  <c r="W136" i="1"/>
  <c r="W159" i="1"/>
  <c r="V208" i="1"/>
  <c r="V60" i="1"/>
  <c r="V130" i="1"/>
  <c r="V6" i="1"/>
  <c r="X44" i="1"/>
  <c r="X46" i="1"/>
  <c r="V1" i="1"/>
  <c r="X38" i="1"/>
  <c r="X55" i="1" s="1"/>
  <c r="Y37" i="1"/>
  <c r="Y46" i="1" s="1"/>
  <c r="X45" i="1"/>
  <c r="Y109" i="1"/>
  <c r="AA110" i="1"/>
  <c r="Z111" i="1"/>
  <c r="H6" i="37" l="1"/>
  <c r="X703" i="27"/>
  <c r="AE48" i="1"/>
  <c r="AE51" i="1"/>
  <c r="AE49" i="1"/>
  <c r="AE50" i="1"/>
  <c r="AD102" i="27"/>
  <c r="V143" i="27"/>
  <c r="AJ186" i="1"/>
  <c r="K44" i="35"/>
  <c r="W157" i="31"/>
  <c r="W83" i="31"/>
  <c r="W84" i="31" s="1"/>
  <c r="W306" i="27"/>
  <c r="W134" i="27"/>
  <c r="W135" i="27" s="1"/>
  <c r="W294" i="27"/>
  <c r="V118" i="27"/>
  <c r="W478" i="27"/>
  <c r="W479" i="27" s="1"/>
  <c r="W145" i="27"/>
  <c r="W146" i="27" s="1"/>
  <c r="W138" i="27" s="1"/>
  <c r="W139" i="27" s="1"/>
  <c r="W248" i="27"/>
  <c r="W249" i="27" s="1"/>
  <c r="W246" i="27" s="1"/>
  <c r="W198" i="27"/>
  <c r="W265" i="27"/>
  <c r="W120" i="27"/>
  <c r="W121" i="27" s="1"/>
  <c r="W115" i="27" s="1"/>
  <c r="W183" i="27"/>
  <c r="W184" i="27" s="1"/>
  <c r="W175" i="27" s="1"/>
  <c r="W176" i="27" s="1"/>
  <c r="X154" i="27"/>
  <c r="W256" i="27"/>
  <c r="W257" i="27" s="1"/>
  <c r="W282" i="27"/>
  <c r="F49" i="40"/>
  <c r="V29" i="31"/>
  <c r="V191" i="31" s="1"/>
  <c r="G4" i="57"/>
  <c r="P63" i="31"/>
  <c r="F54" i="51" s="1"/>
  <c r="F22" i="57"/>
  <c r="Y101" i="1"/>
  <c r="Y96" i="1"/>
  <c r="Y91" i="1"/>
  <c r="Y86" i="1"/>
  <c r="Y81" i="1"/>
  <c r="Y76" i="1"/>
  <c r="Y65" i="1"/>
  <c r="X28" i="31"/>
  <c r="S166" i="31"/>
  <c r="AD353" i="27"/>
  <c r="AD350" i="27"/>
  <c r="X101" i="1"/>
  <c r="X96" i="1"/>
  <c r="X91" i="1"/>
  <c r="X86" i="1"/>
  <c r="X81" i="1"/>
  <c r="X76" i="1"/>
  <c r="X65" i="1"/>
  <c r="X274" i="27"/>
  <c r="AD358" i="27"/>
  <c r="AD355" i="27"/>
  <c r="AD348" i="27"/>
  <c r="AD345" i="27"/>
  <c r="Q224" i="27"/>
  <c r="U118" i="27"/>
  <c r="U116" i="27" s="1"/>
  <c r="M134" i="32"/>
  <c r="F6" i="61"/>
  <c r="Q148" i="27"/>
  <c r="S271" i="27"/>
  <c r="F23" i="40"/>
  <c r="F26" i="39"/>
  <c r="Q51" i="32"/>
  <c r="G7" i="58"/>
  <c r="R228" i="31"/>
  <c r="R242" i="31" s="1"/>
  <c r="R63" i="31" s="1"/>
  <c r="G7" i="34"/>
  <c r="G15" i="34"/>
  <c r="G23" i="34"/>
  <c r="F43" i="40"/>
  <c r="Q667" i="27"/>
  <c r="I48" i="41"/>
  <c r="W462" i="27"/>
  <c r="W409" i="27"/>
  <c r="W302" i="27"/>
  <c r="W290" i="27"/>
  <c r="W278" i="27"/>
  <c r="W270" i="27"/>
  <c r="W261" i="27"/>
  <c r="W252" i="27"/>
  <c r="W244" i="27"/>
  <c r="W151" i="27"/>
  <c r="W142" i="27"/>
  <c r="W131" i="27"/>
  <c r="W117" i="27"/>
  <c r="AD338" i="27"/>
  <c r="AD335" i="27"/>
  <c r="U13" i="32"/>
  <c r="G20" i="57"/>
  <c r="AC378" i="27"/>
  <c r="AC60" i="28" s="1"/>
  <c r="AC376" i="27"/>
  <c r="P498" i="27"/>
  <c r="F90" i="41" s="1"/>
  <c r="F85" i="41"/>
  <c r="G9" i="57"/>
  <c r="G12" i="41"/>
  <c r="G432" i="23" s="1"/>
  <c r="F16" i="54"/>
  <c r="G11" i="34"/>
  <c r="G19" i="34"/>
  <c r="G27" i="34"/>
  <c r="G21" i="57"/>
  <c r="W34" i="31"/>
  <c r="W35" i="31" s="1"/>
  <c r="P59" i="28"/>
  <c r="P499" i="27"/>
  <c r="F91" i="41" s="1"/>
  <c r="S63" i="28"/>
  <c r="S219" i="28"/>
  <c r="S18" i="32" s="1"/>
  <c r="S228" i="27"/>
  <c r="S367" i="27" s="1"/>
  <c r="S365" i="27" s="1"/>
  <c r="S102" i="28" s="1"/>
  <c r="R121" i="32"/>
  <c r="Q225" i="27"/>
  <c r="S483" i="27"/>
  <c r="S482" i="27" s="1"/>
  <c r="S498" i="27" s="1"/>
  <c r="R499" i="27"/>
  <c r="T323" i="27"/>
  <c r="Q226" i="27"/>
  <c r="S501" i="27"/>
  <c r="S500" i="27" s="1"/>
  <c r="S217" i="27"/>
  <c r="Q223" i="27"/>
  <c r="S227" i="27"/>
  <c r="S230" i="27" s="1"/>
  <c r="S683" i="27" s="1"/>
  <c r="V178" i="27"/>
  <c r="V204" i="27" s="1"/>
  <c r="V177" i="27"/>
  <c r="V203" i="27" s="1"/>
  <c r="V180" i="27"/>
  <c r="V206" i="27" s="1"/>
  <c r="V179" i="27"/>
  <c r="V205" i="27" s="1"/>
  <c r="R670" i="27"/>
  <c r="T201" i="27"/>
  <c r="T208" i="27" s="1"/>
  <c r="T463" i="27"/>
  <c r="T472" i="27" s="1"/>
  <c r="G77" i="41" s="1"/>
  <c r="T451" i="27"/>
  <c r="G59" i="41" s="1"/>
  <c r="T493" i="27"/>
  <c r="T219" i="28"/>
  <c r="T231" i="28" s="1"/>
  <c r="AB494" i="27"/>
  <c r="I86" i="41" s="1"/>
  <c r="V141" i="27"/>
  <c r="Q482" i="27"/>
  <c r="Q500" i="27"/>
  <c r="V116" i="27"/>
  <c r="S12" i="28"/>
  <c r="T228" i="27"/>
  <c r="V202" i="27"/>
  <c r="Y116" i="31"/>
  <c r="Y91" i="31"/>
  <c r="Y92" i="31"/>
  <c r="Y117" i="31"/>
  <c r="Y118" i="31"/>
  <c r="Y93" i="31"/>
  <c r="Y119" i="31"/>
  <c r="Y94" i="31"/>
  <c r="Y95" i="31"/>
  <c r="Y121" i="31"/>
  <c r="Y122" i="31"/>
  <c r="Y97" i="31"/>
  <c r="Y123" i="31"/>
  <c r="Y98" i="31"/>
  <c r="Y124" i="31"/>
  <c r="Y99" i="31"/>
  <c r="Y100" i="31"/>
  <c r="AN193" i="1"/>
  <c r="L51" i="35" s="1"/>
  <c r="AM192" i="1"/>
  <c r="X116" i="31"/>
  <c r="H44" i="52" s="1"/>
  <c r="X91" i="31"/>
  <c r="H19" i="52" s="1"/>
  <c r="X117" i="31"/>
  <c r="H45" i="52" s="1"/>
  <c r="X92" i="31"/>
  <c r="H20" i="52" s="1"/>
  <c r="X118" i="31"/>
  <c r="H46" i="52" s="1"/>
  <c r="X93" i="31"/>
  <c r="H21" i="52" s="1"/>
  <c r="X94" i="31"/>
  <c r="H22" i="52" s="1"/>
  <c r="X121" i="31"/>
  <c r="H49" i="52" s="1"/>
  <c r="X120" i="31"/>
  <c r="H48" i="52" s="1"/>
  <c r="X96" i="31"/>
  <c r="H24" i="52" s="1"/>
  <c r="X122" i="31"/>
  <c r="H50" i="52" s="1"/>
  <c r="X97" i="31"/>
  <c r="H25" i="52" s="1"/>
  <c r="X123" i="31"/>
  <c r="H51" i="52" s="1"/>
  <c r="X124" i="31"/>
  <c r="H52" i="52" s="1"/>
  <c r="X98" i="31"/>
  <c r="H26" i="52" s="1"/>
  <c r="X99" i="31"/>
  <c r="H27" i="52" s="1"/>
  <c r="X100" i="31"/>
  <c r="H28" i="52" s="1"/>
  <c r="P119" i="32"/>
  <c r="AC277" i="27"/>
  <c r="AC124" i="27"/>
  <c r="AC128" i="27" s="1"/>
  <c r="AD281" i="28"/>
  <c r="AD322" i="28"/>
  <c r="O17" i="32"/>
  <c r="T644" i="27"/>
  <c r="G72" i="43" s="1"/>
  <c r="T640" i="27"/>
  <c r="T626" i="27"/>
  <c r="T598" i="27"/>
  <c r="T584" i="27"/>
  <c r="T570" i="27"/>
  <c r="R682" i="27"/>
  <c r="V266" i="27"/>
  <c r="V263" i="27" s="1"/>
  <c r="V262" i="27" s="1"/>
  <c r="V283" i="27"/>
  <c r="V280" i="27" s="1"/>
  <c r="V279" i="27" s="1"/>
  <c r="V199" i="27"/>
  <c r="V190" i="27" s="1"/>
  <c r="V191" i="27" s="1"/>
  <c r="V307" i="27"/>
  <c r="V304" i="27" s="1"/>
  <c r="V320" i="27" s="1"/>
  <c r="V322" i="27" s="1"/>
  <c r="V18" i="28" s="1"/>
  <c r="T92" i="27"/>
  <c r="T196" i="27"/>
  <c r="T215" i="27" s="1"/>
  <c r="T209" i="27" s="1"/>
  <c r="T216" i="27" s="1"/>
  <c r="T17" i="28" s="1"/>
  <c r="AB128" i="27"/>
  <c r="P17" i="32"/>
  <c r="V431" i="27"/>
  <c r="V432" i="27"/>
  <c r="U431" i="27"/>
  <c r="U432" i="27"/>
  <c r="V429" i="27"/>
  <c r="V430" i="27"/>
  <c r="U429" i="27"/>
  <c r="U430" i="27"/>
  <c r="V428" i="27"/>
  <c r="V427" i="27"/>
  <c r="U428" i="27"/>
  <c r="U427" i="27"/>
  <c r="W29" i="31"/>
  <c r="V397" i="27"/>
  <c r="W222" i="1"/>
  <c r="AD377" i="27"/>
  <c r="U275" i="27"/>
  <c r="U272" i="27" s="1"/>
  <c r="T271" i="27"/>
  <c r="U72" i="1"/>
  <c r="Q670" i="27"/>
  <c r="W155" i="27"/>
  <c r="U215" i="31"/>
  <c r="U233" i="31"/>
  <c r="M119" i="32"/>
  <c r="L123" i="32"/>
  <c r="E9" i="61" s="1"/>
  <c r="K138" i="32"/>
  <c r="U26" i="31"/>
  <c r="U165" i="31"/>
  <c r="T233" i="31"/>
  <c r="T51" i="32" s="1"/>
  <c r="Q62" i="31"/>
  <c r="G53" i="51" s="1"/>
  <c r="U154" i="31"/>
  <c r="U50" i="31" s="1"/>
  <c r="Q242" i="31"/>
  <c r="U101" i="31"/>
  <c r="M42" i="31"/>
  <c r="M44" i="31" s="1"/>
  <c r="N38" i="31"/>
  <c r="N55" i="31" s="1"/>
  <c r="R59" i="28"/>
  <c r="R37" i="31" s="1"/>
  <c r="U395" i="27"/>
  <c r="U453" i="27"/>
  <c r="U394" i="27"/>
  <c r="U456" i="27"/>
  <c r="G433" i="23"/>
  <c r="R120" i="32"/>
  <c r="U454" i="27"/>
  <c r="U457" i="27"/>
  <c r="U458" i="27"/>
  <c r="U392" i="27"/>
  <c r="U393" i="27"/>
  <c r="U455" i="27"/>
  <c r="U396" i="27"/>
  <c r="U397" i="27"/>
  <c r="Q219" i="28"/>
  <c r="Q219" i="27"/>
  <c r="Q228" i="27"/>
  <c r="Q232" i="27" s="1"/>
  <c r="Q215" i="27"/>
  <c r="Q207" i="27"/>
  <c r="N684" i="27"/>
  <c r="N217" i="28" s="1"/>
  <c r="F10" i="49" s="1"/>
  <c r="N235" i="28"/>
  <c r="F28" i="49" s="1"/>
  <c r="N234" i="28"/>
  <c r="F27" i="49" s="1"/>
  <c r="N233" i="28"/>
  <c r="F26" i="49" s="1"/>
  <c r="N236" i="28"/>
  <c r="F29" i="49" s="1"/>
  <c r="M17" i="32"/>
  <c r="M232" i="28"/>
  <c r="U304" i="27"/>
  <c r="U138" i="27"/>
  <c r="U246" i="27"/>
  <c r="U280" i="27"/>
  <c r="U263" i="27"/>
  <c r="U190" i="27"/>
  <c r="U292" i="27"/>
  <c r="U175" i="27"/>
  <c r="V230" i="28"/>
  <c r="W702" i="27"/>
  <c r="W218" i="28" s="1"/>
  <c r="V392" i="27"/>
  <c r="V84" i="27" s="1"/>
  <c r="V456" i="27"/>
  <c r="V395" i="27"/>
  <c r="V607" i="27" s="1"/>
  <c r="V291" i="27"/>
  <c r="V316" i="27" s="1"/>
  <c r="V314" i="27" s="1"/>
  <c r="W295" i="27"/>
  <c r="W292" i="27" s="1"/>
  <c r="W315" i="27" s="1"/>
  <c r="W317" i="27" s="1"/>
  <c r="W19" i="28" s="1"/>
  <c r="W93" i="1"/>
  <c r="W92" i="1" s="1"/>
  <c r="W281" i="27"/>
  <c r="V393" i="27"/>
  <c r="V454" i="27"/>
  <c r="V579" i="27" s="1"/>
  <c r="V453" i="27"/>
  <c r="W264" i="27"/>
  <c r="V394" i="27"/>
  <c r="V621" i="27" s="1"/>
  <c r="V457" i="27"/>
  <c r="V565" i="27" s="1"/>
  <c r="V458" i="27"/>
  <c r="V455" i="27"/>
  <c r="V593" i="27" s="1"/>
  <c r="V396" i="27"/>
  <c r="W71" i="1"/>
  <c r="W73" i="1" s="1"/>
  <c r="W72" i="1" s="1"/>
  <c r="V245" i="27"/>
  <c r="W98" i="1"/>
  <c r="W97" i="1" s="1"/>
  <c r="W255" i="27"/>
  <c r="W305" i="27"/>
  <c r="U75" i="31"/>
  <c r="U119" i="31"/>
  <c r="W103" i="1"/>
  <c r="W102" i="1" s="1"/>
  <c r="W33" i="31"/>
  <c r="V74" i="31"/>
  <c r="W119" i="27"/>
  <c r="Z103" i="27"/>
  <c r="Y104" i="28"/>
  <c r="Z343" i="27"/>
  <c r="Z47" i="28" s="1"/>
  <c r="Z88" i="28"/>
  <c r="Z199" i="28" s="1"/>
  <c r="AA342" i="27"/>
  <c r="AA340" i="27" s="1"/>
  <c r="AE2" i="31"/>
  <c r="AE2" i="32"/>
  <c r="AE2" i="27"/>
  <c r="AE140" i="27" s="1"/>
  <c r="AE2" i="28"/>
  <c r="AE197" i="28" s="1"/>
  <c r="AE2" i="1"/>
  <c r="AF36" i="1"/>
  <c r="AE347" i="27"/>
  <c r="AE337" i="27"/>
  <c r="AE373" i="27"/>
  <c r="AE374" i="27" s="1"/>
  <c r="AE357" i="27"/>
  <c r="AE352" i="27"/>
  <c r="AE368" i="27"/>
  <c r="AE369" i="27" s="1"/>
  <c r="AB9" i="28"/>
  <c r="I6" i="44" s="1"/>
  <c r="AB363" i="27"/>
  <c r="AC362" i="27"/>
  <c r="AC360" i="27" s="1"/>
  <c r="AC85" i="28" s="1"/>
  <c r="Z68" i="27"/>
  <c r="Z93" i="28" s="1"/>
  <c r="Y69" i="27"/>
  <c r="Y703" i="27" s="1"/>
  <c r="Y700" i="27" s="1"/>
  <c r="Y701" i="27" s="1"/>
  <c r="AC425" i="27"/>
  <c r="AD119" i="1"/>
  <c r="AC120" i="1"/>
  <c r="AE113" i="28"/>
  <c r="AD419" i="27"/>
  <c r="AD421" i="27"/>
  <c r="AD125" i="27" s="1"/>
  <c r="AD424" i="27"/>
  <c r="AD127" i="27" s="1"/>
  <c r="AD423" i="27"/>
  <c r="AD126" i="27" s="1"/>
  <c r="AD422" i="27"/>
  <c r="AD420" i="27"/>
  <c r="AD301" i="27"/>
  <c r="AD269" i="27"/>
  <c r="AD289" i="27"/>
  <c r="AD260" i="27"/>
  <c r="AB333" i="27"/>
  <c r="AC332" i="27"/>
  <c r="AC330" i="27" s="1"/>
  <c r="AC435" i="27"/>
  <c r="W151" i="1"/>
  <c r="AB171" i="1"/>
  <c r="I34" i="35" s="1"/>
  <c r="T239" i="31"/>
  <c r="G19" i="57" s="1"/>
  <c r="W477" i="27"/>
  <c r="W133" i="27"/>
  <c r="T161" i="31"/>
  <c r="V159" i="31"/>
  <c r="V164" i="31" s="1"/>
  <c r="W158" i="31"/>
  <c r="W154" i="31" s="1"/>
  <c r="W50" i="31" s="1"/>
  <c r="U162" i="31"/>
  <c r="U163" i="31"/>
  <c r="U164" i="31"/>
  <c r="U168" i="31"/>
  <c r="U62" i="23"/>
  <c r="U68" i="23"/>
  <c r="W82" i="31"/>
  <c r="X83" i="31" s="1"/>
  <c r="W293" i="27"/>
  <c r="X294" i="27" s="1"/>
  <c r="X231" i="1"/>
  <c r="W67" i="1"/>
  <c r="W66" i="1" s="1"/>
  <c r="W144" i="27"/>
  <c r="W247" i="27"/>
  <c r="W182" i="27"/>
  <c r="W197" i="27"/>
  <c r="W156" i="31"/>
  <c r="Y305" i="27"/>
  <c r="Y153" i="27"/>
  <c r="X33" i="31"/>
  <c r="X27" i="31"/>
  <c r="X281" i="27"/>
  <c r="X273" i="27"/>
  <c r="V49" i="31"/>
  <c r="W155" i="31"/>
  <c r="W47" i="31"/>
  <c r="W48" i="31" s="1"/>
  <c r="W44" i="32"/>
  <c r="W79" i="32"/>
  <c r="W221" i="31"/>
  <c r="W213" i="31"/>
  <c r="W151" i="31"/>
  <c r="W173" i="31"/>
  <c r="W71" i="31"/>
  <c r="W141" i="31"/>
  <c r="AK183" i="1"/>
  <c r="AB161" i="1"/>
  <c r="I25" i="35" s="1"/>
  <c r="AB160" i="1"/>
  <c r="I24" i="35" s="1"/>
  <c r="W88" i="1"/>
  <c r="W87" i="1" s="1"/>
  <c r="W78" i="1"/>
  <c r="W77" i="1" s="1"/>
  <c r="W83" i="1"/>
  <c r="W82" i="1" s="1"/>
  <c r="W6" i="31"/>
  <c r="W1" i="32"/>
  <c r="W1" i="31"/>
  <c r="W6" i="32"/>
  <c r="AL190" i="1"/>
  <c r="W77" i="27"/>
  <c r="W64" i="27"/>
  <c r="Z37" i="1"/>
  <c r="Z45" i="1" s="1"/>
  <c r="W164" i="1"/>
  <c r="W1" i="28"/>
  <c r="W1" i="27"/>
  <c r="W328" i="27"/>
  <c r="W169" i="27"/>
  <c r="W237" i="27"/>
  <c r="W107" i="27"/>
  <c r="W387" i="27"/>
  <c r="W509" i="27"/>
  <c r="W554" i="27"/>
  <c r="W658" i="27"/>
  <c r="W119" i="28"/>
  <c r="W267" i="28"/>
  <c r="W207" i="28"/>
  <c r="W348" i="28"/>
  <c r="W307" i="28"/>
  <c r="W154" i="28"/>
  <c r="W81" i="28"/>
  <c r="W43" i="28"/>
  <c r="W4" i="28"/>
  <c r="U57" i="23"/>
  <c r="U80" i="23"/>
  <c r="Y148" i="1"/>
  <c r="X700" i="27"/>
  <c r="X148" i="1"/>
  <c r="H14" i="35" s="1"/>
  <c r="Z115" i="1"/>
  <c r="W34" i="1"/>
  <c r="X114" i="32"/>
  <c r="AB163" i="1"/>
  <c r="I27" i="35" s="1"/>
  <c r="AB162" i="1"/>
  <c r="I26" i="35" s="1"/>
  <c r="Y145" i="1"/>
  <c r="Y144" i="1"/>
  <c r="X144" i="1"/>
  <c r="X145" i="1"/>
  <c r="AA118" i="1"/>
  <c r="AA121" i="1"/>
  <c r="AB120" i="1"/>
  <c r="AB122" i="1"/>
  <c r="AA123" i="1"/>
  <c r="AA124" i="1" s="1"/>
  <c r="AB113" i="1"/>
  <c r="AC113" i="1" s="1"/>
  <c r="AA114" i="1"/>
  <c r="Z109" i="1"/>
  <c r="Z112" i="1"/>
  <c r="Y38" i="1"/>
  <c r="Y55" i="1" s="1"/>
  <c r="W60" i="1"/>
  <c r="W208" i="1"/>
  <c r="W1" i="1"/>
  <c r="W130" i="1"/>
  <c r="Y172" i="1"/>
  <c r="X172" i="1"/>
  <c r="H35" i="35" s="1"/>
  <c r="Y44" i="1"/>
  <c r="Y43" i="1"/>
  <c r="Y45" i="1"/>
  <c r="W146" i="1"/>
  <c r="X136" i="1"/>
  <c r="X159" i="1"/>
  <c r="H23" i="35" s="1"/>
  <c r="Y136" i="1"/>
  <c r="Y159" i="1"/>
  <c r="AB110" i="1"/>
  <c r="AA111" i="1"/>
  <c r="AA37" i="1"/>
  <c r="Z43" i="1"/>
  <c r="Z38" i="1"/>
  <c r="Z55" i="1" s="1"/>
  <c r="Z44" i="1"/>
  <c r="Z46" i="1" l="1"/>
  <c r="AF51" i="1"/>
  <c r="AF49" i="1"/>
  <c r="AF50" i="1"/>
  <c r="AF48" i="1"/>
  <c r="X157" i="31"/>
  <c r="X306" i="27"/>
  <c r="X134" i="27"/>
  <c r="X135" i="27" s="1"/>
  <c r="W118" i="27"/>
  <c r="W116" i="27" s="1"/>
  <c r="W143" i="27"/>
  <c r="W141" i="27" s="1"/>
  <c r="X248" i="27"/>
  <c r="X249" i="27" s="1"/>
  <c r="X246" i="27" s="1"/>
  <c r="G8" i="40" s="1"/>
  <c r="X478" i="27"/>
  <c r="G12" i="49"/>
  <c r="V192" i="31"/>
  <c r="X198" i="27"/>
  <c r="V195" i="31"/>
  <c r="V194" i="31"/>
  <c r="V25" i="31"/>
  <c r="W73" i="31" s="1"/>
  <c r="W95" i="31" s="1"/>
  <c r="W101" i="31" s="1"/>
  <c r="Y274" i="27"/>
  <c r="X145" i="27"/>
  <c r="X146" i="27" s="1"/>
  <c r="X138" i="27" s="1"/>
  <c r="X139" i="27" s="1"/>
  <c r="X120" i="27"/>
  <c r="X121" i="27" s="1"/>
  <c r="X282" i="27"/>
  <c r="Y282" i="27" s="1"/>
  <c r="V190" i="31"/>
  <c r="V193" i="31"/>
  <c r="X265" i="27"/>
  <c r="Y28" i="31"/>
  <c r="X183" i="27"/>
  <c r="X184" i="27" s="1"/>
  <c r="X175" i="27" s="1"/>
  <c r="X176" i="27" s="1"/>
  <c r="X256" i="27"/>
  <c r="X257" i="27" s="1"/>
  <c r="P522" i="27"/>
  <c r="F5" i="61"/>
  <c r="Q227" i="27"/>
  <c r="Y462" i="27"/>
  <c r="Y409" i="27"/>
  <c r="Y302" i="27"/>
  <c r="Y290" i="27"/>
  <c r="Y278" i="27"/>
  <c r="Y270" i="27"/>
  <c r="Y261" i="27"/>
  <c r="Y252" i="27"/>
  <c r="Y244" i="27"/>
  <c r="Y151" i="27"/>
  <c r="Y142" i="27"/>
  <c r="Y131" i="27"/>
  <c r="Y117" i="27"/>
  <c r="X462" i="27"/>
  <c r="X409" i="27"/>
  <c r="X302" i="27"/>
  <c r="X290" i="27"/>
  <c r="X278" i="27"/>
  <c r="X270" i="27"/>
  <c r="X261" i="27"/>
  <c r="X252" i="27"/>
  <c r="X244" i="27"/>
  <c r="X151" i="27"/>
  <c r="X142" i="27"/>
  <c r="X131" i="27"/>
  <c r="X117" i="27"/>
  <c r="T166" i="31"/>
  <c r="F14" i="54" s="1"/>
  <c r="AD31" i="31"/>
  <c r="AE358" i="27"/>
  <c r="AE355" i="27"/>
  <c r="AE338" i="27"/>
  <c r="AE335" i="27"/>
  <c r="X34" i="31"/>
  <c r="Y34" i="31" s="1"/>
  <c r="H26" i="51"/>
  <c r="U593" i="27"/>
  <c r="U598" i="27" s="1"/>
  <c r="U84" i="27"/>
  <c r="U92" i="27" s="1"/>
  <c r="U565" i="27"/>
  <c r="U570" i="27" s="1"/>
  <c r="U51" i="32"/>
  <c r="AD378" i="27"/>
  <c r="AD60" i="28" s="1"/>
  <c r="AD376" i="27"/>
  <c r="Q498" i="27"/>
  <c r="P37" i="31"/>
  <c r="F28" i="51" s="1"/>
  <c r="F16" i="45"/>
  <c r="H22" i="51"/>
  <c r="G13" i="57"/>
  <c r="F22" i="40"/>
  <c r="S228" i="31"/>
  <c r="S242" i="31" s="1"/>
  <c r="S63" i="31" s="1"/>
  <c r="Z101" i="1"/>
  <c r="Z96" i="1"/>
  <c r="Z91" i="1"/>
  <c r="Z86" i="1"/>
  <c r="Z81" i="1"/>
  <c r="Z76" i="1"/>
  <c r="Z65" i="1"/>
  <c r="X701" i="27"/>
  <c r="X702" i="27" s="1"/>
  <c r="X218" i="28" s="1"/>
  <c r="X230" i="28" s="1"/>
  <c r="AE353" i="27"/>
  <c r="AE350" i="27"/>
  <c r="AE348" i="27"/>
  <c r="AE345" i="27"/>
  <c r="U579" i="27"/>
  <c r="U584" i="27" s="1"/>
  <c r="U621" i="27"/>
  <c r="U626" i="27" s="1"/>
  <c r="U607" i="27"/>
  <c r="V216" i="31"/>
  <c r="V224" i="31" s="1"/>
  <c r="U271" i="27"/>
  <c r="W191" i="31"/>
  <c r="W25" i="31"/>
  <c r="X73" i="31" s="1"/>
  <c r="X95" i="31" s="1"/>
  <c r="X101" i="31" s="1"/>
  <c r="H10" i="35"/>
  <c r="F9" i="54"/>
  <c r="G29" i="40"/>
  <c r="G24" i="40"/>
  <c r="G7" i="59"/>
  <c r="H11" i="35"/>
  <c r="H5" i="35"/>
  <c r="S228" i="28"/>
  <c r="S88" i="32" s="1"/>
  <c r="S231" i="28"/>
  <c r="S229" i="28" s="1"/>
  <c r="S252" i="28" s="1"/>
  <c r="S232" i="27"/>
  <c r="S48" i="28" s="1"/>
  <c r="T18" i="32"/>
  <c r="Q59" i="28"/>
  <c r="S670" i="27"/>
  <c r="T490" i="27"/>
  <c r="T501" i="27" s="1"/>
  <c r="G92" i="41" s="1"/>
  <c r="T483" i="27"/>
  <c r="T367" i="27"/>
  <c r="T365" i="27" s="1"/>
  <c r="T102" i="28" s="1"/>
  <c r="F22" i="46" s="1"/>
  <c r="T232" i="27"/>
  <c r="T48" i="28" s="1"/>
  <c r="T228" i="28"/>
  <c r="T88" i="32" s="1"/>
  <c r="S499" i="27"/>
  <c r="Q499" i="27"/>
  <c r="V318" i="27"/>
  <c r="T217" i="27"/>
  <c r="T227" i="27"/>
  <c r="T230" i="27" s="1"/>
  <c r="W178" i="27"/>
  <c r="W204" i="27" s="1"/>
  <c r="W177" i="27"/>
  <c r="W203" i="27" s="1"/>
  <c r="V193" i="27"/>
  <c r="V212" i="27" s="1"/>
  <c r="V224" i="27" s="1"/>
  <c r="V192" i="27"/>
  <c r="V211" i="27" s="1"/>
  <c r="V223" i="27" s="1"/>
  <c r="W180" i="27"/>
  <c r="W206" i="27" s="1"/>
  <c r="W179" i="27"/>
  <c r="W205" i="27" s="1"/>
  <c r="V195" i="27"/>
  <c r="V214" i="27" s="1"/>
  <c r="V226" i="27" s="1"/>
  <c r="V194" i="27"/>
  <c r="V213" i="27" s="1"/>
  <c r="V225" i="27" s="1"/>
  <c r="AC494" i="27"/>
  <c r="T219" i="27"/>
  <c r="F23" i="39" s="1"/>
  <c r="T496" i="27"/>
  <c r="T12" i="28"/>
  <c r="V210" i="27"/>
  <c r="V222" i="27" s="1"/>
  <c r="AC121" i="1"/>
  <c r="AC118" i="1"/>
  <c r="AO193" i="1"/>
  <c r="AN192" i="1"/>
  <c r="L50" i="35" s="1"/>
  <c r="Z116" i="31"/>
  <c r="Z91" i="31"/>
  <c r="Z92" i="31"/>
  <c r="Z117" i="31"/>
  <c r="Z93" i="31"/>
  <c r="Z118" i="31"/>
  <c r="Z119" i="31"/>
  <c r="Z94" i="31"/>
  <c r="Z95" i="31"/>
  <c r="Z121" i="31"/>
  <c r="Z122" i="31"/>
  <c r="Z97" i="31"/>
  <c r="Z123" i="31"/>
  <c r="Z98" i="31"/>
  <c r="Z124" i="31"/>
  <c r="Z99" i="31"/>
  <c r="Z100" i="31"/>
  <c r="AD277" i="27"/>
  <c r="AD124" i="27"/>
  <c r="AD128" i="27" s="1"/>
  <c r="AE322" i="28"/>
  <c r="AE281" i="28"/>
  <c r="V635" i="27"/>
  <c r="V644" i="27" s="1"/>
  <c r="U635" i="27"/>
  <c r="W266" i="27"/>
  <c r="W263" i="27" s="1"/>
  <c r="W262" i="27" s="1"/>
  <c r="W190" i="31"/>
  <c r="W199" i="27"/>
  <c r="W190" i="27" s="1"/>
  <c r="W191" i="27" s="1"/>
  <c r="S682" i="27"/>
  <c r="W283" i="27"/>
  <c r="W280" i="27" s="1"/>
  <c r="W279" i="27" s="1"/>
  <c r="W307" i="27"/>
  <c r="W304" i="27" s="1"/>
  <c r="W320" i="27" s="1"/>
  <c r="W322" i="27" s="1"/>
  <c r="W18" i="28" s="1"/>
  <c r="X222" i="1"/>
  <c r="V303" i="27"/>
  <c r="V321" i="27" s="1"/>
  <c r="V319" i="27" s="1"/>
  <c r="S233" i="27"/>
  <c r="S684" i="27" s="1"/>
  <c r="S217" i="28" s="1"/>
  <c r="S232" i="28" s="1"/>
  <c r="S256" i="28" s="1"/>
  <c r="V92" i="27"/>
  <c r="AE102" i="27"/>
  <c r="W192" i="31"/>
  <c r="X29" i="31"/>
  <c r="W193" i="31"/>
  <c r="W195" i="31"/>
  <c r="W194" i="31"/>
  <c r="W431" i="27"/>
  <c r="W432" i="27"/>
  <c r="W429" i="27"/>
  <c r="W430" i="27"/>
  <c r="W428" i="27"/>
  <c r="W427" i="27"/>
  <c r="X93" i="1"/>
  <c r="X92" i="1" s="1"/>
  <c r="G20" i="34" s="1" a="1"/>
  <c r="G20" i="34" s="1"/>
  <c r="AE377" i="27"/>
  <c r="G434" i="23"/>
  <c r="X153" i="27"/>
  <c r="Y273" i="27"/>
  <c r="Y33" i="31"/>
  <c r="AK186" i="1"/>
  <c r="Y27" i="31"/>
  <c r="V275" i="27"/>
  <c r="V272" i="27" s="1"/>
  <c r="V271" i="27" s="1"/>
  <c r="R119" i="32"/>
  <c r="R134" i="32"/>
  <c r="M43" i="31"/>
  <c r="N42" i="31"/>
  <c r="N44" i="31" s="1"/>
  <c r="X155" i="27"/>
  <c r="L138" i="32"/>
  <c r="M123" i="32"/>
  <c r="O38" i="31"/>
  <c r="O55" i="31" s="1"/>
  <c r="U229" i="31"/>
  <c r="Q63" i="31"/>
  <c r="U433" i="27"/>
  <c r="U398" i="27"/>
  <c r="U459" i="27"/>
  <c r="U191" i="27"/>
  <c r="U262" i="27"/>
  <c r="U279" i="27"/>
  <c r="U245" i="27"/>
  <c r="U139" i="27"/>
  <c r="U320" i="27"/>
  <c r="U322" i="27" s="1"/>
  <c r="U18" i="28" s="1"/>
  <c r="U303" i="27"/>
  <c r="M256" i="28"/>
  <c r="N17" i="32"/>
  <c r="F11" i="58" s="1"/>
  <c r="N232" i="28"/>
  <c r="N256" i="28" s="1"/>
  <c r="Q48" i="28"/>
  <c r="Q231" i="28"/>
  <c r="Q228" i="28"/>
  <c r="Q18" i="32"/>
  <c r="U176" i="27"/>
  <c r="U315" i="27"/>
  <c r="U317" i="27" s="1"/>
  <c r="U19" i="28" s="1"/>
  <c r="U291" i="27"/>
  <c r="Q201" i="27"/>
  <c r="Q209" i="27"/>
  <c r="Q367" i="27"/>
  <c r="Q365" i="27" s="1"/>
  <c r="Q102" i="28" s="1"/>
  <c r="R232" i="27"/>
  <c r="R48" i="28" s="1"/>
  <c r="W230" i="28"/>
  <c r="T229" i="28"/>
  <c r="T252" i="28" s="1"/>
  <c r="T121" i="32"/>
  <c r="S59" i="28"/>
  <c r="S37" i="31" s="1"/>
  <c r="W392" i="27"/>
  <c r="W84" i="27" s="1"/>
  <c r="W453" i="27"/>
  <c r="W455" i="27"/>
  <c r="W593" i="27" s="1"/>
  <c r="W454" i="27"/>
  <c r="W579" i="27" s="1"/>
  <c r="W393" i="27"/>
  <c r="W396" i="27"/>
  <c r="W397" i="27"/>
  <c r="W245" i="27"/>
  <c r="X84" i="31"/>
  <c r="W458" i="27"/>
  <c r="W457" i="27"/>
  <c r="W565" i="27" s="1"/>
  <c r="W456" i="27"/>
  <c r="W395" i="27"/>
  <c r="W607" i="27" s="1"/>
  <c r="W394" i="27"/>
  <c r="W621" i="27" s="1"/>
  <c r="W291" i="27"/>
  <c r="W316" i="27" s="1"/>
  <c r="W314" i="27" s="1"/>
  <c r="X295" i="27"/>
  <c r="X292" i="27" s="1"/>
  <c r="X315" i="27" s="1"/>
  <c r="X317" i="27" s="1"/>
  <c r="X19" i="28" s="1"/>
  <c r="X479" i="27"/>
  <c r="Y93" i="1"/>
  <c r="Y281" i="27"/>
  <c r="V459" i="27"/>
  <c r="V398" i="27"/>
  <c r="V436" i="27" s="1"/>
  <c r="V447" i="27" s="1"/>
  <c r="X305" i="27"/>
  <c r="Y293" i="27"/>
  <c r="V433" i="27"/>
  <c r="V493" i="27" s="1"/>
  <c r="Y264" i="27"/>
  <c r="Y103" i="1"/>
  <c r="X255" i="27"/>
  <c r="W202" i="27"/>
  <c r="U125" i="31"/>
  <c r="V75" i="31"/>
  <c r="V119" i="31"/>
  <c r="V125" i="31" s="1"/>
  <c r="X67" i="1"/>
  <c r="X66" i="1" s="1"/>
  <c r="Y67" i="1"/>
  <c r="Y98" i="1"/>
  <c r="Y119" i="27"/>
  <c r="Y247" i="27"/>
  <c r="X71" i="1"/>
  <c r="X73" i="1" s="1"/>
  <c r="X72" i="1" s="1"/>
  <c r="G4" i="34" s="1" a="1"/>
  <c r="G4" i="34" s="1"/>
  <c r="X144" i="27"/>
  <c r="X293" i="27"/>
  <c r="Y294" i="27" s="1"/>
  <c r="Y71" i="1"/>
  <c r="Y144" i="27"/>
  <c r="Y255" i="27"/>
  <c r="AB111" i="1"/>
  <c r="AC110" i="1"/>
  <c r="AB123" i="1"/>
  <c r="AB124" i="1" s="1"/>
  <c r="AC122" i="1"/>
  <c r="AC9" i="28"/>
  <c r="AC333" i="27"/>
  <c r="AD332" i="27"/>
  <c r="AD330" i="27" s="1"/>
  <c r="AD425" i="27"/>
  <c r="AE119" i="1"/>
  <c r="AD120" i="1"/>
  <c r="AA343" i="27"/>
  <c r="AA47" i="28" s="1"/>
  <c r="AA88" i="28"/>
  <c r="AA199" i="28" s="1"/>
  <c r="AB342" i="27"/>
  <c r="AD113" i="1"/>
  <c r="AC114" i="1"/>
  <c r="AD435" i="27"/>
  <c r="AE31" i="31" s="1"/>
  <c r="AA68" i="27"/>
  <c r="AA93" i="28" s="1"/>
  <c r="Z69" i="27"/>
  <c r="AC363" i="27"/>
  <c r="AD362" i="27"/>
  <c r="AD360" i="27" s="1"/>
  <c r="AD85" i="28" s="1"/>
  <c r="AF2" i="32"/>
  <c r="AF2" i="31"/>
  <c r="AF2" i="28"/>
  <c r="AF197" i="28" s="1"/>
  <c r="AF2" i="27"/>
  <c r="AF140" i="27" s="1"/>
  <c r="AF2" i="1"/>
  <c r="AG36" i="1"/>
  <c r="AF357" i="27"/>
  <c r="AF373" i="27"/>
  <c r="AF374" i="27" s="1"/>
  <c r="AF337" i="27"/>
  <c r="AF352" i="27"/>
  <c r="AF368" i="27"/>
  <c r="AF369" i="27" s="1"/>
  <c r="AF347" i="27"/>
  <c r="AE419" i="27"/>
  <c r="AE422" i="27"/>
  <c r="AE421" i="27"/>
  <c r="AE125" i="27" s="1"/>
  <c r="AE420" i="27"/>
  <c r="AE423" i="27"/>
  <c r="AE126" i="27" s="1"/>
  <c r="AE424" i="27"/>
  <c r="AE127" i="27" s="1"/>
  <c r="AE301" i="27"/>
  <c r="AE269" i="27"/>
  <c r="AE289" i="27"/>
  <c r="AE260" i="27"/>
  <c r="AA103" i="27"/>
  <c r="Z104" i="28"/>
  <c r="Y151" i="1"/>
  <c r="X151" i="1"/>
  <c r="H16" i="35" s="1"/>
  <c r="AC171" i="1"/>
  <c r="V181" i="27"/>
  <c r="V207" i="27" s="1"/>
  <c r="Y702" i="27"/>
  <c r="Y218" i="28" s="1"/>
  <c r="X477" i="27"/>
  <c r="X133" i="27"/>
  <c r="Y477" i="27"/>
  <c r="Y133" i="27"/>
  <c r="V163" i="31"/>
  <c r="V165" i="31"/>
  <c r="V162" i="31"/>
  <c r="V168" i="31"/>
  <c r="V229" i="31" s="1"/>
  <c r="V239" i="31" s="1"/>
  <c r="W159" i="31"/>
  <c r="W164" i="31" s="1"/>
  <c r="X158" i="31"/>
  <c r="X154" i="31" s="1"/>
  <c r="G4" i="54" s="1"/>
  <c r="U161" i="31"/>
  <c r="X119" i="27"/>
  <c r="X103" i="1"/>
  <c r="X102" i="1" s="1"/>
  <c r="G28" i="34" s="1" a="1"/>
  <c r="G28" i="34" s="1"/>
  <c r="X247" i="27"/>
  <c r="X264" i="27"/>
  <c r="X98" i="1"/>
  <c r="X97" i="1" s="1"/>
  <c r="G24" i="34" s="1" a="1"/>
  <c r="G24" i="34" s="1"/>
  <c r="V62" i="23"/>
  <c r="V68" i="23"/>
  <c r="X82" i="31"/>
  <c r="Y83" i="31" s="1"/>
  <c r="Y82" i="31"/>
  <c r="Y231" i="1"/>
  <c r="Y222" i="1"/>
  <c r="Z247" i="27"/>
  <c r="Z27" i="31"/>
  <c r="Z273" i="27"/>
  <c r="Z153" i="27"/>
  <c r="X182" i="27"/>
  <c r="X197" i="27"/>
  <c r="X156" i="31"/>
  <c r="Y182" i="27"/>
  <c r="Y197" i="27"/>
  <c r="Y156" i="31"/>
  <c r="Y47" i="31"/>
  <c r="Y48" i="31" s="1"/>
  <c r="Y155" i="31"/>
  <c r="W49" i="31"/>
  <c r="X155" i="31"/>
  <c r="G5" i="54" s="1"/>
  <c r="X47" i="31"/>
  <c r="H38" i="51" s="1"/>
  <c r="X44" i="32"/>
  <c r="X79" i="32"/>
  <c r="X221" i="31"/>
  <c r="X213" i="31"/>
  <c r="X151" i="31"/>
  <c r="X173" i="31"/>
  <c r="X71" i="31"/>
  <c r="X141" i="31"/>
  <c r="AL183" i="1"/>
  <c r="AL186" i="1" s="1"/>
  <c r="AC160" i="1"/>
  <c r="AC162" i="1"/>
  <c r="AC163" i="1"/>
  <c r="AC161" i="1"/>
  <c r="Y83" i="1"/>
  <c r="X88" i="1"/>
  <c r="X87" i="1" s="1"/>
  <c r="G16" i="34" s="1" a="1"/>
  <c r="G16" i="34" s="1"/>
  <c r="X83" i="1"/>
  <c r="X82" i="1" s="1"/>
  <c r="G12" i="34" s="1" a="1"/>
  <c r="G12" i="34" s="1"/>
  <c r="Y88" i="1"/>
  <c r="Y78" i="1"/>
  <c r="X78" i="1"/>
  <c r="X77" i="1" s="1"/>
  <c r="G8" i="34" s="1" a="1"/>
  <c r="G8" i="34" s="1"/>
  <c r="X6" i="31"/>
  <c r="X1" i="32"/>
  <c r="X1" i="31"/>
  <c r="X6" i="32"/>
  <c r="AM190" i="1"/>
  <c r="X77" i="27"/>
  <c r="X64" i="27"/>
  <c r="Y164" i="1"/>
  <c r="X1" i="28"/>
  <c r="X1" i="27"/>
  <c r="X107" i="27"/>
  <c r="X387" i="27"/>
  <c r="X554" i="27"/>
  <c r="X658" i="27"/>
  <c r="X169" i="27"/>
  <c r="X509" i="27"/>
  <c r="X237" i="27"/>
  <c r="X328" i="27"/>
  <c r="X154" i="28"/>
  <c r="X43" i="28"/>
  <c r="X4" i="28"/>
  <c r="X81" i="28"/>
  <c r="X348" i="28"/>
  <c r="X307" i="28"/>
  <c r="X267" i="28"/>
  <c r="X207" i="28"/>
  <c r="X119" i="28"/>
  <c r="V57" i="23"/>
  <c r="V80" i="23"/>
  <c r="Z148" i="1"/>
  <c r="AB114" i="1"/>
  <c r="AA115" i="1"/>
  <c r="X34" i="1"/>
  <c r="Y114" i="32"/>
  <c r="Z114" i="32"/>
  <c r="Z144" i="1"/>
  <c r="Z145" i="1"/>
  <c r="AB118" i="1"/>
  <c r="AB121" i="1"/>
  <c r="X146" i="1"/>
  <c r="AB109" i="1"/>
  <c r="AB112" i="1"/>
  <c r="AA109" i="1"/>
  <c r="AA112" i="1"/>
  <c r="Z172" i="1"/>
  <c r="X1" i="1"/>
  <c r="X60" i="1"/>
  <c r="X6" i="1"/>
  <c r="X130" i="1"/>
  <c r="X208" i="1"/>
  <c r="X164" i="1"/>
  <c r="H28" i="35" s="1"/>
  <c r="Z136" i="1"/>
  <c r="Z159" i="1"/>
  <c r="W6" i="1"/>
  <c r="AA45" i="1"/>
  <c r="Y146" i="1"/>
  <c r="AB37" i="1"/>
  <c r="AA43" i="1"/>
  <c r="AA38" i="1"/>
  <c r="AA55" i="1" s="1"/>
  <c r="AA44" i="1"/>
  <c r="AA46" i="1"/>
  <c r="Y134" i="27" l="1"/>
  <c r="X143" i="27"/>
  <c r="Z703" i="27"/>
  <c r="Z700" i="27" s="1"/>
  <c r="Z701" i="27" s="1"/>
  <c r="Z702" i="27" s="1"/>
  <c r="Z218" i="28" s="1"/>
  <c r="Y306" i="27"/>
  <c r="Z306" i="27" s="1"/>
  <c r="AG50" i="1"/>
  <c r="AG48" i="1"/>
  <c r="AG51" i="1"/>
  <c r="AG49" i="1"/>
  <c r="Y157" i="31"/>
  <c r="Z157" i="31" s="1"/>
  <c r="Y478" i="27"/>
  <c r="Z478" i="27" s="1"/>
  <c r="V26" i="31"/>
  <c r="W26" i="31" s="1"/>
  <c r="V215" i="31"/>
  <c r="W216" i="31" s="1"/>
  <c r="W224" i="31" s="1"/>
  <c r="W13" i="32" s="1"/>
  <c r="Y183" i="27"/>
  <c r="Z183" i="27" s="1"/>
  <c r="Y265" i="27"/>
  <c r="Z265" i="27" s="1"/>
  <c r="Y198" i="27"/>
  <c r="Z198" i="27" s="1"/>
  <c r="Y248" i="27"/>
  <c r="Z248" i="27" s="1"/>
  <c r="AA248" i="27" s="1"/>
  <c r="P41" i="31"/>
  <c r="F32" i="51" s="1"/>
  <c r="Y145" i="27"/>
  <c r="Z145" i="27" s="1"/>
  <c r="G12" i="58"/>
  <c r="G24" i="49"/>
  <c r="H29" i="52"/>
  <c r="Y256" i="27"/>
  <c r="Z256" i="27" s="1"/>
  <c r="V189" i="31"/>
  <c r="Y120" i="27"/>
  <c r="Z120" i="27" s="1"/>
  <c r="Z121" i="27" s="1"/>
  <c r="Z115" i="27" s="1"/>
  <c r="Z118" i="27" s="1"/>
  <c r="X35" i="31"/>
  <c r="U644" i="27"/>
  <c r="G21" i="49"/>
  <c r="H23" i="49"/>
  <c r="Z462" i="27"/>
  <c r="Z409" i="27"/>
  <c r="Z302" i="27"/>
  <c r="Z290" i="27"/>
  <c r="Z278" i="27"/>
  <c r="Z270" i="27"/>
  <c r="Z261" i="27"/>
  <c r="Z252" i="27"/>
  <c r="Z244" i="27"/>
  <c r="Z151" i="27"/>
  <c r="Z142" i="27"/>
  <c r="Z131" i="27"/>
  <c r="Z117" i="27"/>
  <c r="Z83" i="31"/>
  <c r="Z134" i="27"/>
  <c r="AF338" i="27"/>
  <c r="AF335" i="27"/>
  <c r="AF358" i="27"/>
  <c r="AF355" i="27"/>
  <c r="AB343" i="27"/>
  <c r="AB47" i="28" s="1"/>
  <c r="I5" i="45" s="1"/>
  <c r="AB340" i="27"/>
  <c r="Q216" i="27"/>
  <c r="Q17" i="28" s="1"/>
  <c r="G14" i="44" s="1"/>
  <c r="F20" i="39"/>
  <c r="G8" i="39"/>
  <c r="G6" i="45"/>
  <c r="U143" i="27"/>
  <c r="H28" i="38" s="1"/>
  <c r="H26" i="38"/>
  <c r="U436" i="27"/>
  <c r="U447" i="27" s="1"/>
  <c r="V13" i="32"/>
  <c r="Z28" i="31"/>
  <c r="AA28" i="31" s="1"/>
  <c r="Z34" i="31"/>
  <c r="Z35" i="31" s="1"/>
  <c r="Y154" i="27"/>
  <c r="Z154" i="27" s="1"/>
  <c r="AA154" i="27" s="1"/>
  <c r="H35" i="38"/>
  <c r="AE378" i="27"/>
  <c r="AE60" i="28" s="1"/>
  <c r="AE376" i="27"/>
  <c r="X25" i="31"/>
  <c r="H20" i="51" s="1"/>
  <c r="H23" i="52"/>
  <c r="G9" i="40"/>
  <c r="G45" i="40"/>
  <c r="G6" i="54"/>
  <c r="H21" i="38"/>
  <c r="F25" i="49"/>
  <c r="G7" i="39"/>
  <c r="G37" i="40"/>
  <c r="H12" i="52"/>
  <c r="G3" i="34"/>
  <c r="G9" i="39"/>
  <c r="T228" i="31"/>
  <c r="T242" i="31" s="1"/>
  <c r="H11" i="49"/>
  <c r="H12" i="35"/>
  <c r="AA101" i="1"/>
  <c r="AA96" i="1"/>
  <c r="AA91" i="1"/>
  <c r="AA86" i="1"/>
  <c r="AA81" i="1"/>
  <c r="AA273" i="27" s="1"/>
  <c r="AA76" i="1"/>
  <c r="AA65" i="1"/>
  <c r="U166" i="31"/>
  <c r="AF348" i="27"/>
  <c r="AF345" i="27"/>
  <c r="AF353" i="27"/>
  <c r="AF350" i="27"/>
  <c r="Z294" i="27"/>
  <c r="Z282" i="27"/>
  <c r="Q208" i="27"/>
  <c r="F19" i="39"/>
  <c r="H16" i="44"/>
  <c r="U241" i="31"/>
  <c r="U240" i="31" s="1"/>
  <c r="Z274" i="27"/>
  <c r="AA274" i="27" s="1"/>
  <c r="T667" i="27"/>
  <c r="G88" i="41"/>
  <c r="Q37" i="31"/>
  <c r="G14" i="40"/>
  <c r="H10" i="38"/>
  <c r="G19" i="40"/>
  <c r="H25" i="38"/>
  <c r="H3" i="52"/>
  <c r="H82" i="41"/>
  <c r="G17" i="39"/>
  <c r="H29" i="38"/>
  <c r="G36" i="40"/>
  <c r="S121" i="32"/>
  <c r="T500" i="27"/>
  <c r="S120" i="32"/>
  <c r="S119" i="32" s="1"/>
  <c r="T63" i="28"/>
  <c r="G20" i="45" s="1"/>
  <c r="T482" i="27"/>
  <c r="V323" i="27"/>
  <c r="W318" i="27"/>
  <c r="Q217" i="27"/>
  <c r="F21" i="39" s="1"/>
  <c r="X178" i="27"/>
  <c r="X204" i="27" s="1"/>
  <c r="X177" i="27"/>
  <c r="X203" i="27" s="1"/>
  <c r="U178" i="27"/>
  <c r="U177" i="27"/>
  <c r="U193" i="27"/>
  <c r="U192" i="27"/>
  <c r="W193" i="27"/>
  <c r="W212" i="27" s="1"/>
  <c r="W224" i="27" s="1"/>
  <c r="W192" i="27"/>
  <c r="W211" i="27" s="1"/>
  <c r="W223" i="27" s="1"/>
  <c r="X180" i="27"/>
  <c r="X206" i="27" s="1"/>
  <c r="X179" i="27"/>
  <c r="X205" i="27" s="1"/>
  <c r="U180" i="27"/>
  <c r="U179" i="27"/>
  <c r="U195" i="27"/>
  <c r="U194" i="27"/>
  <c r="W195" i="27"/>
  <c r="W214" i="27" s="1"/>
  <c r="W226" i="27" s="1"/>
  <c r="W194" i="27"/>
  <c r="W213" i="27" s="1"/>
  <c r="W225" i="27" s="1"/>
  <c r="V201" i="27"/>
  <c r="V208" i="27" s="1"/>
  <c r="AD494" i="27"/>
  <c r="V463" i="27"/>
  <c r="V472" i="27" s="1"/>
  <c r="V490" i="27" s="1"/>
  <c r="V501" i="27" s="1"/>
  <c r="X141" i="27"/>
  <c r="R522" i="27"/>
  <c r="Q522" i="27"/>
  <c r="F12" i="42" s="1"/>
  <c r="V219" i="28"/>
  <c r="V18" i="32" s="1"/>
  <c r="U463" i="27"/>
  <c r="U451" i="27"/>
  <c r="U493" i="27"/>
  <c r="T670" i="27"/>
  <c r="V228" i="27"/>
  <c r="V367" i="27" s="1"/>
  <c r="V365" i="27" s="1"/>
  <c r="V102" i="28" s="1"/>
  <c r="X202" i="27"/>
  <c r="W215" i="31"/>
  <c r="X216" i="31" s="1"/>
  <c r="X224" i="31" s="1"/>
  <c r="AC115" i="1"/>
  <c r="AD121" i="1"/>
  <c r="AD118" i="1"/>
  <c r="AA116" i="31"/>
  <c r="AA91" i="31"/>
  <c r="AA92" i="31"/>
  <c r="AA117" i="31"/>
  <c r="AA118" i="31"/>
  <c r="AA119" i="31"/>
  <c r="AA93" i="31"/>
  <c r="AA94" i="31"/>
  <c r="AA95" i="31"/>
  <c r="AA121" i="31"/>
  <c r="AA122" i="31"/>
  <c r="AA97" i="31"/>
  <c r="AA123" i="31"/>
  <c r="AA98" i="31"/>
  <c r="AA124" i="31"/>
  <c r="AA99" i="31"/>
  <c r="AA100" i="31"/>
  <c r="AP193" i="1"/>
  <c r="AO192" i="1"/>
  <c r="V570" i="27"/>
  <c r="W570" i="27" s="1"/>
  <c r="V584" i="27"/>
  <c r="W584" i="27" s="1"/>
  <c r="V626" i="27"/>
  <c r="W626" i="27" s="1"/>
  <c r="V598" i="27"/>
  <c r="W598" i="27" s="1"/>
  <c r="AE277" i="27"/>
  <c r="AE124" i="27"/>
  <c r="AE128" i="27" s="1"/>
  <c r="AF281" i="28"/>
  <c r="AF322" i="28"/>
  <c r="T683" i="27"/>
  <c r="W210" i="27"/>
  <c r="W222" i="27" s="1"/>
  <c r="Y29" i="31"/>
  <c r="X190" i="31"/>
  <c r="G18" i="55" s="1"/>
  <c r="U640" i="27"/>
  <c r="V640" i="27" s="1"/>
  <c r="W635" i="27"/>
  <c r="W644" i="27" s="1"/>
  <c r="T233" i="27"/>
  <c r="T684" i="27" s="1"/>
  <c r="T217" i="28" s="1"/>
  <c r="T682" i="27"/>
  <c r="W303" i="27"/>
  <c r="W321" i="27" s="1"/>
  <c r="W319" i="27" s="1"/>
  <c r="X199" i="27"/>
  <c r="X190" i="27" s="1"/>
  <c r="X191" i="27" s="1"/>
  <c r="G16" i="39" s="1"/>
  <c r="X266" i="27"/>
  <c r="X263" i="27" s="1"/>
  <c r="G18" i="40" s="1"/>
  <c r="X283" i="27"/>
  <c r="X280" i="27" s="1"/>
  <c r="G28" i="40" s="1"/>
  <c r="X192" i="31"/>
  <c r="G20" i="55" s="1"/>
  <c r="X193" i="31"/>
  <c r="G21" i="55" s="1"/>
  <c r="S235" i="28"/>
  <c r="S233" i="28"/>
  <c r="S17" i="32"/>
  <c r="V196" i="27"/>
  <c r="V215" i="27" s="1"/>
  <c r="V209" i="27" s="1"/>
  <c r="V216" i="27" s="1"/>
  <c r="V17" i="28" s="1"/>
  <c r="X307" i="27"/>
  <c r="X304" i="27" s="1"/>
  <c r="X320" i="27" s="1"/>
  <c r="X322" i="27" s="1"/>
  <c r="X18" i="28" s="1"/>
  <c r="S234" i="28"/>
  <c r="S236" i="28"/>
  <c r="W92" i="27"/>
  <c r="X191" i="31"/>
  <c r="AF377" i="27"/>
  <c r="W189" i="31"/>
  <c r="X194" i="31"/>
  <c r="X195" i="31"/>
  <c r="X431" i="27"/>
  <c r="H45" i="41" s="1"/>
  <c r="X432" i="27"/>
  <c r="H46" i="41" s="1"/>
  <c r="X429" i="27"/>
  <c r="H43" i="41" s="1"/>
  <c r="X430" i="27"/>
  <c r="H44" i="41" s="1"/>
  <c r="X428" i="27"/>
  <c r="H42" i="41" s="1"/>
  <c r="X427" i="27"/>
  <c r="H41" i="41" s="1"/>
  <c r="W233" i="31"/>
  <c r="W51" i="32" s="1"/>
  <c r="Y87" i="1"/>
  <c r="Y82" i="1"/>
  <c r="Y73" i="1"/>
  <c r="Y66" i="1"/>
  <c r="Y102" i="1"/>
  <c r="W275" i="27"/>
  <c r="Y77" i="1"/>
  <c r="Y97" i="1"/>
  <c r="Y92" i="1"/>
  <c r="N43" i="31"/>
  <c r="O42" i="31"/>
  <c r="O44" i="31" s="1"/>
  <c r="N123" i="32"/>
  <c r="M138" i="32"/>
  <c r="P38" i="31"/>
  <c r="F29" i="51" s="1"/>
  <c r="V451" i="27"/>
  <c r="V496" i="27" s="1"/>
  <c r="V667" i="27" s="1"/>
  <c r="Y135" i="27"/>
  <c r="X397" i="27"/>
  <c r="H11" i="41" s="1"/>
  <c r="X48" i="31"/>
  <c r="H39" i="51" s="1"/>
  <c r="X50" i="31"/>
  <c r="H41" i="51" s="1"/>
  <c r="V233" i="31"/>
  <c r="U239" i="31"/>
  <c r="Q682" i="27"/>
  <c r="Q230" i="27"/>
  <c r="Q233" i="27" s="1"/>
  <c r="U202" i="27"/>
  <c r="Q88" i="32"/>
  <c r="G9" i="60" s="1"/>
  <c r="X115" i="27"/>
  <c r="U316" i="27"/>
  <c r="U318" i="27" s="1"/>
  <c r="Q121" i="32"/>
  <c r="Q229" i="28"/>
  <c r="U321" i="27"/>
  <c r="U323" i="27" s="1"/>
  <c r="U210" i="27"/>
  <c r="Y230" i="28"/>
  <c r="T120" i="32"/>
  <c r="W459" i="27"/>
  <c r="W398" i="27"/>
  <c r="W436" i="27" s="1"/>
  <c r="W447" i="27" s="1"/>
  <c r="W433" i="27"/>
  <c r="W493" i="27" s="1"/>
  <c r="S522" i="27"/>
  <c r="V161" i="31"/>
  <c r="X456" i="27"/>
  <c r="H65" i="41" s="1"/>
  <c r="X453" i="27"/>
  <c r="H62" i="41" s="1"/>
  <c r="X457" i="27"/>
  <c r="X565" i="27" s="1"/>
  <c r="H10" i="43" s="1"/>
  <c r="X392" i="27"/>
  <c r="H6" i="41" s="1"/>
  <c r="X291" i="27"/>
  <c r="X316" i="27" s="1"/>
  <c r="X314" i="27" s="1"/>
  <c r="X454" i="27"/>
  <c r="H63" i="41" s="1"/>
  <c r="X455" i="27"/>
  <c r="H64" i="41" s="1"/>
  <c r="X393" i="27"/>
  <c r="H7" i="41" s="1"/>
  <c r="X394" i="27"/>
  <c r="H8" i="41" s="1"/>
  <c r="X458" i="27"/>
  <c r="H67" i="41" s="1"/>
  <c r="X395" i="27"/>
  <c r="H9" i="41" s="1"/>
  <c r="X396" i="27"/>
  <c r="H10" i="41" s="1"/>
  <c r="Z93" i="1"/>
  <c r="Z92" i="1" s="1"/>
  <c r="Z281" i="27"/>
  <c r="AA282" i="27" s="1"/>
  <c r="Z305" i="27"/>
  <c r="X245" i="27"/>
  <c r="G7" i="40" s="1"/>
  <c r="W181" i="27"/>
  <c r="W207" i="27" s="1"/>
  <c r="Z103" i="1"/>
  <c r="Z102" i="1" s="1"/>
  <c r="Z33" i="31"/>
  <c r="X74" i="31"/>
  <c r="W165" i="31"/>
  <c r="AG2" i="31"/>
  <c r="AG2" i="32"/>
  <c r="AG2" i="27"/>
  <c r="AG140" i="27" s="1"/>
  <c r="AG2" i="28"/>
  <c r="AG197" i="28" s="1"/>
  <c r="AH36" i="1"/>
  <c r="AG2" i="1"/>
  <c r="AG368" i="27"/>
  <c r="AG369" i="27" s="1"/>
  <c r="AG357" i="27"/>
  <c r="AG352" i="27"/>
  <c r="AG347" i="27"/>
  <c r="AG337" i="27"/>
  <c r="AG373" i="27"/>
  <c r="AG374" i="27" s="1"/>
  <c r="AD363" i="27"/>
  <c r="AE362" i="27"/>
  <c r="AE360" i="27" s="1"/>
  <c r="AE85" i="28" s="1"/>
  <c r="AF113" i="28"/>
  <c r="I33" i="46" s="1"/>
  <c r="AF102" i="27"/>
  <c r="AD9" i="28"/>
  <c r="AD333" i="27"/>
  <c r="AE332" i="27"/>
  <c r="AE330" i="27" s="1"/>
  <c r="AB103" i="27"/>
  <c r="AA104" i="28"/>
  <c r="AE435" i="27"/>
  <c r="AE425" i="27"/>
  <c r="AF419" i="27"/>
  <c r="J32" i="41" s="1"/>
  <c r="AF420" i="27"/>
  <c r="J33" i="41" s="1"/>
  <c r="AF422" i="27"/>
  <c r="J35" i="41" s="1"/>
  <c r="AF421" i="27"/>
  <c r="J34" i="41" s="1"/>
  <c r="AF424" i="27"/>
  <c r="J37" i="41" s="1"/>
  <c r="AF423" i="27"/>
  <c r="J36" i="41" s="1"/>
  <c r="AF301" i="27"/>
  <c r="I42" i="40" s="1"/>
  <c r="AF260" i="27"/>
  <c r="I16" i="40" s="1"/>
  <c r="AF269" i="27"/>
  <c r="I21" i="40" s="1"/>
  <c r="AF289" i="27"/>
  <c r="I34" i="40" s="1"/>
  <c r="AB68" i="27"/>
  <c r="AA69" i="27"/>
  <c r="AE113" i="1"/>
  <c r="AD114" i="1"/>
  <c r="AD115" i="1" s="1"/>
  <c r="AB88" i="28"/>
  <c r="H8" i="46" s="1"/>
  <c r="AC342" i="27"/>
  <c r="AC340" i="27" s="1"/>
  <c r="AF119" i="1"/>
  <c r="AE120" i="1"/>
  <c r="AD122" i="1"/>
  <c r="AC123" i="1"/>
  <c r="AD110" i="1"/>
  <c r="AC111" i="1"/>
  <c r="Z151" i="1"/>
  <c r="Z71" i="1"/>
  <c r="Z73" i="1" s="1"/>
  <c r="Z72" i="1" s="1"/>
  <c r="Z119" i="27"/>
  <c r="AD171" i="1"/>
  <c r="V241" i="31"/>
  <c r="V240" i="31" s="1"/>
  <c r="V62" i="31" s="1"/>
  <c r="Z477" i="27"/>
  <c r="Z133" i="27"/>
  <c r="X159" i="31"/>
  <c r="X165" i="31" s="1"/>
  <c r="W168" i="31"/>
  <c r="W229" i="31" s="1"/>
  <c r="W239" i="31" s="1"/>
  <c r="W162" i="31"/>
  <c r="W163" i="31"/>
  <c r="Z67" i="1"/>
  <c r="Z66" i="1" s="1"/>
  <c r="Z144" i="27"/>
  <c r="Z255" i="27"/>
  <c r="Z264" i="27"/>
  <c r="W62" i="23"/>
  <c r="W68" i="23"/>
  <c r="Z98" i="1"/>
  <c r="Z97" i="1" s="1"/>
  <c r="Z82" i="31"/>
  <c r="Z222" i="1"/>
  <c r="Z293" i="27"/>
  <c r="AA27" i="31"/>
  <c r="AA153" i="27"/>
  <c r="X49" i="31"/>
  <c r="H40" i="51" s="1"/>
  <c r="Y49" i="31"/>
  <c r="Z182" i="27"/>
  <c r="Z197" i="27"/>
  <c r="Z156" i="31"/>
  <c r="Z47" i="31"/>
  <c r="Z48" i="31" s="1"/>
  <c r="Z155" i="31"/>
  <c r="Z44" i="32"/>
  <c r="Z79" i="32"/>
  <c r="Y44" i="32"/>
  <c r="Y79" i="32"/>
  <c r="Z221" i="31"/>
  <c r="Z213" i="31"/>
  <c r="Y221" i="31"/>
  <c r="Y213" i="31"/>
  <c r="Y151" i="31"/>
  <c r="Y173" i="31"/>
  <c r="Z151" i="31"/>
  <c r="Z173" i="31"/>
  <c r="Y71" i="31"/>
  <c r="Y141" i="31"/>
  <c r="Z71" i="31"/>
  <c r="Z141" i="31"/>
  <c r="AM183" i="1"/>
  <c r="AM186" i="1" s="1"/>
  <c r="AD161" i="1"/>
  <c r="AD163" i="1"/>
  <c r="AD162" i="1"/>
  <c r="AD160" i="1"/>
  <c r="Z88" i="1"/>
  <c r="Z87" i="1" s="1"/>
  <c r="Z78" i="1"/>
  <c r="Z77" i="1" s="1"/>
  <c r="Z83" i="1"/>
  <c r="Z82" i="1" s="1"/>
  <c r="Y6" i="31"/>
  <c r="Z6" i="31"/>
  <c r="Z1" i="32"/>
  <c r="Z1" i="31"/>
  <c r="Z6" i="32"/>
  <c r="Y1" i="32"/>
  <c r="Y1" i="31"/>
  <c r="Y6" i="32"/>
  <c r="AN190" i="1"/>
  <c r="L48" i="35" s="1"/>
  <c r="Z77" i="27"/>
  <c r="Z64" i="27"/>
  <c r="Y77" i="27"/>
  <c r="Y64" i="27"/>
  <c r="Z1" i="28"/>
  <c r="Z1" i="27"/>
  <c r="Z169" i="27"/>
  <c r="Z509" i="27"/>
  <c r="Z237" i="27"/>
  <c r="Z328" i="27"/>
  <c r="Z107" i="27"/>
  <c r="Z387" i="27"/>
  <c r="Z554" i="27"/>
  <c r="Z658" i="27"/>
  <c r="Z348" i="28"/>
  <c r="Z307" i="28"/>
  <c r="Z267" i="28"/>
  <c r="Z207" i="28"/>
  <c r="Z119" i="28"/>
  <c r="Z81" i="28"/>
  <c r="Z154" i="28"/>
  <c r="Z43" i="28"/>
  <c r="Z4" i="28"/>
  <c r="AC37" i="1"/>
  <c r="AC45" i="1" s="1"/>
  <c r="Z164" i="1"/>
  <c r="Y1" i="28"/>
  <c r="Y1" i="27"/>
  <c r="Y237" i="27"/>
  <c r="Y107" i="27"/>
  <c r="Y387" i="27"/>
  <c r="Y509" i="27"/>
  <c r="Y554" i="27"/>
  <c r="Y658" i="27"/>
  <c r="Y328" i="27"/>
  <c r="Y169" i="27"/>
  <c r="Y267" i="28"/>
  <c r="Y207" i="28"/>
  <c r="Y348" i="28"/>
  <c r="Y307" i="28"/>
  <c r="Y154" i="28"/>
  <c r="Y81" i="28"/>
  <c r="Y43" i="28"/>
  <c r="Y4" i="28"/>
  <c r="Y119" i="28"/>
  <c r="W57" i="23"/>
  <c r="W80" i="23"/>
  <c r="AA148" i="1"/>
  <c r="AB115" i="1"/>
  <c r="Z231" i="1"/>
  <c r="Z34" i="1"/>
  <c r="Y34" i="1"/>
  <c r="Y208" i="1"/>
  <c r="Y6" i="1"/>
  <c r="Y130" i="1"/>
  <c r="Y1" i="1"/>
  <c r="Y60" i="1"/>
  <c r="AA114" i="32"/>
  <c r="AA145" i="1"/>
  <c r="AA144" i="1"/>
  <c r="AB45" i="1"/>
  <c r="AA172" i="1"/>
  <c r="AA136" i="1"/>
  <c r="AA159" i="1"/>
  <c r="Z208" i="1"/>
  <c r="Z60" i="1"/>
  <c r="Z130" i="1"/>
  <c r="Z6" i="1"/>
  <c r="Z1" i="1"/>
  <c r="Z146" i="1"/>
  <c r="AB46" i="1"/>
  <c r="AB43" i="1"/>
  <c r="AB38" i="1"/>
  <c r="AB55" i="1" s="1"/>
  <c r="AB44" i="1"/>
  <c r="AA703" i="27" l="1"/>
  <c r="AA700" i="27" s="1"/>
  <c r="AA701" i="27" s="1"/>
  <c r="AA702" i="27" s="1"/>
  <c r="AA218" i="28" s="1"/>
  <c r="AA230" i="28" s="1"/>
  <c r="I5" i="37"/>
  <c r="AB93" i="28"/>
  <c r="H13" i="46" s="1"/>
  <c r="AH50" i="1"/>
  <c r="AH49" i="1"/>
  <c r="AH51" i="1"/>
  <c r="AH48" i="1"/>
  <c r="AA478" i="27"/>
  <c r="AA198" i="27"/>
  <c r="AC44" i="1"/>
  <c r="U483" i="27"/>
  <c r="U141" i="27"/>
  <c r="H27" i="38" s="1"/>
  <c r="AA256" i="27"/>
  <c r="AA294" i="27"/>
  <c r="AA157" i="31"/>
  <c r="AA83" i="31"/>
  <c r="AA145" i="27"/>
  <c r="Y155" i="27"/>
  <c r="AA183" i="27"/>
  <c r="AA265" i="27"/>
  <c r="AA134" i="27"/>
  <c r="AA120" i="27"/>
  <c r="AA121" i="27" s="1"/>
  <c r="AA115" i="27" s="1"/>
  <c r="AA34" i="31"/>
  <c r="AA35" i="31" s="1"/>
  <c r="X215" i="31"/>
  <c r="Y216" i="31" s="1"/>
  <c r="Y224" i="31" s="1"/>
  <c r="G7" i="61"/>
  <c r="X26" i="31"/>
  <c r="H21" i="51" s="1"/>
  <c r="Y73" i="31"/>
  <c r="Y96" i="31" s="1"/>
  <c r="Y101" i="31" s="1"/>
  <c r="G13" i="54"/>
  <c r="Z230" i="28"/>
  <c r="AB101" i="1"/>
  <c r="H27" i="34" s="1"/>
  <c r="AB96" i="1"/>
  <c r="H23" i="34" s="1"/>
  <c r="AB91" i="1"/>
  <c r="AB86" i="1"/>
  <c r="H15" i="34" s="1"/>
  <c r="AB81" i="1"/>
  <c r="H11" i="34" s="1"/>
  <c r="AB76" i="1"/>
  <c r="H7" i="34" s="1"/>
  <c r="AB65" i="1"/>
  <c r="AA462" i="27"/>
  <c r="AA409" i="27"/>
  <c r="AA302" i="27"/>
  <c r="AA290" i="27"/>
  <c r="AA278" i="27"/>
  <c r="AA270" i="27"/>
  <c r="AA261" i="27"/>
  <c r="AA252" i="27"/>
  <c r="AA244" i="27"/>
  <c r="AA151" i="27"/>
  <c r="AA142" i="27"/>
  <c r="AA131" i="27"/>
  <c r="AA117" i="27"/>
  <c r="AB154" i="27"/>
  <c r="AC38" i="1"/>
  <c r="AC55" i="1" s="1"/>
  <c r="AC43" i="1"/>
  <c r="AD37" i="1"/>
  <c r="AB274" i="27"/>
  <c r="AE494" i="27"/>
  <c r="AF31" i="31"/>
  <c r="J24" i="51" s="1"/>
  <c r="AG348" i="27"/>
  <c r="AG345" i="27"/>
  <c r="AG358" i="27"/>
  <c r="AG355" i="27"/>
  <c r="AA306" i="27"/>
  <c r="Q252" i="28"/>
  <c r="G22" i="49"/>
  <c r="V51" i="32"/>
  <c r="Y190" i="31"/>
  <c r="Y25" i="31"/>
  <c r="Z73" i="31" s="1"/>
  <c r="Z96" i="31" s="1"/>
  <c r="Z101" i="31" s="1"/>
  <c r="U496" i="27"/>
  <c r="U63" i="28" s="1"/>
  <c r="G15" i="39"/>
  <c r="Q41" i="31"/>
  <c r="H15" i="44"/>
  <c r="T63" i="31"/>
  <c r="G54" i="51" s="1"/>
  <c r="G22" i="57"/>
  <c r="G44" i="40"/>
  <c r="G8" i="57"/>
  <c r="H4" i="57"/>
  <c r="G35" i="40"/>
  <c r="AC46" i="1"/>
  <c r="AC119" i="31" s="1"/>
  <c r="AB28" i="31"/>
  <c r="AG338" i="27"/>
  <c r="AG335" i="27"/>
  <c r="AG353" i="27"/>
  <c r="AG350" i="27"/>
  <c r="V166" i="31"/>
  <c r="V228" i="31" s="1"/>
  <c r="V242" i="31" s="1"/>
  <c r="V63" i="31" s="1"/>
  <c r="X118" i="27"/>
  <c r="H9" i="38" s="1"/>
  <c r="H7" i="38"/>
  <c r="AF378" i="27"/>
  <c r="AF60" i="28" s="1"/>
  <c r="AF376" i="27"/>
  <c r="T498" i="27"/>
  <c r="G90" i="41" s="1"/>
  <c r="G85" i="41"/>
  <c r="H66" i="41"/>
  <c r="H19" i="34"/>
  <c r="G4" i="56"/>
  <c r="G7" i="54"/>
  <c r="J17" i="45"/>
  <c r="U472" i="27"/>
  <c r="U490" i="27" s="1"/>
  <c r="S134" i="32"/>
  <c r="X233" i="31"/>
  <c r="X51" i="32" s="1"/>
  <c r="X13" i="32"/>
  <c r="H7" i="58" s="1"/>
  <c r="V63" i="28"/>
  <c r="V231" i="28"/>
  <c r="V121" i="32" s="1"/>
  <c r="T59" i="28"/>
  <c r="T499" i="27"/>
  <c r="G91" i="41" s="1"/>
  <c r="V228" i="28"/>
  <c r="V88" i="32" s="1"/>
  <c r="V483" i="27"/>
  <c r="V482" i="27" s="1"/>
  <c r="V498" i="27" s="1"/>
  <c r="W323" i="27"/>
  <c r="X318" i="27"/>
  <c r="U222" i="27"/>
  <c r="V217" i="27"/>
  <c r="V227" i="27"/>
  <c r="V682" i="27" s="1"/>
  <c r="X193" i="27"/>
  <c r="X212" i="27" s="1"/>
  <c r="X224" i="27" s="1"/>
  <c r="X192" i="27"/>
  <c r="X211" i="27" s="1"/>
  <c r="X223" i="27" s="1"/>
  <c r="X195" i="27"/>
  <c r="X214" i="27" s="1"/>
  <c r="X226" i="27" s="1"/>
  <c r="X194" i="27"/>
  <c r="X213" i="27" s="1"/>
  <c r="X225" i="27" s="1"/>
  <c r="V219" i="27"/>
  <c r="W201" i="27"/>
  <c r="W208" i="27" s="1"/>
  <c r="V500" i="27"/>
  <c r="W463" i="27"/>
  <c r="W472" i="27" s="1"/>
  <c r="W490" i="27" s="1"/>
  <c r="W501" i="27" s="1"/>
  <c r="Z116" i="27"/>
  <c r="W219" i="27"/>
  <c r="V12" i="28"/>
  <c r="AB116" i="31"/>
  <c r="I44" i="52" s="1"/>
  <c r="AB91" i="31"/>
  <c r="I19" i="52" s="1"/>
  <c r="AB117" i="31"/>
  <c r="I45" i="52" s="1"/>
  <c r="AB92" i="31"/>
  <c r="I20" i="52" s="1"/>
  <c r="AB118" i="31"/>
  <c r="I46" i="52" s="1"/>
  <c r="AB93" i="31"/>
  <c r="I21" i="52" s="1"/>
  <c r="AB119" i="31"/>
  <c r="I47" i="52" s="1"/>
  <c r="AB94" i="31"/>
  <c r="I22" i="52" s="1"/>
  <c r="AB121" i="31"/>
  <c r="I49" i="52" s="1"/>
  <c r="AB95" i="31"/>
  <c r="I23" i="52" s="1"/>
  <c r="AB122" i="31"/>
  <c r="I50" i="52" s="1"/>
  <c r="AB123" i="31"/>
  <c r="I51" i="52" s="1"/>
  <c r="AB97" i="31"/>
  <c r="I25" i="52" s="1"/>
  <c r="AB124" i="31"/>
  <c r="I52" i="52" s="1"/>
  <c r="AB98" i="31"/>
  <c r="I26" i="52" s="1"/>
  <c r="AB99" i="31"/>
  <c r="I27" i="52" s="1"/>
  <c r="AB100" i="31"/>
  <c r="I28" i="52" s="1"/>
  <c r="AC116" i="31"/>
  <c r="AC91" i="31"/>
  <c r="AC92" i="31"/>
  <c r="AC117" i="31"/>
  <c r="AC93" i="31"/>
  <c r="AC118" i="31"/>
  <c r="AC122" i="31"/>
  <c r="AC96" i="31"/>
  <c r="AC123" i="31"/>
  <c r="AC98" i="31"/>
  <c r="AC99" i="31"/>
  <c r="AC100" i="31"/>
  <c r="AA222" i="1"/>
  <c r="AP192" i="1"/>
  <c r="AQ193" i="1"/>
  <c r="AC112" i="1"/>
  <c r="AC109" i="1"/>
  <c r="AC124" i="1"/>
  <c r="AE121" i="1"/>
  <c r="AE118" i="1"/>
  <c r="Z29" i="31"/>
  <c r="AF277" i="27"/>
  <c r="I26" i="40" s="1"/>
  <c r="AG322" i="28"/>
  <c r="AG281" i="28"/>
  <c r="T234" i="28"/>
  <c r="Y191" i="31"/>
  <c r="Y192" i="31"/>
  <c r="Y194" i="31"/>
  <c r="Y193" i="31"/>
  <c r="Y195" i="31"/>
  <c r="W640" i="27"/>
  <c r="X635" i="27"/>
  <c r="H65" i="43" s="1"/>
  <c r="X621" i="27"/>
  <c r="H54" i="43" s="1"/>
  <c r="X607" i="27"/>
  <c r="H43" i="43" s="1"/>
  <c r="X593" i="27"/>
  <c r="H32" i="43" s="1"/>
  <c r="T236" i="28"/>
  <c r="T233" i="28"/>
  <c r="T235" i="28"/>
  <c r="X579" i="27"/>
  <c r="H21" i="43" s="1"/>
  <c r="W196" i="27"/>
  <c r="W215" i="27" s="1"/>
  <c r="W209" i="27" s="1"/>
  <c r="W216" i="27" s="1"/>
  <c r="W17" i="28" s="1"/>
  <c r="AG377" i="27"/>
  <c r="Y283" i="27"/>
  <c r="X210" i="27"/>
  <c r="X222" i="27" s="1"/>
  <c r="AG102" i="27"/>
  <c r="Y199" i="27"/>
  <c r="X279" i="27"/>
  <c r="G27" i="40" s="1"/>
  <c r="Y266" i="27"/>
  <c r="X262" i="27"/>
  <c r="G17" i="40" s="1"/>
  <c r="Y307" i="27"/>
  <c r="X303" i="27"/>
  <c r="X321" i="27" s="1"/>
  <c r="X319" i="27" s="1"/>
  <c r="X84" i="27"/>
  <c r="H15" i="37" s="1"/>
  <c r="X189" i="31"/>
  <c r="AF127" i="27"/>
  <c r="J17" i="38" s="1"/>
  <c r="AF124" i="27"/>
  <c r="J14" i="38" s="1"/>
  <c r="AF126" i="27"/>
  <c r="J16" i="38" s="1"/>
  <c r="AF125" i="27"/>
  <c r="J15" i="38" s="1"/>
  <c r="Y35" i="31"/>
  <c r="X275" i="27"/>
  <c r="X272" i="27" s="1"/>
  <c r="Y72" i="1"/>
  <c r="AB199" i="28"/>
  <c r="W272" i="27"/>
  <c r="T119" i="32"/>
  <c r="T134" i="32"/>
  <c r="X433" i="27"/>
  <c r="H47" i="41" s="1"/>
  <c r="Z155" i="27"/>
  <c r="Y121" i="27"/>
  <c r="Y115" i="27" s="1"/>
  <c r="P55" i="31"/>
  <c r="F46" i="51" s="1"/>
  <c r="Q38" i="31"/>
  <c r="Q55" i="31" s="1"/>
  <c r="P42" i="31"/>
  <c r="F33" i="51" s="1"/>
  <c r="O43" i="31"/>
  <c r="Z135" i="27"/>
  <c r="N138" i="32"/>
  <c r="O123" i="32"/>
  <c r="Y158" i="31"/>
  <c r="Y159" i="31" s="1"/>
  <c r="Y84" i="31"/>
  <c r="S41" i="31"/>
  <c r="U62" i="31"/>
  <c r="U228" i="31"/>
  <c r="AG113" i="28"/>
  <c r="Q233" i="28"/>
  <c r="Q234" i="28"/>
  <c r="Q684" i="27"/>
  <c r="Q217" i="28" s="1"/>
  <c r="Q236" i="28"/>
  <c r="Q235" i="28"/>
  <c r="Y184" i="27"/>
  <c r="Y257" i="27"/>
  <c r="Y479" i="27"/>
  <c r="U213" i="27"/>
  <c r="U211" i="27"/>
  <c r="U196" i="27"/>
  <c r="U319" i="27"/>
  <c r="Q120" i="32"/>
  <c r="U314" i="27"/>
  <c r="G48" i="40" s="1"/>
  <c r="U206" i="27"/>
  <c r="U205" i="27"/>
  <c r="Q12" i="28"/>
  <c r="G9" i="44" s="1"/>
  <c r="Y249" i="27"/>
  <c r="Y295" i="27"/>
  <c r="Y146" i="27"/>
  <c r="U214" i="27"/>
  <c r="U212" i="27"/>
  <c r="U204" i="27"/>
  <c r="U203" i="27"/>
  <c r="U181" i="27"/>
  <c r="Q683" i="27"/>
  <c r="R233" i="27"/>
  <c r="Z146" i="27"/>
  <c r="Z138" i="27" s="1"/>
  <c r="Z139" i="27" s="1"/>
  <c r="Z143" i="27" s="1"/>
  <c r="T232" i="28"/>
  <c r="T256" i="28" s="1"/>
  <c r="T17" i="32"/>
  <c r="Z84" i="31"/>
  <c r="W451" i="27"/>
  <c r="W496" i="27" s="1"/>
  <c r="W667" i="27" s="1"/>
  <c r="Z257" i="27"/>
  <c r="Z295" i="27"/>
  <c r="Z292" i="27" s="1"/>
  <c r="Z315" i="27" s="1"/>
  <c r="Z317" i="27" s="1"/>
  <c r="Z19" i="28" s="1"/>
  <c r="Z479" i="27"/>
  <c r="X398" i="27"/>
  <c r="X436" i="27" s="1"/>
  <c r="X447" i="27" s="1"/>
  <c r="H55" i="41" s="1"/>
  <c r="Z184" i="27"/>
  <c r="Z175" i="27" s="1"/>
  <c r="Z176" i="27" s="1"/>
  <c r="X459" i="27"/>
  <c r="H68" i="41" s="1"/>
  <c r="W228" i="27"/>
  <c r="W367" i="27" s="1"/>
  <c r="W365" i="27" s="1"/>
  <c r="W102" i="28" s="1"/>
  <c r="AA93" i="1"/>
  <c r="AA92" i="1" s="1"/>
  <c r="AA281" i="27"/>
  <c r="AB282" i="27" s="1"/>
  <c r="W219" i="28"/>
  <c r="X181" i="27"/>
  <c r="X207" i="27" s="1"/>
  <c r="AA255" i="27"/>
  <c r="AA293" i="27"/>
  <c r="Z249" i="27"/>
  <c r="Z246" i="27" s="1"/>
  <c r="Z245" i="27" s="1"/>
  <c r="AA119" i="27"/>
  <c r="X75" i="31"/>
  <c r="X119" i="31"/>
  <c r="X125" i="31" s="1"/>
  <c r="X162" i="31"/>
  <c r="G10" i="54" s="1"/>
  <c r="AA103" i="1"/>
  <c r="AA102" i="1" s="1"/>
  <c r="AA33" i="31"/>
  <c r="Y74" i="31"/>
  <c r="AA67" i="1"/>
  <c r="AA66" i="1" s="1"/>
  <c r="AA264" i="27"/>
  <c r="AA71" i="1"/>
  <c r="AA73" i="1" s="1"/>
  <c r="AA72" i="1" s="1"/>
  <c r="X164" i="31"/>
  <c r="G12" i="54" s="1"/>
  <c r="X163" i="31"/>
  <c r="G11" i="54" s="1"/>
  <c r="AC343" i="27"/>
  <c r="AC47" i="28" s="1"/>
  <c r="AC88" i="28"/>
  <c r="AC199" i="28" s="1"/>
  <c r="AD342" i="27"/>
  <c r="AD340" i="27" s="1"/>
  <c r="AF425" i="27"/>
  <c r="J38" i="41" s="1"/>
  <c r="AE110" i="1"/>
  <c r="AD111" i="1"/>
  <c r="AE122" i="1"/>
  <c r="AD123" i="1"/>
  <c r="AD124" i="1" s="1"/>
  <c r="AG119" i="1"/>
  <c r="AF120" i="1"/>
  <c r="AF113" i="1"/>
  <c r="AE114" i="1"/>
  <c r="AE115" i="1" s="1"/>
  <c r="AC68" i="27"/>
  <c r="AC93" i="28" s="1"/>
  <c r="AB69" i="27"/>
  <c r="AF435" i="27"/>
  <c r="AG31" i="31" s="1"/>
  <c r="AE9" i="28"/>
  <c r="AC103" i="27"/>
  <c r="AB104" i="28"/>
  <c r="H24" i="46" s="1"/>
  <c r="AE333" i="27"/>
  <c r="AF332" i="27"/>
  <c r="AF330" i="27" s="1"/>
  <c r="AE363" i="27"/>
  <c r="AF362" i="27"/>
  <c r="AF360" i="27" s="1"/>
  <c r="AF85" i="28" s="1"/>
  <c r="I5" i="46" s="1"/>
  <c r="AH2" i="32"/>
  <c r="AH2" i="31"/>
  <c r="AH2" i="28"/>
  <c r="AH197" i="28" s="1"/>
  <c r="AH2" i="27"/>
  <c r="AH140" i="27" s="1"/>
  <c r="AH2" i="1"/>
  <c r="AI36" i="1"/>
  <c r="AH352" i="27"/>
  <c r="AH373" i="27"/>
  <c r="AH374" i="27" s="1"/>
  <c r="AH337" i="27"/>
  <c r="AH377" i="27"/>
  <c r="AH347" i="27"/>
  <c r="AH368" i="27"/>
  <c r="AH369" i="27" s="1"/>
  <c r="AH357" i="27"/>
  <c r="AG419" i="27"/>
  <c r="AG420" i="27"/>
  <c r="AG421" i="27"/>
  <c r="AG125" i="27" s="1"/>
  <c r="AG424" i="27"/>
  <c r="AG127" i="27" s="1"/>
  <c r="AG422" i="27"/>
  <c r="AG423" i="27"/>
  <c r="AG126" i="27" s="1"/>
  <c r="AG301" i="27"/>
  <c r="AG289" i="27"/>
  <c r="AG260" i="27"/>
  <c r="AG269" i="27"/>
  <c r="AA151" i="1"/>
  <c r="AE171" i="1"/>
  <c r="W241" i="31"/>
  <c r="W240" i="31" s="1"/>
  <c r="W62" i="31" s="1"/>
  <c r="X168" i="31"/>
  <c r="X229" i="31" s="1"/>
  <c r="X239" i="31" s="1"/>
  <c r="AA477" i="27"/>
  <c r="AB478" i="27" s="1"/>
  <c r="AA133" i="27"/>
  <c r="W161" i="31"/>
  <c r="Z158" i="31"/>
  <c r="Z154" i="31" s="1"/>
  <c r="Z50" i="31" s="1"/>
  <c r="AA98" i="1"/>
  <c r="AA97" i="1" s="1"/>
  <c r="X62" i="23"/>
  <c r="X68" i="23"/>
  <c r="Y62" i="23"/>
  <c r="Y68" i="23"/>
  <c r="AA82" i="31"/>
  <c r="AA305" i="27"/>
  <c r="AB222" i="1"/>
  <c r="AA144" i="27"/>
  <c r="AA247" i="27"/>
  <c r="AB33" i="31"/>
  <c r="AB27" i="31"/>
  <c r="AC28" i="31" s="1"/>
  <c r="AB273" i="27"/>
  <c r="AA47" i="31"/>
  <c r="AA48" i="31" s="1"/>
  <c r="AA155" i="31"/>
  <c r="Z49" i="31"/>
  <c r="AA182" i="27"/>
  <c r="AA197" i="27"/>
  <c r="AB198" i="27" s="1"/>
  <c r="AA156" i="31"/>
  <c r="AA44" i="32"/>
  <c r="AA79" i="32"/>
  <c r="AA221" i="31"/>
  <c r="AA213" i="31"/>
  <c r="AA151" i="31"/>
  <c r="AA173" i="31"/>
  <c r="AA71" i="31"/>
  <c r="AA141" i="31"/>
  <c r="AN183" i="1"/>
  <c r="AE160" i="1"/>
  <c r="AE163" i="1"/>
  <c r="AE162" i="1"/>
  <c r="AE161" i="1"/>
  <c r="AA83" i="1"/>
  <c r="AA82" i="1" s="1"/>
  <c r="AA88" i="1"/>
  <c r="AA87" i="1" s="1"/>
  <c r="AA78" i="1"/>
  <c r="AA77" i="1" s="1"/>
  <c r="AA6" i="31"/>
  <c r="AA1" i="32"/>
  <c r="AA1" i="31"/>
  <c r="AA6" i="32"/>
  <c r="AO190" i="1"/>
  <c r="AA77" i="27"/>
  <c r="AA64" i="27"/>
  <c r="AB148" i="1"/>
  <c r="I14" i="35" s="1"/>
  <c r="AA1" i="28"/>
  <c r="AA1" i="27"/>
  <c r="AA328" i="27"/>
  <c r="AA169" i="27"/>
  <c r="AA237" i="27"/>
  <c r="AA107" i="27"/>
  <c r="AA387" i="27"/>
  <c r="AA509" i="27"/>
  <c r="AA554" i="27"/>
  <c r="AA658" i="27"/>
  <c r="AA267" i="28"/>
  <c r="AA207" i="28"/>
  <c r="AA348" i="28"/>
  <c r="AA307" i="28"/>
  <c r="AA154" i="28"/>
  <c r="AA81" i="28"/>
  <c r="AA43" i="28"/>
  <c r="AA4" i="28"/>
  <c r="AA119" i="28"/>
  <c r="AA164" i="1"/>
  <c r="Y57" i="23"/>
  <c r="Y80" i="23"/>
  <c r="X57" i="23"/>
  <c r="X80" i="23"/>
  <c r="AE37" i="1"/>
  <c r="AD45" i="1"/>
  <c r="AD43" i="1"/>
  <c r="AD44" i="1"/>
  <c r="AD46" i="1"/>
  <c r="AD38" i="1"/>
  <c r="AD55" i="1" s="1"/>
  <c r="AC159" i="1"/>
  <c r="AC148" i="1"/>
  <c r="AC145" i="1"/>
  <c r="AC136" i="1"/>
  <c r="AC144" i="1"/>
  <c r="AC172" i="1"/>
  <c r="AC114" i="32"/>
  <c r="AA231" i="1"/>
  <c r="AA34" i="1"/>
  <c r="AB114" i="32"/>
  <c r="AB144" i="1"/>
  <c r="AB145" i="1"/>
  <c r="AB172" i="1"/>
  <c r="I35" i="35" s="1"/>
  <c r="AB136" i="1"/>
  <c r="AB159" i="1"/>
  <c r="I23" i="35" s="1"/>
  <c r="AA208" i="1"/>
  <c r="AA60" i="1"/>
  <c r="AA130" i="1"/>
  <c r="AA6" i="1"/>
  <c r="AA146" i="1"/>
  <c r="AA1" i="1"/>
  <c r="AN186" i="1" l="1"/>
  <c r="L44" i="35"/>
  <c r="AC124" i="31"/>
  <c r="I6" i="37"/>
  <c r="AB703" i="27"/>
  <c r="AI48" i="1"/>
  <c r="AI51" i="1"/>
  <c r="AI50" i="1"/>
  <c r="AI49" i="1"/>
  <c r="AC95" i="31"/>
  <c r="AC120" i="31"/>
  <c r="AC94" i="31"/>
  <c r="AA118" i="27"/>
  <c r="AB157" i="31"/>
  <c r="AB145" i="27"/>
  <c r="AB306" i="27"/>
  <c r="T522" i="27"/>
  <c r="AB83" i="31"/>
  <c r="AB265" i="27"/>
  <c r="AB120" i="27"/>
  <c r="AB121" i="27" s="1"/>
  <c r="AB115" i="27" s="1"/>
  <c r="AB118" i="27" s="1"/>
  <c r="AB294" i="27"/>
  <c r="X116" i="27"/>
  <c r="H8" i="38" s="1"/>
  <c r="G3" i="56"/>
  <c r="AB256" i="27"/>
  <c r="AB34" i="31"/>
  <c r="AC34" i="31" s="1"/>
  <c r="AB183" i="27"/>
  <c r="AC274" i="27"/>
  <c r="AB134" i="27"/>
  <c r="G49" i="40"/>
  <c r="U225" i="27"/>
  <c r="AH358" i="27"/>
  <c r="AH355" i="27"/>
  <c r="AH348" i="27"/>
  <c r="AH345" i="27"/>
  <c r="AH353" i="27"/>
  <c r="AH350" i="27"/>
  <c r="AD101" i="1"/>
  <c r="AD96" i="1"/>
  <c r="AD91" i="1"/>
  <c r="AD86" i="1"/>
  <c r="AD81" i="1"/>
  <c r="AD76" i="1"/>
  <c r="AD65" i="1"/>
  <c r="AB248" i="27"/>
  <c r="W166" i="31"/>
  <c r="W228" i="31" s="1"/>
  <c r="W242" i="31" s="1"/>
  <c r="W63" i="31" s="1"/>
  <c r="AH378" i="27"/>
  <c r="AH60" i="28" s="1"/>
  <c r="AH376" i="27"/>
  <c r="Q134" i="32"/>
  <c r="G6" i="61"/>
  <c r="Y13" i="32"/>
  <c r="Y118" i="27"/>
  <c r="Y116" i="27" s="1"/>
  <c r="Z25" i="31"/>
  <c r="AA73" i="31" s="1"/>
  <c r="AA96" i="31" s="1"/>
  <c r="AA101" i="31" s="1"/>
  <c r="T37" i="31"/>
  <c r="G16" i="45"/>
  <c r="G43" i="40"/>
  <c r="I22" i="51"/>
  <c r="J48" i="41"/>
  <c r="H19" i="57"/>
  <c r="H9" i="57"/>
  <c r="I10" i="35"/>
  <c r="U667" i="27"/>
  <c r="AB462" i="27"/>
  <c r="AB409" i="27"/>
  <c r="AB302" i="27"/>
  <c r="AB290" i="27"/>
  <c r="AB278" i="27"/>
  <c r="AB270" i="27"/>
  <c r="AB261" i="27"/>
  <c r="AB252" i="27"/>
  <c r="AB244" i="27"/>
  <c r="AB151" i="27"/>
  <c r="AB142" i="27"/>
  <c r="AB131" i="27"/>
  <c r="AB117" i="27"/>
  <c r="AC462" i="27"/>
  <c r="AC409" i="27"/>
  <c r="AC302" i="27"/>
  <c r="AC290" i="27"/>
  <c r="AC278" i="27"/>
  <c r="AC270" i="27"/>
  <c r="AC261" i="27"/>
  <c r="AC252" i="27"/>
  <c r="AC244" i="27"/>
  <c r="AC151" i="27"/>
  <c r="AC142" i="27"/>
  <c r="AC131" i="27"/>
  <c r="AC117" i="27"/>
  <c r="AH338" i="27"/>
  <c r="AH335" i="27"/>
  <c r="W271" i="27"/>
  <c r="G23" i="40"/>
  <c r="AG378" i="27"/>
  <c r="AG60" i="28" s="1"/>
  <c r="AG376" i="27"/>
  <c r="G26" i="39"/>
  <c r="H12" i="41"/>
  <c r="H432" i="23" s="1"/>
  <c r="I432" i="23" s="1"/>
  <c r="I26" i="51"/>
  <c r="G16" i="54"/>
  <c r="I5" i="35"/>
  <c r="AC101" i="1"/>
  <c r="AC33" i="31" s="1"/>
  <c r="AC96" i="1"/>
  <c r="AC98" i="1" s="1"/>
  <c r="AC91" i="1"/>
  <c r="AC281" i="27" s="1"/>
  <c r="AC86" i="1"/>
  <c r="AC81" i="1"/>
  <c r="AC83" i="1" s="1"/>
  <c r="AC76" i="1"/>
  <c r="AC65" i="1"/>
  <c r="AC119" i="27" s="1"/>
  <c r="H24" i="40"/>
  <c r="H13" i="57"/>
  <c r="H7" i="59"/>
  <c r="I11" i="35"/>
  <c r="W63" i="28"/>
  <c r="V229" i="28"/>
  <c r="V252" i="28" s="1"/>
  <c r="U223" i="27"/>
  <c r="W483" i="27"/>
  <c r="W482" i="27" s="1"/>
  <c r="W498" i="27" s="1"/>
  <c r="V499" i="27"/>
  <c r="X323" i="27"/>
  <c r="U224" i="27"/>
  <c r="U501" i="27"/>
  <c r="U226" i="27"/>
  <c r="W217" i="27"/>
  <c r="W227" i="27"/>
  <c r="W230" i="27" s="1"/>
  <c r="W683" i="27" s="1"/>
  <c r="V670" i="27"/>
  <c r="Z178" i="27"/>
  <c r="Z204" i="27" s="1"/>
  <c r="Z177" i="27"/>
  <c r="Z203" i="27" s="1"/>
  <c r="Z180" i="27"/>
  <c r="Z206" i="27" s="1"/>
  <c r="Z179" i="27"/>
  <c r="Z205" i="27" s="1"/>
  <c r="AA116" i="27"/>
  <c r="X201" i="27"/>
  <c r="X208" i="27" s="1"/>
  <c r="X451" i="27"/>
  <c r="X496" i="27" s="1"/>
  <c r="X667" i="27" s="1"/>
  <c r="X493" i="27"/>
  <c r="AF494" i="27"/>
  <c r="J86" i="41" s="1"/>
  <c r="X463" i="27"/>
  <c r="X472" i="27" s="1"/>
  <c r="H77" i="41" s="1"/>
  <c r="W500" i="27"/>
  <c r="Z141" i="27"/>
  <c r="X228" i="27"/>
  <c r="W12" i="28"/>
  <c r="Z202" i="27"/>
  <c r="Z193" i="31"/>
  <c r="AC151" i="1"/>
  <c r="AD116" i="31"/>
  <c r="AD91" i="31"/>
  <c r="AD92" i="31"/>
  <c r="AD117" i="31"/>
  <c r="AD118" i="31"/>
  <c r="AD93" i="31"/>
  <c r="AD119" i="31"/>
  <c r="AD94" i="31"/>
  <c r="AD95" i="31"/>
  <c r="AD120" i="31"/>
  <c r="AD96" i="31"/>
  <c r="AD122" i="31"/>
  <c r="AD123" i="31"/>
  <c r="AD98" i="31"/>
  <c r="AD124" i="31"/>
  <c r="AD99" i="31"/>
  <c r="AD100" i="31"/>
  <c r="AF121" i="1"/>
  <c r="AF118" i="1"/>
  <c r="AD112" i="1"/>
  <c r="AD109" i="1"/>
  <c r="AQ192" i="1"/>
  <c r="AR193" i="1"/>
  <c r="M51" i="35" s="1"/>
  <c r="Z194" i="31"/>
  <c r="Z190" i="31"/>
  <c r="Z191" i="31"/>
  <c r="Z192" i="31"/>
  <c r="AA29" i="31"/>
  <c r="Z195" i="31"/>
  <c r="AG277" i="27"/>
  <c r="AG124" i="27"/>
  <c r="AG128" i="27" s="1"/>
  <c r="AH281" i="28"/>
  <c r="AH322" i="28"/>
  <c r="Y26" i="31"/>
  <c r="Y215" i="31"/>
  <c r="P44" i="31"/>
  <c r="F35" i="51" s="1"/>
  <c r="Y189" i="31"/>
  <c r="X640" i="27"/>
  <c r="X626" i="27"/>
  <c r="X644" i="27"/>
  <c r="H72" i="43" s="1"/>
  <c r="X219" i="28"/>
  <c r="X18" i="32" s="1"/>
  <c r="X219" i="27"/>
  <c r="V230" i="27"/>
  <c r="V683" i="27" s="1"/>
  <c r="X598" i="27"/>
  <c r="Z266" i="27"/>
  <c r="Z263" i="27" s="1"/>
  <c r="Z262" i="27" s="1"/>
  <c r="Z199" i="27"/>
  <c r="Z190" i="27" s="1"/>
  <c r="Z191" i="27" s="1"/>
  <c r="X584" i="27"/>
  <c r="Z283" i="27"/>
  <c r="Z280" i="27" s="1"/>
  <c r="Z279" i="27" s="1"/>
  <c r="X570" i="27"/>
  <c r="X196" i="27"/>
  <c r="X215" i="27" s="1"/>
  <c r="X209" i="27" s="1"/>
  <c r="X216" i="27" s="1"/>
  <c r="X17" i="28" s="1"/>
  <c r="Z307" i="27"/>
  <c r="Z304" i="27" s="1"/>
  <c r="Z320" i="27" s="1"/>
  <c r="Z322" i="27" s="1"/>
  <c r="Z18" i="28" s="1"/>
  <c r="X92" i="27"/>
  <c r="AF128" i="27"/>
  <c r="Z431" i="27"/>
  <c r="Z432" i="27"/>
  <c r="Y431" i="27"/>
  <c r="Y432" i="27"/>
  <c r="Z429" i="27"/>
  <c r="Z430" i="27"/>
  <c r="Y429" i="27"/>
  <c r="Y430" i="27"/>
  <c r="Z428" i="27"/>
  <c r="Z427" i="27"/>
  <c r="Y428" i="27"/>
  <c r="Y427" i="27"/>
  <c r="Y394" i="27"/>
  <c r="AB153" i="27"/>
  <c r="AB700" i="27"/>
  <c r="AB701" i="27" s="1"/>
  <c r="Y275" i="27"/>
  <c r="Y272" i="27" s="1"/>
  <c r="AC273" i="27"/>
  <c r="X271" i="27"/>
  <c r="R38" i="31"/>
  <c r="AA155" i="27"/>
  <c r="Q42" i="31"/>
  <c r="Q44" i="31" s="1"/>
  <c r="P43" i="31"/>
  <c r="F34" i="51" s="1"/>
  <c r="AA135" i="27"/>
  <c r="Y395" i="27"/>
  <c r="Y233" i="31"/>
  <c r="O138" i="32"/>
  <c r="P123" i="32"/>
  <c r="F9" i="61" s="1"/>
  <c r="Q119" i="32"/>
  <c r="G5" i="61" s="1"/>
  <c r="Y397" i="27"/>
  <c r="Y164" i="31"/>
  <c r="U242" i="31"/>
  <c r="Y154" i="31"/>
  <c r="Y50" i="31" s="1"/>
  <c r="Y393" i="27"/>
  <c r="AA295" i="27"/>
  <c r="AA292" i="27" s="1"/>
  <c r="AA315" i="27" s="1"/>
  <c r="AA317" i="27" s="1"/>
  <c r="AA19" i="28" s="1"/>
  <c r="Y456" i="27"/>
  <c r="Y455" i="27"/>
  <c r="Y392" i="27"/>
  <c r="Y457" i="27"/>
  <c r="Y458" i="27"/>
  <c r="Y453" i="27"/>
  <c r="Y454" i="27"/>
  <c r="U482" i="27"/>
  <c r="Y246" i="27"/>
  <c r="Y280" i="27"/>
  <c r="U215" i="27"/>
  <c r="H433" i="23"/>
  <c r="I433" i="23" s="1"/>
  <c r="Y304" i="27"/>
  <c r="Y396" i="27"/>
  <c r="Y175" i="27"/>
  <c r="Y190" i="27"/>
  <c r="Y263" i="27"/>
  <c r="Q17" i="32"/>
  <c r="Q232" i="28"/>
  <c r="R233" i="28"/>
  <c r="G26" i="49" s="1"/>
  <c r="R236" i="28"/>
  <c r="G29" i="49" s="1"/>
  <c r="R234" i="28"/>
  <c r="G27" i="49" s="1"/>
  <c r="R235" i="28"/>
  <c r="G28" i="49" s="1"/>
  <c r="R684" i="27"/>
  <c r="R217" i="28" s="1"/>
  <c r="G10" i="49" s="1"/>
  <c r="U219" i="27"/>
  <c r="U219" i="28"/>
  <c r="U228" i="27"/>
  <c r="U232" i="27" s="1"/>
  <c r="U207" i="27"/>
  <c r="Y138" i="27"/>
  <c r="Y292" i="27"/>
  <c r="AA146" i="27"/>
  <c r="AA138" i="27" s="1"/>
  <c r="AA139" i="27" s="1"/>
  <c r="AA143" i="27" s="1"/>
  <c r="AA84" i="31"/>
  <c r="W228" i="28"/>
  <c r="W88" i="32" s="1"/>
  <c r="W18" i="32"/>
  <c r="AA257" i="27"/>
  <c r="Z291" i="27"/>
  <c r="Z316" i="27" s="1"/>
  <c r="Z314" i="27" s="1"/>
  <c r="Z393" i="27"/>
  <c r="Z454" i="27"/>
  <c r="Z579" i="27" s="1"/>
  <c r="Z457" i="27"/>
  <c r="Z565" i="27" s="1"/>
  <c r="Z396" i="27"/>
  <c r="Z455" i="27"/>
  <c r="Z593" i="27" s="1"/>
  <c r="Z392" i="27"/>
  <c r="Z84" i="27" s="1"/>
  <c r="Z92" i="27" s="1"/>
  <c r="Z395" i="27"/>
  <c r="Z607" i="27" s="1"/>
  <c r="AA479" i="27"/>
  <c r="W231" i="28"/>
  <c r="AA184" i="27"/>
  <c r="AA175" i="27" s="1"/>
  <c r="AA176" i="27" s="1"/>
  <c r="Z458" i="27"/>
  <c r="Z394" i="27"/>
  <c r="Z621" i="27" s="1"/>
  <c r="Z456" i="27"/>
  <c r="Z397" i="27"/>
  <c r="Z453" i="27"/>
  <c r="W232" i="27"/>
  <c r="W48" i="28" s="1"/>
  <c r="V59" i="28"/>
  <c r="V37" i="31" s="1"/>
  <c r="AC93" i="1"/>
  <c r="AB93" i="1"/>
  <c r="AB92" i="1" s="1"/>
  <c r="H20" i="34" s="1" a="1"/>
  <c r="H20" i="34" s="1"/>
  <c r="AB281" i="27"/>
  <c r="AC282" i="27" s="1"/>
  <c r="AC293" i="27"/>
  <c r="AB264" i="27"/>
  <c r="AA249" i="27"/>
  <c r="AA246" i="27" s="1"/>
  <c r="AA245" i="27" s="1"/>
  <c r="Y75" i="31"/>
  <c r="Y120" i="31"/>
  <c r="X161" i="31"/>
  <c r="G9" i="54" s="1"/>
  <c r="Z159" i="31"/>
  <c r="Z164" i="31" s="1"/>
  <c r="Z74" i="31"/>
  <c r="AB305" i="27"/>
  <c r="X241" i="31"/>
  <c r="X240" i="31" s="1"/>
  <c r="X62" i="31" s="1"/>
  <c r="AG425" i="27"/>
  <c r="AI2" i="31"/>
  <c r="AI2" i="32"/>
  <c r="AI2" i="27"/>
  <c r="AI140" i="27" s="1"/>
  <c r="AI2" i="28"/>
  <c r="AI197" i="28" s="1"/>
  <c r="AI2" i="1"/>
  <c r="AJ36" i="1"/>
  <c r="AI347" i="27"/>
  <c r="AI377" i="27"/>
  <c r="AI373" i="27"/>
  <c r="AI374" i="27" s="1"/>
  <c r="AI357" i="27"/>
  <c r="AI355" i="27" s="1"/>
  <c r="AI368" i="27"/>
  <c r="AI369" i="27" s="1"/>
  <c r="AI352" i="27"/>
  <c r="AI337" i="27"/>
  <c r="AI358" i="27"/>
  <c r="AH419" i="27"/>
  <c r="AH421" i="27"/>
  <c r="AH125" i="27" s="1"/>
  <c r="AH424" i="27"/>
  <c r="AH127" i="27" s="1"/>
  <c r="AH423" i="27"/>
  <c r="AH126" i="27" s="1"/>
  <c r="AH422" i="27"/>
  <c r="AH420" i="27"/>
  <c r="AH301" i="27"/>
  <c r="AH289" i="27"/>
  <c r="AH260" i="27"/>
  <c r="AH269" i="27"/>
  <c r="AH102" i="27"/>
  <c r="AI102" i="27" s="1"/>
  <c r="AF333" i="27"/>
  <c r="AG332" i="27"/>
  <c r="AG330" i="27" s="1"/>
  <c r="AD103" i="27"/>
  <c r="AC104" i="28"/>
  <c r="AG113" i="1"/>
  <c r="AF114" i="1"/>
  <c r="AF115" i="1" s="1"/>
  <c r="AF122" i="1"/>
  <c r="AE123" i="1"/>
  <c r="AE124" i="1" s="1"/>
  <c r="AF110" i="1"/>
  <c r="AE111" i="1"/>
  <c r="AD343" i="27"/>
  <c r="AD47" i="28" s="1"/>
  <c r="AD88" i="28"/>
  <c r="AD199" i="28" s="1"/>
  <c r="AE342" i="27"/>
  <c r="AG435" i="27"/>
  <c r="AF363" i="27"/>
  <c r="AG362" i="27"/>
  <c r="AG360" i="27" s="1"/>
  <c r="AG85" i="28" s="1"/>
  <c r="AF9" i="28"/>
  <c r="J6" i="44" s="1"/>
  <c r="AD68" i="27"/>
  <c r="AD93" i="28" s="1"/>
  <c r="AC69" i="27"/>
  <c r="AH119" i="1"/>
  <c r="AG120" i="1"/>
  <c r="AH113" i="28"/>
  <c r="AI113" i="28" s="1"/>
  <c r="AB151" i="1"/>
  <c r="I16" i="35" s="1"/>
  <c r="AB144" i="27"/>
  <c r="AF171" i="1"/>
  <c r="J34" i="35" s="1"/>
  <c r="AA158" i="31"/>
  <c r="AA154" i="31" s="1"/>
  <c r="AA50" i="31" s="1"/>
  <c r="AB477" i="27"/>
  <c r="AC478" i="27" s="1"/>
  <c r="AB133" i="27"/>
  <c r="Y162" i="31"/>
  <c r="Y168" i="31"/>
  <c r="Y165" i="31"/>
  <c r="Y163" i="31"/>
  <c r="AB98" i="1"/>
  <c r="AB97" i="1" s="1"/>
  <c r="H24" i="34" s="1" a="1"/>
  <c r="H24" i="34" s="1"/>
  <c r="Z62" i="23"/>
  <c r="Z68" i="23"/>
  <c r="AC82" i="31"/>
  <c r="AB82" i="31"/>
  <c r="AC305" i="27"/>
  <c r="AB293" i="27"/>
  <c r="AC222" i="1"/>
  <c r="AC255" i="27"/>
  <c r="AB247" i="27"/>
  <c r="AC248" i="27" s="1"/>
  <c r="AC71" i="1"/>
  <c r="AB71" i="1"/>
  <c r="AB73" i="1" s="1"/>
  <c r="AB72" i="1" s="1"/>
  <c r="H4" i="34" s="1" a="1"/>
  <c r="H4" i="34" s="1"/>
  <c r="AB67" i="1"/>
  <c r="AB66" i="1" s="1"/>
  <c r="AB119" i="27"/>
  <c r="AB103" i="1"/>
  <c r="AB102" i="1" s="1"/>
  <c r="H28" i="34" s="1" a="1"/>
  <c r="H28" i="34" s="1"/>
  <c r="AC247" i="27"/>
  <c r="AB255" i="27"/>
  <c r="AD27" i="31"/>
  <c r="AD273" i="27"/>
  <c r="AD153" i="27"/>
  <c r="AA49" i="31"/>
  <c r="AC182" i="27"/>
  <c r="AC197" i="27"/>
  <c r="AC156" i="31"/>
  <c r="AB155" i="31"/>
  <c r="H5" i="54" s="1"/>
  <c r="AB47" i="31"/>
  <c r="I38" i="51" s="1"/>
  <c r="AC155" i="31"/>
  <c r="AC47" i="31"/>
  <c r="AC48" i="31" s="1"/>
  <c r="AB182" i="27"/>
  <c r="AB197" i="27"/>
  <c r="AC198" i="27" s="1"/>
  <c r="AB156" i="31"/>
  <c r="AB44" i="32"/>
  <c r="AB79" i="32"/>
  <c r="AC44" i="32"/>
  <c r="AC79" i="32"/>
  <c r="AC221" i="31"/>
  <c r="AC213" i="31"/>
  <c r="AB221" i="31"/>
  <c r="AB213" i="31"/>
  <c r="AB151" i="31"/>
  <c r="AB173" i="31"/>
  <c r="AC151" i="31"/>
  <c r="AC173" i="31"/>
  <c r="AB71" i="31"/>
  <c r="AB141" i="31"/>
  <c r="AC71" i="31"/>
  <c r="AC141" i="31"/>
  <c r="AO183" i="1"/>
  <c r="AF162" i="1"/>
  <c r="J26" i="35" s="1"/>
  <c r="AF160" i="1"/>
  <c r="J24" i="35" s="1"/>
  <c r="AF161" i="1"/>
  <c r="J25" i="35" s="1"/>
  <c r="AF163" i="1"/>
  <c r="J27" i="35" s="1"/>
  <c r="AC78" i="1"/>
  <c r="AB78" i="1"/>
  <c r="AB77" i="1" s="1"/>
  <c r="H8" i="34" s="1" a="1"/>
  <c r="H8" i="34" s="1"/>
  <c r="AB88" i="1"/>
  <c r="AB87" i="1" s="1"/>
  <c r="H16" i="34" s="1" a="1"/>
  <c r="H16" i="34" s="1"/>
  <c r="AC88" i="1"/>
  <c r="AB83" i="1"/>
  <c r="AB82" i="1" s="1"/>
  <c r="H12" i="34" s="1" a="1"/>
  <c r="H12" i="34" s="1"/>
  <c r="AB6" i="31"/>
  <c r="AC6" i="31"/>
  <c r="AB1" i="32"/>
  <c r="AB1" i="31"/>
  <c r="AB6" i="32"/>
  <c r="AC1" i="32"/>
  <c r="AC1" i="31"/>
  <c r="AC6" i="32"/>
  <c r="AP190" i="1"/>
  <c r="AC77" i="27"/>
  <c r="AC64" i="27"/>
  <c r="AB77" i="27"/>
  <c r="AB64" i="27"/>
  <c r="AC164" i="1"/>
  <c r="AB164" i="1"/>
  <c r="I28" i="35" s="1"/>
  <c r="AB1" i="28"/>
  <c r="AB1" i="27"/>
  <c r="AB107" i="27"/>
  <c r="AB387" i="27"/>
  <c r="AB554" i="27"/>
  <c r="AB658" i="27"/>
  <c r="AB169" i="27"/>
  <c r="AB509" i="27"/>
  <c r="AB237" i="27"/>
  <c r="AB328" i="27"/>
  <c r="AB348" i="28"/>
  <c r="AB307" i="28"/>
  <c r="AB267" i="28"/>
  <c r="AB207" i="28"/>
  <c r="AB119" i="28"/>
  <c r="AB154" i="28"/>
  <c r="AB43" i="28"/>
  <c r="AB4" i="28"/>
  <c r="AB81" i="28"/>
  <c r="AC1" i="28"/>
  <c r="AC1" i="27"/>
  <c r="AC237" i="27"/>
  <c r="AC107" i="27"/>
  <c r="AC387" i="27"/>
  <c r="AC509" i="27"/>
  <c r="AC554" i="27"/>
  <c r="AC658" i="27"/>
  <c r="AC328" i="27"/>
  <c r="AC169" i="27"/>
  <c r="AC267" i="28"/>
  <c r="AC207" i="28"/>
  <c r="AC348" i="28"/>
  <c r="AC307" i="28"/>
  <c r="AC154" i="28"/>
  <c r="AC81" i="28"/>
  <c r="AC43" i="28"/>
  <c r="AC4" i="28"/>
  <c r="AC119" i="28"/>
  <c r="Z57" i="23"/>
  <c r="Z80" i="23"/>
  <c r="AC34" i="1"/>
  <c r="AC208" i="1"/>
  <c r="AC60" i="1"/>
  <c r="AC6" i="1"/>
  <c r="AC130" i="1"/>
  <c r="AC1" i="1"/>
  <c r="AC146" i="1"/>
  <c r="AF37" i="1"/>
  <c r="AE45" i="1"/>
  <c r="AE43" i="1"/>
  <c r="AE46" i="1"/>
  <c r="AE38" i="1"/>
  <c r="AE55" i="1" s="1"/>
  <c r="AE44" i="1"/>
  <c r="AD159" i="1"/>
  <c r="AD148" i="1"/>
  <c r="AD145" i="1"/>
  <c r="AD136" i="1"/>
  <c r="AD172" i="1"/>
  <c r="AD144" i="1"/>
  <c r="AD114" i="32"/>
  <c r="AB231" i="1"/>
  <c r="AB34" i="1"/>
  <c r="AB208" i="1"/>
  <c r="AB60" i="1"/>
  <c r="AB130" i="1"/>
  <c r="AB6" i="1"/>
  <c r="AB1" i="1"/>
  <c r="AB146" i="1"/>
  <c r="I12" i="35" s="1"/>
  <c r="AC103" i="1" l="1"/>
  <c r="AC703" i="27"/>
  <c r="AC700" i="27" s="1"/>
  <c r="AC120" i="27"/>
  <c r="AC27" i="31"/>
  <c r="AJ48" i="1"/>
  <c r="AJ50" i="1"/>
  <c r="AJ49" i="1"/>
  <c r="AJ51" i="1"/>
  <c r="AC133" i="27"/>
  <c r="AC145" i="27"/>
  <c r="AC157" i="31"/>
  <c r="AC83" i="31"/>
  <c r="AD83" i="31" s="1"/>
  <c r="AC306" i="27"/>
  <c r="AD306" i="27" s="1"/>
  <c r="G23" i="39"/>
  <c r="AC264" i="27"/>
  <c r="AC144" i="27"/>
  <c r="AC477" i="27"/>
  <c r="AC67" i="1"/>
  <c r="AC294" i="27"/>
  <c r="AD294" i="27" s="1"/>
  <c r="AC265" i="27"/>
  <c r="AD265" i="27" s="1"/>
  <c r="AC183" i="27"/>
  <c r="AD183" i="27" s="1"/>
  <c r="AC256" i="27"/>
  <c r="AD256" i="27" s="1"/>
  <c r="AC134" i="27"/>
  <c r="AD134" i="27" s="1"/>
  <c r="AB35" i="31"/>
  <c r="Z26" i="31"/>
  <c r="Z215" i="31"/>
  <c r="AA216" i="31" s="1"/>
  <c r="AA224" i="31" s="1"/>
  <c r="AA233" i="31" s="1"/>
  <c r="AA51" i="32" s="1"/>
  <c r="U227" i="27"/>
  <c r="AD151" i="1"/>
  <c r="AD462" i="27"/>
  <c r="AD409" i="27"/>
  <c r="AD302" i="27"/>
  <c r="AD290" i="27"/>
  <c r="AD278" i="27"/>
  <c r="AD270" i="27"/>
  <c r="AD261" i="27"/>
  <c r="AD252" i="27"/>
  <c r="AD244" i="27"/>
  <c r="AD151" i="27"/>
  <c r="AD142" i="27"/>
  <c r="AD131" i="27"/>
  <c r="AD117" i="27"/>
  <c r="AE101" i="1"/>
  <c r="AE96" i="1"/>
  <c r="AE91" i="1"/>
  <c r="AE86" i="1"/>
  <c r="AE81" i="1"/>
  <c r="AE76" i="1"/>
  <c r="AE65" i="1"/>
  <c r="AD157" i="31"/>
  <c r="AD145" i="27"/>
  <c r="AD478" i="27"/>
  <c r="AE343" i="27"/>
  <c r="AE47" i="28" s="1"/>
  <c r="AE340" i="27"/>
  <c r="AI353" i="27"/>
  <c r="AI350" i="27"/>
  <c r="AI378" i="27"/>
  <c r="AI60" i="28" s="1"/>
  <c r="AI376" i="27"/>
  <c r="Y579" i="27"/>
  <c r="Y584" i="27" s="1"/>
  <c r="Y84" i="27"/>
  <c r="Y92" i="27" s="1"/>
  <c r="Y51" i="32"/>
  <c r="AD34" i="31"/>
  <c r="Y271" i="27"/>
  <c r="AD28" i="31"/>
  <c r="AE28" i="31" s="1"/>
  <c r="Y621" i="27"/>
  <c r="Y626" i="27" s="1"/>
  <c r="AA25" i="31"/>
  <c r="AB73" i="31" s="1"/>
  <c r="H37" i="40"/>
  <c r="I82" i="41"/>
  <c r="AD120" i="27"/>
  <c r="H9" i="39"/>
  <c r="G22" i="40"/>
  <c r="H53" i="51"/>
  <c r="H45" i="40"/>
  <c r="H19" i="40"/>
  <c r="H17" i="39"/>
  <c r="I10" i="38"/>
  <c r="H6" i="54"/>
  <c r="T41" i="31"/>
  <c r="G28" i="51"/>
  <c r="I7" i="38"/>
  <c r="AD198" i="27"/>
  <c r="AD248" i="27"/>
  <c r="AH31" i="31"/>
  <c r="AI338" i="27"/>
  <c r="AI335" i="27"/>
  <c r="AI348" i="27"/>
  <c r="AI345" i="27"/>
  <c r="X166" i="31"/>
  <c r="X228" i="31" s="1"/>
  <c r="AD282" i="27"/>
  <c r="H12" i="49"/>
  <c r="U498" i="27"/>
  <c r="Y565" i="27"/>
  <c r="Y570" i="27" s="1"/>
  <c r="Y593" i="27"/>
  <c r="Y607" i="27"/>
  <c r="AD274" i="27"/>
  <c r="AE274" i="27" s="1"/>
  <c r="AC154" i="27"/>
  <c r="I35" i="38"/>
  <c r="Z216" i="31"/>
  <c r="U500" i="27"/>
  <c r="H59" i="41"/>
  <c r="H3" i="34"/>
  <c r="I29" i="38"/>
  <c r="AC153" i="27"/>
  <c r="H20" i="57"/>
  <c r="I21" i="38"/>
  <c r="H88" i="41"/>
  <c r="H29" i="40"/>
  <c r="H14" i="40"/>
  <c r="H21" i="57"/>
  <c r="I12" i="52"/>
  <c r="I9" i="38"/>
  <c r="H9" i="40"/>
  <c r="X63" i="28"/>
  <c r="H20" i="45" s="1"/>
  <c r="V120" i="32"/>
  <c r="X232" i="27"/>
  <c r="X48" i="28" s="1"/>
  <c r="X367" i="27"/>
  <c r="X365" i="27" s="1"/>
  <c r="X102" i="28" s="1"/>
  <c r="G22" i="46" s="1"/>
  <c r="X490" i="27"/>
  <c r="X501" i="27" s="1"/>
  <c r="H92" i="41" s="1"/>
  <c r="X483" i="27"/>
  <c r="U499" i="27"/>
  <c r="W499" i="27"/>
  <c r="Z318" i="27"/>
  <c r="X217" i="27"/>
  <c r="X227" i="27"/>
  <c r="X682" i="27" s="1"/>
  <c r="AA178" i="27"/>
  <c r="AA204" i="27" s="1"/>
  <c r="AA177" i="27"/>
  <c r="AA203" i="27" s="1"/>
  <c r="Z193" i="27"/>
  <c r="Z212" i="27" s="1"/>
  <c r="Z224" i="27" s="1"/>
  <c r="Z192" i="27"/>
  <c r="Z211" i="27" s="1"/>
  <c r="Z223" i="27" s="1"/>
  <c r="AA180" i="27"/>
  <c r="AA206" i="27" s="1"/>
  <c r="AA179" i="27"/>
  <c r="AA205" i="27" s="1"/>
  <c r="Z195" i="27"/>
  <c r="Z214" i="27" s="1"/>
  <c r="Z226" i="27" s="1"/>
  <c r="Z194" i="27"/>
  <c r="Z213" i="27" s="1"/>
  <c r="Z225" i="27" s="1"/>
  <c r="W670" i="27"/>
  <c r="AB116" i="27"/>
  <c r="I8" i="38" s="1"/>
  <c r="AG494" i="27"/>
  <c r="AA141" i="27"/>
  <c r="X12" i="28"/>
  <c r="AA195" i="31"/>
  <c r="AE116" i="31"/>
  <c r="AE91" i="31"/>
  <c r="AE92" i="31"/>
  <c r="AE117" i="31"/>
  <c r="AE118" i="31"/>
  <c r="AE93" i="31"/>
  <c r="AE119" i="31"/>
  <c r="AE94" i="31"/>
  <c r="AE120" i="31"/>
  <c r="AE95" i="31"/>
  <c r="AE96" i="31"/>
  <c r="AE122" i="31"/>
  <c r="AE123" i="31"/>
  <c r="AE98" i="31"/>
  <c r="AE124" i="31"/>
  <c r="AE99" i="31"/>
  <c r="AE100" i="31"/>
  <c r="AG121" i="1"/>
  <c r="AG118" i="1"/>
  <c r="AE112" i="1"/>
  <c r="AE109" i="1"/>
  <c r="AR192" i="1"/>
  <c r="M50" i="35" s="1"/>
  <c r="AA190" i="31"/>
  <c r="AA191" i="31"/>
  <c r="AA192" i="31"/>
  <c r="AA194" i="31"/>
  <c r="AA193" i="31"/>
  <c r="AB29" i="31"/>
  <c r="AB25" i="31" s="1"/>
  <c r="Z189" i="31"/>
  <c r="AH277" i="27"/>
  <c r="AH124" i="27"/>
  <c r="AH128" i="27" s="1"/>
  <c r="X228" i="28"/>
  <c r="X88" i="32" s="1"/>
  <c r="AI322" i="28"/>
  <c r="AI281" i="28"/>
  <c r="Z303" i="27"/>
  <c r="Z321" i="27" s="1"/>
  <c r="Z319" i="27" s="1"/>
  <c r="Z635" i="27"/>
  <c r="Z644" i="27" s="1"/>
  <c r="Y635" i="27"/>
  <c r="X231" i="28"/>
  <c r="X229" i="28" s="1"/>
  <c r="X252" i="28" s="1"/>
  <c r="W233" i="27"/>
  <c r="W233" i="28" s="1"/>
  <c r="Z210" i="27"/>
  <c r="Z222" i="27" s="1"/>
  <c r="AA283" i="27"/>
  <c r="AA280" i="27" s="1"/>
  <c r="AA279" i="27" s="1"/>
  <c r="AA266" i="27"/>
  <c r="AA263" i="27" s="1"/>
  <c r="AA262" i="27" s="1"/>
  <c r="W682" i="27"/>
  <c r="AA199" i="27"/>
  <c r="AA190" i="27" s="1"/>
  <c r="AA191" i="27" s="1"/>
  <c r="AA307" i="27"/>
  <c r="AA304" i="27" s="1"/>
  <c r="AA320" i="27" s="1"/>
  <c r="AA322" i="27" s="1"/>
  <c r="AA18" i="28" s="1"/>
  <c r="AA431" i="27"/>
  <c r="AA432" i="27"/>
  <c r="AA429" i="27"/>
  <c r="AA430" i="27"/>
  <c r="AA428" i="27"/>
  <c r="AA427" i="27"/>
  <c r="H434" i="23"/>
  <c r="S38" i="31"/>
  <c r="AC77" i="1"/>
  <c r="AO186" i="1"/>
  <c r="AC97" i="1"/>
  <c r="AC87" i="1"/>
  <c r="AC82" i="1"/>
  <c r="AC73" i="1"/>
  <c r="AC102" i="1"/>
  <c r="AC66" i="1"/>
  <c r="AC92" i="1"/>
  <c r="Z275" i="27"/>
  <c r="Z272" i="27" s="1"/>
  <c r="Z271" i="27" s="1"/>
  <c r="R42" i="31"/>
  <c r="R44" i="31" s="1"/>
  <c r="AB155" i="27"/>
  <c r="Q43" i="31"/>
  <c r="AB135" i="27"/>
  <c r="AA291" i="27"/>
  <c r="AA316" i="27" s="1"/>
  <c r="AA314" i="27" s="1"/>
  <c r="P138" i="32"/>
  <c r="Q123" i="32"/>
  <c r="AB48" i="31"/>
  <c r="I39" i="51" s="1"/>
  <c r="U63" i="31"/>
  <c r="Y229" i="31"/>
  <c r="AB146" i="27"/>
  <c r="AB138" i="27" s="1"/>
  <c r="I25" i="38" s="1"/>
  <c r="Y433" i="27"/>
  <c r="AB84" i="31"/>
  <c r="Y398" i="27"/>
  <c r="Y459" i="27"/>
  <c r="AB295" i="27"/>
  <c r="AB292" i="27" s="1"/>
  <c r="AB315" i="27" s="1"/>
  <c r="AB317" i="27" s="1"/>
  <c r="AB19" i="28" s="1"/>
  <c r="U48" i="28"/>
  <c r="U18" i="32"/>
  <c r="U231" i="28"/>
  <c r="U228" i="28"/>
  <c r="Q256" i="28"/>
  <c r="Y320" i="27"/>
  <c r="Y322" i="27" s="1"/>
  <c r="Y18" i="28" s="1"/>
  <c r="Y303" i="27"/>
  <c r="Y315" i="27"/>
  <c r="Y317" i="27" s="1"/>
  <c r="Y19" i="28" s="1"/>
  <c r="Y291" i="27"/>
  <c r="Y139" i="27"/>
  <c r="U201" i="27"/>
  <c r="U367" i="27"/>
  <c r="U365" i="27" s="1"/>
  <c r="U102" i="28" s="1"/>
  <c r="V232" i="27"/>
  <c r="V48" i="28" s="1"/>
  <c r="R17" i="32"/>
  <c r="G11" i="58" s="1"/>
  <c r="R232" i="28"/>
  <c r="R256" i="28" s="1"/>
  <c r="Y262" i="27"/>
  <c r="Y191" i="27"/>
  <c r="Y176" i="27"/>
  <c r="U209" i="27"/>
  <c r="Y279" i="27"/>
  <c r="Y245" i="27"/>
  <c r="U59" i="28"/>
  <c r="U670" i="27"/>
  <c r="W229" i="28"/>
  <c r="W252" i="28" s="1"/>
  <c r="W121" i="32"/>
  <c r="W59" i="28"/>
  <c r="W37" i="31" s="1"/>
  <c r="AB257" i="27"/>
  <c r="AA453" i="27"/>
  <c r="AA458" i="27"/>
  <c r="AA392" i="27"/>
  <c r="AA84" i="27" s="1"/>
  <c r="AB479" i="27"/>
  <c r="AA202" i="27"/>
  <c r="AA393" i="27"/>
  <c r="AA394" i="27"/>
  <c r="AA621" i="27" s="1"/>
  <c r="AA397" i="27"/>
  <c r="AA454" i="27"/>
  <c r="AA579" i="27" s="1"/>
  <c r="AA455" i="27"/>
  <c r="AA593" i="27" s="1"/>
  <c r="AA395" i="27"/>
  <c r="AA607" i="27" s="1"/>
  <c r="AA456" i="27"/>
  <c r="AA396" i="27"/>
  <c r="AA457" i="27"/>
  <c r="AA565" i="27" s="1"/>
  <c r="Z398" i="27"/>
  <c r="Z436" i="27" s="1"/>
  <c r="Z459" i="27"/>
  <c r="Z433" i="27"/>
  <c r="Z181" i="27"/>
  <c r="Z207" i="27" s="1"/>
  <c r="AB184" i="27"/>
  <c r="AB175" i="27" s="1"/>
  <c r="AB176" i="27" s="1"/>
  <c r="AD93" i="1"/>
  <c r="AD92" i="1" s="1"/>
  <c r="AD281" i="27"/>
  <c r="AD293" i="27"/>
  <c r="AB249" i="27"/>
  <c r="AB246" i="27" s="1"/>
  <c r="AB245" i="27" s="1"/>
  <c r="Z163" i="31"/>
  <c r="AD144" i="27"/>
  <c r="AD247" i="27"/>
  <c r="Y125" i="31"/>
  <c r="Z75" i="31"/>
  <c r="Z120" i="31"/>
  <c r="Z125" i="31" s="1"/>
  <c r="Z168" i="31"/>
  <c r="Z229" i="31" s="1"/>
  <c r="Z241" i="31" s="1"/>
  <c r="Z240" i="31" s="1"/>
  <c r="Z62" i="31" s="1"/>
  <c r="Z165" i="31"/>
  <c r="Z162" i="31"/>
  <c r="AD103" i="1"/>
  <c r="AD102" i="1" s="1"/>
  <c r="AD33" i="31"/>
  <c r="AA74" i="31"/>
  <c r="AC74" i="31"/>
  <c r="AC231" i="1"/>
  <c r="AD71" i="1"/>
  <c r="AD73" i="1" s="1"/>
  <c r="AD72" i="1" s="1"/>
  <c r="AD98" i="1"/>
  <c r="AD97" i="1" s="1"/>
  <c r="AG9" i="28"/>
  <c r="AG110" i="1"/>
  <c r="AF111" i="1"/>
  <c r="AG122" i="1"/>
  <c r="AF123" i="1"/>
  <c r="AF124" i="1" s="1"/>
  <c r="AE103" i="27"/>
  <c r="AD104" i="28"/>
  <c r="AG333" i="27"/>
  <c r="AH332" i="27"/>
  <c r="AH330" i="27" s="1"/>
  <c r="AH425" i="27"/>
  <c r="AI419" i="27"/>
  <c r="AI422" i="27"/>
  <c r="AI421" i="27"/>
  <c r="AI125" i="27" s="1"/>
  <c r="AI420" i="27"/>
  <c r="AI423" i="27"/>
  <c r="AI126" i="27" s="1"/>
  <c r="AI424" i="27"/>
  <c r="AI127" i="27" s="1"/>
  <c r="AI301" i="27"/>
  <c r="AI269" i="27"/>
  <c r="AI289" i="27"/>
  <c r="AI260" i="27"/>
  <c r="AI119" i="1"/>
  <c r="AH120" i="1"/>
  <c r="AE68" i="27"/>
  <c r="AE93" i="28" s="1"/>
  <c r="AD69" i="27"/>
  <c r="AG363" i="27"/>
  <c r="AH362" i="27"/>
  <c r="AH360" i="27" s="1"/>
  <c r="AH85" i="28" s="1"/>
  <c r="AE88" i="28"/>
  <c r="AE199" i="28" s="1"/>
  <c r="AF342" i="27"/>
  <c r="AF340" i="27" s="1"/>
  <c r="AH113" i="1"/>
  <c r="AG114" i="1"/>
  <c r="AH435" i="27"/>
  <c r="AI31" i="31" s="1"/>
  <c r="AJ2" i="32"/>
  <c r="AJ2" i="31"/>
  <c r="AJ2" i="28"/>
  <c r="AJ197" i="28" s="1"/>
  <c r="AJ2" i="27"/>
  <c r="AJ140" i="27" s="1"/>
  <c r="AJ2" i="1"/>
  <c r="AK36" i="1"/>
  <c r="AJ352" i="27"/>
  <c r="AJ377" i="27"/>
  <c r="AJ376" i="27" s="1"/>
  <c r="AJ337" i="27"/>
  <c r="AJ335" i="27" s="1"/>
  <c r="AJ368" i="27"/>
  <c r="AJ369" i="27" s="1"/>
  <c r="AJ357" i="27"/>
  <c r="AJ355" i="27" s="1"/>
  <c r="AJ373" i="27"/>
  <c r="AJ374" i="27" s="1"/>
  <c r="AJ347" i="27"/>
  <c r="AG171" i="1"/>
  <c r="AB702" i="27"/>
  <c r="AB218" i="28" s="1"/>
  <c r="I11" i="49" s="1"/>
  <c r="AB158" i="31"/>
  <c r="AB154" i="31" s="1"/>
  <c r="H4" i="54" s="1"/>
  <c r="AA159" i="31"/>
  <c r="AA162" i="31" s="1"/>
  <c r="Y161" i="31"/>
  <c r="AD477" i="27"/>
  <c r="AE478" i="27" s="1"/>
  <c r="AD133" i="27"/>
  <c r="AD222" i="1"/>
  <c r="AA62" i="23"/>
  <c r="AA68" i="23"/>
  <c r="AB62" i="23"/>
  <c r="AB68" i="23"/>
  <c r="AD82" i="31"/>
  <c r="AD305" i="27"/>
  <c r="AD67" i="1"/>
  <c r="AD66" i="1" s="1"/>
  <c r="AD119" i="27"/>
  <c r="AD255" i="27"/>
  <c r="AD264" i="27"/>
  <c r="AE33" i="31"/>
  <c r="AE27" i="31"/>
  <c r="AE273" i="27"/>
  <c r="AE153" i="27"/>
  <c r="AD182" i="27"/>
  <c r="AD197" i="27"/>
  <c r="AD156" i="31"/>
  <c r="AC49" i="31"/>
  <c r="AB49" i="31"/>
  <c r="I40" i="51" s="1"/>
  <c r="AD47" i="31"/>
  <c r="AD48" i="31" s="1"/>
  <c r="AD155" i="31"/>
  <c r="AD44" i="32"/>
  <c r="AD79" i="32"/>
  <c r="AD221" i="31"/>
  <c r="AD213" i="31"/>
  <c r="AD151" i="31"/>
  <c r="AD173" i="31"/>
  <c r="AD71" i="31"/>
  <c r="AD141" i="31"/>
  <c r="AP183" i="1"/>
  <c r="AP186" i="1" s="1"/>
  <c r="AG163" i="1"/>
  <c r="AG160" i="1"/>
  <c r="AG162" i="1"/>
  <c r="AG161" i="1"/>
  <c r="AD78" i="1"/>
  <c r="AD77" i="1" s="1"/>
  <c r="AD88" i="1"/>
  <c r="AD87" i="1" s="1"/>
  <c r="AD83" i="1"/>
  <c r="AD82" i="1" s="1"/>
  <c r="AD6" i="31"/>
  <c r="AD1" i="32"/>
  <c r="AD1" i="31"/>
  <c r="AD6" i="32"/>
  <c r="AQ190" i="1"/>
  <c r="AD77" i="27"/>
  <c r="AD64" i="27"/>
  <c r="AD1" i="28"/>
  <c r="AD1" i="27"/>
  <c r="AD169" i="27"/>
  <c r="AD509" i="27"/>
  <c r="AD237" i="27"/>
  <c r="AD328" i="27"/>
  <c r="AD107" i="27"/>
  <c r="AD387" i="27"/>
  <c r="AD554" i="27"/>
  <c r="AD658" i="27"/>
  <c r="AD348" i="28"/>
  <c r="AD307" i="28"/>
  <c r="AD267" i="28"/>
  <c r="AD207" i="28"/>
  <c r="AD119" i="28"/>
  <c r="AD81" i="28"/>
  <c r="AD154" i="28"/>
  <c r="AD43" i="28"/>
  <c r="AD4" i="28"/>
  <c r="AA57" i="23"/>
  <c r="AA80" i="23"/>
  <c r="AB57" i="23"/>
  <c r="AB80" i="23"/>
  <c r="AE159" i="1"/>
  <c r="AE148" i="1"/>
  <c r="AE145" i="1"/>
  <c r="AE136" i="1"/>
  <c r="AE172" i="1"/>
  <c r="AE144" i="1"/>
  <c r="AG37" i="1"/>
  <c r="AF45" i="1"/>
  <c r="AF43" i="1"/>
  <c r="AF44" i="1"/>
  <c r="AF46" i="1"/>
  <c r="AF38" i="1"/>
  <c r="AF55" i="1" s="1"/>
  <c r="AD34" i="1"/>
  <c r="AD130" i="1"/>
  <c r="AD1" i="1"/>
  <c r="AD208" i="1"/>
  <c r="AD60" i="1"/>
  <c r="AD6" i="1"/>
  <c r="AD146" i="1"/>
  <c r="AD164" i="1"/>
  <c r="AE114" i="32"/>
  <c r="AC701" i="27" l="1"/>
  <c r="AC702" i="27"/>
  <c r="AC218" i="28" s="1"/>
  <c r="X500" i="27"/>
  <c r="AK50" i="1"/>
  <c r="AK49" i="1"/>
  <c r="AK51" i="1"/>
  <c r="AK48" i="1"/>
  <c r="G14" i="54"/>
  <c r="AD703" i="27"/>
  <c r="AD700" i="27" s="1"/>
  <c r="AD701" i="27" s="1"/>
  <c r="AD702" i="27" s="1"/>
  <c r="AD218" i="28" s="1"/>
  <c r="AD230" i="28" s="1"/>
  <c r="AJ338" i="27"/>
  <c r="AJ358" i="27"/>
  <c r="AJ378" i="27"/>
  <c r="AJ60" i="28" s="1"/>
  <c r="K17" i="45" s="1"/>
  <c r="AA13" i="32"/>
  <c r="AE198" i="27"/>
  <c r="AE120" i="27"/>
  <c r="AE282" i="27"/>
  <c r="AE157" i="31"/>
  <c r="AE83" i="31"/>
  <c r="AE183" i="27"/>
  <c r="AE256" i="27"/>
  <c r="AE134" i="27"/>
  <c r="AE145" i="27"/>
  <c r="Y644" i="27"/>
  <c r="AE265" i="27"/>
  <c r="AE306" i="27"/>
  <c r="AE34" i="31"/>
  <c r="AF34" i="31" s="1"/>
  <c r="AE248" i="27"/>
  <c r="AE294" i="27"/>
  <c r="Y598" i="27"/>
  <c r="Z598" i="27" s="1"/>
  <c r="AA598" i="27" s="1"/>
  <c r="AA26" i="31"/>
  <c r="AA215" i="31"/>
  <c r="AB216" i="31" s="1"/>
  <c r="AB224" i="31" s="1"/>
  <c r="AB13" i="32" s="1"/>
  <c r="X242" i="31"/>
  <c r="H8" i="57"/>
  <c r="AE462" i="27"/>
  <c r="AE409" i="27"/>
  <c r="AE302" i="27"/>
  <c r="AE290" i="27"/>
  <c r="AE278" i="27"/>
  <c r="AE270" i="27"/>
  <c r="AE261" i="27"/>
  <c r="AE252" i="27"/>
  <c r="AE244" i="27"/>
  <c r="AE151" i="27"/>
  <c r="AE142" i="27"/>
  <c r="AE131" i="27"/>
  <c r="AE117" i="27"/>
  <c r="Y166" i="31"/>
  <c r="U37" i="31"/>
  <c r="H8" i="39"/>
  <c r="Y143" i="27"/>
  <c r="Y141" i="27" s="1"/>
  <c r="I16" i="44"/>
  <c r="H21" i="49"/>
  <c r="H12" i="58"/>
  <c r="Y436" i="27"/>
  <c r="Y447" i="27" s="1"/>
  <c r="Y241" i="31"/>
  <c r="Y240" i="31" s="1"/>
  <c r="AD154" i="27"/>
  <c r="AE154" i="27" s="1"/>
  <c r="AF154" i="27" s="1"/>
  <c r="H36" i="40"/>
  <c r="AB96" i="31"/>
  <c r="I3" i="52"/>
  <c r="AE151" i="1"/>
  <c r="AF274" i="27"/>
  <c r="AF101" i="1"/>
  <c r="I27" i="34" s="1"/>
  <c r="AF96" i="1"/>
  <c r="I23" i="34" s="1"/>
  <c r="AF91" i="1"/>
  <c r="I19" i="34" s="1"/>
  <c r="AF86" i="1"/>
  <c r="I15" i="34" s="1"/>
  <c r="AF81" i="1"/>
  <c r="I11" i="34" s="1"/>
  <c r="AF76" i="1"/>
  <c r="I7" i="34" s="1"/>
  <c r="AF65" i="1"/>
  <c r="AF28" i="31"/>
  <c r="AJ348" i="27"/>
  <c r="AJ345" i="27"/>
  <c r="AJ353" i="27"/>
  <c r="AJ350" i="27"/>
  <c r="H7" i="40"/>
  <c r="U216" i="27"/>
  <c r="U17" i="28" s="1"/>
  <c r="G20" i="39"/>
  <c r="U208" i="27"/>
  <c r="G19" i="39"/>
  <c r="H24" i="49"/>
  <c r="H6" i="45"/>
  <c r="Z224" i="31"/>
  <c r="I20" i="51"/>
  <c r="H8" i="40"/>
  <c r="H7" i="39"/>
  <c r="G25" i="49"/>
  <c r="W120" i="32"/>
  <c r="W134" i="32" s="1"/>
  <c r="X120" i="32"/>
  <c r="X134" i="32" s="1"/>
  <c r="V134" i="32"/>
  <c r="V119" i="32"/>
  <c r="X482" i="27"/>
  <c r="AB192" i="31"/>
  <c r="H20" i="55" s="1"/>
  <c r="X499" i="27"/>
  <c r="H91" i="41" s="1"/>
  <c r="Z323" i="27"/>
  <c r="AA318" i="27"/>
  <c r="U217" i="27"/>
  <c r="G21" i="39" s="1"/>
  <c r="Y193" i="27"/>
  <c r="Y192" i="27"/>
  <c r="AA193" i="27"/>
  <c r="AA212" i="27" s="1"/>
  <c r="AA224" i="27" s="1"/>
  <c r="AA192" i="27"/>
  <c r="AA211" i="27" s="1"/>
  <c r="AA223" i="27" s="1"/>
  <c r="AB178" i="27"/>
  <c r="AB204" i="27" s="1"/>
  <c r="AB177" i="27"/>
  <c r="AB203" i="27" s="1"/>
  <c r="Y178" i="27"/>
  <c r="Y177" i="27"/>
  <c r="AB180" i="27"/>
  <c r="AB206" i="27" s="1"/>
  <c r="AB179" i="27"/>
  <c r="AB205" i="27" s="1"/>
  <c r="Y180" i="27"/>
  <c r="Y179" i="27"/>
  <c r="Y195" i="27"/>
  <c r="Y194" i="27"/>
  <c r="AA195" i="27"/>
  <c r="AA214" i="27" s="1"/>
  <c r="AA226" i="27" s="1"/>
  <c r="AA194" i="27"/>
  <c r="AA213" i="27" s="1"/>
  <c r="AA225" i="27" s="1"/>
  <c r="X670" i="27"/>
  <c r="AH494" i="27"/>
  <c r="Z451" i="27"/>
  <c r="Z496" i="27" s="1"/>
  <c r="Z667" i="27" s="1"/>
  <c r="Z493" i="27"/>
  <c r="Z463" i="27"/>
  <c r="Z472" i="27" s="1"/>
  <c r="Y463" i="27"/>
  <c r="Y472" i="27" s="1"/>
  <c r="Y451" i="27"/>
  <c r="Y493" i="27"/>
  <c r="Z201" i="27"/>
  <c r="Z208" i="27" s="1"/>
  <c r="Z228" i="27"/>
  <c r="Z367" i="27" s="1"/>
  <c r="Z365" i="27" s="1"/>
  <c r="Z102" i="28" s="1"/>
  <c r="AB195" i="31"/>
  <c r="H23" i="55" s="1"/>
  <c r="AG176" i="1"/>
  <c r="AG115" i="1"/>
  <c r="AH121" i="1"/>
  <c r="AH118" i="1"/>
  <c r="AF116" i="31"/>
  <c r="J44" i="52" s="1"/>
  <c r="AF91" i="31"/>
  <c r="J19" i="52" s="1"/>
  <c r="AF117" i="31"/>
  <c r="J45" i="52" s="1"/>
  <c r="AF92" i="31"/>
  <c r="J20" i="52" s="1"/>
  <c r="AF118" i="31"/>
  <c r="J46" i="52" s="1"/>
  <c r="AF93" i="31"/>
  <c r="J21" i="52" s="1"/>
  <c r="AF94" i="31"/>
  <c r="J22" i="52" s="1"/>
  <c r="AF119" i="31"/>
  <c r="J47" i="52" s="1"/>
  <c r="AF120" i="31"/>
  <c r="J48" i="52" s="1"/>
  <c r="AF95" i="31"/>
  <c r="J23" i="52" s="1"/>
  <c r="AF96" i="31"/>
  <c r="J24" i="52" s="1"/>
  <c r="AF122" i="31"/>
  <c r="J50" i="52" s="1"/>
  <c r="AF123" i="31"/>
  <c r="J51" i="52" s="1"/>
  <c r="AF98" i="31"/>
  <c r="J26" i="52" s="1"/>
  <c r="AF124" i="31"/>
  <c r="J52" i="52" s="1"/>
  <c r="AF99" i="31"/>
  <c r="J27" i="52" s="1"/>
  <c r="AF100" i="31"/>
  <c r="J28" i="52" s="1"/>
  <c r="AF112" i="1"/>
  <c r="AF109" i="1"/>
  <c r="AB191" i="31"/>
  <c r="H19" i="55" s="1"/>
  <c r="AB194" i="31"/>
  <c r="H22" i="55" s="1"/>
  <c r="AC73" i="31"/>
  <c r="AB193" i="31"/>
  <c r="H21" i="55" s="1"/>
  <c r="AB190" i="31"/>
  <c r="H18" i="55" s="1"/>
  <c r="AC29" i="31"/>
  <c r="AA189" i="31"/>
  <c r="Z570" i="27"/>
  <c r="AA570" i="27" s="1"/>
  <c r="Z584" i="27"/>
  <c r="AA584" i="27" s="1"/>
  <c r="Z626" i="27"/>
  <c r="AA626" i="27" s="1"/>
  <c r="AI277" i="27"/>
  <c r="AI124" i="27"/>
  <c r="AI128" i="27" s="1"/>
  <c r="AJ281" i="28"/>
  <c r="AJ322" i="28"/>
  <c r="W234" i="28"/>
  <c r="W684" i="27"/>
  <c r="W217" i="28" s="1"/>
  <c r="W232" i="28" s="1"/>
  <c r="W256" i="28" s="1"/>
  <c r="W235" i="28"/>
  <c r="W236" i="28"/>
  <c r="X230" i="27"/>
  <c r="X683" i="27" s="1"/>
  <c r="Y640" i="27"/>
  <c r="Z640" i="27" s="1"/>
  <c r="AA635" i="27"/>
  <c r="AA644" i="27" s="1"/>
  <c r="Z219" i="28"/>
  <c r="Z18" i="32" s="1"/>
  <c r="Z219" i="27"/>
  <c r="AB283" i="27"/>
  <c r="AB280" i="27" s="1"/>
  <c r="AB279" i="27" s="1"/>
  <c r="H27" i="40" s="1"/>
  <c r="X121" i="32"/>
  <c r="Z196" i="27"/>
  <c r="Z215" i="27" s="1"/>
  <c r="Z209" i="27" s="1"/>
  <c r="Z216" i="27" s="1"/>
  <c r="Z17" i="28" s="1"/>
  <c r="AA210" i="27"/>
  <c r="AA222" i="27" s="1"/>
  <c r="AB199" i="27"/>
  <c r="AB190" i="27" s="1"/>
  <c r="AB191" i="27" s="1"/>
  <c r="H16" i="39" s="1"/>
  <c r="AB266" i="27"/>
  <c r="AB263" i="27" s="1"/>
  <c r="AB262" i="27" s="1"/>
  <c r="H17" i="40" s="1"/>
  <c r="AA303" i="27"/>
  <c r="AA321" i="27" s="1"/>
  <c r="AA319" i="27" s="1"/>
  <c r="AB307" i="27"/>
  <c r="AB304" i="27" s="1"/>
  <c r="AB320" i="27" s="1"/>
  <c r="AB322" i="27" s="1"/>
  <c r="AB18" i="28" s="1"/>
  <c r="I15" i="44" s="1"/>
  <c r="AA92" i="27"/>
  <c r="AB431" i="27"/>
  <c r="I45" i="41" s="1"/>
  <c r="AB432" i="27"/>
  <c r="I46" i="41" s="1"/>
  <c r="AB429" i="27"/>
  <c r="I43" i="41" s="1"/>
  <c r="AB430" i="27"/>
  <c r="I44" i="41" s="1"/>
  <c r="AB428" i="27"/>
  <c r="I42" i="41" s="1"/>
  <c r="AB427" i="27"/>
  <c r="I41" i="41" s="1"/>
  <c r="AE98" i="1"/>
  <c r="AE97" i="1" s="1"/>
  <c r="I434" i="23"/>
  <c r="S42" i="31"/>
  <c r="S44" i="31" s="1"/>
  <c r="R43" i="31"/>
  <c r="T38" i="31"/>
  <c r="G29" i="51" s="1"/>
  <c r="AA275" i="27"/>
  <c r="AC72" i="1"/>
  <c r="AC135" i="27"/>
  <c r="Q138" i="32"/>
  <c r="R123" i="32"/>
  <c r="AB50" i="31"/>
  <c r="I41" i="51" s="1"/>
  <c r="AC121" i="31"/>
  <c r="Y239" i="31"/>
  <c r="AD146" i="27"/>
  <c r="AD138" i="27" s="1"/>
  <c r="AD231" i="1"/>
  <c r="AD295" i="27"/>
  <c r="AD292" i="27" s="1"/>
  <c r="AD291" i="27" s="1"/>
  <c r="AD316" i="27" s="1"/>
  <c r="AB139" i="27"/>
  <c r="AB143" i="27" s="1"/>
  <c r="AD84" i="31"/>
  <c r="AB291" i="27"/>
  <c r="AB316" i="27" s="1"/>
  <c r="AB314" i="27" s="1"/>
  <c r="AC121" i="27"/>
  <c r="V522" i="27"/>
  <c r="U522" i="27"/>
  <c r="G12" i="42" s="1"/>
  <c r="Y202" i="27"/>
  <c r="Y210" i="27"/>
  <c r="Y321" i="27"/>
  <c r="Y323" i="27" s="1"/>
  <c r="U229" i="28"/>
  <c r="U121" i="32"/>
  <c r="U230" i="27"/>
  <c r="U233" i="27" s="1"/>
  <c r="U682" i="27"/>
  <c r="Y316" i="27"/>
  <c r="Y318" i="27" s="1"/>
  <c r="U88" i="32"/>
  <c r="W522" i="27"/>
  <c r="AB230" i="28"/>
  <c r="I23" i="49" s="1"/>
  <c r="AC230" i="28"/>
  <c r="W41" i="31"/>
  <c r="AD257" i="27"/>
  <c r="AB395" i="27"/>
  <c r="I9" i="41" s="1"/>
  <c r="AB458" i="27"/>
  <c r="I67" i="41" s="1"/>
  <c r="AB397" i="27"/>
  <c r="I11" i="41" s="1"/>
  <c r="AB394" i="27"/>
  <c r="I8" i="41" s="1"/>
  <c r="AB456" i="27"/>
  <c r="I65" i="41" s="1"/>
  <c r="AB202" i="27"/>
  <c r="AB455" i="27"/>
  <c r="I64" i="41" s="1"/>
  <c r="AB457" i="27"/>
  <c r="AB565" i="27" s="1"/>
  <c r="I10" i="43" s="1"/>
  <c r="AB396" i="27"/>
  <c r="I10" i="41" s="1"/>
  <c r="AB454" i="27"/>
  <c r="I63" i="41" s="1"/>
  <c r="AB392" i="27"/>
  <c r="I6" i="41" s="1"/>
  <c r="AB453" i="27"/>
  <c r="I62" i="41" s="1"/>
  <c r="AB393" i="27"/>
  <c r="I7" i="41" s="1"/>
  <c r="AA433" i="27"/>
  <c r="AA459" i="27"/>
  <c r="AA398" i="27"/>
  <c r="AA436" i="27" s="1"/>
  <c r="AA181" i="27"/>
  <c r="AA207" i="27" s="1"/>
  <c r="Z447" i="27"/>
  <c r="AE93" i="1"/>
  <c r="AE92" i="1" s="1"/>
  <c r="AE281" i="27"/>
  <c r="AF282" i="27" s="1"/>
  <c r="AE293" i="27"/>
  <c r="AE255" i="27"/>
  <c r="AE305" i="27"/>
  <c r="AC35" i="31"/>
  <c r="AE222" i="1"/>
  <c r="Z239" i="31"/>
  <c r="Z161" i="31"/>
  <c r="AA75" i="31"/>
  <c r="AA120" i="31"/>
  <c r="AA125" i="31" s="1"/>
  <c r="AB74" i="31"/>
  <c r="I4" i="52" s="1"/>
  <c r="AA165" i="31"/>
  <c r="AE144" i="27"/>
  <c r="AF145" i="27" s="1"/>
  <c r="AE67" i="1"/>
  <c r="AE66" i="1" s="1"/>
  <c r="AE264" i="27"/>
  <c r="AF265" i="27" s="1"/>
  <c r="AE71" i="1"/>
  <c r="AE73" i="1" s="1"/>
  <c r="AE72" i="1" s="1"/>
  <c r="AE119" i="27"/>
  <c r="AF120" i="27" s="1"/>
  <c r="AE247" i="27"/>
  <c r="AA168" i="31"/>
  <c r="AA229" i="31" s="1"/>
  <c r="AA239" i="31" s="1"/>
  <c r="AK2" i="31"/>
  <c r="AK2" i="32"/>
  <c r="AK2" i="27"/>
  <c r="AK140" i="27" s="1"/>
  <c r="AK2" i="28"/>
  <c r="AK197" i="28" s="1"/>
  <c r="AL36" i="1"/>
  <c r="AK2" i="1"/>
  <c r="AK377" i="27"/>
  <c r="AK347" i="27"/>
  <c r="AK337" i="27"/>
  <c r="AK357" i="27"/>
  <c r="AK368" i="27"/>
  <c r="AK369" i="27" s="1"/>
  <c r="AK352" i="27"/>
  <c r="AK373" i="27"/>
  <c r="AK374" i="27" s="1"/>
  <c r="AF343" i="27"/>
  <c r="AF47" i="28" s="1"/>
  <c r="J5" i="45" s="1"/>
  <c r="AF88" i="28"/>
  <c r="I8" i="46" s="1"/>
  <c r="AG342" i="27"/>
  <c r="AH363" i="27"/>
  <c r="AI362" i="27"/>
  <c r="AI360" i="27" s="1"/>
  <c r="AI85" i="28" s="1"/>
  <c r="AF68" i="27"/>
  <c r="AE69" i="27"/>
  <c r="AI435" i="27"/>
  <c r="AI425" i="27"/>
  <c r="AH333" i="27"/>
  <c r="AI332" i="27"/>
  <c r="AI330" i="27" s="1"/>
  <c r="AH122" i="1"/>
  <c r="AG123" i="1"/>
  <c r="AH110" i="1"/>
  <c r="AG111" i="1"/>
  <c r="AJ419" i="27"/>
  <c r="K32" i="41" s="1"/>
  <c r="AJ420" i="27"/>
  <c r="K33" i="41" s="1"/>
  <c r="AJ422" i="27"/>
  <c r="K35" i="41" s="1"/>
  <c r="AJ421" i="27"/>
  <c r="K34" i="41" s="1"/>
  <c r="AJ424" i="27"/>
  <c r="K37" i="41" s="1"/>
  <c r="AJ423" i="27"/>
  <c r="K36" i="41" s="1"/>
  <c r="AJ301" i="27"/>
  <c r="J42" i="40" s="1"/>
  <c r="AJ289" i="27"/>
  <c r="J34" i="40" s="1"/>
  <c r="AJ260" i="27"/>
  <c r="J16" i="40" s="1"/>
  <c r="AJ269" i="27"/>
  <c r="J21" i="40" s="1"/>
  <c r="AH9" i="28"/>
  <c r="AI113" i="1"/>
  <c r="AH114" i="1"/>
  <c r="AH115" i="1" s="1"/>
  <c r="AJ119" i="1"/>
  <c r="AI120" i="1"/>
  <c r="AJ102" i="27"/>
  <c r="AF103" i="27"/>
  <c r="AE104" i="28"/>
  <c r="AJ113" i="28"/>
  <c r="J33" i="46" s="1"/>
  <c r="AA164" i="31"/>
  <c r="AA163" i="31"/>
  <c r="AH171" i="1"/>
  <c r="AH176" i="1" s="1"/>
  <c r="AB159" i="31"/>
  <c r="AB164" i="31" s="1"/>
  <c r="AE477" i="27"/>
  <c r="AF478" i="27" s="1"/>
  <c r="AE133" i="27"/>
  <c r="AC62" i="23"/>
  <c r="AC68" i="23"/>
  <c r="AD121" i="27"/>
  <c r="AD115" i="27" s="1"/>
  <c r="AD118" i="27" s="1"/>
  <c r="AE82" i="31"/>
  <c r="AE103" i="1"/>
  <c r="AE102" i="1" s="1"/>
  <c r="AD49" i="31"/>
  <c r="AE182" i="27"/>
  <c r="AE197" i="27"/>
  <c r="AE156" i="31"/>
  <c r="AE155" i="31"/>
  <c r="AE47" i="31"/>
  <c r="AE48" i="31" s="1"/>
  <c r="AF27" i="31"/>
  <c r="AF273" i="27"/>
  <c r="AE44" i="32"/>
  <c r="AE79" i="32"/>
  <c r="AE221" i="31"/>
  <c r="AE213" i="31"/>
  <c r="AE151" i="31"/>
  <c r="AE173" i="31"/>
  <c r="AE71" i="31"/>
  <c r="AE141" i="31"/>
  <c r="AQ183" i="1"/>
  <c r="AQ186" i="1" s="1"/>
  <c r="AH161" i="1"/>
  <c r="AH162" i="1"/>
  <c r="AH160" i="1"/>
  <c r="AH163" i="1"/>
  <c r="AE83" i="1"/>
  <c r="AE82" i="1" s="1"/>
  <c r="AE88" i="1"/>
  <c r="AE87" i="1" s="1"/>
  <c r="AE78" i="1"/>
  <c r="AE77" i="1" s="1"/>
  <c r="AE6" i="31"/>
  <c r="AE1" i="32"/>
  <c r="AE1" i="31"/>
  <c r="AE6" i="32"/>
  <c r="AR190" i="1"/>
  <c r="M48" i="35" s="1"/>
  <c r="AE77" i="27"/>
  <c r="AE64" i="27"/>
  <c r="AE1" i="28"/>
  <c r="AE1" i="27"/>
  <c r="AE328" i="27"/>
  <c r="AE169" i="27"/>
  <c r="AE237" i="27"/>
  <c r="AE107" i="27"/>
  <c r="AE387" i="27"/>
  <c r="AE509" i="27"/>
  <c r="AE554" i="27"/>
  <c r="AE658" i="27"/>
  <c r="AE119" i="28"/>
  <c r="AE267" i="28"/>
  <c r="AE207" i="28"/>
  <c r="AE348" i="28"/>
  <c r="AE307" i="28"/>
  <c r="AE154" i="28"/>
  <c r="AE81" i="28"/>
  <c r="AE43" i="28"/>
  <c r="AE4" i="28"/>
  <c r="AC57" i="23"/>
  <c r="AC80" i="23"/>
  <c r="AF159" i="1"/>
  <c r="J23" i="35" s="1"/>
  <c r="AF148" i="1"/>
  <c r="J14" i="35" s="1"/>
  <c r="AF145" i="1"/>
  <c r="AF136" i="1"/>
  <c r="AF172" i="1"/>
  <c r="J35" i="35" s="1"/>
  <c r="AF144" i="1"/>
  <c r="AF114" i="32"/>
  <c r="AE146" i="1"/>
  <c r="AE164" i="1"/>
  <c r="AE34" i="1"/>
  <c r="AE208" i="1"/>
  <c r="AE60" i="1"/>
  <c r="AE6" i="1"/>
  <c r="AE130" i="1"/>
  <c r="AE1" i="1"/>
  <c r="AH37" i="1"/>
  <c r="AG45" i="1"/>
  <c r="AG43" i="1"/>
  <c r="AG46" i="1"/>
  <c r="AG38" i="1"/>
  <c r="AG55" i="1" s="1"/>
  <c r="AG44" i="1"/>
  <c r="AF256" i="27" l="1"/>
  <c r="AL48" i="1"/>
  <c r="AL50" i="1"/>
  <c r="AL49" i="1"/>
  <c r="AL51" i="1"/>
  <c r="AE703" i="27"/>
  <c r="AE700" i="27" s="1"/>
  <c r="AE701" i="27" s="1"/>
  <c r="AE702" i="27" s="1"/>
  <c r="AE218" i="28" s="1"/>
  <c r="AF93" i="28"/>
  <c r="I13" i="46" s="1"/>
  <c r="J5" i="37"/>
  <c r="AF198" i="27"/>
  <c r="AF83" i="31"/>
  <c r="AG274" i="27"/>
  <c r="AF157" i="31"/>
  <c r="AF183" i="27"/>
  <c r="AB233" i="31"/>
  <c r="AB51" i="32" s="1"/>
  <c r="AF134" i="27"/>
  <c r="H4" i="56"/>
  <c r="AG28" i="31"/>
  <c r="AF294" i="27"/>
  <c r="AF248" i="27"/>
  <c r="AF306" i="27"/>
  <c r="AF151" i="1"/>
  <c r="AF462" i="27"/>
  <c r="AF409" i="27"/>
  <c r="AF302" i="27"/>
  <c r="AF290" i="27"/>
  <c r="AF278" i="27"/>
  <c r="AF270" i="27"/>
  <c r="AF261" i="27"/>
  <c r="AF252" i="27"/>
  <c r="AF244" i="27"/>
  <c r="AF151" i="27"/>
  <c r="AF142" i="27"/>
  <c r="AF131" i="27"/>
  <c r="AF117" i="27"/>
  <c r="H12" i="54"/>
  <c r="AG343" i="27"/>
  <c r="AG47" i="28" s="1"/>
  <c r="AG340" i="27"/>
  <c r="AK353" i="27"/>
  <c r="AK350" i="27"/>
  <c r="AK358" i="27"/>
  <c r="AK355" i="27"/>
  <c r="AK348" i="27"/>
  <c r="AK345" i="27"/>
  <c r="H9" i="60"/>
  <c r="H7" i="61"/>
  <c r="AC25" i="31"/>
  <c r="X498" i="27"/>
  <c r="H90" i="41" s="1"/>
  <c r="H85" i="41"/>
  <c r="I24" i="40"/>
  <c r="Z13" i="32"/>
  <c r="I4" i="57"/>
  <c r="Z233" i="31"/>
  <c r="H14" i="44"/>
  <c r="J16" i="35"/>
  <c r="H44" i="40"/>
  <c r="H15" i="39"/>
  <c r="J5" i="35"/>
  <c r="I28" i="38"/>
  <c r="X63" i="31"/>
  <c r="H22" i="57"/>
  <c r="J22" i="51"/>
  <c r="J10" i="35"/>
  <c r="AG101" i="1"/>
  <c r="AG96" i="1"/>
  <c r="AG91" i="1"/>
  <c r="AG86" i="1"/>
  <c r="AG81" i="1"/>
  <c r="AG76" i="1"/>
  <c r="AG65" i="1"/>
  <c r="AI494" i="27"/>
  <c r="AJ31" i="31"/>
  <c r="K24" i="51" s="1"/>
  <c r="AK338" i="27"/>
  <c r="AK335" i="27"/>
  <c r="AK378" i="27"/>
  <c r="AK60" i="28" s="1"/>
  <c r="AK376" i="27"/>
  <c r="Z166" i="31"/>
  <c r="Z228" i="31" s="1"/>
  <c r="Z242" i="31" s="1"/>
  <c r="Z63" i="31" s="1"/>
  <c r="U252" i="28"/>
  <c r="H22" i="49"/>
  <c r="AC97" i="31"/>
  <c r="Y496" i="27"/>
  <c r="Y63" i="28" s="1"/>
  <c r="J11" i="35"/>
  <c r="I66" i="41"/>
  <c r="H35" i="40"/>
  <c r="H18" i="40"/>
  <c r="AB101" i="31"/>
  <c r="I29" i="52" s="1"/>
  <c r="I24" i="52"/>
  <c r="H7" i="54"/>
  <c r="H28" i="40"/>
  <c r="I26" i="38"/>
  <c r="X119" i="32"/>
  <c r="W119" i="32"/>
  <c r="Z63" i="28"/>
  <c r="X59" i="28"/>
  <c r="Y483" i="27"/>
  <c r="Z490" i="27"/>
  <c r="Z483" i="27"/>
  <c r="AA323" i="27"/>
  <c r="AB318" i="27"/>
  <c r="Z501" i="27"/>
  <c r="Z500" i="27" s="1"/>
  <c r="Y222" i="27"/>
  <c r="Z227" i="27"/>
  <c r="Z682" i="27" s="1"/>
  <c r="Z217" i="27"/>
  <c r="AB193" i="27"/>
  <c r="AB212" i="27" s="1"/>
  <c r="AB224" i="27" s="1"/>
  <c r="AB192" i="27"/>
  <c r="AB211" i="27" s="1"/>
  <c r="AB223" i="27" s="1"/>
  <c r="AB195" i="27"/>
  <c r="AB214" i="27" s="1"/>
  <c r="AB226" i="27" s="1"/>
  <c r="AB194" i="27"/>
  <c r="AA463" i="27"/>
  <c r="AA472" i="27" s="1"/>
  <c r="AB141" i="27"/>
  <c r="I27" i="38" s="1"/>
  <c r="Z12" i="28"/>
  <c r="AD116" i="27"/>
  <c r="AA201" i="27"/>
  <c r="AA208" i="27" s="1"/>
  <c r="AA451" i="27"/>
  <c r="AA496" i="27" s="1"/>
  <c r="AA667" i="27" s="1"/>
  <c r="AA493" i="27"/>
  <c r="AA219" i="27"/>
  <c r="AC75" i="31"/>
  <c r="AB215" i="31"/>
  <c r="AD29" i="31"/>
  <c r="AG112" i="1"/>
  <c r="AG109" i="1"/>
  <c r="AG124" i="1"/>
  <c r="AG116" i="31"/>
  <c r="AG91" i="31"/>
  <c r="AG92" i="31"/>
  <c r="AG117" i="31"/>
  <c r="AG93" i="31"/>
  <c r="AG118" i="31"/>
  <c r="AG119" i="31"/>
  <c r="AG94" i="31"/>
  <c r="AG120" i="31"/>
  <c r="AG95" i="31"/>
  <c r="AG121" i="31"/>
  <c r="AG96" i="31"/>
  <c r="AG97" i="31"/>
  <c r="AG123" i="31"/>
  <c r="AG124" i="31"/>
  <c r="AG99" i="31"/>
  <c r="AG100" i="31"/>
  <c r="AI121" i="1"/>
  <c r="AI118" i="1"/>
  <c r="AC191" i="31"/>
  <c r="AB26" i="31"/>
  <c r="I21" i="51" s="1"/>
  <c r="AC193" i="31"/>
  <c r="AC190" i="31"/>
  <c r="AC194" i="31"/>
  <c r="AC192" i="31"/>
  <c r="AC195" i="31"/>
  <c r="AB189" i="31"/>
  <c r="H17" i="55" s="1"/>
  <c r="AJ277" i="27"/>
  <c r="J26" i="40" s="1"/>
  <c r="AK322" i="28"/>
  <c r="AK281" i="28"/>
  <c r="W17" i="32"/>
  <c r="AC307" i="27"/>
  <c r="AC304" i="27" s="1"/>
  <c r="X233" i="27"/>
  <c r="X684" i="27" s="1"/>
  <c r="X217" i="28" s="1"/>
  <c r="X17" i="32" s="1"/>
  <c r="AB635" i="27"/>
  <c r="I65" i="43" s="1"/>
  <c r="AA640" i="27"/>
  <c r="AB621" i="27"/>
  <c r="I54" i="43" s="1"/>
  <c r="Z231" i="28"/>
  <c r="Z121" i="32" s="1"/>
  <c r="Z228" i="28"/>
  <c r="Z88" i="32" s="1"/>
  <c r="AB607" i="27"/>
  <c r="I43" i="43" s="1"/>
  <c r="AA196" i="27"/>
  <c r="AA215" i="27" s="1"/>
  <c r="AA227" i="27" s="1"/>
  <c r="AB210" i="27"/>
  <c r="AC199" i="27"/>
  <c r="AD266" i="27"/>
  <c r="AD263" i="27" s="1"/>
  <c r="AD262" i="27" s="1"/>
  <c r="AB593" i="27"/>
  <c r="I32" i="43" s="1"/>
  <c r="AB579" i="27"/>
  <c r="I21" i="43" s="1"/>
  <c r="AK102" i="27"/>
  <c r="AB303" i="27"/>
  <c r="AB321" i="27" s="1"/>
  <c r="AB319" i="27" s="1"/>
  <c r="AB84" i="27"/>
  <c r="I15" i="37" s="1"/>
  <c r="AJ126" i="27"/>
  <c r="K16" i="38" s="1"/>
  <c r="AJ125" i="27"/>
  <c r="K15" i="38" s="1"/>
  <c r="AJ127" i="27"/>
  <c r="K17" i="38" s="1"/>
  <c r="AJ124" i="27"/>
  <c r="K14" i="38" s="1"/>
  <c r="T42" i="31"/>
  <c r="G33" i="51" s="1"/>
  <c r="AF222" i="1"/>
  <c r="S43" i="31"/>
  <c r="AF153" i="27"/>
  <c r="AB275" i="27"/>
  <c r="AB272" i="27" s="1"/>
  <c r="AF199" i="28"/>
  <c r="AA272" i="27"/>
  <c r="AD135" i="27"/>
  <c r="AC295" i="27"/>
  <c r="AC292" i="27" s="1"/>
  <c r="AC155" i="27"/>
  <c r="R138" i="32"/>
  <c r="S123" i="32"/>
  <c r="AC146" i="27"/>
  <c r="AC138" i="27" s="1"/>
  <c r="AC84" i="31"/>
  <c r="AC158" i="31"/>
  <c r="AC159" i="31" s="1"/>
  <c r="AC125" i="31"/>
  <c r="U41" i="31"/>
  <c r="Y62" i="31"/>
  <c r="Y228" i="31"/>
  <c r="AK113" i="28"/>
  <c r="AE231" i="1"/>
  <c r="AF231" i="1" s="1"/>
  <c r="U38" i="31"/>
  <c r="AC249" i="27"/>
  <c r="AC184" i="27"/>
  <c r="AC257" i="27"/>
  <c r="U684" i="27"/>
  <c r="U217" i="28" s="1"/>
  <c r="U234" i="28"/>
  <c r="U233" i="28"/>
  <c r="U236" i="28"/>
  <c r="U235" i="28"/>
  <c r="U683" i="27"/>
  <c r="V233" i="27"/>
  <c r="U120" i="32"/>
  <c r="Y214" i="27"/>
  <c r="Y211" i="27"/>
  <c r="Y196" i="27"/>
  <c r="Y205" i="27"/>
  <c r="Y203" i="27"/>
  <c r="Y181" i="27"/>
  <c r="AC479" i="27"/>
  <c r="Y314" i="27"/>
  <c r="H48" i="40" s="1"/>
  <c r="U12" i="28"/>
  <c r="Y319" i="27"/>
  <c r="H49" i="40" s="1"/>
  <c r="Y490" i="27"/>
  <c r="Y212" i="27"/>
  <c r="Y213" i="27"/>
  <c r="Y204" i="27"/>
  <c r="Y206" i="27"/>
  <c r="AC115" i="27"/>
  <c r="AD479" i="27"/>
  <c r="AB398" i="27"/>
  <c r="AB436" i="27" s="1"/>
  <c r="AB447" i="27" s="1"/>
  <c r="AA219" i="28"/>
  <c r="AA231" i="28" s="1"/>
  <c r="AA228" i="27"/>
  <c r="AA367" i="27" s="1"/>
  <c r="AA365" i="27" s="1"/>
  <c r="AA102" i="28" s="1"/>
  <c r="AB459" i="27"/>
  <c r="I68" i="41" s="1"/>
  <c r="AB433" i="27"/>
  <c r="I47" i="41" s="1"/>
  <c r="AA447" i="27"/>
  <c r="AB181" i="27"/>
  <c r="AB207" i="27" s="1"/>
  <c r="AE257" i="27"/>
  <c r="AD249" i="27"/>
  <c r="AD246" i="27" s="1"/>
  <c r="AD245" i="27" s="1"/>
  <c r="AD184" i="27"/>
  <c r="AD175" i="27" s="1"/>
  <c r="AD176" i="27" s="1"/>
  <c r="AF93" i="1"/>
  <c r="AF92" i="1" s="1"/>
  <c r="I20" i="34" s="1" a="1"/>
  <c r="I20" i="34" s="1"/>
  <c r="AF281" i="27"/>
  <c r="AG282" i="27" s="1"/>
  <c r="AF293" i="27"/>
  <c r="AG294" i="27" s="1"/>
  <c r="AD35" i="31"/>
  <c r="AB75" i="31"/>
  <c r="I5" i="52" s="1"/>
  <c r="AB120" i="31"/>
  <c r="AB125" i="31" s="1"/>
  <c r="I53" i="52" s="1"/>
  <c r="AF103" i="1"/>
  <c r="AF102" i="1" s="1"/>
  <c r="I28" i="34" s="1" a="1"/>
  <c r="I28" i="34" s="1"/>
  <c r="AF33" i="31"/>
  <c r="AD74" i="31"/>
  <c r="AF264" i="27"/>
  <c r="AG265" i="27" s="1"/>
  <c r="AD158" i="31"/>
  <c r="AD154" i="31" s="1"/>
  <c r="AD50" i="31" s="1"/>
  <c r="AA161" i="31"/>
  <c r="AA166" i="31" s="1"/>
  <c r="AF119" i="27"/>
  <c r="AG120" i="27" s="1"/>
  <c r="AA241" i="31"/>
  <c r="AB163" i="31"/>
  <c r="H11" i="54" s="1"/>
  <c r="AB165" i="31"/>
  <c r="H13" i="54" s="1"/>
  <c r="AF71" i="1"/>
  <c r="AF73" i="1" s="1"/>
  <c r="AF72" i="1" s="1"/>
  <c r="I4" i="34" s="1" a="1"/>
  <c r="I4" i="34" s="1"/>
  <c r="AF67" i="1"/>
  <c r="AF66" i="1" s="1"/>
  <c r="AF98" i="1"/>
  <c r="AF255" i="27"/>
  <c r="AG256" i="27" s="1"/>
  <c r="AF305" i="27"/>
  <c r="AJ113" i="1"/>
  <c r="AI114" i="1"/>
  <c r="AI115" i="1" s="1"/>
  <c r="AJ435" i="27"/>
  <c r="AK31" i="31" s="1"/>
  <c r="AI9" i="28"/>
  <c r="AG68" i="27"/>
  <c r="AG93" i="28" s="1"/>
  <c r="AF69" i="27"/>
  <c r="AI363" i="27"/>
  <c r="AJ362" i="27"/>
  <c r="AG88" i="28"/>
  <c r="AG199" i="28" s="1"/>
  <c r="AH342" i="27"/>
  <c r="AH340" i="27" s="1"/>
  <c r="AL2" i="32"/>
  <c r="AL2" i="31"/>
  <c r="AL2" i="28"/>
  <c r="AL197" i="28" s="1"/>
  <c r="AL2" i="27"/>
  <c r="AL140" i="27" s="1"/>
  <c r="AL2" i="1"/>
  <c r="AM36" i="1"/>
  <c r="AL337" i="27"/>
  <c r="AL352" i="27"/>
  <c r="AL347" i="27"/>
  <c r="AL377" i="27"/>
  <c r="AL373" i="27"/>
  <c r="AL374" i="27" s="1"/>
  <c r="AL368" i="27"/>
  <c r="AL369" i="27" s="1"/>
  <c r="AL357" i="27"/>
  <c r="AL355" i="27" s="1"/>
  <c r="AK419" i="27"/>
  <c r="AK420" i="27"/>
  <c r="AK421" i="27"/>
  <c r="AK125" i="27" s="1"/>
  <c r="AK424" i="27"/>
  <c r="AK127" i="27" s="1"/>
  <c r="AK422" i="27"/>
  <c r="AK423" i="27"/>
  <c r="AK126" i="27" s="1"/>
  <c r="AK301" i="27"/>
  <c r="AK289" i="27"/>
  <c r="AK260" i="27"/>
  <c r="AK269" i="27"/>
  <c r="AG103" i="27"/>
  <c r="AF104" i="28"/>
  <c r="I24" i="46" s="1"/>
  <c r="AK119" i="1"/>
  <c r="AJ120" i="1"/>
  <c r="AJ425" i="27"/>
  <c r="K38" i="41" s="1"/>
  <c r="AI110" i="1"/>
  <c r="AH111" i="1"/>
  <c r="AI122" i="1"/>
  <c r="AH123" i="1"/>
  <c r="AH124" i="1" s="1"/>
  <c r="AI333" i="27"/>
  <c r="AJ332" i="27"/>
  <c r="AI171" i="1"/>
  <c r="AI176" i="1" s="1"/>
  <c r="AB168" i="31"/>
  <c r="AB229" i="31" s="1"/>
  <c r="AB239" i="31" s="1"/>
  <c r="I19" i="57" s="1"/>
  <c r="AB162" i="31"/>
  <c r="H10" i="54" s="1"/>
  <c r="AF477" i="27"/>
  <c r="AG478" i="27" s="1"/>
  <c r="AF133" i="27"/>
  <c r="AE84" i="31"/>
  <c r="AE295" i="27"/>
  <c r="AE292" i="27" s="1"/>
  <c r="AE315" i="27" s="1"/>
  <c r="AE317" i="27" s="1"/>
  <c r="AE19" i="28" s="1"/>
  <c r="AD315" i="27"/>
  <c r="AD317" i="27" s="1"/>
  <c r="AD19" i="28" s="1"/>
  <c r="AF144" i="27"/>
  <c r="AG145" i="27" s="1"/>
  <c r="AF247" i="27"/>
  <c r="AD62" i="23"/>
  <c r="AD68" i="23"/>
  <c r="AE121" i="27"/>
  <c r="AE115" i="27" s="1"/>
  <c r="AE118" i="27" s="1"/>
  <c r="AF82" i="31"/>
  <c r="AG83" i="31" s="1"/>
  <c r="AD139" i="27"/>
  <c r="AD143" i="27" s="1"/>
  <c r="AE146" i="27"/>
  <c r="AE138" i="27" s="1"/>
  <c r="AF182" i="27"/>
  <c r="AF197" i="27"/>
  <c r="AF156" i="31"/>
  <c r="AF155" i="31"/>
  <c r="I5" i="54" s="1"/>
  <c r="AF47" i="31"/>
  <c r="J38" i="51" s="1"/>
  <c r="AE49" i="31"/>
  <c r="AF44" i="32"/>
  <c r="AF79" i="32"/>
  <c r="AF221" i="31"/>
  <c r="AF213" i="31"/>
  <c r="AF151" i="31"/>
  <c r="AF173" i="31"/>
  <c r="AF71" i="31"/>
  <c r="AF141" i="31"/>
  <c r="AR183" i="1"/>
  <c r="AR186" i="1" s="1"/>
  <c r="AI163" i="1"/>
  <c r="AI161" i="1"/>
  <c r="AI160" i="1"/>
  <c r="AI162" i="1"/>
  <c r="AF78" i="1"/>
  <c r="AF77" i="1" s="1"/>
  <c r="I8" i="34" s="1" a="1"/>
  <c r="I8" i="34" s="1"/>
  <c r="AF88" i="1"/>
  <c r="AF87" i="1" s="1"/>
  <c r="I16" i="34" s="1" a="1"/>
  <c r="I16" i="34" s="1"/>
  <c r="AF83" i="1"/>
  <c r="AF82" i="1" s="1"/>
  <c r="I12" i="34" s="1" a="1"/>
  <c r="I12" i="34" s="1"/>
  <c r="AF6" i="31"/>
  <c r="AF1" i="32"/>
  <c r="AF1" i="31"/>
  <c r="AF6" i="32"/>
  <c r="AF77" i="27"/>
  <c r="AF64" i="27"/>
  <c r="AF1" i="28"/>
  <c r="AF1" i="27"/>
  <c r="AF107" i="27"/>
  <c r="AF387" i="27"/>
  <c r="AF554" i="27"/>
  <c r="AF658" i="27"/>
  <c r="AF169" i="27"/>
  <c r="AF509" i="27"/>
  <c r="AF237" i="27"/>
  <c r="AF328" i="27"/>
  <c r="AF154" i="28"/>
  <c r="AF43" i="28"/>
  <c r="AF4" i="28"/>
  <c r="AF81" i="28"/>
  <c r="AF348" i="28"/>
  <c r="AF307" i="28"/>
  <c r="AF267" i="28"/>
  <c r="AF207" i="28"/>
  <c r="AF119" i="28"/>
  <c r="AD57" i="23"/>
  <c r="AD80" i="23"/>
  <c r="AG114" i="32"/>
  <c r="AF164" i="1"/>
  <c r="J28" i="35" s="1"/>
  <c r="AG159" i="1"/>
  <c r="AG148" i="1"/>
  <c r="AG145" i="1"/>
  <c r="AG136" i="1"/>
  <c r="AG172" i="1"/>
  <c r="AG144" i="1"/>
  <c r="AI37" i="1"/>
  <c r="AH45" i="1"/>
  <c r="AH43" i="1"/>
  <c r="AH44" i="1"/>
  <c r="AH46" i="1"/>
  <c r="AH38" i="1"/>
  <c r="AH55" i="1" s="1"/>
  <c r="AF34" i="1"/>
  <c r="AF130" i="1"/>
  <c r="AF1" i="1"/>
  <c r="AF208" i="1"/>
  <c r="AF60" i="1"/>
  <c r="AF6" i="1"/>
  <c r="AF146" i="1"/>
  <c r="J12" i="35" s="1"/>
  <c r="M44" i="35" l="1"/>
  <c r="AM50" i="1"/>
  <c r="AM48" i="1"/>
  <c r="AM49" i="1"/>
  <c r="AM51" i="1"/>
  <c r="J6" i="37"/>
  <c r="AF703" i="27"/>
  <c r="AF700" i="27" s="1"/>
  <c r="AL358" i="27"/>
  <c r="AG157" i="31"/>
  <c r="AG198" i="27"/>
  <c r="AG248" i="27"/>
  <c r="I17" i="39"/>
  <c r="I9" i="40"/>
  <c r="I37" i="40"/>
  <c r="I3" i="34"/>
  <c r="J82" i="41"/>
  <c r="J12" i="52"/>
  <c r="AG183" i="27"/>
  <c r="AG134" i="27"/>
  <c r="AG306" i="27"/>
  <c r="I55" i="41"/>
  <c r="AE230" i="28"/>
  <c r="AH101" i="1"/>
  <c r="AH96" i="1"/>
  <c r="AH91" i="1"/>
  <c r="AH86" i="1"/>
  <c r="AH81" i="1"/>
  <c r="AH76" i="1"/>
  <c r="AH65" i="1"/>
  <c r="AL348" i="27"/>
  <c r="AL345" i="27"/>
  <c r="AL338" i="27"/>
  <c r="AL335" i="27"/>
  <c r="AG34" i="31"/>
  <c r="J26" i="51"/>
  <c r="H9" i="44"/>
  <c r="AG154" i="27"/>
  <c r="J35" i="38"/>
  <c r="AC216" i="31"/>
  <c r="H3" i="56"/>
  <c r="I12" i="41"/>
  <c r="K48" i="41"/>
  <c r="I9" i="39"/>
  <c r="Y667" i="27"/>
  <c r="AC101" i="31"/>
  <c r="H54" i="51"/>
  <c r="I29" i="40"/>
  <c r="I14" i="40"/>
  <c r="I6" i="54"/>
  <c r="AG462" i="27"/>
  <c r="AG409" i="27"/>
  <c r="AG302" i="27"/>
  <c r="AG290" i="27"/>
  <c r="AG278" i="27"/>
  <c r="AG270" i="27"/>
  <c r="AG261" i="27"/>
  <c r="AG252" i="27"/>
  <c r="AG244" i="27"/>
  <c r="AG151" i="27"/>
  <c r="AG142" i="27"/>
  <c r="AG131" i="27"/>
  <c r="AG117" i="27"/>
  <c r="AG153" i="27"/>
  <c r="AK332" i="27"/>
  <c r="AJ330" i="27"/>
  <c r="AL378" i="27"/>
  <c r="AL60" i="28" s="1"/>
  <c r="AL376" i="27"/>
  <c r="AL353" i="27"/>
  <c r="AL350" i="27"/>
  <c r="AK362" i="27"/>
  <c r="AL362" i="27" s="1"/>
  <c r="AJ360" i="27"/>
  <c r="AJ85" i="28" s="1"/>
  <c r="J5" i="46" s="1"/>
  <c r="X522" i="27"/>
  <c r="AC118" i="27"/>
  <c r="U134" i="32"/>
  <c r="H6" i="61"/>
  <c r="AD73" i="31"/>
  <c r="AD75" i="31" s="1"/>
  <c r="AA271" i="27"/>
  <c r="H23" i="40"/>
  <c r="AD25" i="31"/>
  <c r="X37" i="31"/>
  <c r="H16" i="45"/>
  <c r="I45" i="40"/>
  <c r="J10" i="38"/>
  <c r="J29" i="38"/>
  <c r="I9" i="57"/>
  <c r="H16" i="54"/>
  <c r="H43" i="40"/>
  <c r="Z51" i="32"/>
  <c r="I13" i="57"/>
  <c r="I7" i="58"/>
  <c r="J21" i="38"/>
  <c r="I48" i="52"/>
  <c r="I19" i="40"/>
  <c r="AC215" i="31"/>
  <c r="AA63" i="28"/>
  <c r="AB213" i="27"/>
  <c r="AB225" i="27" s="1"/>
  <c r="AA483" i="27"/>
  <c r="Y226" i="27"/>
  <c r="Z482" i="27"/>
  <c r="Z498" i="27" s="1"/>
  <c r="AA490" i="27"/>
  <c r="AA501" i="27" s="1"/>
  <c r="AA500" i="27" s="1"/>
  <c r="Z670" i="27"/>
  <c r="AD194" i="31"/>
  <c r="AD190" i="31"/>
  <c r="AB323" i="27"/>
  <c r="AD318" i="27"/>
  <c r="Y224" i="27"/>
  <c r="Y501" i="27"/>
  <c r="Y223" i="27"/>
  <c r="Y225" i="27"/>
  <c r="AB222" i="27"/>
  <c r="AB228" i="27" s="1"/>
  <c r="AD178" i="27"/>
  <c r="AD204" i="27" s="1"/>
  <c r="AD177" i="27"/>
  <c r="AD203" i="27" s="1"/>
  <c r="AD180" i="27"/>
  <c r="AD206" i="27" s="1"/>
  <c r="AD179" i="27"/>
  <c r="AD205" i="27" s="1"/>
  <c r="AE116" i="27"/>
  <c r="AD314" i="27"/>
  <c r="AJ494" i="27"/>
  <c r="K86" i="41" s="1"/>
  <c r="AB463" i="27"/>
  <c r="AB472" i="27" s="1"/>
  <c r="I77" i="41" s="1"/>
  <c r="AC116" i="27"/>
  <c r="AD141" i="27"/>
  <c r="AB201" i="27"/>
  <c r="AB208" i="27" s="1"/>
  <c r="AB493" i="27"/>
  <c r="AA682" i="27"/>
  <c r="AA12" i="28"/>
  <c r="AD202" i="27"/>
  <c r="AD193" i="31"/>
  <c r="AE73" i="31"/>
  <c r="AE97" i="31" s="1"/>
  <c r="AE101" i="31" s="1"/>
  <c r="AD192" i="31"/>
  <c r="AD191" i="31"/>
  <c r="AD195" i="31"/>
  <c r="AE29" i="31"/>
  <c r="AH116" i="31"/>
  <c r="AH91" i="31"/>
  <c r="AH92" i="31"/>
  <c r="AH117" i="31"/>
  <c r="AH118" i="31"/>
  <c r="AH93" i="31"/>
  <c r="AH119" i="31"/>
  <c r="AH94" i="31"/>
  <c r="AH95" i="31"/>
  <c r="AH120" i="31"/>
  <c r="AH121" i="31"/>
  <c r="AH96" i="31"/>
  <c r="AH97" i="31"/>
  <c r="AH123" i="31"/>
  <c r="AH124" i="31"/>
  <c r="AH99" i="31"/>
  <c r="AH100" i="31"/>
  <c r="AG152" i="1"/>
  <c r="AG151" i="1"/>
  <c r="AH112" i="1"/>
  <c r="AH109" i="1"/>
  <c r="AJ121" i="1"/>
  <c r="AJ118" i="1"/>
  <c r="AC26" i="31"/>
  <c r="AD26" i="31" s="1"/>
  <c r="AC189" i="31"/>
  <c r="X235" i="28"/>
  <c r="X232" i="28"/>
  <c r="X256" i="28" s="1"/>
  <c r="AC266" i="27"/>
  <c r="AC263" i="27" s="1"/>
  <c r="AD307" i="27"/>
  <c r="AD304" i="27" s="1"/>
  <c r="AD320" i="27" s="1"/>
  <c r="AD322" i="27" s="1"/>
  <c r="AD18" i="28" s="1"/>
  <c r="T44" i="31"/>
  <c r="G35" i="51" s="1"/>
  <c r="AK277" i="27"/>
  <c r="AK124" i="27"/>
  <c r="AK128" i="27" s="1"/>
  <c r="AL281" i="28"/>
  <c r="AL322" i="28"/>
  <c r="X234" i="28"/>
  <c r="X236" i="28"/>
  <c r="X233" i="28"/>
  <c r="AB644" i="27"/>
  <c r="I72" i="43" s="1"/>
  <c r="AB640" i="27"/>
  <c r="Z229" i="28"/>
  <c r="Z252" i="28" s="1"/>
  <c r="AC283" i="27"/>
  <c r="AC280" i="27" s="1"/>
  <c r="AB626" i="27"/>
  <c r="AD199" i="27"/>
  <c r="AD190" i="27" s="1"/>
  <c r="AD191" i="27" s="1"/>
  <c r="Z230" i="27"/>
  <c r="Z683" i="27" s="1"/>
  <c r="AB196" i="27"/>
  <c r="AB215" i="27" s="1"/>
  <c r="AB209" i="27" s="1"/>
  <c r="AB216" i="27" s="1"/>
  <c r="AB17" i="28" s="1"/>
  <c r="AA209" i="27"/>
  <c r="AA216" i="27" s="1"/>
  <c r="AA17" i="28" s="1"/>
  <c r="AB598" i="27"/>
  <c r="AB584" i="27"/>
  <c r="AB570" i="27"/>
  <c r="AB92" i="27"/>
  <c r="AG222" i="1"/>
  <c r="AF29" i="31"/>
  <c r="AF25" i="31" s="1"/>
  <c r="AJ128" i="27"/>
  <c r="AC431" i="27"/>
  <c r="AC432" i="27"/>
  <c r="AD431" i="27"/>
  <c r="AD432" i="27"/>
  <c r="AC429" i="27"/>
  <c r="AC430" i="27"/>
  <c r="AD429" i="27"/>
  <c r="AD430" i="27"/>
  <c r="AC428" i="27"/>
  <c r="AC427" i="27"/>
  <c r="AD428" i="27"/>
  <c r="AD427" i="27"/>
  <c r="AC393" i="27"/>
  <c r="T43" i="31"/>
  <c r="G34" i="51" s="1"/>
  <c r="AE135" i="27"/>
  <c r="AG273" i="27"/>
  <c r="AG33" i="31"/>
  <c r="AC275" i="27"/>
  <c r="AC272" i="27" s="1"/>
  <c r="AB271" i="27"/>
  <c r="AG27" i="31"/>
  <c r="AG231" i="1"/>
  <c r="AF97" i="1"/>
  <c r="I24" i="34" s="1" a="1"/>
  <c r="I24" i="34" s="1"/>
  <c r="AD155" i="27"/>
  <c r="U119" i="32"/>
  <c r="H5" i="61" s="1"/>
  <c r="S138" i="32"/>
  <c r="T123" i="32"/>
  <c r="G9" i="61" s="1"/>
  <c r="AF48" i="31"/>
  <c r="J39" i="51" s="1"/>
  <c r="AA240" i="31"/>
  <c r="AC162" i="31"/>
  <c r="Y242" i="31"/>
  <c r="AC154" i="31"/>
  <c r="AC50" i="31" s="1"/>
  <c r="U42" i="31"/>
  <c r="U44" i="31" s="1"/>
  <c r="AC392" i="27"/>
  <c r="V38" i="31"/>
  <c r="AC397" i="27"/>
  <c r="AC454" i="27"/>
  <c r="AC455" i="27"/>
  <c r="AC457" i="27"/>
  <c r="AC396" i="27"/>
  <c r="AC456" i="27"/>
  <c r="AC394" i="27"/>
  <c r="AC453" i="27"/>
  <c r="AC395" i="27"/>
  <c r="AC458" i="27"/>
  <c r="AC139" i="27"/>
  <c r="Y228" i="27"/>
  <c r="Y232" i="27" s="1"/>
  <c r="Y219" i="27"/>
  <c r="Y219" i="28"/>
  <c r="Y215" i="27"/>
  <c r="AC291" i="27"/>
  <c r="AC315" i="27"/>
  <c r="AC317" i="27" s="1"/>
  <c r="AC19" i="28" s="1"/>
  <c r="AC320" i="27"/>
  <c r="AC322" i="27" s="1"/>
  <c r="AC18" i="28" s="1"/>
  <c r="AC303" i="27"/>
  <c r="V235" i="28"/>
  <c r="V233" i="28"/>
  <c r="V684" i="27"/>
  <c r="V217" i="28" s="1"/>
  <c r="V236" i="28"/>
  <c r="V234" i="28"/>
  <c r="U232" i="28"/>
  <c r="U17" i="32"/>
  <c r="Y482" i="27"/>
  <c r="Y207" i="27"/>
  <c r="AC175" i="27"/>
  <c r="AC246" i="27"/>
  <c r="AC190" i="27"/>
  <c r="AD397" i="27"/>
  <c r="AD454" i="27"/>
  <c r="AD579" i="27" s="1"/>
  <c r="AA230" i="27"/>
  <c r="AA683" i="27" s="1"/>
  <c r="AD458" i="27"/>
  <c r="AD395" i="27"/>
  <c r="AD607" i="27" s="1"/>
  <c r="AD394" i="27"/>
  <c r="AD621" i="27" s="1"/>
  <c r="AD455" i="27"/>
  <c r="AD593" i="27" s="1"/>
  <c r="AD457" i="27"/>
  <c r="AD565" i="27" s="1"/>
  <c r="AD396" i="27"/>
  <c r="AE479" i="27"/>
  <c r="AD453" i="27"/>
  <c r="AD456" i="27"/>
  <c r="AD393" i="27"/>
  <c r="AD392" i="27"/>
  <c r="AD84" i="27" s="1"/>
  <c r="AA229" i="28"/>
  <c r="AA252" i="28" s="1"/>
  <c r="AA121" i="32"/>
  <c r="AF257" i="27"/>
  <c r="AA232" i="27"/>
  <c r="AA48" i="28" s="1"/>
  <c r="AE184" i="27"/>
  <c r="AE175" i="27" s="1"/>
  <c r="AE176" i="27" s="1"/>
  <c r="AA228" i="28"/>
  <c r="AA88" i="32" s="1"/>
  <c r="AA18" i="32"/>
  <c r="AD283" i="27"/>
  <c r="AD280" i="27" s="1"/>
  <c r="AD279" i="27" s="1"/>
  <c r="AB451" i="27"/>
  <c r="I59" i="41" s="1"/>
  <c r="AE249" i="27"/>
  <c r="AE246" i="27" s="1"/>
  <c r="AE245" i="27" s="1"/>
  <c r="AG93" i="1"/>
  <c r="AG281" i="27"/>
  <c r="AG264" i="27"/>
  <c r="AE35" i="31"/>
  <c r="AF35" i="31"/>
  <c r="AC163" i="31"/>
  <c r="AB241" i="31"/>
  <c r="AB240" i="31" s="1"/>
  <c r="AB62" i="31" s="1"/>
  <c r="AD121" i="31"/>
  <c r="AC164" i="31"/>
  <c r="AC165" i="31"/>
  <c r="AC168" i="31"/>
  <c r="AB161" i="31"/>
  <c r="H9" i="54" s="1"/>
  <c r="AE74" i="31"/>
  <c r="AF84" i="31"/>
  <c r="AE291" i="27"/>
  <c r="AE316" i="27" s="1"/>
  <c r="AE314" i="27" s="1"/>
  <c r="AE158" i="31"/>
  <c r="AE154" i="31" s="1"/>
  <c r="AE50" i="31" s="1"/>
  <c r="AD159" i="31"/>
  <c r="AD165" i="31" s="1"/>
  <c r="AJ333" i="27"/>
  <c r="AL102" i="27"/>
  <c r="AJ363" i="27"/>
  <c r="AJ122" i="1"/>
  <c r="AI123" i="1"/>
  <c r="AI124" i="1" s="1"/>
  <c r="AJ110" i="1"/>
  <c r="AI111" i="1"/>
  <c r="AL119" i="1"/>
  <c r="AK120" i="1"/>
  <c r="AK425" i="27"/>
  <c r="AM2" i="31"/>
  <c r="AM2" i="32"/>
  <c r="AM2" i="27"/>
  <c r="AM140" i="27" s="1"/>
  <c r="AM2" i="28"/>
  <c r="AM197" i="28" s="1"/>
  <c r="AN36" i="1"/>
  <c r="AM2" i="1"/>
  <c r="AM357" i="27"/>
  <c r="AM377" i="27"/>
  <c r="AM347" i="27"/>
  <c r="AM352" i="27"/>
  <c r="AM368" i="27"/>
  <c r="AM369" i="27" s="1"/>
  <c r="AM337" i="27"/>
  <c r="AM373" i="27"/>
  <c r="AM374" i="27" s="1"/>
  <c r="AH343" i="27"/>
  <c r="AH47" i="28" s="1"/>
  <c r="AH88" i="28"/>
  <c r="AH199" i="28" s="1"/>
  <c r="AI342" i="27"/>
  <c r="AI340" i="27" s="1"/>
  <c r="AH68" i="27"/>
  <c r="AH93" i="28" s="1"/>
  <c r="AG69" i="27"/>
  <c r="AK113" i="1"/>
  <c r="AJ114" i="1"/>
  <c r="AJ115" i="1" s="1"/>
  <c r="AH103" i="27"/>
  <c r="AG104" i="28"/>
  <c r="AL332" i="27"/>
  <c r="AL419" i="27"/>
  <c r="AL421" i="27"/>
  <c r="AL125" i="27" s="1"/>
  <c r="AL424" i="27"/>
  <c r="AL127" i="27" s="1"/>
  <c r="AL423" i="27"/>
  <c r="AL126" i="27" s="1"/>
  <c r="AL422" i="27"/>
  <c r="AL420" i="27"/>
  <c r="AL301" i="27"/>
  <c r="AL289" i="27"/>
  <c r="AL260" i="27"/>
  <c r="AL269" i="27"/>
  <c r="AJ9" i="28"/>
  <c r="K6" i="44" s="1"/>
  <c r="AL113" i="28"/>
  <c r="AM113" i="28" s="1"/>
  <c r="AJ171" i="1"/>
  <c r="AJ176" i="1" s="1"/>
  <c r="K38" i="35" s="1"/>
  <c r="AF295" i="27"/>
  <c r="AF292" i="27" s="1"/>
  <c r="AF315" i="27" s="1"/>
  <c r="AF317" i="27" s="1"/>
  <c r="AF19" i="28" s="1"/>
  <c r="AG477" i="27"/>
  <c r="AG133" i="27"/>
  <c r="AG98" i="1"/>
  <c r="AF121" i="27"/>
  <c r="AF115" i="27" s="1"/>
  <c r="AF118" i="27" s="1"/>
  <c r="AE62" i="23"/>
  <c r="AE68" i="23"/>
  <c r="AG67" i="1"/>
  <c r="AG103" i="1"/>
  <c r="AG247" i="27"/>
  <c r="AG293" i="27"/>
  <c r="AG71" i="1"/>
  <c r="AG119" i="27"/>
  <c r="AG82" i="31"/>
  <c r="AE139" i="27"/>
  <c r="AE143" i="27" s="1"/>
  <c r="AG305" i="27"/>
  <c r="AF146" i="27"/>
  <c r="AF138" i="27" s="1"/>
  <c r="J25" i="38" s="1"/>
  <c r="AG144" i="27"/>
  <c r="AG255" i="27"/>
  <c r="AE283" i="27"/>
  <c r="AE280" i="27" s="1"/>
  <c r="AE279" i="27" s="1"/>
  <c r="AH255" i="27"/>
  <c r="AH33" i="31"/>
  <c r="AH27" i="31"/>
  <c r="AH273" i="27"/>
  <c r="AH153" i="27"/>
  <c r="AG47" i="31"/>
  <c r="AG48" i="31" s="1"/>
  <c r="AG155" i="31"/>
  <c r="AG182" i="27"/>
  <c r="AG197" i="27"/>
  <c r="AG156" i="31"/>
  <c r="AF49" i="31"/>
  <c r="J40" i="51" s="1"/>
  <c r="AG44" i="32"/>
  <c r="AG79" i="32"/>
  <c r="AG221" i="31"/>
  <c r="AG213" i="31"/>
  <c r="AG151" i="31"/>
  <c r="AG173" i="31"/>
  <c r="AG71" i="31"/>
  <c r="AG141" i="31"/>
  <c r="AH103" i="1"/>
  <c r="AH102" i="1" s="1"/>
  <c r="AJ160" i="1"/>
  <c r="K24" i="35" s="1"/>
  <c r="AJ162" i="1"/>
  <c r="K26" i="35" s="1"/>
  <c r="AJ161" i="1"/>
  <c r="K25" i="35" s="1"/>
  <c r="AJ163" i="1"/>
  <c r="K27" i="35" s="1"/>
  <c r="AG78" i="1"/>
  <c r="AG88" i="1"/>
  <c r="AG83" i="1"/>
  <c r="AG6" i="31"/>
  <c r="AG1" i="32"/>
  <c r="AG1" i="31"/>
  <c r="AG6" i="32"/>
  <c r="AG77" i="27"/>
  <c r="AG64" i="27"/>
  <c r="AG1" i="28"/>
  <c r="AG1" i="27"/>
  <c r="AG237" i="27"/>
  <c r="AG107" i="27"/>
  <c r="AG387" i="27"/>
  <c r="AG509" i="27"/>
  <c r="AG554" i="27"/>
  <c r="AG658" i="27"/>
  <c r="AG328" i="27"/>
  <c r="AG169" i="27"/>
  <c r="AG267" i="28"/>
  <c r="AG207" i="28"/>
  <c r="AG348" i="28"/>
  <c r="AG307" i="28"/>
  <c r="AG154" i="28"/>
  <c r="AG81" i="28"/>
  <c r="AG43" i="28"/>
  <c r="AG4" i="28"/>
  <c r="AG119" i="28"/>
  <c r="AE57" i="23"/>
  <c r="AE80" i="23"/>
  <c r="AJ37" i="1"/>
  <c r="AI45" i="1"/>
  <c r="AI43" i="1"/>
  <c r="AI46" i="1"/>
  <c r="AI38" i="1"/>
  <c r="AI55" i="1" s="1"/>
  <c r="AI44" i="1"/>
  <c r="AG164" i="1"/>
  <c r="AG34" i="1"/>
  <c r="AG208" i="1"/>
  <c r="AG60" i="1"/>
  <c r="AG6" i="1"/>
  <c r="AG130" i="1"/>
  <c r="AG1" i="1"/>
  <c r="AH159" i="1"/>
  <c r="AH148" i="1"/>
  <c r="AH145" i="1"/>
  <c r="AH136" i="1"/>
  <c r="AH172" i="1"/>
  <c r="AH144" i="1"/>
  <c r="AH114" i="32"/>
  <c r="AG146" i="1"/>
  <c r="AN51" i="1" l="1"/>
  <c r="AN49" i="1"/>
  <c r="AN50" i="1"/>
  <c r="AN48" i="1"/>
  <c r="K34" i="35"/>
  <c r="AG703" i="27"/>
  <c r="AG700" i="27" s="1"/>
  <c r="AH151" i="1"/>
  <c r="AH462" i="27"/>
  <c r="AH409" i="27"/>
  <c r="AH302" i="27"/>
  <c r="AH290" i="27"/>
  <c r="AH278" i="27"/>
  <c r="AH270" i="27"/>
  <c r="AH261" i="27"/>
  <c r="AH252" i="27"/>
  <c r="AH244" i="27"/>
  <c r="AH151" i="27"/>
  <c r="AH142" i="27"/>
  <c r="AH131" i="27"/>
  <c r="AH117" i="27"/>
  <c r="AH198" i="27"/>
  <c r="AH256" i="27"/>
  <c r="AI256" i="27" s="1"/>
  <c r="AH294" i="27"/>
  <c r="AH152" i="1"/>
  <c r="AI101" i="1"/>
  <c r="AI96" i="1"/>
  <c r="AI27" i="31" s="1"/>
  <c r="AI91" i="1"/>
  <c r="AI86" i="1"/>
  <c r="AI81" i="1"/>
  <c r="AI76" i="1"/>
  <c r="AI65" i="1"/>
  <c r="AH157" i="31"/>
  <c r="AH183" i="27"/>
  <c r="AH145" i="27"/>
  <c r="AH306" i="27"/>
  <c r="AH83" i="31"/>
  <c r="AH248" i="27"/>
  <c r="AH478" i="27"/>
  <c r="AM338" i="27"/>
  <c r="AM335" i="27"/>
  <c r="AM353" i="27"/>
  <c r="AM350" i="27"/>
  <c r="AM378" i="27"/>
  <c r="AM60" i="28" s="1"/>
  <c r="AM376" i="27"/>
  <c r="AH282" i="27"/>
  <c r="AL363" i="27"/>
  <c r="AL360" i="27"/>
  <c r="AL85" i="28" s="1"/>
  <c r="Y498" i="27"/>
  <c r="J16" i="44"/>
  <c r="AC143" i="27"/>
  <c r="AC141" i="27" s="1"/>
  <c r="AC607" i="27"/>
  <c r="AC621" i="27"/>
  <c r="AC626" i="27" s="1"/>
  <c r="AC593" i="27"/>
  <c r="AC598" i="27" s="1"/>
  <c r="AC84" i="27"/>
  <c r="AC92" i="27" s="1"/>
  <c r="I20" i="57"/>
  <c r="AF701" i="27"/>
  <c r="AF702" i="27" s="1"/>
  <c r="AF218" i="28" s="1"/>
  <c r="AH28" i="31"/>
  <c r="AC271" i="27"/>
  <c r="AH274" i="27"/>
  <c r="AI274" i="27" s="1"/>
  <c r="AD216" i="31"/>
  <c r="AD224" i="31" s="1"/>
  <c r="AD13" i="32" s="1"/>
  <c r="AD215" i="31"/>
  <c r="AE216" i="31" s="1"/>
  <c r="AE224" i="31" s="1"/>
  <c r="I36" i="40"/>
  <c r="H27" i="49"/>
  <c r="H29" i="49"/>
  <c r="J7" i="38"/>
  <c r="AH154" i="27"/>
  <c r="AI154" i="27" s="1"/>
  <c r="H26" i="39"/>
  <c r="AC224" i="31"/>
  <c r="H10" i="49"/>
  <c r="H26" i="49"/>
  <c r="H28" i="49"/>
  <c r="I21" i="57"/>
  <c r="AI28" i="31"/>
  <c r="AH120" i="27"/>
  <c r="AH134" i="27"/>
  <c r="AL333" i="27"/>
  <c r="AL330" i="27"/>
  <c r="AM348" i="27"/>
  <c r="AM345" i="27"/>
  <c r="AM358" i="27"/>
  <c r="AM355" i="27"/>
  <c r="AB166" i="31"/>
  <c r="H14" i="54" s="1"/>
  <c r="AH265" i="27"/>
  <c r="AC565" i="27"/>
  <c r="AC570" i="27" s="1"/>
  <c r="AC579" i="27"/>
  <c r="AH34" i="31"/>
  <c r="AI34" i="31" s="1"/>
  <c r="AE25" i="31"/>
  <c r="AE215" i="31" s="1"/>
  <c r="AF216" i="31" s="1"/>
  <c r="Y500" i="27"/>
  <c r="I7" i="59"/>
  <c r="X41" i="31"/>
  <c r="H28" i="51"/>
  <c r="H22" i="40"/>
  <c r="AD97" i="31"/>
  <c r="J9" i="38"/>
  <c r="AK363" i="27"/>
  <c r="AK360" i="27"/>
  <c r="AK85" i="28" s="1"/>
  <c r="AK333" i="27"/>
  <c r="AK330" i="27"/>
  <c r="Z59" i="28"/>
  <c r="Z37" i="31" s="1"/>
  <c r="Z41" i="31" s="1"/>
  <c r="AA482" i="27"/>
  <c r="AA498" i="27" s="1"/>
  <c r="Z499" i="27"/>
  <c r="AB483" i="27"/>
  <c r="AB490" i="27"/>
  <c r="AB501" i="27" s="1"/>
  <c r="AB500" i="27" s="1"/>
  <c r="Y227" i="27"/>
  <c r="AA670" i="27"/>
  <c r="AA499" i="27"/>
  <c r="Y499" i="27"/>
  <c r="AE318" i="27"/>
  <c r="AA217" i="27"/>
  <c r="AB217" i="27"/>
  <c r="AB227" i="27"/>
  <c r="AB682" i="27" s="1"/>
  <c r="AE178" i="27"/>
  <c r="AE204" i="27" s="1"/>
  <c r="AE177" i="27"/>
  <c r="AE203" i="27" s="1"/>
  <c r="AD193" i="27"/>
  <c r="AD212" i="27" s="1"/>
  <c r="AD224" i="27" s="1"/>
  <c r="AD192" i="27"/>
  <c r="AD211" i="27" s="1"/>
  <c r="AD223" i="27" s="1"/>
  <c r="AE180" i="27"/>
  <c r="AE206" i="27" s="1"/>
  <c r="AE179" i="27"/>
  <c r="AE205" i="27" s="1"/>
  <c r="AD195" i="27"/>
  <c r="AD214" i="27" s="1"/>
  <c r="AD226" i="27" s="1"/>
  <c r="AD194" i="27"/>
  <c r="AD213" i="27" s="1"/>
  <c r="AD225" i="27" s="1"/>
  <c r="AF116" i="27"/>
  <c r="J8" i="38" s="1"/>
  <c r="AE141" i="27"/>
  <c r="AB496" i="27"/>
  <c r="AB12" i="28"/>
  <c r="AD210" i="27"/>
  <c r="AD222" i="27" s="1"/>
  <c r="AD189" i="31"/>
  <c r="AE195" i="31"/>
  <c r="AE190" i="31"/>
  <c r="AE193" i="31"/>
  <c r="AE192" i="31"/>
  <c r="AE191" i="31"/>
  <c r="AE194" i="31"/>
  <c r="AI116" i="31"/>
  <c r="AI91" i="31"/>
  <c r="AI92" i="31"/>
  <c r="AI117" i="31"/>
  <c r="AI118" i="31"/>
  <c r="AI93" i="31"/>
  <c r="AI94" i="31"/>
  <c r="AI119" i="31"/>
  <c r="AI121" i="31"/>
  <c r="AI120" i="31"/>
  <c r="AI95" i="31"/>
  <c r="AI96" i="31"/>
  <c r="AI123" i="31"/>
  <c r="AI97" i="31"/>
  <c r="AI124" i="31"/>
  <c r="AI99" i="31"/>
  <c r="AI100" i="31"/>
  <c r="AK121" i="1"/>
  <c r="AK118" i="1"/>
  <c r="AI112" i="1"/>
  <c r="AI109" i="1"/>
  <c r="AD303" i="27"/>
  <c r="AD321" i="27" s="1"/>
  <c r="AD319" i="27" s="1"/>
  <c r="AE307" i="27"/>
  <c r="AE304" i="27" s="1"/>
  <c r="AE320" i="27" s="1"/>
  <c r="AE322" i="27" s="1"/>
  <c r="AE18" i="28" s="1"/>
  <c r="Z120" i="32"/>
  <c r="Z119" i="32" s="1"/>
  <c r="AL277" i="27"/>
  <c r="AL124" i="27"/>
  <c r="AL128" i="27" s="1"/>
  <c r="AM322" i="28"/>
  <c r="AM281" i="28"/>
  <c r="AB232" i="27"/>
  <c r="AB48" i="28" s="1"/>
  <c r="AB219" i="28"/>
  <c r="AB18" i="32" s="1"/>
  <c r="AE199" i="27"/>
  <c r="AE190" i="27" s="1"/>
  <c r="AE191" i="27" s="1"/>
  <c r="AB367" i="27"/>
  <c r="AB365" i="27" s="1"/>
  <c r="AB102" i="28" s="1"/>
  <c r="H22" i="46" s="1"/>
  <c r="AD635" i="27"/>
  <c r="AD644" i="27" s="1"/>
  <c r="AC635" i="27"/>
  <c r="AB219" i="27"/>
  <c r="H23" i="39" s="1"/>
  <c r="AC584" i="27"/>
  <c r="AD92" i="27"/>
  <c r="AG29" i="31"/>
  <c r="AG25" i="31" s="1"/>
  <c r="AF192" i="31"/>
  <c r="AM102" i="27"/>
  <c r="AF194" i="31"/>
  <c r="AF190" i="31"/>
  <c r="AF195" i="31"/>
  <c r="AF193" i="31"/>
  <c r="AF191" i="31"/>
  <c r="AE431" i="27"/>
  <c r="AE432" i="27"/>
  <c r="AE429" i="27"/>
  <c r="AE430" i="27"/>
  <c r="AE428" i="27"/>
  <c r="AE427" i="27"/>
  <c r="AM362" i="27"/>
  <c r="AF135" i="27"/>
  <c r="AG87" i="1"/>
  <c r="AG73" i="1"/>
  <c r="AG102" i="1"/>
  <c r="AG66" i="1"/>
  <c r="AG97" i="1"/>
  <c r="AD275" i="27"/>
  <c r="AD272" i="27" s="1"/>
  <c r="AD271" i="27" s="1"/>
  <c r="AG82" i="1"/>
  <c r="AG77" i="1"/>
  <c r="AG92" i="1"/>
  <c r="AE155" i="27"/>
  <c r="U43" i="31"/>
  <c r="T138" i="32"/>
  <c r="U123" i="32"/>
  <c r="AA120" i="32"/>
  <c r="AC229" i="31"/>
  <c r="Y63" i="31"/>
  <c r="AA228" i="31"/>
  <c r="AA62" i="31"/>
  <c r="I53" i="51" s="1"/>
  <c r="AH222" i="1"/>
  <c r="AH231" i="1"/>
  <c r="V42" i="31"/>
  <c r="V44" i="31" s="1"/>
  <c r="W38" i="31"/>
  <c r="AE456" i="27"/>
  <c r="AE393" i="27"/>
  <c r="AE394" i="27"/>
  <c r="AE621" i="27" s="1"/>
  <c r="AE453" i="27"/>
  <c r="AE458" i="27"/>
  <c r="AE392" i="27"/>
  <c r="AE84" i="27" s="1"/>
  <c r="AE455" i="27"/>
  <c r="AE593" i="27" s="1"/>
  <c r="AF479" i="27"/>
  <c r="AE397" i="27"/>
  <c r="AE457" i="27"/>
  <c r="AE565" i="27" s="1"/>
  <c r="AE395" i="27"/>
  <c r="AE607" i="27" s="1"/>
  <c r="AE454" i="27"/>
  <c r="AE579" i="27" s="1"/>
  <c r="AE396" i="27"/>
  <c r="AD433" i="27"/>
  <c r="AA233" i="27"/>
  <c r="AA684" i="27" s="1"/>
  <c r="AA217" i="28" s="1"/>
  <c r="AC398" i="27"/>
  <c r="AC459" i="27"/>
  <c r="AC433" i="27"/>
  <c r="AC262" i="27"/>
  <c r="AC191" i="27"/>
  <c r="AC245" i="27"/>
  <c r="AC176" i="27"/>
  <c r="AC279" i="27"/>
  <c r="AC321" i="27"/>
  <c r="AC323" i="27" s="1"/>
  <c r="Y209" i="27"/>
  <c r="Y48" i="28"/>
  <c r="Y201" i="27"/>
  <c r="Y59" i="28"/>
  <c r="Y670" i="27"/>
  <c r="U256" i="28"/>
  <c r="V232" i="28"/>
  <c r="V256" i="28" s="1"/>
  <c r="V17" i="32"/>
  <c r="H11" i="58" s="1"/>
  <c r="AC316" i="27"/>
  <c r="AC318" i="27" s="1"/>
  <c r="Y228" i="28"/>
  <c r="Y231" i="28"/>
  <c r="Y18" i="32"/>
  <c r="Y367" i="27"/>
  <c r="Y365" i="27" s="1"/>
  <c r="Y102" i="28" s="1"/>
  <c r="Z232" i="27"/>
  <c r="Z48" i="28" s="1"/>
  <c r="AD398" i="27"/>
  <c r="AD436" i="27" s="1"/>
  <c r="AD447" i="27" s="1"/>
  <c r="AD459" i="27"/>
  <c r="AE202" i="27"/>
  <c r="AD181" i="27"/>
  <c r="AD207" i="27" s="1"/>
  <c r="AF184" i="27"/>
  <c r="AF175" i="27" s="1"/>
  <c r="AF176" i="27" s="1"/>
  <c r="AF249" i="27"/>
  <c r="AF246" i="27" s="1"/>
  <c r="AF245" i="27" s="1"/>
  <c r="AH93" i="1"/>
  <c r="AH92" i="1" s="1"/>
  <c r="AH281" i="27"/>
  <c r="AE266" i="27"/>
  <c r="AH264" i="27"/>
  <c r="AH98" i="1"/>
  <c r="AH97" i="1" s="1"/>
  <c r="AH67" i="1"/>
  <c r="AH66" i="1" s="1"/>
  <c r="AD164" i="31"/>
  <c r="AC161" i="31"/>
  <c r="AD125" i="31"/>
  <c r="AE75" i="31"/>
  <c r="AE121" i="31"/>
  <c r="AE125" i="31" s="1"/>
  <c r="AD163" i="31"/>
  <c r="AD168" i="31"/>
  <c r="AD229" i="31" s="1"/>
  <c r="AD241" i="31" s="1"/>
  <c r="AD240" i="31" s="1"/>
  <c r="AD62" i="31" s="1"/>
  <c r="AD162" i="31"/>
  <c r="AF74" i="31"/>
  <c r="J4" i="52" s="1"/>
  <c r="AE159" i="31"/>
  <c r="AE162" i="31" s="1"/>
  <c r="AF215" i="31"/>
  <c r="AG216" i="31" s="1"/>
  <c r="AF158" i="31"/>
  <c r="AF154" i="31" s="1"/>
  <c r="I4" i="54" s="1"/>
  <c r="AL435" i="27"/>
  <c r="AM31" i="31" s="1"/>
  <c r="AI103" i="27"/>
  <c r="AH104" i="28"/>
  <c r="AI68" i="27"/>
  <c r="AI93" i="28" s="1"/>
  <c r="AH69" i="27"/>
  <c r="AM332" i="27"/>
  <c r="AN2" i="32"/>
  <c r="AN2" i="31"/>
  <c r="AN2" i="28"/>
  <c r="AN197" i="28" s="1"/>
  <c r="AN2" i="27"/>
  <c r="AN140" i="27" s="1"/>
  <c r="AO36" i="1"/>
  <c r="AN2" i="1"/>
  <c r="AN347" i="27"/>
  <c r="AN352" i="27"/>
  <c r="AN373" i="27"/>
  <c r="AN374" i="27" s="1"/>
  <c r="AN377" i="27"/>
  <c r="AN376" i="27" s="1"/>
  <c r="AN357" i="27"/>
  <c r="AN337" i="27"/>
  <c r="AN368" i="27"/>
  <c r="AN369" i="27"/>
  <c r="AM419" i="27"/>
  <c r="AM422" i="27"/>
  <c r="AM421" i="27"/>
  <c r="AM125" i="27" s="1"/>
  <c r="AM420" i="27"/>
  <c r="AM423" i="27"/>
  <c r="AM126" i="27" s="1"/>
  <c r="AM424" i="27"/>
  <c r="AM127" i="27" s="1"/>
  <c r="AM301" i="27"/>
  <c r="AM269" i="27"/>
  <c r="AM289" i="27"/>
  <c r="AM260" i="27"/>
  <c r="AM119" i="1"/>
  <c r="AL120" i="1"/>
  <c r="AK110" i="1"/>
  <c r="AJ111" i="1"/>
  <c r="AK122" i="1"/>
  <c r="AJ123" i="1"/>
  <c r="AJ124" i="1" s="1"/>
  <c r="AL425" i="27"/>
  <c r="AL113" i="1"/>
  <c r="AK114" i="1"/>
  <c r="AI343" i="27"/>
  <c r="AI47" i="28" s="1"/>
  <c r="AI88" i="28"/>
  <c r="AI199" i="28" s="1"/>
  <c r="AJ342" i="27"/>
  <c r="AJ340" i="27" s="1"/>
  <c r="AH305" i="27"/>
  <c r="AI306" i="27" s="1"/>
  <c r="AK171" i="1"/>
  <c r="AF291" i="27"/>
  <c r="AF316" i="27" s="1"/>
  <c r="AF314" i="27" s="1"/>
  <c r="AH119" i="27"/>
  <c r="AH477" i="27"/>
  <c r="AH133" i="27"/>
  <c r="AF62" i="23"/>
  <c r="AF68" i="23"/>
  <c r="AH82" i="31"/>
  <c r="AF139" i="27"/>
  <c r="AF143" i="27" s="1"/>
  <c r="AH293" i="27"/>
  <c r="AI294" i="27" s="1"/>
  <c r="AI231" i="1"/>
  <c r="AI222" i="1"/>
  <c r="AF266" i="27"/>
  <c r="AF263" i="27" s="1"/>
  <c r="AF262" i="27" s="1"/>
  <c r="AH71" i="1"/>
  <c r="AH73" i="1" s="1"/>
  <c r="AH72" i="1" s="1"/>
  <c r="AH144" i="27"/>
  <c r="AI145" i="27" s="1"/>
  <c r="AH247" i="27"/>
  <c r="AI248" i="27" s="1"/>
  <c r="AF283" i="27"/>
  <c r="AF280" i="27" s="1"/>
  <c r="AF279" i="27" s="1"/>
  <c r="AI144" i="27"/>
  <c r="AI273" i="27"/>
  <c r="AI153" i="27"/>
  <c r="AG49" i="31"/>
  <c r="AH182" i="27"/>
  <c r="AH197" i="27"/>
  <c r="AI198" i="27" s="1"/>
  <c r="AH156" i="31"/>
  <c r="AI157" i="31" s="1"/>
  <c r="AG73" i="31"/>
  <c r="AH155" i="31"/>
  <c r="AH47" i="31"/>
  <c r="AH48" i="31" s="1"/>
  <c r="AH44" i="32"/>
  <c r="AH79" i="32"/>
  <c r="AH221" i="31"/>
  <c r="AH213" i="31"/>
  <c r="AH151" i="31"/>
  <c r="AH173" i="31"/>
  <c r="AH71" i="31"/>
  <c r="AH141" i="31"/>
  <c r="AK161" i="1"/>
  <c r="AK160" i="1"/>
  <c r="AK163" i="1"/>
  <c r="AK162" i="1"/>
  <c r="AH88" i="1"/>
  <c r="AH87" i="1" s="1"/>
  <c r="AH78" i="1"/>
  <c r="AH77" i="1" s="1"/>
  <c r="AH83" i="1"/>
  <c r="AH82" i="1" s="1"/>
  <c r="AH6" i="31"/>
  <c r="AH1" i="32"/>
  <c r="AH1" i="31"/>
  <c r="AH6" i="32"/>
  <c r="AH77" i="27"/>
  <c r="AH64" i="27"/>
  <c r="AH1" i="28"/>
  <c r="AH1" i="27"/>
  <c r="AH169" i="27"/>
  <c r="AH509" i="27"/>
  <c r="AH237" i="27"/>
  <c r="AH328" i="27"/>
  <c r="AH107" i="27"/>
  <c r="AH387" i="27"/>
  <c r="AH554" i="27"/>
  <c r="AH658" i="27"/>
  <c r="AH348" i="28"/>
  <c r="AH307" i="28"/>
  <c r="AH267" i="28"/>
  <c r="AH207" i="28"/>
  <c r="AH119" i="28"/>
  <c r="AH81" i="28"/>
  <c r="AH154" i="28"/>
  <c r="AH43" i="28"/>
  <c r="AH4" i="28"/>
  <c r="AF57" i="23"/>
  <c r="AF80" i="23"/>
  <c r="AH34" i="1"/>
  <c r="AH130" i="1"/>
  <c r="AH1" i="1"/>
  <c r="AH208" i="1"/>
  <c r="AH60" i="1"/>
  <c r="AH6" i="1"/>
  <c r="AH146" i="1"/>
  <c r="AI114" i="32"/>
  <c r="AH164" i="1"/>
  <c r="AI159" i="1"/>
  <c r="AI148" i="1"/>
  <c r="AI145" i="1"/>
  <c r="AI136" i="1"/>
  <c r="AI172" i="1"/>
  <c r="AI144" i="1"/>
  <c r="AK37" i="1"/>
  <c r="AJ45" i="1"/>
  <c r="AJ43" i="1"/>
  <c r="AJ44" i="1"/>
  <c r="AJ46" i="1"/>
  <c r="AJ38" i="1"/>
  <c r="AJ55" i="1" s="1"/>
  <c r="AG701" i="27" l="1"/>
  <c r="AG702" i="27" s="1"/>
  <c r="AG218" i="28" s="1"/>
  <c r="AG230" i="28" s="1"/>
  <c r="AO48" i="1"/>
  <c r="AO51" i="1"/>
  <c r="AO49" i="1"/>
  <c r="AO50" i="1"/>
  <c r="AN113" i="28"/>
  <c r="K33" i="46" s="1"/>
  <c r="AN378" i="27"/>
  <c r="AN60" i="28" s="1"/>
  <c r="AH703" i="27"/>
  <c r="AH700" i="27" s="1"/>
  <c r="AH701" i="27" s="1"/>
  <c r="AH702" i="27" s="1"/>
  <c r="AH218" i="28" s="1"/>
  <c r="AJ28" i="31"/>
  <c r="AI134" i="27"/>
  <c r="AI265" i="27"/>
  <c r="J11" i="49"/>
  <c r="AF230" i="28"/>
  <c r="J23" i="49" s="1"/>
  <c r="AI83" i="31"/>
  <c r="AI478" i="27"/>
  <c r="AF73" i="31"/>
  <c r="AF97" i="31" s="1"/>
  <c r="AE26" i="31"/>
  <c r="AF26" i="31" s="1"/>
  <c r="J21" i="51" s="1"/>
  <c r="AI183" i="27"/>
  <c r="AI120" i="27"/>
  <c r="AI282" i="27"/>
  <c r="AD233" i="31"/>
  <c r="AD51" i="32" s="1"/>
  <c r="I19" i="55"/>
  <c r="I21" i="55"/>
  <c r="I18" i="55"/>
  <c r="I22" i="55"/>
  <c r="I20" i="55"/>
  <c r="I23" i="55"/>
  <c r="AF224" i="31"/>
  <c r="J4" i="57" s="1"/>
  <c r="I4" i="56"/>
  <c r="AI151" i="1"/>
  <c r="AI462" i="27"/>
  <c r="AI409" i="27"/>
  <c r="AI302" i="27"/>
  <c r="AI290" i="27"/>
  <c r="AI278" i="27"/>
  <c r="AI270" i="27"/>
  <c r="AI261" i="27"/>
  <c r="AI252" i="27"/>
  <c r="AI244" i="27"/>
  <c r="AI151" i="27"/>
  <c r="AI142" i="27"/>
  <c r="AI131" i="27"/>
  <c r="AI117" i="27"/>
  <c r="AJ154" i="27"/>
  <c r="AN338" i="27"/>
  <c r="AN335" i="27"/>
  <c r="AN353" i="27"/>
  <c r="AN350" i="27"/>
  <c r="AM333" i="27"/>
  <c r="AM330" i="27"/>
  <c r="AC166" i="31"/>
  <c r="Y208" i="27"/>
  <c r="H19" i="39"/>
  <c r="Y216" i="27"/>
  <c r="Y17" i="28" s="1"/>
  <c r="H20" i="39"/>
  <c r="I27" i="40"/>
  <c r="I7" i="40"/>
  <c r="I35" i="40"/>
  <c r="I8" i="40"/>
  <c r="AB228" i="31"/>
  <c r="AB242" i="31" s="1"/>
  <c r="AB63" i="31" s="1"/>
  <c r="J26" i="38"/>
  <c r="I7" i="39"/>
  <c r="L17" i="45"/>
  <c r="J20" i="51"/>
  <c r="AJ101" i="1"/>
  <c r="J27" i="34" s="1"/>
  <c r="AJ96" i="1"/>
  <c r="J23" i="34" s="1"/>
  <c r="AJ91" i="1"/>
  <c r="J19" i="34" s="1"/>
  <c r="AJ86" i="1"/>
  <c r="J15" i="34" s="1"/>
  <c r="AJ81" i="1"/>
  <c r="J11" i="34" s="1"/>
  <c r="AJ76" i="1"/>
  <c r="AJ65" i="1"/>
  <c r="AI152" i="1"/>
  <c r="AJ274" i="27"/>
  <c r="AJ145" i="27"/>
  <c r="AN358" i="27"/>
  <c r="AN355" i="27"/>
  <c r="AN348" i="27"/>
  <c r="AN345" i="27"/>
  <c r="I12" i="58"/>
  <c r="Y37" i="31"/>
  <c r="I6" i="45"/>
  <c r="I8" i="39"/>
  <c r="AC436" i="27"/>
  <c r="AC447" i="27" s="1"/>
  <c r="AC241" i="31"/>
  <c r="AC240" i="31" s="1"/>
  <c r="AM363" i="27"/>
  <c r="AM360" i="27"/>
  <c r="AM85" i="28" s="1"/>
  <c r="AB667" i="27"/>
  <c r="I88" i="41"/>
  <c r="J25" i="52"/>
  <c r="AD101" i="31"/>
  <c r="I92" i="41"/>
  <c r="I12" i="49"/>
  <c r="AC233" i="31"/>
  <c r="AC13" i="32"/>
  <c r="AE13" i="32"/>
  <c r="AE233" i="31"/>
  <c r="AE51" i="32" s="1"/>
  <c r="I3" i="56"/>
  <c r="I28" i="40"/>
  <c r="J28" i="38"/>
  <c r="H25" i="49"/>
  <c r="J7" i="34"/>
  <c r="AB63" i="28"/>
  <c r="I20" i="45" s="1"/>
  <c r="AA59" i="28"/>
  <c r="AA37" i="31" s="1"/>
  <c r="AA41" i="31" s="1"/>
  <c r="AB482" i="27"/>
  <c r="AB59" i="28" s="1"/>
  <c r="AB37" i="31" s="1"/>
  <c r="AD323" i="27"/>
  <c r="AF318" i="27"/>
  <c r="Y217" i="27"/>
  <c r="H21" i="39" s="1"/>
  <c r="AF178" i="27"/>
  <c r="AF204" i="27" s="1"/>
  <c r="AF177" i="27"/>
  <c r="AF203" i="27" s="1"/>
  <c r="AC178" i="27"/>
  <c r="AC177" i="27"/>
  <c r="AC193" i="27"/>
  <c r="AC192" i="27"/>
  <c r="AE193" i="27"/>
  <c r="AE212" i="27" s="1"/>
  <c r="AE224" i="27" s="1"/>
  <c r="AE192" i="27"/>
  <c r="AE211" i="27" s="1"/>
  <c r="AE223" i="27" s="1"/>
  <c r="AF180" i="27"/>
  <c r="AF206" i="27" s="1"/>
  <c r="AF179" i="27"/>
  <c r="AF205" i="27" s="1"/>
  <c r="AC180" i="27"/>
  <c r="AC179" i="27"/>
  <c r="AC195" i="27"/>
  <c r="AC194" i="27"/>
  <c r="AE195" i="27"/>
  <c r="AE214" i="27" s="1"/>
  <c r="AE226" i="27" s="1"/>
  <c r="AE194" i="27"/>
  <c r="AE213" i="27" s="1"/>
  <c r="AE225" i="27" s="1"/>
  <c r="AL494" i="27"/>
  <c r="AC451" i="27"/>
  <c r="AC493" i="27"/>
  <c r="AD451" i="27"/>
  <c r="AD496" i="27" s="1"/>
  <c r="AD667" i="27" s="1"/>
  <c r="AD493" i="27"/>
  <c r="AB670" i="27"/>
  <c r="AF141" i="27"/>
  <c r="J27" i="38" s="1"/>
  <c r="AD201" i="27"/>
  <c r="AD208" i="27" s="1"/>
  <c r="AD463" i="27"/>
  <c r="AD472" i="27" s="1"/>
  <c r="AD490" i="27" s="1"/>
  <c r="AC463" i="27"/>
  <c r="AF202" i="27"/>
  <c r="AE210" i="27"/>
  <c r="AE222" i="27" s="1"/>
  <c r="AE189" i="31"/>
  <c r="AF101" i="31"/>
  <c r="AK176" i="1"/>
  <c r="AK115" i="1"/>
  <c r="AJ116" i="31"/>
  <c r="K44" i="52" s="1"/>
  <c r="AJ91" i="31"/>
  <c r="K19" i="52" s="1"/>
  <c r="AJ117" i="31"/>
  <c r="K45" i="52" s="1"/>
  <c r="AJ92" i="31"/>
  <c r="K20" i="52" s="1"/>
  <c r="AJ118" i="31"/>
  <c r="K46" i="52" s="1"/>
  <c r="AJ93" i="31"/>
  <c r="K21" i="52" s="1"/>
  <c r="AJ94" i="31"/>
  <c r="K22" i="52" s="1"/>
  <c r="AJ119" i="31"/>
  <c r="K47" i="52" s="1"/>
  <c r="AJ120" i="31"/>
  <c r="K48" i="52" s="1"/>
  <c r="AJ121" i="31"/>
  <c r="K49" i="52" s="1"/>
  <c r="AJ95" i="31"/>
  <c r="K23" i="52" s="1"/>
  <c r="AJ96" i="31"/>
  <c r="K24" i="52" s="1"/>
  <c r="AJ97" i="31"/>
  <c r="K25" i="52" s="1"/>
  <c r="AJ123" i="31"/>
  <c r="K51" i="52" s="1"/>
  <c r="AJ124" i="31"/>
  <c r="K52" i="52" s="1"/>
  <c r="AJ99" i="31"/>
  <c r="K27" i="52" s="1"/>
  <c r="AJ100" i="31"/>
  <c r="K28" i="52" s="1"/>
  <c r="AJ112" i="1"/>
  <c r="AJ109" i="1"/>
  <c r="AL121" i="1"/>
  <c r="AL118" i="1"/>
  <c r="Z134" i="32"/>
  <c r="AF307" i="27"/>
  <c r="AF304" i="27" s="1"/>
  <c r="AF320" i="27" s="1"/>
  <c r="AF322" i="27" s="1"/>
  <c r="AF18" i="28" s="1"/>
  <c r="J15" i="44" s="1"/>
  <c r="AE303" i="27"/>
  <c r="AE321" i="27" s="1"/>
  <c r="AE319" i="27" s="1"/>
  <c r="AD570" i="27"/>
  <c r="AE570" i="27" s="1"/>
  <c r="AD584" i="27"/>
  <c r="AE584" i="27" s="1"/>
  <c r="AD598" i="27"/>
  <c r="AE598" i="27" s="1"/>
  <c r="AD626" i="27"/>
  <c r="AE626" i="27" s="1"/>
  <c r="AC644" i="27"/>
  <c r="AM277" i="27"/>
  <c r="AM124" i="27"/>
  <c r="AM128" i="27" s="1"/>
  <c r="AB231" i="28"/>
  <c r="AB229" i="28" s="1"/>
  <c r="AB252" i="28" s="1"/>
  <c r="AN281" i="28"/>
  <c r="AN322" i="28"/>
  <c r="AB230" i="27"/>
  <c r="AB228" i="28"/>
  <c r="AB88" i="32" s="1"/>
  <c r="AF199" i="27"/>
  <c r="AF190" i="27" s="1"/>
  <c r="AF191" i="27" s="1"/>
  <c r="I16" i="39" s="1"/>
  <c r="AD196" i="27"/>
  <c r="AD215" i="27" s="1"/>
  <c r="AD209" i="27" s="1"/>
  <c r="AD216" i="27" s="1"/>
  <c r="AD17" i="28" s="1"/>
  <c r="AE635" i="27"/>
  <c r="AE644" i="27" s="1"/>
  <c r="AC640" i="27"/>
  <c r="AH29" i="31"/>
  <c r="AH25" i="31" s="1"/>
  <c r="AE92" i="27"/>
  <c r="AF189" i="31"/>
  <c r="AN362" i="27"/>
  <c r="AF431" i="27"/>
  <c r="J45" i="41" s="1"/>
  <c r="AF432" i="27"/>
  <c r="J46" i="41" s="1"/>
  <c r="AF429" i="27"/>
  <c r="J43" i="41" s="1"/>
  <c r="AF430" i="27"/>
  <c r="J44" i="41" s="1"/>
  <c r="AF428" i="27"/>
  <c r="J42" i="41" s="1"/>
  <c r="AF427" i="27"/>
  <c r="J41" i="41" s="1"/>
  <c r="AG135" i="27"/>
  <c r="AG192" i="31"/>
  <c r="AE275" i="27"/>
  <c r="AG72" i="1"/>
  <c r="AA119" i="32"/>
  <c r="AA134" i="32"/>
  <c r="AA17" i="32"/>
  <c r="AF155" i="27"/>
  <c r="AG190" i="31"/>
  <c r="U138" i="32"/>
  <c r="V123" i="32"/>
  <c r="AA235" i="28"/>
  <c r="AG191" i="31"/>
  <c r="AG194" i="31"/>
  <c r="AG193" i="31"/>
  <c r="AG195" i="31"/>
  <c r="AG98" i="31"/>
  <c r="AF50" i="31"/>
  <c r="J41" i="51" s="1"/>
  <c r="AG84" i="31"/>
  <c r="AC239" i="31"/>
  <c r="AG224" i="31"/>
  <c r="AA242" i="31"/>
  <c r="X38" i="31"/>
  <c r="AF394" i="27"/>
  <c r="J8" i="41" s="1"/>
  <c r="AF453" i="27"/>
  <c r="J62" i="41" s="1"/>
  <c r="V43" i="31"/>
  <c r="W42" i="31"/>
  <c r="W44" i="31" s="1"/>
  <c r="AF458" i="27"/>
  <c r="J67" i="41" s="1"/>
  <c r="AF393" i="27"/>
  <c r="J7" i="41" s="1"/>
  <c r="AF456" i="27"/>
  <c r="J65" i="41" s="1"/>
  <c r="AF395" i="27"/>
  <c r="J9" i="41" s="1"/>
  <c r="AA232" i="28"/>
  <c r="AA256" i="28" s="1"/>
  <c r="AF455" i="27"/>
  <c r="J64" i="41" s="1"/>
  <c r="AF457" i="27"/>
  <c r="AF565" i="27" s="1"/>
  <c r="J10" i="43" s="1"/>
  <c r="AF392" i="27"/>
  <c r="J6" i="41" s="1"/>
  <c r="AF454" i="27"/>
  <c r="J63" i="41" s="1"/>
  <c r="AF396" i="27"/>
  <c r="J10" i="41" s="1"/>
  <c r="AF397" i="27"/>
  <c r="J11" i="41" s="1"/>
  <c r="AG479" i="27"/>
  <c r="AE459" i="27"/>
  <c r="AE398" i="27"/>
  <c r="AE436" i="27" s="1"/>
  <c r="AE433" i="27"/>
  <c r="AE493" i="27" s="1"/>
  <c r="AA236" i="28"/>
  <c r="AA234" i="28"/>
  <c r="AA233" i="28"/>
  <c r="AA522" i="27"/>
  <c r="AE263" i="27"/>
  <c r="I18" i="40" s="1"/>
  <c r="AG257" i="27"/>
  <c r="Y88" i="32"/>
  <c r="Z522" i="27"/>
  <c r="Y522" i="27"/>
  <c r="H12" i="42" s="1"/>
  <c r="Y230" i="27"/>
  <c r="Y233" i="27" s="1"/>
  <c r="Y682" i="27"/>
  <c r="AC202" i="27"/>
  <c r="AC210" i="27"/>
  <c r="AG146" i="27"/>
  <c r="AG121" i="27"/>
  <c r="AG295" i="27"/>
  <c r="Y229" i="28"/>
  <c r="Y121" i="32"/>
  <c r="AC314" i="27"/>
  <c r="I48" i="40" s="1"/>
  <c r="AC319" i="27"/>
  <c r="AH257" i="27"/>
  <c r="AE181" i="27"/>
  <c r="AE207" i="27" s="1"/>
  <c r="AH184" i="27"/>
  <c r="AH175" i="27" s="1"/>
  <c r="AH176" i="27" s="1"/>
  <c r="AI67" i="1"/>
  <c r="AI66" i="1" s="1"/>
  <c r="AD161" i="31"/>
  <c r="AN102" i="27"/>
  <c r="AI93" i="1"/>
  <c r="AI92" i="1" s="1"/>
  <c r="AI281" i="27"/>
  <c r="AI293" i="27"/>
  <c r="AJ294" i="27" s="1"/>
  <c r="AG35" i="31"/>
  <c r="AI247" i="27"/>
  <c r="AJ248" i="27" s="1"/>
  <c r="AI305" i="27"/>
  <c r="AJ306" i="27" s="1"/>
  <c r="AE168" i="31"/>
  <c r="AE229" i="31" s="1"/>
  <c r="AE239" i="31" s="1"/>
  <c r="AH74" i="31"/>
  <c r="AH122" i="31" s="1"/>
  <c r="AH125" i="31" s="1"/>
  <c r="AH84" i="31"/>
  <c r="AE165" i="31"/>
  <c r="AE163" i="31"/>
  <c r="AE164" i="31"/>
  <c r="AD239" i="31"/>
  <c r="AF75" i="31"/>
  <c r="J5" i="52" s="1"/>
  <c r="AF121" i="31"/>
  <c r="AF125" i="31" s="1"/>
  <c r="J53" i="52" s="1"/>
  <c r="AI103" i="1"/>
  <c r="AI33" i="31"/>
  <c r="AG74" i="31"/>
  <c r="AH295" i="27"/>
  <c r="AH292" i="27" s="1"/>
  <c r="AH291" i="27" s="1"/>
  <c r="AH316" i="27" s="1"/>
  <c r="AF159" i="31"/>
  <c r="AF162" i="31" s="1"/>
  <c r="I10" i="54" s="1"/>
  <c r="AN332" i="27"/>
  <c r="AL9" i="28"/>
  <c r="AI71" i="1"/>
  <c r="AI73" i="1" s="1"/>
  <c r="AI72" i="1" s="1"/>
  <c r="AI119" i="27"/>
  <c r="AI264" i="27"/>
  <c r="AJ265" i="27" s="1"/>
  <c r="AI255" i="27"/>
  <c r="AJ88" i="28"/>
  <c r="J8" i="46" s="1"/>
  <c r="AK342" i="27"/>
  <c r="AK340" i="27" s="1"/>
  <c r="AM113" i="1"/>
  <c r="AL114" i="1"/>
  <c r="AL115" i="1" s="1"/>
  <c r="AL122" i="1"/>
  <c r="AK123" i="1"/>
  <c r="AL110" i="1"/>
  <c r="AK111" i="1"/>
  <c r="AN119" i="1"/>
  <c r="AM120" i="1"/>
  <c r="AN419" i="27"/>
  <c r="L32" i="41" s="1"/>
  <c r="AN420" i="27"/>
  <c r="L33" i="41" s="1"/>
  <c r="AN422" i="27"/>
  <c r="L35" i="41" s="1"/>
  <c r="AN421" i="27"/>
  <c r="L34" i="41" s="1"/>
  <c r="AN424" i="27"/>
  <c r="L37" i="41" s="1"/>
  <c r="AN423" i="27"/>
  <c r="L36" i="41" s="1"/>
  <c r="AN301" i="27"/>
  <c r="K42" i="40" s="1"/>
  <c r="AN289" i="27"/>
  <c r="K34" i="40" s="1"/>
  <c r="AN260" i="27"/>
  <c r="K16" i="40" s="1"/>
  <c r="AN269" i="27"/>
  <c r="K21" i="40" s="1"/>
  <c r="AJ343" i="27"/>
  <c r="AJ47" i="28" s="1"/>
  <c r="K5" i="45" s="1"/>
  <c r="AM435" i="27"/>
  <c r="AN31" i="31" s="1"/>
  <c r="AM425" i="27"/>
  <c r="AO2" i="31"/>
  <c r="AO2" i="32"/>
  <c r="AO2" i="27"/>
  <c r="AO140" i="27" s="1"/>
  <c r="AO2" i="28"/>
  <c r="AO197" i="28" s="1"/>
  <c r="AO2" i="1"/>
  <c r="AP36" i="1"/>
  <c r="AO368" i="27"/>
  <c r="AO369" i="27" s="1"/>
  <c r="AO347" i="27"/>
  <c r="AO377" i="27"/>
  <c r="AO373" i="27"/>
  <c r="AO374" i="27" s="1"/>
  <c r="AO337" i="27"/>
  <c r="AO335" i="27" s="1"/>
  <c r="AO362" i="27"/>
  <c r="AO360" i="27" s="1"/>
  <c r="AO85" i="28" s="1"/>
  <c r="AO352" i="27"/>
  <c r="AO350" i="27" s="1"/>
  <c r="AO357" i="27"/>
  <c r="AO338" i="27"/>
  <c r="AJ68" i="27"/>
  <c r="AI69" i="27"/>
  <c r="AJ103" i="27"/>
  <c r="AI104" i="28"/>
  <c r="AL171" i="1"/>
  <c r="AL176" i="1" s="1"/>
  <c r="AI477" i="27"/>
  <c r="AI133" i="27"/>
  <c r="AH121" i="27"/>
  <c r="AH115" i="27" s="1"/>
  <c r="AH118" i="27" s="1"/>
  <c r="AG62" i="23"/>
  <c r="AG68" i="23"/>
  <c r="AH146" i="27"/>
  <c r="AH138" i="27" s="1"/>
  <c r="AH139" i="27" s="1"/>
  <c r="AH143" i="27" s="1"/>
  <c r="AI82" i="31"/>
  <c r="AJ83" i="31" s="1"/>
  <c r="AJ231" i="1"/>
  <c r="AJ222" i="1"/>
  <c r="AG266" i="27"/>
  <c r="AI98" i="1"/>
  <c r="AI97" i="1" s="1"/>
  <c r="AG283" i="27"/>
  <c r="AI182" i="27"/>
  <c r="AI197" i="27"/>
  <c r="AJ198" i="27" s="1"/>
  <c r="AI156" i="31"/>
  <c r="AJ157" i="31" s="1"/>
  <c r="AI155" i="31"/>
  <c r="AI47" i="31"/>
  <c r="AI48" i="31" s="1"/>
  <c r="AJ144" i="27"/>
  <c r="AJ33" i="31"/>
  <c r="AJ27" i="31"/>
  <c r="AK28" i="31" s="1"/>
  <c r="AJ273" i="27"/>
  <c r="AH49" i="31"/>
  <c r="AI44" i="32"/>
  <c r="AI79" i="32"/>
  <c r="AI221" i="31"/>
  <c r="AI213" i="31"/>
  <c r="AI151" i="31"/>
  <c r="AI173" i="31"/>
  <c r="AI71" i="31"/>
  <c r="AI141" i="31"/>
  <c r="AL162" i="1"/>
  <c r="AL160" i="1"/>
  <c r="AL161" i="1"/>
  <c r="AL163" i="1"/>
  <c r="AI83" i="1"/>
  <c r="AI82" i="1" s="1"/>
  <c r="AI88" i="1"/>
  <c r="AI87" i="1" s="1"/>
  <c r="AI78" i="1"/>
  <c r="AI77" i="1" s="1"/>
  <c r="AI6" i="31"/>
  <c r="AI1" i="32"/>
  <c r="AI1" i="31"/>
  <c r="AI6" i="32"/>
  <c r="AI77" i="27"/>
  <c r="AI64" i="27"/>
  <c r="AI1" i="28"/>
  <c r="AI1" i="27"/>
  <c r="AI328" i="27"/>
  <c r="AI169" i="27"/>
  <c r="AI237" i="27"/>
  <c r="AI107" i="27"/>
  <c r="AI387" i="27"/>
  <c r="AI509" i="27"/>
  <c r="AI554" i="27"/>
  <c r="AI658" i="27"/>
  <c r="AI267" i="28"/>
  <c r="AI207" i="28"/>
  <c r="AI348" i="28"/>
  <c r="AI307" i="28"/>
  <c r="AI154" i="28"/>
  <c r="AI81" i="28"/>
  <c r="AI43" i="28"/>
  <c r="AI4" i="28"/>
  <c r="AI119" i="28"/>
  <c r="AG57" i="23"/>
  <c r="AG80" i="23"/>
  <c r="AL37" i="1"/>
  <c r="AK45" i="1"/>
  <c r="AK43" i="1"/>
  <c r="AK46" i="1"/>
  <c r="AK38" i="1"/>
  <c r="AK55" i="1" s="1"/>
  <c r="AK44" i="1"/>
  <c r="AI146" i="1"/>
  <c r="AI34" i="1"/>
  <c r="AI208" i="1"/>
  <c r="AI60" i="1"/>
  <c r="AI6" i="1"/>
  <c r="AI130" i="1"/>
  <c r="AI1" i="1"/>
  <c r="AJ159" i="1"/>
  <c r="K23" i="35" s="1"/>
  <c r="AJ148" i="1"/>
  <c r="K14" i="35" s="1"/>
  <c r="AJ145" i="1"/>
  <c r="AJ136" i="1"/>
  <c r="AJ172" i="1"/>
  <c r="K35" i="35" s="1"/>
  <c r="AJ144" i="1"/>
  <c r="AJ114" i="32"/>
  <c r="AI164" i="1"/>
  <c r="AP49" i="1" l="1"/>
  <c r="AP51" i="1"/>
  <c r="AP50" i="1"/>
  <c r="AP48" i="1"/>
  <c r="AC483" i="27"/>
  <c r="AJ93" i="28"/>
  <c r="J13" i="46" s="1"/>
  <c r="K5" i="37"/>
  <c r="AI703" i="27"/>
  <c r="AI700" i="27" s="1"/>
  <c r="AI701" i="27" s="1"/>
  <c r="AI702" i="27" s="1"/>
  <c r="AI218" i="28" s="1"/>
  <c r="AO353" i="27"/>
  <c r="AO363" i="27"/>
  <c r="AJ134" i="27"/>
  <c r="J3" i="52"/>
  <c r="AJ478" i="27"/>
  <c r="AJ120" i="27"/>
  <c r="AK145" i="27"/>
  <c r="AG26" i="31"/>
  <c r="AH26" i="31" s="1"/>
  <c r="AK274" i="27"/>
  <c r="AJ183" i="27"/>
  <c r="AJ282" i="27"/>
  <c r="I17" i="55"/>
  <c r="AH230" i="28"/>
  <c r="AJ152" i="1"/>
  <c r="AK101" i="1"/>
  <c r="AK96" i="1"/>
  <c r="AK91" i="1"/>
  <c r="AK86" i="1"/>
  <c r="AK81" i="1"/>
  <c r="AK76" i="1"/>
  <c r="AK65" i="1"/>
  <c r="AJ151" i="1"/>
  <c r="AJ462" i="27"/>
  <c r="AJ409" i="27"/>
  <c r="AJ302" i="27"/>
  <c r="AJ290" i="27"/>
  <c r="AJ278" i="27"/>
  <c r="AJ270" i="27"/>
  <c r="AJ261" i="27"/>
  <c r="AJ252" i="27"/>
  <c r="AJ244" i="27"/>
  <c r="AJ151" i="27"/>
  <c r="AJ142" i="27"/>
  <c r="AJ131" i="27"/>
  <c r="AJ117" i="27"/>
  <c r="AO378" i="27"/>
  <c r="AO60" i="28" s="1"/>
  <c r="AO376" i="27"/>
  <c r="AJ256" i="27"/>
  <c r="Y252" i="28"/>
  <c r="I22" i="49"/>
  <c r="I9" i="60"/>
  <c r="K29" i="38"/>
  <c r="AC51" i="32"/>
  <c r="J49" i="52"/>
  <c r="J66" i="41"/>
  <c r="I7" i="54"/>
  <c r="I28" i="51"/>
  <c r="I21" i="49"/>
  <c r="I85" i="41"/>
  <c r="I44" i="40"/>
  <c r="I14" i="44"/>
  <c r="I24" i="49"/>
  <c r="K16" i="35"/>
  <c r="J24" i="40"/>
  <c r="K11" i="35"/>
  <c r="AO358" i="27"/>
  <c r="AO355" i="27"/>
  <c r="AO348" i="27"/>
  <c r="AO345" i="27"/>
  <c r="AN333" i="27"/>
  <c r="AN330" i="27"/>
  <c r="AJ34" i="31"/>
  <c r="AK34" i="31" s="1"/>
  <c r="K26" i="51"/>
  <c r="AD166" i="31"/>
  <c r="AD228" i="31" s="1"/>
  <c r="AD242" i="31" s="1"/>
  <c r="AD63" i="31" s="1"/>
  <c r="I22" i="57"/>
  <c r="AG13" i="32"/>
  <c r="AN363" i="27"/>
  <c r="AN360" i="27"/>
  <c r="AN85" i="28" s="1"/>
  <c r="K5" i="46" s="1"/>
  <c r="AC496" i="27"/>
  <c r="AC63" i="28" s="1"/>
  <c r="I15" i="39"/>
  <c r="J29" i="52"/>
  <c r="K10" i="35"/>
  <c r="I16" i="45"/>
  <c r="K17" i="35"/>
  <c r="K22" i="51"/>
  <c r="K5" i="35"/>
  <c r="I8" i="57"/>
  <c r="AF13" i="32"/>
  <c r="J7" i="58" s="1"/>
  <c r="AF233" i="31"/>
  <c r="AF51" i="32" s="1"/>
  <c r="AD63" i="28"/>
  <c r="AB233" i="27"/>
  <c r="AB233" i="28" s="1"/>
  <c r="AB499" i="27"/>
  <c r="I91" i="41" s="1"/>
  <c r="AB498" i="27"/>
  <c r="I90" i="41" s="1"/>
  <c r="AD483" i="27"/>
  <c r="AD482" i="27" s="1"/>
  <c r="AD498" i="27" s="1"/>
  <c r="AC472" i="27"/>
  <c r="AE323" i="27"/>
  <c r="AC222" i="27"/>
  <c r="AD217" i="27"/>
  <c r="AD501" i="27"/>
  <c r="AD500" i="27" s="1"/>
  <c r="AE228" i="27"/>
  <c r="AE367" i="27" s="1"/>
  <c r="AE365" i="27" s="1"/>
  <c r="AE102" i="28" s="1"/>
  <c r="AD227" i="27"/>
  <c r="AD682" i="27" s="1"/>
  <c r="AF193" i="27"/>
  <c r="AF212" i="27" s="1"/>
  <c r="AF224" i="27" s="1"/>
  <c r="AF192" i="27"/>
  <c r="AF211" i="27" s="1"/>
  <c r="AF223" i="27" s="1"/>
  <c r="AH178" i="27"/>
  <c r="AH204" i="27" s="1"/>
  <c r="AH177" i="27"/>
  <c r="AH203" i="27" s="1"/>
  <c r="AF195" i="27"/>
  <c r="AF214" i="27" s="1"/>
  <c r="AF226" i="27" s="1"/>
  <c r="AF194" i="27"/>
  <c r="AF213" i="27" s="1"/>
  <c r="AF225" i="27" s="1"/>
  <c r="AH180" i="27"/>
  <c r="AH206" i="27" s="1"/>
  <c r="AH179" i="27"/>
  <c r="AH205" i="27" s="1"/>
  <c r="AH116" i="27"/>
  <c r="AM494" i="27"/>
  <c r="AD12" i="28"/>
  <c r="AH141" i="27"/>
  <c r="AE201" i="27"/>
  <c r="AE208" i="27" s="1"/>
  <c r="AE463" i="27"/>
  <c r="AE472" i="27" s="1"/>
  <c r="AD219" i="27"/>
  <c r="AD219" i="28"/>
  <c r="AD228" i="27"/>
  <c r="AD367" i="27" s="1"/>
  <c r="AD365" i="27" s="1"/>
  <c r="AD102" i="28" s="1"/>
  <c r="AK116" i="31"/>
  <c r="AK91" i="31"/>
  <c r="AK92" i="31"/>
  <c r="AK117" i="31"/>
  <c r="AK118" i="31"/>
  <c r="AK93" i="31"/>
  <c r="AK119" i="31"/>
  <c r="AK94" i="31"/>
  <c r="AK120" i="31"/>
  <c r="AK95" i="31"/>
  <c r="AK121" i="31"/>
  <c r="AK122" i="31"/>
  <c r="AK96" i="31"/>
  <c r="AK97" i="31"/>
  <c r="AK98" i="31"/>
  <c r="AK124" i="31"/>
  <c r="AK100" i="31"/>
  <c r="AM121" i="1"/>
  <c r="AM118" i="1"/>
  <c r="AK112" i="1"/>
  <c r="AK109" i="1"/>
  <c r="AK124" i="1"/>
  <c r="AF303" i="27"/>
  <c r="AF321" i="27" s="1"/>
  <c r="AF319" i="27" s="1"/>
  <c r="I49" i="40" s="1"/>
  <c r="AG307" i="27"/>
  <c r="AG304" i="27" s="1"/>
  <c r="AD640" i="27"/>
  <c r="AE640" i="27" s="1"/>
  <c r="AN277" i="27"/>
  <c r="K26" i="40" s="1"/>
  <c r="AE219" i="27"/>
  <c r="AB120" i="32"/>
  <c r="AB134" i="32" s="1"/>
  <c r="AB121" i="32"/>
  <c r="I7" i="61" s="1"/>
  <c r="AE219" i="28"/>
  <c r="AE231" i="28" s="1"/>
  <c r="AO322" i="28"/>
  <c r="AO281" i="28"/>
  <c r="AB683" i="27"/>
  <c r="AG199" i="27"/>
  <c r="AF210" i="27"/>
  <c r="AF222" i="27" s="1"/>
  <c r="AE196" i="27"/>
  <c r="AE215" i="27" s="1"/>
  <c r="AE209" i="27" s="1"/>
  <c r="AE216" i="27" s="1"/>
  <c r="AE17" i="28" s="1"/>
  <c r="AF635" i="27"/>
  <c r="J65" i="43" s="1"/>
  <c r="AF621" i="27"/>
  <c r="J54" i="43" s="1"/>
  <c r="AF607" i="27"/>
  <c r="J43" i="43" s="1"/>
  <c r="AF593" i="27"/>
  <c r="J32" i="43" s="1"/>
  <c r="AF579" i="27"/>
  <c r="J21" i="43" s="1"/>
  <c r="AH190" i="31"/>
  <c r="AI29" i="31"/>
  <c r="AH194" i="31"/>
  <c r="AH192" i="31"/>
  <c r="AH195" i="31"/>
  <c r="AH193" i="31"/>
  <c r="AH191" i="31"/>
  <c r="AF84" i="27"/>
  <c r="J15" i="37" s="1"/>
  <c r="AN127" i="27"/>
  <c r="L17" i="38" s="1"/>
  <c r="AN124" i="27"/>
  <c r="L14" i="38" s="1"/>
  <c r="AN126" i="27"/>
  <c r="L16" i="38" s="1"/>
  <c r="AN125" i="27"/>
  <c r="L15" i="38" s="1"/>
  <c r="AG431" i="27"/>
  <c r="AG432" i="27"/>
  <c r="AG429" i="27"/>
  <c r="AG430" i="27"/>
  <c r="AG428" i="27"/>
  <c r="AG427" i="27"/>
  <c r="AH135" i="27"/>
  <c r="AJ67" i="1"/>
  <c r="AJ66" i="1" s="1"/>
  <c r="AJ153" i="27"/>
  <c r="AJ199" i="28"/>
  <c r="AE272" i="27"/>
  <c r="AI102" i="1"/>
  <c r="AF275" i="27"/>
  <c r="AF272" i="27" s="1"/>
  <c r="AF271" i="27" s="1"/>
  <c r="AG155" i="27"/>
  <c r="X42" i="31"/>
  <c r="H33" i="51" s="1"/>
  <c r="H29" i="51"/>
  <c r="V138" i="32"/>
  <c r="W123" i="32"/>
  <c r="AH479" i="27"/>
  <c r="AG233" i="31"/>
  <c r="AH73" i="31"/>
  <c r="AG215" i="31"/>
  <c r="AG189" i="31"/>
  <c r="AG158" i="31"/>
  <c r="AG159" i="31" s="1"/>
  <c r="AC62" i="31"/>
  <c r="AG101" i="31"/>
  <c r="Y41" i="31"/>
  <c r="AA63" i="31"/>
  <c r="AC228" i="31"/>
  <c r="W43" i="31"/>
  <c r="AF398" i="27"/>
  <c r="AF436" i="27" s="1"/>
  <c r="AF447" i="27" s="1"/>
  <c r="AF459" i="27"/>
  <c r="J68" i="41" s="1"/>
  <c r="AG393" i="27"/>
  <c r="AF433" i="27"/>
  <c r="J47" i="41" s="1"/>
  <c r="AE447" i="27"/>
  <c r="Y38" i="31"/>
  <c r="AG396" i="27"/>
  <c r="AG457" i="27"/>
  <c r="AG394" i="27"/>
  <c r="AI257" i="27"/>
  <c r="AE451" i="27"/>
  <c r="AE496" i="27" s="1"/>
  <c r="AE667" i="27" s="1"/>
  <c r="AG392" i="27"/>
  <c r="AG454" i="27"/>
  <c r="AG456" i="27"/>
  <c r="AG458" i="27"/>
  <c r="AG397" i="27"/>
  <c r="AG455" i="27"/>
  <c r="AG395" i="27"/>
  <c r="AG453" i="27"/>
  <c r="AG263" i="27"/>
  <c r="AG184" i="27"/>
  <c r="AG292" i="27"/>
  <c r="AG115" i="27"/>
  <c r="AG138" i="27"/>
  <c r="AC212" i="27"/>
  <c r="AC204" i="27"/>
  <c r="AC205" i="27"/>
  <c r="AC203" i="27"/>
  <c r="AC181" i="27"/>
  <c r="AG280" i="27"/>
  <c r="AG249" i="27"/>
  <c r="Y120" i="32"/>
  <c r="AC214" i="27"/>
  <c r="AC213" i="27"/>
  <c r="AC211" i="27"/>
  <c r="AC196" i="27"/>
  <c r="AC206" i="27"/>
  <c r="Y12" i="28"/>
  <c r="Y684" i="27"/>
  <c r="Y217" i="28" s="1"/>
  <c r="Y235" i="28"/>
  <c r="Y233" i="28"/>
  <c r="Y234" i="28"/>
  <c r="Y236" i="28"/>
  <c r="Y683" i="27"/>
  <c r="Z233" i="27"/>
  <c r="AE262" i="27"/>
  <c r="I17" i="40" s="1"/>
  <c r="AF181" i="27"/>
  <c r="AF207" i="27" s="1"/>
  <c r="AB41" i="31"/>
  <c r="AH249" i="27"/>
  <c r="AH246" i="27" s="1"/>
  <c r="AH245" i="27" s="1"/>
  <c r="AO332" i="27"/>
  <c r="AJ93" i="1"/>
  <c r="AJ92" i="1" s="1"/>
  <c r="J20" i="34" s="1" a="1"/>
  <c r="J20" i="34" s="1"/>
  <c r="AJ281" i="27"/>
  <c r="AJ255" i="27"/>
  <c r="AJ293" i="27"/>
  <c r="AK294" i="27" s="1"/>
  <c r="AI84" i="31"/>
  <c r="AH35" i="31"/>
  <c r="AJ71" i="1"/>
  <c r="AJ73" i="1" s="1"/>
  <c r="AJ72" i="1" s="1"/>
  <c r="J4" i="34" s="1" a="1"/>
  <c r="J4" i="34" s="1"/>
  <c r="AE241" i="31"/>
  <c r="AF164" i="31"/>
  <c r="I12" i="54" s="1"/>
  <c r="AE161" i="31"/>
  <c r="AH315" i="27"/>
  <c r="AH317" i="27" s="1"/>
  <c r="AH19" i="28" s="1"/>
  <c r="AG75" i="31"/>
  <c r="AG122" i="31"/>
  <c r="AH158" i="31"/>
  <c r="AH154" i="31" s="1"/>
  <c r="AH50" i="31" s="1"/>
  <c r="AF168" i="31"/>
  <c r="AF229" i="31" s="1"/>
  <c r="AF239" i="31" s="1"/>
  <c r="J19" i="57" s="1"/>
  <c r="AI295" i="27"/>
  <c r="AI292" i="27" s="1"/>
  <c r="AI315" i="27" s="1"/>
  <c r="AI317" i="27" s="1"/>
  <c r="AI19" i="28" s="1"/>
  <c r="AF163" i="31"/>
  <c r="I11" i="54" s="1"/>
  <c r="AF165" i="31"/>
  <c r="I13" i="54" s="1"/>
  <c r="AH215" i="31"/>
  <c r="AI216" i="31" s="1"/>
  <c r="AI224" i="31" s="1"/>
  <c r="AI13" i="32" s="1"/>
  <c r="AO419" i="27"/>
  <c r="AO420" i="27"/>
  <c r="AO421" i="27"/>
  <c r="AO125" i="27" s="1"/>
  <c r="AO424" i="27"/>
  <c r="AO127" i="27" s="1"/>
  <c r="AO422" i="27"/>
  <c r="AO423" i="27"/>
  <c r="AO126" i="27" s="1"/>
  <c r="AO301" i="27"/>
  <c r="AO260" i="27"/>
  <c r="AO269" i="27"/>
  <c r="AO289" i="27"/>
  <c r="AN435" i="27"/>
  <c r="AO31" i="31" s="1"/>
  <c r="AO119" i="1"/>
  <c r="AN120" i="1"/>
  <c r="AO102" i="27"/>
  <c r="AN113" i="1"/>
  <c r="AM114" i="1"/>
  <c r="AM115" i="1" s="1"/>
  <c r="AK343" i="27"/>
  <c r="AK47" i="28" s="1"/>
  <c r="AK88" i="28"/>
  <c r="AK199" i="28" s="1"/>
  <c r="AL342" i="27"/>
  <c r="AL340" i="27" s="1"/>
  <c r="AK103" i="27"/>
  <c r="AJ104" i="28"/>
  <c r="J24" i="46" s="1"/>
  <c r="AK68" i="27"/>
  <c r="AK93" i="28" s="1"/>
  <c r="AJ69" i="27"/>
  <c r="AP2" i="32"/>
  <c r="AP2" i="31"/>
  <c r="AP2" i="28"/>
  <c r="AP197" i="28" s="1"/>
  <c r="AP2" i="27"/>
  <c r="AP140" i="27" s="1"/>
  <c r="AQ36" i="1"/>
  <c r="AP2" i="1"/>
  <c r="AP337" i="27"/>
  <c r="AP368" i="27"/>
  <c r="AP347" i="27"/>
  <c r="AP373" i="27"/>
  <c r="AP374" i="27" s="1"/>
  <c r="AP357" i="27"/>
  <c r="AP352" i="27"/>
  <c r="AP362" i="27"/>
  <c r="AP332" i="27"/>
  <c r="AP377" i="27"/>
  <c r="AP376" i="27" s="1"/>
  <c r="AP369" i="27"/>
  <c r="AM9" i="28"/>
  <c r="AO113" i="28"/>
  <c r="AP113" i="28" s="1"/>
  <c r="AN425" i="27"/>
  <c r="L38" i="41" s="1"/>
  <c r="AM110" i="1"/>
  <c r="AL111" i="1"/>
  <c r="AM122" i="1"/>
  <c r="AL123" i="1"/>
  <c r="AL124" i="1" s="1"/>
  <c r="AM171" i="1"/>
  <c r="AM176" i="1" s="1"/>
  <c r="AJ98" i="1"/>
  <c r="AJ97" i="1" s="1"/>
  <c r="J24" i="34" s="1" a="1"/>
  <c r="J24" i="34" s="1"/>
  <c r="AJ477" i="27"/>
  <c r="AJ133" i="27"/>
  <c r="AK134" i="27" s="1"/>
  <c r="AI121" i="27"/>
  <c r="AI115" i="27" s="1"/>
  <c r="AI118" i="27" s="1"/>
  <c r="AH62" i="23"/>
  <c r="AH68" i="23"/>
  <c r="AI184" i="27"/>
  <c r="AI175" i="27" s="1"/>
  <c r="AI176" i="27" s="1"/>
  <c r="AH202" i="27"/>
  <c r="AI146" i="27"/>
  <c r="AI138" i="27" s="1"/>
  <c r="AI139" i="27" s="1"/>
  <c r="AI143" i="27" s="1"/>
  <c r="AJ82" i="31"/>
  <c r="AK83" i="31" s="1"/>
  <c r="AJ305" i="27"/>
  <c r="AK306" i="27" s="1"/>
  <c r="AK231" i="1"/>
  <c r="AK222" i="1"/>
  <c r="AH266" i="27"/>
  <c r="AH263" i="27" s="1"/>
  <c r="AH262" i="27" s="1"/>
  <c r="AJ119" i="27"/>
  <c r="AJ103" i="1"/>
  <c r="AJ102" i="1" s="1"/>
  <c r="AJ247" i="27"/>
  <c r="AK248" i="27" s="1"/>
  <c r="AJ264" i="27"/>
  <c r="AK265" i="27" s="1"/>
  <c r="AH283" i="27"/>
  <c r="AH280" i="27" s="1"/>
  <c r="AH279" i="27" s="1"/>
  <c r="AJ182" i="27"/>
  <c r="AJ197" i="27"/>
  <c r="AK198" i="27" s="1"/>
  <c r="AJ156" i="31"/>
  <c r="AK157" i="31" s="1"/>
  <c r="AJ155" i="31"/>
  <c r="J5" i="54" s="1"/>
  <c r="AJ47" i="31"/>
  <c r="K38" i="51" s="1"/>
  <c r="AI49" i="31"/>
  <c r="AI73" i="31"/>
  <c r="AI98" i="31" s="1"/>
  <c r="AI101" i="31" s="1"/>
  <c r="AK153" i="27"/>
  <c r="AJ44" i="32"/>
  <c r="AJ79" i="32"/>
  <c r="AJ221" i="31"/>
  <c r="AJ213" i="31"/>
  <c r="AJ151" i="31"/>
  <c r="AJ173" i="31"/>
  <c r="AJ71" i="31"/>
  <c r="AJ141" i="31"/>
  <c r="AM163" i="1"/>
  <c r="AM161" i="1"/>
  <c r="AM160" i="1"/>
  <c r="AM162" i="1"/>
  <c r="AJ88" i="1"/>
  <c r="AJ87" i="1" s="1"/>
  <c r="J16" i="34" s="1" a="1"/>
  <c r="J16" i="34" s="1"/>
  <c r="AJ83" i="1"/>
  <c r="AJ82" i="1" s="1"/>
  <c r="J12" i="34" s="1" a="1"/>
  <c r="J12" i="34" s="1"/>
  <c r="AJ78" i="1"/>
  <c r="AJ77" i="1" s="1"/>
  <c r="J8" i="34" s="1" a="1"/>
  <c r="J8" i="34" s="1"/>
  <c r="AJ6" i="31"/>
  <c r="AJ1" i="32"/>
  <c r="AJ1" i="31"/>
  <c r="AJ6" i="32"/>
  <c r="AJ77" i="27"/>
  <c r="AJ64" i="27"/>
  <c r="AJ1" i="28"/>
  <c r="AJ1" i="27"/>
  <c r="AJ107" i="27"/>
  <c r="AJ387" i="27"/>
  <c r="AJ554" i="27"/>
  <c r="AJ658" i="27"/>
  <c r="AJ169" i="27"/>
  <c r="AJ509" i="27"/>
  <c r="AJ237" i="27"/>
  <c r="AJ328" i="27"/>
  <c r="AJ348" i="28"/>
  <c r="AJ307" i="28"/>
  <c r="AJ267" i="28"/>
  <c r="AJ207" i="28"/>
  <c r="AJ119" i="28"/>
  <c r="AJ154" i="28"/>
  <c r="AJ43" i="28"/>
  <c r="AJ4" i="28"/>
  <c r="AJ81" i="28"/>
  <c r="AH57" i="23"/>
  <c r="AH80" i="23"/>
  <c r="AJ34" i="1"/>
  <c r="AJ130" i="1"/>
  <c r="AJ1" i="1"/>
  <c r="AJ208" i="1"/>
  <c r="AJ60" i="1"/>
  <c r="AJ6" i="1"/>
  <c r="AJ146" i="1"/>
  <c r="AK159" i="1"/>
  <c r="AK148" i="1"/>
  <c r="AK145" i="1"/>
  <c r="AK136" i="1"/>
  <c r="AK172" i="1"/>
  <c r="AK144" i="1"/>
  <c r="AM37" i="1"/>
  <c r="AL45" i="1"/>
  <c r="AL43" i="1"/>
  <c r="AL44" i="1"/>
  <c r="AL46" i="1"/>
  <c r="AL38" i="1"/>
  <c r="AL55" i="1" s="1"/>
  <c r="AJ164" i="1"/>
  <c r="K28" i="35" s="1"/>
  <c r="AK114" i="32"/>
  <c r="AP378" i="27" l="1"/>
  <c r="AP60" i="28" s="1"/>
  <c r="K6" i="37"/>
  <c r="AJ703" i="27"/>
  <c r="J55" i="41"/>
  <c r="AQ51" i="1"/>
  <c r="AQ49" i="1"/>
  <c r="AQ48" i="1"/>
  <c r="AQ50" i="1"/>
  <c r="AK120" i="27"/>
  <c r="AK478" i="27"/>
  <c r="AK183" i="27"/>
  <c r="AK282" i="27"/>
  <c r="AK256" i="27"/>
  <c r="AB235" i="28"/>
  <c r="AI230" i="28"/>
  <c r="AK462" i="27"/>
  <c r="AK409" i="27"/>
  <c r="AK302" i="27"/>
  <c r="AK290" i="27"/>
  <c r="AK278" i="27"/>
  <c r="AK270" i="27"/>
  <c r="AK261" i="27"/>
  <c r="AK252" i="27"/>
  <c r="AK244" i="27"/>
  <c r="AK151" i="27"/>
  <c r="AK142" i="27"/>
  <c r="AK131" i="27"/>
  <c r="AK117" i="27"/>
  <c r="AL101" i="1"/>
  <c r="AL96" i="1"/>
  <c r="AL91" i="1"/>
  <c r="AL86" i="1"/>
  <c r="AL81" i="1"/>
  <c r="AL76" i="1"/>
  <c r="AL65" i="1"/>
  <c r="AP363" i="27"/>
  <c r="AP360" i="27"/>
  <c r="AP85" i="28" s="1"/>
  <c r="AP358" i="27"/>
  <c r="AP355" i="27"/>
  <c r="AP348" i="27"/>
  <c r="AP345" i="27"/>
  <c r="AP338" i="27"/>
  <c r="AP335" i="27"/>
  <c r="I9" i="44"/>
  <c r="Y134" i="32"/>
  <c r="I6" i="61"/>
  <c r="AG607" i="27"/>
  <c r="AG579" i="27"/>
  <c r="AG621" i="27"/>
  <c r="I32" i="51"/>
  <c r="AG51" i="32"/>
  <c r="J28" i="34" a="1"/>
  <c r="J28" i="34" s="1"/>
  <c r="AI25" i="31"/>
  <c r="AJ73" i="31" s="1"/>
  <c r="I26" i="39"/>
  <c r="AC490" i="27"/>
  <c r="AC501" i="27" s="1"/>
  <c r="AC500" i="27" s="1"/>
  <c r="K21" i="38"/>
  <c r="J9" i="40"/>
  <c r="J12" i="41"/>
  <c r="J3" i="34"/>
  <c r="J9" i="39"/>
  <c r="AC667" i="27"/>
  <c r="K10" i="38"/>
  <c r="I16" i="54"/>
  <c r="J17" i="39"/>
  <c r="J13" i="57"/>
  <c r="I43" i="40"/>
  <c r="K12" i="52"/>
  <c r="J6" i="54"/>
  <c r="K12" i="35"/>
  <c r="AP333" i="27"/>
  <c r="AP330" i="27"/>
  <c r="AP353" i="27"/>
  <c r="AP350" i="27"/>
  <c r="AE166" i="31"/>
  <c r="AE228" i="31" s="1"/>
  <c r="AE242" i="31" s="1"/>
  <c r="AE63" i="31" s="1"/>
  <c r="AO333" i="27"/>
  <c r="AO330" i="27"/>
  <c r="AG118" i="27"/>
  <c r="AG116" i="27" s="1"/>
  <c r="AG593" i="27"/>
  <c r="AG84" i="27"/>
  <c r="AG92" i="27" s="1"/>
  <c r="AG565" i="27"/>
  <c r="I54" i="51"/>
  <c r="AH216" i="31"/>
  <c r="AH98" i="31"/>
  <c r="I23" i="40"/>
  <c r="AK154" i="27"/>
  <c r="AL154" i="27" s="1"/>
  <c r="K35" i="38"/>
  <c r="J19" i="40"/>
  <c r="J37" i="40"/>
  <c r="J9" i="57"/>
  <c r="J45" i="40"/>
  <c r="K82" i="41"/>
  <c r="J7" i="59"/>
  <c r="J29" i="40"/>
  <c r="J14" i="40"/>
  <c r="AE63" i="28"/>
  <c r="AB522" i="27"/>
  <c r="AC226" i="27"/>
  <c r="AB234" i="28"/>
  <c r="AB684" i="27"/>
  <c r="AB217" i="28" s="1"/>
  <c r="AB17" i="32" s="1"/>
  <c r="AB236" i="28"/>
  <c r="AD670" i="27"/>
  <c r="AE490" i="27"/>
  <c r="AE501" i="27" s="1"/>
  <c r="AE483" i="27"/>
  <c r="AD499" i="27"/>
  <c r="AH318" i="27"/>
  <c r="AE232" i="27"/>
  <c r="AE48" i="28" s="1"/>
  <c r="AF323" i="27"/>
  <c r="AC223" i="27"/>
  <c r="AC225" i="27"/>
  <c r="AC224" i="27"/>
  <c r="AE217" i="27"/>
  <c r="AE227" i="27"/>
  <c r="AE682" i="27" s="1"/>
  <c r="AI178" i="27"/>
  <c r="AI204" i="27" s="1"/>
  <c r="AI177" i="27"/>
  <c r="AI203" i="27" s="1"/>
  <c r="AI180" i="27"/>
  <c r="AI206" i="27" s="1"/>
  <c r="AI179" i="27"/>
  <c r="AI205" i="27" s="1"/>
  <c r="AI116" i="27"/>
  <c r="AF201" i="27"/>
  <c r="AF208" i="27" s="1"/>
  <c r="AC482" i="27"/>
  <c r="AF493" i="27"/>
  <c r="AE12" i="28"/>
  <c r="AI141" i="27"/>
  <c r="AN494" i="27"/>
  <c r="AH314" i="27"/>
  <c r="AF463" i="27"/>
  <c r="AF472" i="27" s="1"/>
  <c r="AF490" i="27" s="1"/>
  <c r="AF501" i="27" s="1"/>
  <c r="AD228" i="28"/>
  <c r="AD88" i="32" s="1"/>
  <c r="AD18" i="32"/>
  <c r="AD231" i="28"/>
  <c r="AF219" i="27"/>
  <c r="AI202" i="27"/>
  <c r="AK151" i="1"/>
  <c r="AL116" i="31"/>
  <c r="AL91" i="31"/>
  <c r="AL92" i="31"/>
  <c r="AL117" i="31"/>
  <c r="AL118" i="31"/>
  <c r="AL93" i="31"/>
  <c r="AL119" i="31"/>
  <c r="AL94" i="31"/>
  <c r="AL120" i="31"/>
  <c r="AL95" i="31"/>
  <c r="AL121" i="31"/>
  <c r="AL96" i="31"/>
  <c r="AL122" i="31"/>
  <c r="AL97" i="31"/>
  <c r="AL98" i="31"/>
  <c r="AL124" i="31"/>
  <c r="AL100" i="31"/>
  <c r="AK152" i="1"/>
  <c r="AL112" i="1"/>
  <c r="AL109" i="1"/>
  <c r="AN121" i="1"/>
  <c r="AN118" i="1"/>
  <c r="AH307" i="27"/>
  <c r="AH304" i="27" s="1"/>
  <c r="AH320" i="27" s="1"/>
  <c r="AH322" i="27" s="1"/>
  <c r="AH18" i="28" s="1"/>
  <c r="AB119" i="32"/>
  <c r="AH199" i="27"/>
  <c r="AH190" i="27" s="1"/>
  <c r="AH191" i="27" s="1"/>
  <c r="AO277" i="27"/>
  <c r="AO124" i="27"/>
  <c r="AO128" i="27" s="1"/>
  <c r="AE18" i="32"/>
  <c r="AE228" i="28"/>
  <c r="AE88" i="32" s="1"/>
  <c r="AF228" i="27"/>
  <c r="AF219" i="28"/>
  <c r="AF18" i="32" s="1"/>
  <c r="AF196" i="27"/>
  <c r="AF215" i="27" s="1"/>
  <c r="AF209" i="27" s="1"/>
  <c r="AF216" i="27" s="1"/>
  <c r="AF17" i="28" s="1"/>
  <c r="AP281" i="28"/>
  <c r="AP322" i="28"/>
  <c r="AD230" i="27"/>
  <c r="AD683" i="27" s="1"/>
  <c r="AF644" i="27"/>
  <c r="J72" i="43" s="1"/>
  <c r="AG635" i="27"/>
  <c r="AF640" i="27"/>
  <c r="AF626" i="27"/>
  <c r="AF598" i="27"/>
  <c r="AF584" i="27"/>
  <c r="AF570" i="27"/>
  <c r="AI195" i="31"/>
  <c r="AI192" i="31"/>
  <c r="AI193" i="31"/>
  <c r="AJ29" i="31"/>
  <c r="AJ25" i="31" s="1"/>
  <c r="AI190" i="31"/>
  <c r="AI194" i="31"/>
  <c r="AI191" i="31"/>
  <c r="AH189" i="31"/>
  <c r="AF92" i="27"/>
  <c r="AN128" i="27"/>
  <c r="AH431" i="27"/>
  <c r="AH432" i="27"/>
  <c r="AH429" i="27"/>
  <c r="AH430" i="27"/>
  <c r="AH428" i="27"/>
  <c r="AH427" i="27"/>
  <c r="AI135" i="27"/>
  <c r="AK27" i="31"/>
  <c r="AG275" i="27"/>
  <c r="AG272" i="27" s="1"/>
  <c r="AK273" i="27"/>
  <c r="AK281" i="27"/>
  <c r="AK33" i="31"/>
  <c r="AJ700" i="27"/>
  <c r="AE271" i="27"/>
  <c r="I22" i="40" s="1"/>
  <c r="AH155" i="27"/>
  <c r="X43" i="31"/>
  <c r="H34" i="51" s="1"/>
  <c r="AH396" i="27"/>
  <c r="X44" i="31"/>
  <c r="H35" i="51" s="1"/>
  <c r="AH457" i="27"/>
  <c r="AH565" i="27" s="1"/>
  <c r="AH394" i="27"/>
  <c r="AH621" i="27" s="1"/>
  <c r="AI479" i="27"/>
  <c r="AH455" i="27"/>
  <c r="AH593" i="27" s="1"/>
  <c r="AH453" i="27"/>
  <c r="AH395" i="27"/>
  <c r="AH607" i="27" s="1"/>
  <c r="AH456" i="27"/>
  <c r="Y119" i="32"/>
  <c r="W138" i="32"/>
  <c r="X123" i="32"/>
  <c r="H9" i="61" s="1"/>
  <c r="AH75" i="31"/>
  <c r="AH159" i="31"/>
  <c r="AH164" i="31" s="1"/>
  <c r="AH458" i="27"/>
  <c r="AH393" i="27"/>
  <c r="AH392" i="27"/>
  <c r="AH84" i="27" s="1"/>
  <c r="AH454" i="27"/>
  <c r="AH579" i="27" s="1"/>
  <c r="AH397" i="27"/>
  <c r="AE240" i="31"/>
  <c r="AG154" i="31"/>
  <c r="AG50" i="31" s="1"/>
  <c r="AH224" i="31"/>
  <c r="AJ48" i="31"/>
  <c r="K39" i="51" s="1"/>
  <c r="AG162" i="31"/>
  <c r="AC242" i="31"/>
  <c r="Y42" i="31"/>
  <c r="Y44" i="31" s="1"/>
  <c r="AF451" i="27"/>
  <c r="J59" i="41" s="1"/>
  <c r="Z38" i="31"/>
  <c r="AG459" i="27"/>
  <c r="AJ257" i="27"/>
  <c r="AI249" i="27"/>
  <c r="AI246" i="27" s="1"/>
  <c r="AI245" i="27" s="1"/>
  <c r="AG398" i="27"/>
  <c r="AG433" i="27"/>
  <c r="AD59" i="28"/>
  <c r="AD37" i="31" s="1"/>
  <c r="Z235" i="28"/>
  <c r="Z684" i="27"/>
  <c r="Z217" i="28" s="1"/>
  <c r="Z236" i="28"/>
  <c r="Z234" i="28"/>
  <c r="I27" i="49" s="1"/>
  <c r="Z233" i="28"/>
  <c r="I26" i="49" s="1"/>
  <c r="AG246" i="27"/>
  <c r="AG279" i="27"/>
  <c r="AG139" i="27"/>
  <c r="Y232" i="28"/>
  <c r="Y17" i="32"/>
  <c r="AC219" i="27"/>
  <c r="AC228" i="27"/>
  <c r="AC232" i="27" s="1"/>
  <c r="AC219" i="28"/>
  <c r="AC215" i="27"/>
  <c r="AC207" i="27"/>
  <c r="AG315" i="27"/>
  <c r="AG317" i="27" s="1"/>
  <c r="AG19" i="28" s="1"/>
  <c r="AG291" i="27"/>
  <c r="AG320" i="27"/>
  <c r="AG322" i="27" s="1"/>
  <c r="AG18" i="28" s="1"/>
  <c r="AG303" i="27"/>
  <c r="AG175" i="27"/>
  <c r="AG190" i="27"/>
  <c r="AG262" i="27"/>
  <c r="AE229" i="28"/>
  <c r="AE252" i="28" s="1"/>
  <c r="AE121" i="32"/>
  <c r="AI233" i="31"/>
  <c r="AI51" i="32" s="1"/>
  <c r="AK93" i="1"/>
  <c r="AI291" i="27"/>
  <c r="AI316" i="27" s="1"/>
  <c r="AI314" i="27" s="1"/>
  <c r="AJ84" i="31"/>
  <c r="AK264" i="27"/>
  <c r="AI35" i="31"/>
  <c r="AK98" i="1"/>
  <c r="AG165" i="31"/>
  <c r="AG168" i="31"/>
  <c r="AF241" i="31"/>
  <c r="AF240" i="31" s="1"/>
  <c r="AF62" i="31" s="1"/>
  <c r="AI158" i="31"/>
  <c r="AI154" i="31" s="1"/>
  <c r="AI50" i="31" s="1"/>
  <c r="AJ295" i="27"/>
  <c r="AJ292" i="27" s="1"/>
  <c r="AJ291" i="27" s="1"/>
  <c r="AJ316" i="27" s="1"/>
  <c r="AG163" i="31"/>
  <c r="AG164" i="31"/>
  <c r="AG125" i="31"/>
  <c r="AF161" i="31"/>
  <c r="AI74" i="31"/>
  <c r="AN122" i="1"/>
  <c r="AM123" i="1"/>
  <c r="AM124" i="1" s="1"/>
  <c r="AN110" i="1"/>
  <c r="AM111" i="1"/>
  <c r="AP419" i="27"/>
  <c r="AP421" i="27"/>
  <c r="AP125" i="27" s="1"/>
  <c r="AP424" i="27"/>
  <c r="AP127" i="27" s="1"/>
  <c r="AP423" i="27"/>
  <c r="AP126" i="27" s="1"/>
  <c r="AP422" i="27"/>
  <c r="AP420" i="27"/>
  <c r="AP301" i="27"/>
  <c r="AP269" i="27"/>
  <c r="AP289" i="27"/>
  <c r="AP260" i="27"/>
  <c r="AL68" i="27"/>
  <c r="AL93" i="28" s="1"/>
  <c r="AK69" i="27"/>
  <c r="AL103" i="27"/>
  <c r="AK104" i="28"/>
  <c r="AP102" i="27"/>
  <c r="AP119" i="1"/>
  <c r="AO120" i="1"/>
  <c r="AN9" i="28"/>
  <c r="AQ2" i="31"/>
  <c r="AQ2" i="32"/>
  <c r="AQ2" i="27"/>
  <c r="AQ140" i="27" s="1"/>
  <c r="AQ2" i="28"/>
  <c r="AQ197" i="28" s="1"/>
  <c r="AQ2" i="1"/>
  <c r="AR36" i="1"/>
  <c r="AQ362" i="27"/>
  <c r="AQ352" i="27"/>
  <c r="AQ357" i="27"/>
  <c r="AQ377" i="27"/>
  <c r="AQ332" i="27"/>
  <c r="AQ337" i="27"/>
  <c r="AQ347" i="27"/>
  <c r="AQ368" i="27"/>
  <c r="AQ373" i="27"/>
  <c r="AQ369" i="27"/>
  <c r="AQ374" i="27"/>
  <c r="AL343" i="27"/>
  <c r="AL47" i="28" s="1"/>
  <c r="AL88" i="28"/>
  <c r="AL199" i="28" s="1"/>
  <c r="AM342" i="27"/>
  <c r="AM340" i="27" s="1"/>
  <c r="AO113" i="1"/>
  <c r="AN114" i="1"/>
  <c r="AN115" i="1" s="1"/>
  <c r="AO425" i="27"/>
  <c r="AN171" i="1"/>
  <c r="AN176" i="1" s="1"/>
  <c r="L38" i="35" s="1"/>
  <c r="AK477" i="27"/>
  <c r="AK133" i="27"/>
  <c r="AJ121" i="27"/>
  <c r="AJ115" i="27" s="1"/>
  <c r="AJ118" i="27" s="1"/>
  <c r="AJ184" i="27"/>
  <c r="AJ175" i="27" s="1"/>
  <c r="AJ176" i="27" s="1"/>
  <c r="AI62" i="23"/>
  <c r="AI68" i="23"/>
  <c r="AH181" i="27"/>
  <c r="AH207" i="27" s="1"/>
  <c r="AJ146" i="27"/>
  <c r="AJ138" i="27" s="1"/>
  <c r="AJ139" i="27" s="1"/>
  <c r="AJ143" i="27" s="1"/>
  <c r="AK82" i="31"/>
  <c r="AK293" i="27"/>
  <c r="AK119" i="27"/>
  <c r="AI266" i="27"/>
  <c r="AI263" i="27" s="1"/>
  <c r="AI262" i="27" s="1"/>
  <c r="AK71" i="1"/>
  <c r="AK103" i="1"/>
  <c r="AK255" i="27"/>
  <c r="AK305" i="27"/>
  <c r="AK67" i="1"/>
  <c r="AK144" i="27"/>
  <c r="AK247" i="27"/>
  <c r="AI283" i="27"/>
  <c r="AI280" i="27" s="1"/>
  <c r="AI279" i="27" s="1"/>
  <c r="AK155" i="31"/>
  <c r="AK47" i="31"/>
  <c r="AK48" i="31" s="1"/>
  <c r="AJ49" i="31"/>
  <c r="K40" i="51" s="1"/>
  <c r="AL293" i="27"/>
  <c r="AL27" i="31"/>
  <c r="AL273" i="27"/>
  <c r="AL153" i="27"/>
  <c r="AK182" i="27"/>
  <c r="AK197" i="27"/>
  <c r="AK156" i="31"/>
  <c r="AK44" i="32"/>
  <c r="AK79" i="32"/>
  <c r="AK221" i="31"/>
  <c r="AK213" i="31"/>
  <c r="AK151" i="31"/>
  <c r="AK173" i="31"/>
  <c r="AK71" i="31"/>
  <c r="AK141" i="31"/>
  <c r="AN162" i="1"/>
  <c r="L26" i="35" s="1"/>
  <c r="AN160" i="1"/>
  <c r="L24" i="35" s="1"/>
  <c r="AN161" i="1"/>
  <c r="L25" i="35" s="1"/>
  <c r="AN163" i="1"/>
  <c r="L27" i="35" s="1"/>
  <c r="AK78" i="1"/>
  <c r="AK88" i="1"/>
  <c r="AK83" i="1"/>
  <c r="AK6" i="31"/>
  <c r="AK1" i="32"/>
  <c r="AK1" i="31"/>
  <c r="AK6" i="32"/>
  <c r="AK77" i="27"/>
  <c r="AK64" i="27"/>
  <c r="AK1" i="28"/>
  <c r="AK1" i="27"/>
  <c r="AK237" i="27"/>
  <c r="AK107" i="27"/>
  <c r="AK387" i="27"/>
  <c r="AK509" i="27"/>
  <c r="AK554" i="27"/>
  <c r="AK658" i="27"/>
  <c r="AK328" i="27"/>
  <c r="AK169" i="27"/>
  <c r="AK267" i="28"/>
  <c r="AK207" i="28"/>
  <c r="AK348" i="28"/>
  <c r="AK307" i="28"/>
  <c r="AK154" i="28"/>
  <c r="AK81" i="28"/>
  <c r="AK43" i="28"/>
  <c r="AK4" i="28"/>
  <c r="AK119" i="28"/>
  <c r="AI57" i="23"/>
  <c r="AI80" i="23"/>
  <c r="AK34" i="1"/>
  <c r="AK208" i="1"/>
  <c r="AK60" i="1"/>
  <c r="AK6" i="1"/>
  <c r="AK130" i="1"/>
  <c r="AK1" i="1"/>
  <c r="AL159" i="1"/>
  <c r="AL148" i="1"/>
  <c r="AL145" i="1"/>
  <c r="AL136" i="1"/>
  <c r="AL172" i="1"/>
  <c r="AL144" i="1"/>
  <c r="AL114" i="32"/>
  <c r="AK146" i="1"/>
  <c r="AK164" i="1"/>
  <c r="AN37" i="1"/>
  <c r="AM45" i="1"/>
  <c r="AM43" i="1"/>
  <c r="AM46" i="1"/>
  <c r="AM38" i="1"/>
  <c r="AM55" i="1" s="1"/>
  <c r="AM44" i="1"/>
  <c r="AH303" i="27" l="1"/>
  <c r="AH321" i="27" s="1"/>
  <c r="AH319" i="27" s="1"/>
  <c r="AK703" i="27"/>
  <c r="AK700" i="27" s="1"/>
  <c r="AK701" i="27" s="1"/>
  <c r="AK702" i="27" s="1"/>
  <c r="AK218" i="28" s="1"/>
  <c r="L34" i="35"/>
  <c r="AR49" i="1"/>
  <c r="AR51" i="1"/>
  <c r="AR48" i="1"/>
  <c r="AR50" i="1"/>
  <c r="AI215" i="31"/>
  <c r="AJ216" i="31" s="1"/>
  <c r="AJ224" i="31" s="1"/>
  <c r="AJ13" i="32" s="1"/>
  <c r="I29" i="49"/>
  <c r="I28" i="49"/>
  <c r="I10" i="49"/>
  <c r="AI26" i="31"/>
  <c r="I23" i="39"/>
  <c r="I5" i="61"/>
  <c r="AC227" i="27"/>
  <c r="AJ98" i="31"/>
  <c r="AJ101" i="31" s="1"/>
  <c r="K3" i="52"/>
  <c r="AL151" i="1"/>
  <c r="AM101" i="1"/>
  <c r="AM96" i="1"/>
  <c r="AM91" i="1"/>
  <c r="AM86" i="1"/>
  <c r="AM81" i="1"/>
  <c r="AM76" i="1"/>
  <c r="AM65" i="1"/>
  <c r="AL152" i="1"/>
  <c r="AL198" i="27"/>
  <c r="AM154" i="27"/>
  <c r="AL248" i="27"/>
  <c r="AL256" i="27"/>
  <c r="AL120" i="27"/>
  <c r="AL83" i="31"/>
  <c r="AL478" i="27"/>
  <c r="AQ348" i="27"/>
  <c r="AQ345" i="27"/>
  <c r="AQ333" i="27"/>
  <c r="AQ330" i="27"/>
  <c r="AQ358" i="27"/>
  <c r="AQ355" i="27"/>
  <c r="AQ363" i="27"/>
  <c r="AQ360" i="27"/>
  <c r="AQ85" i="28" s="1"/>
  <c r="AF166" i="31"/>
  <c r="I14" i="54" s="1"/>
  <c r="J7" i="39"/>
  <c r="AG143" i="27"/>
  <c r="K28" i="38" s="1"/>
  <c r="K26" i="38"/>
  <c r="AG436" i="27"/>
  <c r="AG447" i="27" s="1"/>
  <c r="AH13" i="32"/>
  <c r="J20" i="57"/>
  <c r="AJ701" i="27"/>
  <c r="AJ702" i="27" s="1"/>
  <c r="AJ218" i="28" s="1"/>
  <c r="AL282" i="27"/>
  <c r="AG271" i="27"/>
  <c r="AC498" i="27"/>
  <c r="AC522" i="27" s="1"/>
  <c r="I12" i="42" s="1"/>
  <c r="K7" i="38"/>
  <c r="J77" i="41"/>
  <c r="K20" i="51"/>
  <c r="K25" i="38"/>
  <c r="I9" i="54"/>
  <c r="AL462" i="27"/>
  <c r="AL409" i="27"/>
  <c r="AL302" i="27"/>
  <c r="AL290" i="27"/>
  <c r="AL278" i="27"/>
  <c r="AL270" i="27"/>
  <c r="AL261" i="27"/>
  <c r="AL252" i="27"/>
  <c r="AL244" i="27"/>
  <c r="AL151" i="27"/>
  <c r="AL142" i="27"/>
  <c r="AL131" i="27"/>
  <c r="AL117" i="27"/>
  <c r="AL157" i="31"/>
  <c r="AL183" i="27"/>
  <c r="AL145" i="27"/>
  <c r="AL306" i="27"/>
  <c r="AL294" i="27"/>
  <c r="AM294" i="27" s="1"/>
  <c r="AL134" i="27"/>
  <c r="AQ338" i="27"/>
  <c r="AQ335" i="27"/>
  <c r="AQ378" i="27"/>
  <c r="AQ60" i="28" s="1"/>
  <c r="AQ376" i="27"/>
  <c r="AQ353" i="27"/>
  <c r="AQ350" i="27"/>
  <c r="AL265" i="27"/>
  <c r="J35" i="40"/>
  <c r="J12" i="49"/>
  <c r="AL34" i="31"/>
  <c r="AL274" i="27"/>
  <c r="AM274" i="27" s="1"/>
  <c r="AL28" i="31"/>
  <c r="AM28" i="31" s="1"/>
  <c r="AH101" i="31"/>
  <c r="K29" i="52" s="1"/>
  <c r="K9" i="38"/>
  <c r="J92" i="41"/>
  <c r="J36" i="40"/>
  <c r="J21" i="57"/>
  <c r="AI307" i="27"/>
  <c r="AI304" i="27" s="1"/>
  <c r="AI320" i="27" s="1"/>
  <c r="AI322" i="27" s="1"/>
  <c r="AI18" i="28" s="1"/>
  <c r="AB232" i="28"/>
  <c r="AB256" i="28" s="1"/>
  <c r="AC59" i="28"/>
  <c r="AE500" i="27"/>
  <c r="AE670" i="27"/>
  <c r="AE482" i="27"/>
  <c r="AE498" i="27" s="1"/>
  <c r="AF483" i="27"/>
  <c r="AC499" i="27"/>
  <c r="AH323" i="27"/>
  <c r="AI318" i="27"/>
  <c r="AF227" i="27"/>
  <c r="AF230" i="27" s="1"/>
  <c r="AF217" i="27"/>
  <c r="AJ178" i="27"/>
  <c r="AJ204" i="27" s="1"/>
  <c r="AJ177" i="27"/>
  <c r="AJ203" i="27" s="1"/>
  <c r="AH193" i="27"/>
  <c r="AH212" i="27" s="1"/>
  <c r="AH224" i="27" s="1"/>
  <c r="AH192" i="27"/>
  <c r="AH211" i="27" s="1"/>
  <c r="AH223" i="27" s="1"/>
  <c r="AJ180" i="27"/>
  <c r="AJ206" i="27" s="1"/>
  <c r="AJ179" i="27"/>
  <c r="AJ205" i="27" s="1"/>
  <c r="AH195" i="27"/>
  <c r="AH214" i="27" s="1"/>
  <c r="AH226" i="27" s="1"/>
  <c r="AH194" i="27"/>
  <c r="AH213" i="27" s="1"/>
  <c r="AH225" i="27" s="1"/>
  <c r="AJ116" i="27"/>
  <c r="K8" i="38" s="1"/>
  <c r="AF496" i="27"/>
  <c r="AF500" i="27"/>
  <c r="AJ141" i="27"/>
  <c r="AH201" i="27"/>
  <c r="AH208" i="27" s="1"/>
  <c r="AG451" i="27"/>
  <c r="AG493" i="27"/>
  <c r="AG463" i="27"/>
  <c r="AD229" i="28"/>
  <c r="AD252" i="28" s="1"/>
  <c r="AD121" i="32"/>
  <c r="AF12" i="28"/>
  <c r="AJ202" i="27"/>
  <c r="AF367" i="27"/>
  <c r="AF365" i="27" s="1"/>
  <c r="AF102" i="28" s="1"/>
  <c r="I22" i="46" s="1"/>
  <c r="AO121" i="1"/>
  <c r="AO118" i="1"/>
  <c r="AM116" i="31"/>
  <c r="AM91" i="31"/>
  <c r="AM92" i="31"/>
  <c r="AM117" i="31"/>
  <c r="AM118" i="31"/>
  <c r="AM93" i="31"/>
  <c r="AM94" i="31"/>
  <c r="AM119" i="31"/>
  <c r="AM120" i="31"/>
  <c r="AM95" i="31"/>
  <c r="AM121" i="31"/>
  <c r="AM96" i="31"/>
  <c r="AM122" i="31"/>
  <c r="AM97" i="31"/>
  <c r="AM98" i="31"/>
  <c r="AM124" i="31"/>
  <c r="AM100" i="31"/>
  <c r="AM112" i="1"/>
  <c r="AM109" i="1"/>
  <c r="AI199" i="27"/>
  <c r="AI190" i="27" s="1"/>
  <c r="AI191" i="27" s="1"/>
  <c r="AH210" i="27"/>
  <c r="AH222" i="27" s="1"/>
  <c r="AF228" i="28"/>
  <c r="AF88" i="32" s="1"/>
  <c r="AP277" i="27"/>
  <c r="AG570" i="27"/>
  <c r="AG584" i="27"/>
  <c r="AH584" i="27" s="1"/>
  <c r="AG626" i="27"/>
  <c r="AH626" i="27" s="1"/>
  <c r="AG644" i="27"/>
  <c r="AG598" i="27"/>
  <c r="AP124" i="27"/>
  <c r="AP128" i="27" s="1"/>
  <c r="AF231" i="28"/>
  <c r="AF121" i="32" s="1"/>
  <c r="AF232" i="27"/>
  <c r="AF48" i="28" s="1"/>
  <c r="AQ322" i="28"/>
  <c r="AQ281" i="28"/>
  <c r="AE230" i="27"/>
  <c r="AE683" i="27" s="1"/>
  <c r="AH635" i="27"/>
  <c r="AH644" i="27" s="1"/>
  <c r="AG640" i="27"/>
  <c r="AK29" i="31"/>
  <c r="AK25" i="31" s="1"/>
  <c r="AJ193" i="31"/>
  <c r="J21" i="55" s="1"/>
  <c r="AJ195" i="31"/>
  <c r="J23" i="55" s="1"/>
  <c r="AJ191" i="31"/>
  <c r="J19" i="55" s="1"/>
  <c r="AK73" i="31"/>
  <c r="AI189" i="31"/>
  <c r="AJ194" i="31"/>
  <c r="J22" i="55" s="1"/>
  <c r="AJ192" i="31"/>
  <c r="J20" i="55" s="1"/>
  <c r="AJ190" i="31"/>
  <c r="J18" i="55" s="1"/>
  <c r="AH92" i="27"/>
  <c r="AJ135" i="27"/>
  <c r="AI431" i="27"/>
  <c r="AI432" i="27"/>
  <c r="AI429" i="27"/>
  <c r="AI430" i="27"/>
  <c r="AI428" i="27"/>
  <c r="AI427" i="27"/>
  <c r="AL67" i="1"/>
  <c r="AL66" i="1" s="1"/>
  <c r="AL255" i="27"/>
  <c r="AL119" i="27"/>
  <c r="AL264" i="27"/>
  <c r="AK82" i="1"/>
  <c r="AK87" i="1"/>
  <c r="AK66" i="1"/>
  <c r="AK77" i="1"/>
  <c r="AK102" i="1"/>
  <c r="AK73" i="1"/>
  <c r="AK97" i="1"/>
  <c r="AK92" i="1"/>
  <c r="AH275" i="27"/>
  <c r="AH272" i="27" s="1"/>
  <c r="AH271" i="27" s="1"/>
  <c r="AJ479" i="27"/>
  <c r="AI457" i="27"/>
  <c r="AI565" i="27" s="1"/>
  <c r="AI393" i="27"/>
  <c r="AI155" i="27"/>
  <c r="AH162" i="31"/>
  <c r="AH163" i="31"/>
  <c r="AI453" i="27"/>
  <c r="AI456" i="27"/>
  <c r="AI397" i="27"/>
  <c r="AI454" i="27"/>
  <c r="AI579" i="27" s="1"/>
  <c r="AI455" i="27"/>
  <c r="AI593" i="27" s="1"/>
  <c r="AI394" i="27"/>
  <c r="AI621" i="27" s="1"/>
  <c r="AI396" i="27"/>
  <c r="AI458" i="27"/>
  <c r="AI395" i="27"/>
  <c r="AI607" i="27" s="1"/>
  <c r="AI392" i="27"/>
  <c r="AI84" i="27" s="1"/>
  <c r="AH459" i="27"/>
  <c r="AH433" i="27"/>
  <c r="X138" i="32"/>
  <c r="Y123" i="32"/>
  <c r="AH168" i="31"/>
  <c r="AH229" i="31" s="1"/>
  <c r="AH239" i="31" s="1"/>
  <c r="AH165" i="31"/>
  <c r="AH398" i="27"/>
  <c r="AH436" i="27" s="1"/>
  <c r="AH447" i="27" s="1"/>
  <c r="AC63" i="31"/>
  <c r="AH233" i="31"/>
  <c r="AE62" i="31"/>
  <c r="J53" i="51" s="1"/>
  <c r="AG229" i="31"/>
  <c r="Y43" i="31"/>
  <c r="AL231" i="1"/>
  <c r="AL222" i="1"/>
  <c r="Z42" i="31"/>
  <c r="Z44" i="31" s="1"/>
  <c r="AA38" i="31"/>
  <c r="AK257" i="27"/>
  <c r="AJ249" i="27"/>
  <c r="AJ246" i="27" s="1"/>
  <c r="AJ245" i="27" s="1"/>
  <c r="AD41" i="31"/>
  <c r="AE120" i="32"/>
  <c r="AG191" i="27"/>
  <c r="AG176" i="27"/>
  <c r="J8" i="39" s="1"/>
  <c r="AG321" i="27"/>
  <c r="AG323" i="27" s="1"/>
  <c r="AC201" i="27"/>
  <c r="AC209" i="27"/>
  <c r="AC231" i="28"/>
  <c r="AC18" i="32"/>
  <c r="AC228" i="28"/>
  <c r="AC670" i="27"/>
  <c r="Y256" i="28"/>
  <c r="AG245" i="27"/>
  <c r="Z232" i="28"/>
  <c r="Z256" i="28" s="1"/>
  <c r="Z17" i="32"/>
  <c r="I11" i="58" s="1"/>
  <c r="AG316" i="27"/>
  <c r="AG318" i="27" s="1"/>
  <c r="AC48" i="28"/>
  <c r="AC367" i="27"/>
  <c r="AC365" i="27" s="1"/>
  <c r="AC102" i="28" s="1"/>
  <c r="AD232" i="27"/>
  <c r="AD48" i="28" s="1"/>
  <c r="AL93" i="1"/>
  <c r="AL92" i="1" s="1"/>
  <c r="AL281" i="27"/>
  <c r="AL305" i="27"/>
  <c r="AJ35" i="31"/>
  <c r="AJ315" i="27"/>
  <c r="AJ317" i="27" s="1"/>
  <c r="AJ19" i="28" s="1"/>
  <c r="K16" i="44" s="1"/>
  <c r="AL71" i="1"/>
  <c r="AL73" i="1" s="1"/>
  <c r="AL72" i="1" s="1"/>
  <c r="AL98" i="1"/>
  <c r="AL97" i="1" s="1"/>
  <c r="AL144" i="27"/>
  <c r="AL247" i="27"/>
  <c r="AJ158" i="31"/>
  <c r="AJ154" i="31" s="1"/>
  <c r="J4" i="54" s="1"/>
  <c r="AG161" i="31"/>
  <c r="AI159" i="31"/>
  <c r="AI75" i="31"/>
  <c r="AI122" i="31"/>
  <c r="AL103" i="1"/>
  <c r="AL102" i="1" s="1"/>
  <c r="AL33" i="31"/>
  <c r="AJ74" i="31"/>
  <c r="K4" i="52" s="1"/>
  <c r="AP435" i="27"/>
  <c r="AQ31" i="31" s="1"/>
  <c r="AP113" i="1"/>
  <c r="AO114" i="1"/>
  <c r="AM88" i="28"/>
  <c r="AM199" i="28" s="1"/>
  <c r="AN342" i="27"/>
  <c r="AN340" i="27" s="1"/>
  <c r="AQ419" i="27"/>
  <c r="AQ422" i="27"/>
  <c r="AQ421" i="27"/>
  <c r="AQ125" i="27" s="1"/>
  <c r="AQ420" i="27"/>
  <c r="AQ423" i="27"/>
  <c r="AQ126" i="27" s="1"/>
  <c r="AQ424" i="27"/>
  <c r="AQ127" i="27" s="1"/>
  <c r="AQ301" i="27"/>
  <c r="AQ269" i="27"/>
  <c r="AQ289" i="27"/>
  <c r="AQ260" i="27"/>
  <c r="AQ119" i="1"/>
  <c r="AP120" i="1"/>
  <c r="AQ102" i="27"/>
  <c r="AM343" i="27"/>
  <c r="AM47" i="28" s="1"/>
  <c r="AR2" i="32"/>
  <c r="AR2" i="31"/>
  <c r="AR2" i="28"/>
  <c r="AR197" i="28" s="1"/>
  <c r="AR2" i="27"/>
  <c r="AR140" i="27" s="1"/>
  <c r="AR2" i="1"/>
  <c r="AR337" i="27"/>
  <c r="AR373" i="27"/>
  <c r="AR374" i="27" s="1"/>
  <c r="AR377" i="27"/>
  <c r="AR357" i="27"/>
  <c r="AR332" i="27"/>
  <c r="AR362" i="27"/>
  <c r="AR347" i="27"/>
  <c r="AR368" i="27"/>
  <c r="AR369" i="27" s="1"/>
  <c r="AR352" i="27"/>
  <c r="AQ113" i="28"/>
  <c r="AR113" i="28" s="1"/>
  <c r="L33" i="46" s="1"/>
  <c r="AM103" i="27"/>
  <c r="AL104" i="28"/>
  <c r="AM68" i="27"/>
  <c r="AM93" i="28" s="1"/>
  <c r="AL69" i="27"/>
  <c r="AP425" i="27"/>
  <c r="AO110" i="1"/>
  <c r="AN111" i="1"/>
  <c r="AO122" i="1"/>
  <c r="AN123" i="1"/>
  <c r="AN124" i="1" s="1"/>
  <c r="AO171" i="1"/>
  <c r="AL477" i="27"/>
  <c r="AL133" i="27"/>
  <c r="AJ62" i="23"/>
  <c r="AJ68" i="23"/>
  <c r="AI181" i="27"/>
  <c r="AI207" i="27" s="1"/>
  <c r="AL82" i="31"/>
  <c r="AJ266" i="27"/>
  <c r="AJ263" i="27" s="1"/>
  <c r="AJ262" i="27" s="1"/>
  <c r="J17" i="40" s="1"/>
  <c r="AJ283" i="27"/>
  <c r="AJ280" i="27" s="1"/>
  <c r="AJ279" i="27" s="1"/>
  <c r="J27" i="40" s="1"/>
  <c r="AM33" i="31"/>
  <c r="AM27" i="31"/>
  <c r="AM273" i="27"/>
  <c r="AM153" i="27"/>
  <c r="AL182" i="27"/>
  <c r="AL197" i="27"/>
  <c r="AL156" i="31"/>
  <c r="AK49" i="31"/>
  <c r="AL155" i="31"/>
  <c r="AL47" i="31"/>
  <c r="AL48" i="31" s="1"/>
  <c r="AL44" i="32"/>
  <c r="AL79" i="32"/>
  <c r="AL221" i="31"/>
  <c r="AL213" i="31"/>
  <c r="AL151" i="31"/>
  <c r="AL173" i="31"/>
  <c r="AL71" i="31"/>
  <c r="AL141" i="31"/>
  <c r="AO163" i="1"/>
  <c r="AO161" i="1"/>
  <c r="AO160" i="1"/>
  <c r="AO162" i="1"/>
  <c r="AL83" i="1"/>
  <c r="AL82" i="1" s="1"/>
  <c r="AL88" i="1"/>
  <c r="AL87" i="1" s="1"/>
  <c r="AL78" i="1"/>
  <c r="AL77" i="1" s="1"/>
  <c r="AL6" i="31"/>
  <c r="AL1" i="32"/>
  <c r="AL1" i="31"/>
  <c r="AL6" i="32"/>
  <c r="AL77" i="27"/>
  <c r="AL64" i="27"/>
  <c r="AL1" i="28"/>
  <c r="AL1" i="27"/>
  <c r="AL169" i="27"/>
  <c r="AL509" i="27"/>
  <c r="AL237" i="27"/>
  <c r="AL328" i="27"/>
  <c r="AL107" i="27"/>
  <c r="AL387" i="27"/>
  <c r="AL554" i="27"/>
  <c r="AL658" i="27"/>
  <c r="AL348" i="28"/>
  <c r="AL307" i="28"/>
  <c r="AL267" i="28"/>
  <c r="AL207" i="28"/>
  <c r="AL119" i="28"/>
  <c r="AL81" i="28"/>
  <c r="AL154" i="28"/>
  <c r="AL43" i="28"/>
  <c r="AL4" i="28"/>
  <c r="AJ57" i="23"/>
  <c r="AJ80" i="23"/>
  <c r="AM159" i="1"/>
  <c r="AM148" i="1"/>
  <c r="AM145" i="1"/>
  <c r="AM136" i="1"/>
  <c r="AM172" i="1"/>
  <c r="AM144" i="1"/>
  <c r="AM114" i="32"/>
  <c r="AL146" i="1"/>
  <c r="AL164" i="1"/>
  <c r="AO37" i="1"/>
  <c r="AN45" i="1"/>
  <c r="AN43" i="1"/>
  <c r="AN44" i="1"/>
  <c r="AN46" i="1"/>
  <c r="AN38" i="1"/>
  <c r="AN55" i="1" s="1"/>
  <c r="AL34" i="1"/>
  <c r="AL130" i="1"/>
  <c r="AL1" i="1"/>
  <c r="AL208" i="1"/>
  <c r="AL60" i="1"/>
  <c r="AL6" i="1"/>
  <c r="K11" i="49" l="1"/>
  <c r="AJ230" i="28"/>
  <c r="K23" i="49" s="1"/>
  <c r="AM120" i="27"/>
  <c r="AL703" i="27"/>
  <c r="AL700" i="27" s="1"/>
  <c r="AL701" i="27" s="1"/>
  <c r="AL702" i="27" s="1"/>
  <c r="AL218" i="28" s="1"/>
  <c r="AL230" i="28" s="1"/>
  <c r="K4" i="57"/>
  <c r="AJ233" i="31"/>
  <c r="AJ51" i="32" s="1"/>
  <c r="AM157" i="31"/>
  <c r="AM478" i="27"/>
  <c r="AM248" i="27"/>
  <c r="AM183" i="27"/>
  <c r="AM306" i="27"/>
  <c r="AD522" i="27"/>
  <c r="AG141" i="27"/>
  <c r="K27" i="38" s="1"/>
  <c r="J4" i="56"/>
  <c r="K7" i="58"/>
  <c r="AM198" i="27"/>
  <c r="AM34" i="31"/>
  <c r="AN34" i="31" s="1"/>
  <c r="AM145" i="27"/>
  <c r="J7" i="40"/>
  <c r="AN154" i="27"/>
  <c r="AM83" i="31"/>
  <c r="AM134" i="27"/>
  <c r="AM282" i="27"/>
  <c r="AM265" i="27"/>
  <c r="AM256" i="27"/>
  <c r="AG483" i="27"/>
  <c r="K26" i="52"/>
  <c r="AK230" i="28"/>
  <c r="AM152" i="1"/>
  <c r="AN274" i="27"/>
  <c r="AR363" i="27"/>
  <c r="AR360" i="27"/>
  <c r="AR85" i="28" s="1"/>
  <c r="L5" i="46" s="1"/>
  <c r="AR358" i="27"/>
  <c r="AR355" i="27"/>
  <c r="AG166" i="31"/>
  <c r="J12" i="58"/>
  <c r="AC216" i="27"/>
  <c r="AC17" i="28" s="1"/>
  <c r="I20" i="39"/>
  <c r="AG241" i="31"/>
  <c r="AG240" i="31" s="1"/>
  <c r="AH51" i="32"/>
  <c r="K13" i="57"/>
  <c r="AK99" i="31"/>
  <c r="AK101" i="31" s="1"/>
  <c r="AG496" i="27"/>
  <c r="AG63" i="28" s="1"/>
  <c r="AF667" i="27"/>
  <c r="J88" i="41"/>
  <c r="AC37" i="31"/>
  <c r="AC41" i="31" s="1"/>
  <c r="I25" i="49"/>
  <c r="J18" i="40"/>
  <c r="AF228" i="31"/>
  <c r="AN101" i="1"/>
  <c r="K27" i="34" s="1"/>
  <c r="AN96" i="1"/>
  <c r="K23" i="34" s="1"/>
  <c r="AN91" i="1"/>
  <c r="K19" i="34" s="1"/>
  <c r="AN86" i="1"/>
  <c r="K15" i="34" s="1"/>
  <c r="AN81" i="1"/>
  <c r="K11" i="34" s="1"/>
  <c r="AN76" i="1"/>
  <c r="K7" i="34" s="1"/>
  <c r="AN65" i="1"/>
  <c r="AM151" i="1"/>
  <c r="AM462" i="27"/>
  <c r="AM409" i="27"/>
  <c r="AM302" i="27"/>
  <c r="AM290" i="27"/>
  <c r="AM278" i="27"/>
  <c r="AM270" i="27"/>
  <c r="AM261" i="27"/>
  <c r="AM252" i="27"/>
  <c r="AM244" i="27"/>
  <c r="AM151" i="27"/>
  <c r="AM142" i="27"/>
  <c r="AM131" i="27"/>
  <c r="AM117" i="27"/>
  <c r="AN28" i="31"/>
  <c r="AR353" i="27"/>
  <c r="AR350" i="27"/>
  <c r="AR348" i="27"/>
  <c r="AR345" i="27"/>
  <c r="AR333" i="27"/>
  <c r="AR330" i="27"/>
  <c r="AR378" i="27"/>
  <c r="AR376" i="27"/>
  <c r="AR338" i="27"/>
  <c r="AR335" i="27"/>
  <c r="J6" i="45"/>
  <c r="J21" i="49"/>
  <c r="J24" i="49"/>
  <c r="AC208" i="27"/>
  <c r="I19" i="39"/>
  <c r="J28" i="40"/>
  <c r="J8" i="40"/>
  <c r="AI303" i="27"/>
  <c r="AJ307" i="27"/>
  <c r="AJ304" i="27" s="1"/>
  <c r="AJ320" i="27" s="1"/>
  <c r="AJ322" i="27" s="1"/>
  <c r="AJ18" i="28" s="1"/>
  <c r="K15" i="44" s="1"/>
  <c r="AF63" i="28"/>
  <c r="J20" i="45" s="1"/>
  <c r="AG472" i="27"/>
  <c r="AF482" i="27"/>
  <c r="AF498" i="27" s="1"/>
  <c r="AF522" i="27" s="1"/>
  <c r="AE499" i="27"/>
  <c r="AE59" i="28"/>
  <c r="AE37" i="31" s="1"/>
  <c r="AE41" i="31" s="1"/>
  <c r="AJ318" i="27"/>
  <c r="AC217" i="27"/>
  <c r="I21" i="39" s="1"/>
  <c r="AG193" i="27"/>
  <c r="AG192" i="27"/>
  <c r="AG178" i="27"/>
  <c r="AG177" i="27"/>
  <c r="AI193" i="27"/>
  <c r="AI212" i="27" s="1"/>
  <c r="AI224" i="27" s="1"/>
  <c r="AI192" i="27"/>
  <c r="AI211" i="27" s="1"/>
  <c r="AI223" i="27" s="1"/>
  <c r="AG195" i="27"/>
  <c r="AG194" i="27"/>
  <c r="AG180" i="27"/>
  <c r="AG179" i="27"/>
  <c r="AI195" i="27"/>
  <c r="AI214" i="27" s="1"/>
  <c r="AI226" i="27" s="1"/>
  <c r="AI194" i="27"/>
  <c r="AI213" i="27" s="1"/>
  <c r="AI225" i="27" s="1"/>
  <c r="AF670" i="27"/>
  <c r="AP494" i="27"/>
  <c r="AH463" i="27"/>
  <c r="AH472" i="27" s="1"/>
  <c r="AH490" i="27" s="1"/>
  <c r="AD120" i="32"/>
  <c r="AH12" i="28"/>
  <c r="AI201" i="27"/>
  <c r="AI208" i="27" s="1"/>
  <c r="AJ314" i="27"/>
  <c r="AH451" i="27"/>
  <c r="AH496" i="27" s="1"/>
  <c r="AH667" i="27" s="1"/>
  <c r="AH493" i="27"/>
  <c r="AH228" i="27"/>
  <c r="AH367" i="27" s="1"/>
  <c r="AH365" i="27" s="1"/>
  <c r="AH102" i="28" s="1"/>
  <c r="AI210" i="27"/>
  <c r="AI222" i="27" s="1"/>
  <c r="AH219" i="28"/>
  <c r="AH18" i="32" s="1"/>
  <c r="AN112" i="1"/>
  <c r="AN109" i="1"/>
  <c r="AO115" i="1"/>
  <c r="AN116" i="31"/>
  <c r="L44" i="52" s="1"/>
  <c r="AN91" i="31"/>
  <c r="L19" i="52" s="1"/>
  <c r="AN117" i="31"/>
  <c r="L45" i="52" s="1"/>
  <c r="AN92" i="31"/>
  <c r="L20" i="52" s="1"/>
  <c r="AN118" i="31"/>
  <c r="L46" i="52" s="1"/>
  <c r="AN93" i="31"/>
  <c r="L21" i="52" s="1"/>
  <c r="AN94" i="31"/>
  <c r="L22" i="52" s="1"/>
  <c r="AN119" i="31"/>
  <c r="L47" i="52" s="1"/>
  <c r="AN121" i="31"/>
  <c r="L49" i="52" s="1"/>
  <c r="AN120" i="31"/>
  <c r="L48" i="52" s="1"/>
  <c r="AN95" i="31"/>
  <c r="L23" i="52" s="1"/>
  <c r="AN96" i="31"/>
  <c r="L24" i="52" s="1"/>
  <c r="AN122" i="31"/>
  <c r="L50" i="52" s="1"/>
  <c r="AN97" i="31"/>
  <c r="L25" i="52" s="1"/>
  <c r="AN124" i="31"/>
  <c r="L52" i="52" s="1"/>
  <c r="AN98" i="31"/>
  <c r="L26" i="52" s="1"/>
  <c r="AN100" i="31"/>
  <c r="L28" i="52" s="1"/>
  <c r="AO176" i="1"/>
  <c r="AP121" i="1"/>
  <c r="AP118" i="1"/>
  <c r="AJ199" i="27"/>
  <c r="AJ190" i="27" s="1"/>
  <c r="AJ191" i="27" s="1"/>
  <c r="J16" i="39" s="1"/>
  <c r="AH219" i="27"/>
  <c r="AH196" i="27"/>
  <c r="AH215" i="27" s="1"/>
  <c r="AH227" i="27" s="1"/>
  <c r="AF229" i="28"/>
  <c r="AF252" i="28" s="1"/>
  <c r="AF683" i="27"/>
  <c r="AH570" i="27"/>
  <c r="AI570" i="27" s="1"/>
  <c r="AH598" i="27"/>
  <c r="AI598" i="27" s="1"/>
  <c r="AQ277" i="27"/>
  <c r="AQ124" i="27"/>
  <c r="AQ128" i="27" s="1"/>
  <c r="AE233" i="27"/>
  <c r="AE235" i="28" s="1"/>
  <c r="AF682" i="27"/>
  <c r="AF233" i="27"/>
  <c r="AF233" i="28" s="1"/>
  <c r="AR281" i="28"/>
  <c r="AR322" i="28"/>
  <c r="AE522" i="27"/>
  <c r="AH640" i="27"/>
  <c r="AI635" i="27"/>
  <c r="AI644" i="27" s="1"/>
  <c r="AI626" i="27"/>
  <c r="AI584" i="27"/>
  <c r="AM222" i="1"/>
  <c r="AL29" i="31"/>
  <c r="AL25" i="31" s="1"/>
  <c r="AJ215" i="31"/>
  <c r="AJ26" i="31"/>
  <c r="K21" i="51" s="1"/>
  <c r="AJ189" i="31"/>
  <c r="J17" i="55" s="1"/>
  <c r="AI92" i="27"/>
  <c r="AL135" i="27"/>
  <c r="AJ431" i="27"/>
  <c r="K45" i="41" s="1"/>
  <c r="AJ432" i="27"/>
  <c r="K46" i="41" s="1"/>
  <c r="AJ429" i="27"/>
  <c r="K43" i="41" s="1"/>
  <c r="AJ430" i="27"/>
  <c r="K44" i="41" s="1"/>
  <c r="AJ428" i="27"/>
  <c r="K42" i="41" s="1"/>
  <c r="AJ427" i="27"/>
  <c r="K41" i="41" s="1"/>
  <c r="AM231" i="1"/>
  <c r="AK190" i="31"/>
  <c r="AK215" i="31"/>
  <c r="AK72" i="1"/>
  <c r="AI275" i="27"/>
  <c r="AJ393" i="27"/>
  <c r="K7" i="41" s="1"/>
  <c r="AJ458" i="27"/>
  <c r="K67" i="41" s="1"/>
  <c r="AJ394" i="27"/>
  <c r="K8" i="41" s="1"/>
  <c r="AJ453" i="27"/>
  <c r="K62" i="41" s="1"/>
  <c r="AJ397" i="27"/>
  <c r="K11" i="41" s="1"/>
  <c r="AJ455" i="27"/>
  <c r="K64" i="41" s="1"/>
  <c r="AJ457" i="27"/>
  <c r="AJ565" i="27" s="1"/>
  <c r="K10" i="43" s="1"/>
  <c r="AK479" i="27"/>
  <c r="AJ392" i="27"/>
  <c r="K6" i="41" s="1"/>
  <c r="AJ456" i="27"/>
  <c r="K65" i="41" s="1"/>
  <c r="AJ395" i="27"/>
  <c r="K9" i="41" s="1"/>
  <c r="AJ454" i="27"/>
  <c r="K63" i="41" s="1"/>
  <c r="AJ396" i="27"/>
  <c r="K10" i="41" s="1"/>
  <c r="AE119" i="32"/>
  <c r="AE134" i="32"/>
  <c r="AJ155" i="27"/>
  <c r="AK307" i="27"/>
  <c r="AI398" i="27"/>
  <c r="AI436" i="27" s="1"/>
  <c r="AI447" i="27" s="1"/>
  <c r="AH161" i="31"/>
  <c r="AI433" i="27"/>
  <c r="AI459" i="27"/>
  <c r="AH241" i="31"/>
  <c r="AH240" i="31" s="1"/>
  <c r="AH62" i="31" s="1"/>
  <c r="Z123" i="32"/>
  <c r="Y138" i="32"/>
  <c r="Z43" i="31"/>
  <c r="AK194" i="31"/>
  <c r="AK191" i="31"/>
  <c r="AK193" i="31"/>
  <c r="AK195" i="31"/>
  <c r="AI165" i="31"/>
  <c r="AJ50" i="31"/>
  <c r="K41" i="51" s="1"/>
  <c r="AK84" i="31"/>
  <c r="AG239" i="31"/>
  <c r="AA42" i="31"/>
  <c r="AA44" i="31" s="1"/>
  <c r="AL257" i="27"/>
  <c r="AB38" i="31"/>
  <c r="AK249" i="27"/>
  <c r="AK146" i="27"/>
  <c r="AK184" i="27"/>
  <c r="AK121" i="27"/>
  <c r="AK295" i="27"/>
  <c r="AG314" i="27"/>
  <c r="AC230" i="27"/>
  <c r="AC233" i="27" s="1"/>
  <c r="AC682" i="27"/>
  <c r="AC88" i="32"/>
  <c r="AC121" i="32"/>
  <c r="AC229" i="28"/>
  <c r="AG319" i="27"/>
  <c r="AG202" i="27"/>
  <c r="AG210" i="27"/>
  <c r="AM93" i="1"/>
  <c r="AM92" i="1" s="1"/>
  <c r="AM281" i="27"/>
  <c r="AL84" i="31"/>
  <c r="AM255" i="27"/>
  <c r="AI164" i="31"/>
  <c r="AI168" i="31"/>
  <c r="AK35" i="31"/>
  <c r="AJ159" i="31"/>
  <c r="AJ164" i="31" s="1"/>
  <c r="AI163" i="31"/>
  <c r="AL295" i="27"/>
  <c r="AL292" i="27" s="1"/>
  <c r="AL291" i="27" s="1"/>
  <c r="AL316" i="27" s="1"/>
  <c r="AL74" i="31"/>
  <c r="AL123" i="31" s="1"/>
  <c r="AL125" i="31" s="1"/>
  <c r="AI162" i="31"/>
  <c r="AI125" i="31"/>
  <c r="AJ75" i="31"/>
  <c r="K5" i="52" s="1"/>
  <c r="AJ122" i="31"/>
  <c r="AJ125" i="31" s="1"/>
  <c r="AK74" i="31"/>
  <c r="AM119" i="27"/>
  <c r="AN120" i="27" s="1"/>
  <c r="AM98" i="1"/>
  <c r="AM97" i="1" s="1"/>
  <c r="AM293" i="27"/>
  <c r="AP9" i="28"/>
  <c r="AM264" i="27"/>
  <c r="AR419" i="27"/>
  <c r="M32" i="41" s="1"/>
  <c r="AR420" i="27"/>
  <c r="M33" i="41" s="1"/>
  <c r="AR422" i="27"/>
  <c r="M35" i="41" s="1"/>
  <c r="AR421" i="27"/>
  <c r="AR424" i="27"/>
  <c r="AR423" i="27"/>
  <c r="AR301" i="27"/>
  <c r="AT301" i="27" s="1"/>
  <c r="M42" i="40" s="1"/>
  <c r="AR260" i="27"/>
  <c r="AT260" i="27" s="1"/>
  <c r="M16" i="40" s="1"/>
  <c r="AR269" i="27"/>
  <c r="AT269" i="27" s="1"/>
  <c r="M21" i="40" s="1"/>
  <c r="AR289" i="27"/>
  <c r="AT289" i="27" s="1"/>
  <c r="M34" i="40" s="1"/>
  <c r="AT322" i="28"/>
  <c r="AT281" i="28"/>
  <c r="AR102" i="27"/>
  <c r="AR119" i="1"/>
  <c r="AR120" i="1" s="1"/>
  <c r="AQ120" i="1"/>
  <c r="AQ425" i="27"/>
  <c r="AQ113" i="1"/>
  <c r="AP114" i="1"/>
  <c r="AP115" i="1" s="1"/>
  <c r="AP122" i="1"/>
  <c r="AO123" i="1"/>
  <c r="AP110" i="1"/>
  <c r="AO111" i="1"/>
  <c r="AN68" i="27"/>
  <c r="AM69" i="27"/>
  <c r="AN103" i="27"/>
  <c r="AM104" i="28"/>
  <c r="AQ435" i="27"/>
  <c r="AR31" i="31" s="1"/>
  <c r="AN343" i="27"/>
  <c r="AN47" i="28" s="1"/>
  <c r="L5" i="45" s="1"/>
  <c r="AN88" i="28"/>
  <c r="K8" i="46" s="1"/>
  <c r="AO342" i="27"/>
  <c r="AO340" i="27" s="1"/>
  <c r="AP171" i="1"/>
  <c r="AP176" i="1" s="1"/>
  <c r="AM477" i="27"/>
  <c r="AM133" i="27"/>
  <c r="AM103" i="1"/>
  <c r="AM102" i="1" s="1"/>
  <c r="AL121" i="27"/>
  <c r="AL115" i="27" s="1"/>
  <c r="AL118" i="27" s="1"/>
  <c r="AL184" i="27"/>
  <c r="AL175" i="27" s="1"/>
  <c r="AL176" i="27" s="1"/>
  <c r="AJ181" i="27"/>
  <c r="AJ207" i="27" s="1"/>
  <c r="AL146" i="27"/>
  <c r="AL138" i="27" s="1"/>
  <c r="AL139" i="27" s="1"/>
  <c r="AL143" i="27" s="1"/>
  <c r="AK62" i="23"/>
  <c r="AK68" i="23"/>
  <c r="AM82" i="31"/>
  <c r="AM305" i="27"/>
  <c r="AN306" i="27" s="1"/>
  <c r="AK266" i="27"/>
  <c r="AM71" i="1"/>
  <c r="AM73" i="1" s="1"/>
  <c r="AM72" i="1" s="1"/>
  <c r="AM67" i="1"/>
  <c r="AM144" i="27"/>
  <c r="AM247" i="27"/>
  <c r="AK283" i="27"/>
  <c r="AN33" i="31"/>
  <c r="AN27" i="31"/>
  <c r="AN281" i="27"/>
  <c r="AN273" i="27"/>
  <c r="AL49" i="31"/>
  <c r="AM182" i="27"/>
  <c r="AM197" i="27"/>
  <c r="AM156" i="31"/>
  <c r="AN157" i="31" s="1"/>
  <c r="AM47" i="31"/>
  <c r="AM48" i="31" s="1"/>
  <c r="AM155" i="31"/>
  <c r="AM44" i="32"/>
  <c r="AM79" i="32"/>
  <c r="AM221" i="31"/>
  <c r="AM213" i="31"/>
  <c r="AM151" i="31"/>
  <c r="AM173" i="31"/>
  <c r="AM71" i="31"/>
  <c r="AM141" i="31"/>
  <c r="AP162" i="1"/>
  <c r="AP160" i="1"/>
  <c r="AP161" i="1"/>
  <c r="AP163" i="1"/>
  <c r="AM83" i="1"/>
  <c r="AM82" i="1" s="1"/>
  <c r="AM78" i="1"/>
  <c r="AM77" i="1" s="1"/>
  <c r="AM88" i="1"/>
  <c r="AM87" i="1" s="1"/>
  <c r="AM6" i="31"/>
  <c r="AM1" i="32"/>
  <c r="AM1" i="31"/>
  <c r="AM6" i="32"/>
  <c r="AM77" i="27"/>
  <c r="AM64" i="27"/>
  <c r="AM1" i="28"/>
  <c r="AM1" i="27"/>
  <c r="AM328" i="27"/>
  <c r="AM169" i="27"/>
  <c r="AM237" i="27"/>
  <c r="AM107" i="27"/>
  <c r="AM387" i="27"/>
  <c r="AM509" i="27"/>
  <c r="AM554" i="27"/>
  <c r="AM658" i="27"/>
  <c r="AM119" i="28"/>
  <c r="AM267" i="28"/>
  <c r="AM207" i="28"/>
  <c r="AM348" i="28"/>
  <c r="AM307" i="28"/>
  <c r="AM154" i="28"/>
  <c r="AM81" i="28"/>
  <c r="AM43" i="28"/>
  <c r="AM4" i="28"/>
  <c r="AK57" i="23"/>
  <c r="AK80" i="23"/>
  <c r="AN159" i="1"/>
  <c r="L23" i="35" s="1"/>
  <c r="AN148" i="1"/>
  <c r="L14" i="35" s="1"/>
  <c r="AN145" i="1"/>
  <c r="AN136" i="1"/>
  <c r="AN172" i="1"/>
  <c r="L35" i="35" s="1"/>
  <c r="AN144" i="1"/>
  <c r="AM34" i="1"/>
  <c r="AM208" i="1"/>
  <c r="AM60" i="1"/>
  <c r="AM6" i="1"/>
  <c r="AM130" i="1"/>
  <c r="AM1" i="1"/>
  <c r="AM146" i="1"/>
  <c r="AM164" i="1"/>
  <c r="AN114" i="32"/>
  <c r="AP37" i="1"/>
  <c r="AO45" i="1"/>
  <c r="AO43" i="1"/>
  <c r="AO46" i="1"/>
  <c r="AO38" i="1"/>
  <c r="AO55" i="1" s="1"/>
  <c r="AO44" i="1"/>
  <c r="AM703" i="27" l="1"/>
  <c r="AM700" i="27" s="1"/>
  <c r="AM701" i="27" s="1"/>
  <c r="AM702" i="27" s="1"/>
  <c r="AM218" i="28" s="1"/>
  <c r="AN93" i="28"/>
  <c r="K13" i="46" s="1"/>
  <c r="L5" i="37"/>
  <c r="AN248" i="27"/>
  <c r="AN183" i="27"/>
  <c r="AN478" i="27"/>
  <c r="K7" i="59"/>
  <c r="AN83" i="31"/>
  <c r="AN256" i="27"/>
  <c r="AN282" i="27"/>
  <c r="AO282" i="27" s="1"/>
  <c r="AO28" i="31"/>
  <c r="AN145" i="27"/>
  <c r="AN265" i="27"/>
  <c r="J48" i="40"/>
  <c r="AO274" i="27"/>
  <c r="AN198" i="27"/>
  <c r="AO34" i="31"/>
  <c r="AN134" i="27"/>
  <c r="AN151" i="1"/>
  <c r="AN462" i="27"/>
  <c r="AN409" i="27"/>
  <c r="AN302" i="27"/>
  <c r="AN290" i="27"/>
  <c r="AN278" i="27"/>
  <c r="AN270" i="27"/>
  <c r="AN261" i="27"/>
  <c r="AN252" i="27"/>
  <c r="AN244" i="27"/>
  <c r="AN151" i="27"/>
  <c r="AN142" i="27"/>
  <c r="AN131" i="27"/>
  <c r="AN117" i="27"/>
  <c r="AR126" i="27"/>
  <c r="M36" i="41"/>
  <c r="AR125" i="27"/>
  <c r="M34" i="41"/>
  <c r="AN294" i="27"/>
  <c r="K53" i="52"/>
  <c r="J12" i="54"/>
  <c r="J7" i="61"/>
  <c r="AH166" i="31"/>
  <c r="AH228" i="31" s="1"/>
  <c r="AH242" i="31" s="1"/>
  <c r="AH63" i="31" s="1"/>
  <c r="AK216" i="31"/>
  <c r="J3" i="56"/>
  <c r="AF499" i="27"/>
  <c r="J91" i="41" s="1"/>
  <c r="AG490" i="27"/>
  <c r="AG482" i="27" s="1"/>
  <c r="AI321" i="27"/>
  <c r="AI319" i="27" s="1"/>
  <c r="K66" i="41"/>
  <c r="K24" i="40"/>
  <c r="J44" i="40"/>
  <c r="AG667" i="27"/>
  <c r="J14" i="44"/>
  <c r="L34" i="40"/>
  <c r="L21" i="40"/>
  <c r="AO101" i="1"/>
  <c r="AO96" i="1"/>
  <c r="AO91" i="1"/>
  <c r="AO86" i="1"/>
  <c r="AO81" i="1"/>
  <c r="AO76" i="1"/>
  <c r="AO65" i="1"/>
  <c r="AN152" i="1"/>
  <c r="L17" i="35" s="1"/>
  <c r="AR127" i="27"/>
  <c r="M37" i="41"/>
  <c r="AC252" i="28"/>
  <c r="J22" i="49"/>
  <c r="J9" i="60"/>
  <c r="L5" i="35"/>
  <c r="J90" i="41"/>
  <c r="L10" i="35"/>
  <c r="J15" i="39"/>
  <c r="K50" i="52"/>
  <c r="AR60" i="28"/>
  <c r="M17" i="45" s="1"/>
  <c r="L16" i="35"/>
  <c r="AF242" i="31"/>
  <c r="J8" i="57"/>
  <c r="K29" i="40"/>
  <c r="J85" i="41"/>
  <c r="L11" i="35"/>
  <c r="L26" i="51"/>
  <c r="L42" i="40"/>
  <c r="J7" i="54"/>
  <c r="L16" i="40"/>
  <c r="L22" i="51"/>
  <c r="AJ303" i="27"/>
  <c r="AJ321" i="27" s="1"/>
  <c r="AJ319" i="27" s="1"/>
  <c r="AH63" i="28"/>
  <c r="AF59" i="28"/>
  <c r="AF37" i="31" s="1"/>
  <c r="AF41" i="31" s="1"/>
  <c r="J32" i="51" s="1"/>
  <c r="AH483" i="27"/>
  <c r="AH482" i="27" s="1"/>
  <c r="AH498" i="27" s="1"/>
  <c r="AG222" i="27"/>
  <c r="AH501" i="27"/>
  <c r="AH500" i="27" s="1"/>
  <c r="AL178" i="27"/>
  <c r="AL204" i="27" s="1"/>
  <c r="AL177" i="27"/>
  <c r="AL203" i="27" s="1"/>
  <c r="AJ193" i="27"/>
  <c r="AJ212" i="27" s="1"/>
  <c r="AJ224" i="27" s="1"/>
  <c r="AJ192" i="27"/>
  <c r="AJ195" i="27"/>
  <c r="AJ194" i="27"/>
  <c r="AJ213" i="27" s="1"/>
  <c r="AJ225" i="27" s="1"/>
  <c r="AL180" i="27"/>
  <c r="AL206" i="27" s="1"/>
  <c r="AL179" i="27"/>
  <c r="AL205" i="27" s="1"/>
  <c r="AL141" i="27"/>
  <c r="AI451" i="27"/>
  <c r="AI496" i="27" s="1"/>
  <c r="AI667" i="27" s="1"/>
  <c r="AI493" i="27"/>
  <c r="AH209" i="27"/>
  <c r="AH216" i="27" s="1"/>
  <c r="AH17" i="28" s="1"/>
  <c r="AI12" i="28"/>
  <c r="AJ201" i="27"/>
  <c r="AJ208" i="27" s="1"/>
  <c r="AL116" i="27"/>
  <c r="AQ494" i="27"/>
  <c r="AI463" i="27"/>
  <c r="AI472" i="27" s="1"/>
  <c r="AI490" i="27" s="1"/>
  <c r="AI501" i="27" s="1"/>
  <c r="AI219" i="27"/>
  <c r="AD119" i="32"/>
  <c r="AD134" i="32"/>
  <c r="AJ210" i="27"/>
  <c r="AJ222" i="27" s="1"/>
  <c r="AH228" i="28"/>
  <c r="AH88" i="32" s="1"/>
  <c r="AH231" i="28"/>
  <c r="AH229" i="28" s="1"/>
  <c r="AH252" i="28" s="1"/>
  <c r="AR121" i="1"/>
  <c r="AR118" i="1"/>
  <c r="AO116" i="31"/>
  <c r="AO91" i="31"/>
  <c r="AO92" i="31"/>
  <c r="AO117" i="31"/>
  <c r="AO118" i="31"/>
  <c r="AO93" i="31"/>
  <c r="AO119" i="31"/>
  <c r="AO94" i="31"/>
  <c r="AO95" i="31"/>
  <c r="AO121" i="31"/>
  <c r="AO120" i="31"/>
  <c r="AO96" i="31"/>
  <c r="AO122" i="31"/>
  <c r="AO97" i="31"/>
  <c r="AO123" i="31"/>
  <c r="AO98" i="31"/>
  <c r="AO99" i="31"/>
  <c r="AO112" i="1"/>
  <c r="AO109" i="1"/>
  <c r="AO124" i="1"/>
  <c r="AQ121" i="1"/>
  <c r="AQ118" i="1"/>
  <c r="AL199" i="27"/>
  <c r="AL190" i="27" s="1"/>
  <c r="AL191" i="27" s="1"/>
  <c r="AF120" i="32"/>
  <c r="AF134" i="32" s="1"/>
  <c r="AH682" i="27"/>
  <c r="AI196" i="27"/>
  <c r="AI215" i="27" s="1"/>
  <c r="AI227" i="27" s="1"/>
  <c r="AE233" i="28"/>
  <c r="AR277" i="27"/>
  <c r="AT277" i="27" s="1"/>
  <c r="M26" i="40" s="1"/>
  <c r="AF235" i="28"/>
  <c r="AE236" i="28"/>
  <c r="AF236" i="28"/>
  <c r="AE234" i="28"/>
  <c r="AE684" i="27"/>
  <c r="AE217" i="28" s="1"/>
  <c r="AE232" i="28" s="1"/>
  <c r="AE256" i="28" s="1"/>
  <c r="AF684" i="27"/>
  <c r="AF217" i="28" s="1"/>
  <c r="AF17" i="32" s="1"/>
  <c r="AF234" i="28"/>
  <c r="AL191" i="31"/>
  <c r="AJ635" i="27"/>
  <c r="K65" i="43" s="1"/>
  <c r="AI640" i="27"/>
  <c r="AJ621" i="27"/>
  <c r="K54" i="43" s="1"/>
  <c r="AJ607" i="27"/>
  <c r="K43" i="43" s="1"/>
  <c r="AJ593" i="27"/>
  <c r="K32" i="43" s="1"/>
  <c r="AL195" i="31"/>
  <c r="AJ579" i="27"/>
  <c r="K21" i="43" s="1"/>
  <c r="AL193" i="31"/>
  <c r="AN222" i="1"/>
  <c r="AM29" i="31"/>
  <c r="AM25" i="31" s="1"/>
  <c r="AL194" i="31"/>
  <c r="AL192" i="31"/>
  <c r="AL190" i="31"/>
  <c r="AJ84" i="27"/>
  <c r="K15" i="37" s="1"/>
  <c r="AK135" i="27"/>
  <c r="AR124" i="27"/>
  <c r="M14" i="38" s="1"/>
  <c r="AK431" i="27"/>
  <c r="AK432" i="27"/>
  <c r="AK429" i="27"/>
  <c r="AK430" i="27"/>
  <c r="AK428" i="27"/>
  <c r="AK427" i="27"/>
  <c r="AJ433" i="27"/>
  <c r="K47" i="41" s="1"/>
  <c r="AN231" i="1"/>
  <c r="AN153" i="27"/>
  <c r="AM66" i="1"/>
  <c r="AJ275" i="27"/>
  <c r="AJ272" i="27" s="1"/>
  <c r="AN93" i="1"/>
  <c r="AN92" i="1" s="1"/>
  <c r="K20" i="34" s="1" a="1"/>
  <c r="K20" i="34" s="1"/>
  <c r="AN199" i="28"/>
  <c r="AI272" i="27"/>
  <c r="AL479" i="27"/>
  <c r="AJ459" i="27"/>
  <c r="K68" i="41" s="1"/>
  <c r="AJ398" i="27"/>
  <c r="AJ436" i="27" s="1"/>
  <c r="AK155" i="27"/>
  <c r="AL307" i="27"/>
  <c r="AL304" i="27" s="1"/>
  <c r="AL320" i="27" s="1"/>
  <c r="AL322" i="27" s="1"/>
  <c r="AL18" i="28" s="1"/>
  <c r="AC38" i="31"/>
  <c r="I29" i="51"/>
  <c r="AA123" i="32"/>
  <c r="Z138" i="32"/>
  <c r="AK26" i="31"/>
  <c r="AL26" i="31" s="1"/>
  <c r="AL73" i="31"/>
  <c r="AM257" i="27"/>
  <c r="AL249" i="27"/>
  <c r="AL246" i="27" s="1"/>
  <c r="AL245" i="27" s="1"/>
  <c r="AK395" i="27"/>
  <c r="AL216" i="31"/>
  <c r="AK158" i="31"/>
  <c r="AK159" i="31" s="1"/>
  <c r="AG62" i="31"/>
  <c r="AG228" i="31"/>
  <c r="AI229" i="31"/>
  <c r="AB42" i="31"/>
  <c r="AA43" i="31"/>
  <c r="AK455" i="27"/>
  <c r="AK392" i="27"/>
  <c r="AK396" i="27"/>
  <c r="AK393" i="27"/>
  <c r="AK456" i="27"/>
  <c r="AK394" i="27"/>
  <c r="AK457" i="27"/>
  <c r="AK454" i="27"/>
  <c r="AK453" i="27"/>
  <c r="AK397" i="27"/>
  <c r="AK458" i="27"/>
  <c r="AC684" i="27"/>
  <c r="AC217" i="28" s="1"/>
  <c r="AC236" i="28"/>
  <c r="AC234" i="28"/>
  <c r="AC235" i="28"/>
  <c r="AC233" i="28"/>
  <c r="AK280" i="27"/>
  <c r="B423" i="27"/>
  <c r="B421" i="27"/>
  <c r="B422" i="27"/>
  <c r="AG214" i="27"/>
  <c r="AG206" i="27"/>
  <c r="AG204" i="27"/>
  <c r="AK304" i="27"/>
  <c r="AK263" i="27"/>
  <c r="B424" i="27"/>
  <c r="AG213" i="27"/>
  <c r="AG212" i="27"/>
  <c r="AG211" i="27"/>
  <c r="AG196" i="27"/>
  <c r="AG205" i="27"/>
  <c r="AG203" i="27"/>
  <c r="AG181" i="27"/>
  <c r="AC120" i="32"/>
  <c r="AC12" i="28"/>
  <c r="AC683" i="27"/>
  <c r="AD233" i="27"/>
  <c r="AK292" i="27"/>
  <c r="AK115" i="27"/>
  <c r="AK175" i="27"/>
  <c r="AK246" i="27"/>
  <c r="AK138" i="27"/>
  <c r="AJ165" i="31"/>
  <c r="J13" i="54" s="1"/>
  <c r="AJ168" i="31"/>
  <c r="AJ229" i="31" s="1"/>
  <c r="AJ239" i="31" s="1"/>
  <c r="AJ163" i="31"/>
  <c r="J11" i="54" s="1"/>
  <c r="AJ162" i="31"/>
  <c r="J10" i="54" s="1"/>
  <c r="AL158" i="31"/>
  <c r="AL154" i="31" s="1"/>
  <c r="AL50" i="31" s="1"/>
  <c r="AM84" i="31"/>
  <c r="AN264" i="27"/>
  <c r="AI161" i="31"/>
  <c r="AI166" i="31" s="1"/>
  <c r="AL35" i="31"/>
  <c r="AM295" i="27"/>
  <c r="AM292" i="27" s="1"/>
  <c r="AM291" i="27" s="1"/>
  <c r="AM316" i="27" s="1"/>
  <c r="AL315" i="27"/>
  <c r="AL317" i="27" s="1"/>
  <c r="AL19" i="28" s="1"/>
  <c r="AM121" i="27"/>
  <c r="AM115" i="27" s="1"/>
  <c r="AM118" i="27" s="1"/>
  <c r="AK75" i="31"/>
  <c r="AK123" i="31"/>
  <c r="AL215" i="31"/>
  <c r="AM216" i="31" s="1"/>
  <c r="AM224" i="31" s="1"/>
  <c r="AM13" i="32" s="1"/>
  <c r="AN255" i="27"/>
  <c r="AN119" i="27"/>
  <c r="AO120" i="27" s="1"/>
  <c r="AN293" i="27"/>
  <c r="AQ9" i="28"/>
  <c r="AO103" i="27"/>
  <c r="AN104" i="28"/>
  <c r="K24" i="46" s="1"/>
  <c r="AR435" i="27"/>
  <c r="AR494" i="27" s="1"/>
  <c r="B420" i="27"/>
  <c r="AO343" i="27"/>
  <c r="AO47" i="28" s="1"/>
  <c r="AO88" i="28"/>
  <c r="AO199" i="28" s="1"/>
  <c r="AP342" i="27"/>
  <c r="AP340" i="27" s="1"/>
  <c r="AO68" i="27"/>
  <c r="AO93" i="28" s="1"/>
  <c r="AN69" i="27"/>
  <c r="AQ110" i="1"/>
  <c r="AP111" i="1"/>
  <c r="AQ122" i="1"/>
  <c r="AP123" i="1"/>
  <c r="AP124" i="1" s="1"/>
  <c r="AR113" i="1"/>
  <c r="AR114" i="1" s="1"/>
  <c r="AR115" i="1" s="1"/>
  <c r="AQ114" i="1"/>
  <c r="AQ115" i="1" s="1"/>
  <c r="AR425" i="27"/>
  <c r="M38" i="41" s="1"/>
  <c r="B419" i="27"/>
  <c r="AQ171" i="1"/>
  <c r="AQ176" i="1" s="1"/>
  <c r="AN477" i="27"/>
  <c r="AO478" i="27" s="1"/>
  <c r="AN133" i="27"/>
  <c r="AL202" i="27"/>
  <c r="AM184" i="27"/>
  <c r="AM175" i="27" s="1"/>
  <c r="AM176" i="27" s="1"/>
  <c r="AN71" i="1"/>
  <c r="AN73" i="1" s="1"/>
  <c r="AN103" i="1"/>
  <c r="AN102" i="1" s="1"/>
  <c r="K28" i="34" s="1" a="1"/>
  <c r="K28" i="34" s="1"/>
  <c r="AM146" i="27"/>
  <c r="AM138" i="27" s="1"/>
  <c r="AM139" i="27" s="1"/>
  <c r="AM143" i="27" s="1"/>
  <c r="AM135" i="27"/>
  <c r="AL62" i="23"/>
  <c r="AL68" i="23"/>
  <c r="AN82" i="31"/>
  <c r="AN305" i="27"/>
  <c r="AO306" i="27" s="1"/>
  <c r="AO222" i="1"/>
  <c r="AL266" i="27"/>
  <c r="AL263" i="27" s="1"/>
  <c r="AL262" i="27" s="1"/>
  <c r="AN67" i="1"/>
  <c r="AN66" i="1" s="1"/>
  <c r="AN144" i="27"/>
  <c r="AN247" i="27"/>
  <c r="AO248" i="27" s="1"/>
  <c r="AM73" i="31"/>
  <c r="AM99" i="31" s="1"/>
  <c r="AM101" i="31" s="1"/>
  <c r="AN98" i="1"/>
  <c r="AL283" i="27"/>
  <c r="AL280" i="27" s="1"/>
  <c r="AL279" i="27" s="1"/>
  <c r="AM49" i="31"/>
  <c r="AN182" i="27"/>
  <c r="AN197" i="27"/>
  <c r="AN156" i="31"/>
  <c r="AO157" i="31" s="1"/>
  <c r="AN47" i="31"/>
  <c r="L38" i="51" s="1"/>
  <c r="AN155" i="31"/>
  <c r="K5" i="54" s="1"/>
  <c r="AO153" i="27"/>
  <c r="AN44" i="32"/>
  <c r="AN79" i="32"/>
  <c r="AN221" i="31"/>
  <c r="AN213" i="31"/>
  <c r="AN151" i="31"/>
  <c r="AN173" i="31"/>
  <c r="AN71" i="31"/>
  <c r="AN141" i="31"/>
  <c r="AQ160" i="1"/>
  <c r="AQ162" i="1"/>
  <c r="AQ163" i="1"/>
  <c r="AQ161" i="1"/>
  <c r="AN78" i="1"/>
  <c r="AN77" i="1" s="1"/>
  <c r="K8" i="34" s="1" a="1"/>
  <c r="K8" i="34" s="1"/>
  <c r="AN88" i="1"/>
  <c r="AN87" i="1" s="1"/>
  <c r="K16" i="34" s="1" a="1"/>
  <c r="K16" i="34" s="1"/>
  <c r="AN83" i="1"/>
  <c r="AN6" i="31"/>
  <c r="AN1" i="32"/>
  <c r="AN1" i="31"/>
  <c r="AN6" i="32"/>
  <c r="AN77" i="27"/>
  <c r="AN64" i="27"/>
  <c r="AN1" i="28"/>
  <c r="AN1" i="27"/>
  <c r="AN107" i="27"/>
  <c r="AN387" i="27"/>
  <c r="AN554" i="27"/>
  <c r="AN658" i="27"/>
  <c r="AN169" i="27"/>
  <c r="AN509" i="27"/>
  <c r="AN237" i="27"/>
  <c r="AN328" i="27"/>
  <c r="AN154" i="28"/>
  <c r="AN43" i="28"/>
  <c r="AN4" i="28"/>
  <c r="AN81" i="28"/>
  <c r="AN348" i="28"/>
  <c r="AN307" i="28"/>
  <c r="AN267" i="28"/>
  <c r="AN207" i="28"/>
  <c r="AN119" i="28"/>
  <c r="AL57" i="23"/>
  <c r="AL80" i="23"/>
  <c r="AO114" i="32"/>
  <c r="AN34" i="1"/>
  <c r="AN130" i="1"/>
  <c r="AN1" i="1"/>
  <c r="AN208" i="1"/>
  <c r="AN60" i="1"/>
  <c r="AN6" i="1"/>
  <c r="AN146" i="1"/>
  <c r="L12" i="35" s="1"/>
  <c r="AN164" i="1"/>
  <c r="L28" i="35" s="1"/>
  <c r="AO159" i="1"/>
  <c r="AO148" i="1"/>
  <c r="AO145" i="1"/>
  <c r="AO136" i="1"/>
  <c r="AO172" i="1"/>
  <c r="AO144" i="1"/>
  <c r="AQ37" i="1"/>
  <c r="AP45" i="1"/>
  <c r="AP43" i="1"/>
  <c r="AP44" i="1"/>
  <c r="AP46" i="1"/>
  <c r="AP38" i="1"/>
  <c r="AP55" i="1" s="1"/>
  <c r="AN703" i="27" l="1"/>
  <c r="L6" i="37"/>
  <c r="AO145" i="27"/>
  <c r="AO134" i="27"/>
  <c r="AO256" i="27"/>
  <c r="AO183" i="27"/>
  <c r="AO265" i="27"/>
  <c r="AJ323" i="27"/>
  <c r="AG501" i="27"/>
  <c r="AG670" i="27" s="1"/>
  <c r="AI323" i="27"/>
  <c r="AO83" i="31"/>
  <c r="AO198" i="27"/>
  <c r="AO294" i="27"/>
  <c r="J49" i="40"/>
  <c r="AM230" i="28"/>
  <c r="AO462" i="27"/>
  <c r="AO409" i="27"/>
  <c r="AO302" i="27"/>
  <c r="AO290" i="27"/>
  <c r="AO278" i="27"/>
  <c r="AO270" i="27"/>
  <c r="AO261" i="27"/>
  <c r="AO252" i="27"/>
  <c r="AO244" i="27"/>
  <c r="AO151" i="27"/>
  <c r="AO142" i="27"/>
  <c r="AO131" i="27"/>
  <c r="AO117" i="27"/>
  <c r="AC134" i="32"/>
  <c r="J6" i="61"/>
  <c r="AG498" i="27"/>
  <c r="AK565" i="27"/>
  <c r="AK593" i="27"/>
  <c r="AK607" i="27"/>
  <c r="AO154" i="27"/>
  <c r="AP154" i="27" s="1"/>
  <c r="L35" i="38"/>
  <c r="J26" i="39"/>
  <c r="J16" i="45"/>
  <c r="K6" i="54"/>
  <c r="L12" i="52"/>
  <c r="AT60" i="28"/>
  <c r="K12" i="41"/>
  <c r="K9" i="40"/>
  <c r="AT127" i="27"/>
  <c r="N17" i="38" s="1"/>
  <c r="M17" i="38"/>
  <c r="K9" i="39"/>
  <c r="L82" i="41"/>
  <c r="L21" i="38"/>
  <c r="J43" i="40"/>
  <c r="AT125" i="27"/>
  <c r="N15" i="38" s="1"/>
  <c r="M15" i="38"/>
  <c r="AT126" i="27"/>
  <c r="N16" i="38" s="1"/>
  <c r="M16" i="38"/>
  <c r="J16" i="54"/>
  <c r="AP101" i="1"/>
  <c r="AP96" i="1"/>
  <c r="AP91" i="1"/>
  <c r="AP86" i="1"/>
  <c r="AP81" i="1"/>
  <c r="AP76" i="1"/>
  <c r="AP65" i="1"/>
  <c r="AK118" i="27"/>
  <c r="AK116" i="27" s="1"/>
  <c r="J9" i="44"/>
  <c r="AK579" i="27"/>
  <c r="AK621" i="27"/>
  <c r="AK84" i="27"/>
  <c r="AK92" i="27" s="1"/>
  <c r="AI239" i="31"/>
  <c r="K19" i="57" s="1"/>
  <c r="K9" i="57"/>
  <c r="AL99" i="31"/>
  <c r="AL101" i="31" s="1"/>
  <c r="AI271" i="27"/>
  <c r="J23" i="40"/>
  <c r="AF63" i="31"/>
  <c r="J54" i="51" s="1"/>
  <c r="J22" i="57"/>
  <c r="K17" i="39"/>
  <c r="K45" i="40"/>
  <c r="K3" i="34"/>
  <c r="J28" i="51"/>
  <c r="L10" i="38"/>
  <c r="K19" i="40"/>
  <c r="L29" i="38"/>
  <c r="K14" i="40"/>
  <c r="AK224" i="31"/>
  <c r="K37" i="40"/>
  <c r="L26" i="40"/>
  <c r="AI63" i="28"/>
  <c r="AI483" i="27"/>
  <c r="AI482" i="27" s="1"/>
  <c r="AI498" i="27" s="1"/>
  <c r="AJ214" i="27"/>
  <c r="AJ226" i="27" s="1"/>
  <c r="AH121" i="32"/>
  <c r="AG223" i="27"/>
  <c r="AH670" i="27"/>
  <c r="AJ211" i="27"/>
  <c r="AJ223" i="27" s="1"/>
  <c r="AG226" i="27"/>
  <c r="AH499" i="27"/>
  <c r="AG499" i="27"/>
  <c r="AL318" i="27"/>
  <c r="AH217" i="27"/>
  <c r="AG225" i="27"/>
  <c r="AG224" i="27"/>
  <c r="AL193" i="27"/>
  <c r="AL212" i="27" s="1"/>
  <c r="AL224" i="27" s="1"/>
  <c r="AL192" i="27"/>
  <c r="AL211" i="27" s="1"/>
  <c r="AL223" i="27" s="1"/>
  <c r="AM178" i="27"/>
  <c r="AM204" i="27" s="1"/>
  <c r="AM177" i="27"/>
  <c r="AM203" i="27" s="1"/>
  <c r="AL195" i="27"/>
  <c r="AL214" i="27" s="1"/>
  <c r="AL226" i="27" s="1"/>
  <c r="AL194" i="27"/>
  <c r="AL213" i="27" s="1"/>
  <c r="AL225" i="27" s="1"/>
  <c r="AM180" i="27"/>
  <c r="AM206" i="27" s="1"/>
  <c r="AM179" i="27"/>
  <c r="AM205" i="27" s="1"/>
  <c r="AM141" i="27"/>
  <c r="AM116" i="27"/>
  <c r="AI500" i="27"/>
  <c r="AJ493" i="27"/>
  <c r="AI209" i="27"/>
  <c r="AI216" i="27" s="1"/>
  <c r="AI17" i="28" s="1"/>
  <c r="AI219" i="28"/>
  <c r="AI18" i="32" s="1"/>
  <c r="AI228" i="27"/>
  <c r="AL314" i="27"/>
  <c r="AJ463" i="27"/>
  <c r="AJ472" i="27" s="1"/>
  <c r="K77" i="41" s="1"/>
  <c r="AJ219" i="27"/>
  <c r="AJ12" i="28"/>
  <c r="AF119" i="32"/>
  <c r="AP116" i="31"/>
  <c r="AP91" i="31"/>
  <c r="AP92" i="31"/>
  <c r="AP117" i="31"/>
  <c r="AP93" i="31"/>
  <c r="AP118" i="31"/>
  <c r="AP119" i="31"/>
  <c r="AP94" i="31"/>
  <c r="AP120" i="31"/>
  <c r="AP95" i="31"/>
  <c r="AP121" i="31"/>
  <c r="AP122" i="31"/>
  <c r="AP96" i="31"/>
  <c r="AP97" i="31"/>
  <c r="AP123" i="31"/>
  <c r="AP98" i="31"/>
  <c r="AP99" i="31"/>
  <c r="AO152" i="1"/>
  <c r="AO151" i="1"/>
  <c r="AP112" i="1"/>
  <c r="AP109" i="1"/>
  <c r="AK199" i="27"/>
  <c r="AK190" i="27" s="1"/>
  <c r="AJ196" i="27"/>
  <c r="AJ215" i="27" s="1"/>
  <c r="AJ227" i="27" s="1"/>
  <c r="AH230" i="27"/>
  <c r="AH683" i="27" s="1"/>
  <c r="AI230" i="27"/>
  <c r="AI683" i="27" s="1"/>
  <c r="AF232" i="28"/>
  <c r="AF256" i="28" s="1"/>
  <c r="AE17" i="32"/>
  <c r="AK635" i="27"/>
  <c r="AJ640" i="27"/>
  <c r="AJ626" i="27"/>
  <c r="AJ644" i="27"/>
  <c r="K72" i="43" s="1"/>
  <c r="AJ598" i="27"/>
  <c r="AM190" i="31"/>
  <c r="AM191" i="31"/>
  <c r="AJ584" i="27"/>
  <c r="AM194" i="31"/>
  <c r="AL189" i="31"/>
  <c r="AJ570" i="27"/>
  <c r="AN29" i="31"/>
  <c r="AN25" i="31" s="1"/>
  <c r="L20" i="51" s="1"/>
  <c r="AM192" i="31"/>
  <c r="AM195" i="31"/>
  <c r="AM193" i="31"/>
  <c r="AJ92" i="27"/>
  <c r="AJ451" i="27"/>
  <c r="K59" i="41" s="1"/>
  <c r="AR128" i="27"/>
  <c r="AT124" i="27"/>
  <c r="N14" i="38" s="1"/>
  <c r="AL431" i="27"/>
  <c r="AL432" i="27"/>
  <c r="AL429" i="27"/>
  <c r="AL430" i="27"/>
  <c r="AL428" i="27"/>
  <c r="AL427" i="27"/>
  <c r="AL393" i="27"/>
  <c r="AO231" i="1"/>
  <c r="AL394" i="27"/>
  <c r="AL621" i="27" s="1"/>
  <c r="AN82" i="1"/>
  <c r="K12" i="34" s="1" a="1"/>
  <c r="K12" i="34" s="1"/>
  <c r="AO27" i="31"/>
  <c r="AN97" i="1"/>
  <c r="K24" i="34" s="1" a="1"/>
  <c r="K24" i="34" s="1"/>
  <c r="AN72" i="1"/>
  <c r="K4" i="34" s="1" a="1"/>
  <c r="K4" i="34" s="1"/>
  <c r="AK275" i="27"/>
  <c r="AK272" i="27" s="1"/>
  <c r="AJ271" i="27"/>
  <c r="AO273" i="27"/>
  <c r="AO33" i="31"/>
  <c r="AN700" i="27"/>
  <c r="AL453" i="27"/>
  <c r="AM479" i="27"/>
  <c r="AL454" i="27"/>
  <c r="AL579" i="27" s="1"/>
  <c r="AL397" i="27"/>
  <c r="AL457" i="27"/>
  <c r="AL565" i="27" s="1"/>
  <c r="AL458" i="27"/>
  <c r="AL303" i="27"/>
  <c r="AL321" i="27" s="1"/>
  <c r="AL319" i="27" s="1"/>
  <c r="AL456" i="27"/>
  <c r="AL392" i="27"/>
  <c r="AL84" i="27" s="1"/>
  <c r="AL455" i="27"/>
  <c r="AL593" i="27" s="1"/>
  <c r="AL395" i="27"/>
  <c r="AL607" i="27" s="1"/>
  <c r="AL396" i="27"/>
  <c r="AJ447" i="27"/>
  <c r="K55" i="41" s="1"/>
  <c r="AM307" i="27"/>
  <c r="AM304" i="27" s="1"/>
  <c r="AM320" i="27" s="1"/>
  <c r="AM322" i="27" s="1"/>
  <c r="AM18" i="28" s="1"/>
  <c r="AH59" i="28"/>
  <c r="AC42" i="31"/>
  <c r="AC44" i="31" s="1"/>
  <c r="AL155" i="27"/>
  <c r="AD38" i="31"/>
  <c r="AN257" i="27"/>
  <c r="AB43" i="31"/>
  <c r="I34" i="51" s="1"/>
  <c r="I33" i="51"/>
  <c r="AL75" i="31"/>
  <c r="AC119" i="32"/>
  <c r="AA138" i="32"/>
  <c r="AB123" i="32"/>
  <c r="I9" i="61" s="1"/>
  <c r="AM249" i="27"/>
  <c r="AM246" i="27" s="1"/>
  <c r="AM245" i="27" s="1"/>
  <c r="AN48" i="31"/>
  <c r="L39" i="51" s="1"/>
  <c r="AK168" i="31"/>
  <c r="AK154" i="31"/>
  <c r="AK50" i="31" s="1"/>
  <c r="AL224" i="31"/>
  <c r="AL13" i="32" s="1"/>
  <c r="AB44" i="31"/>
  <c r="I35" i="51" s="1"/>
  <c r="AI241" i="31"/>
  <c r="AG242" i="31"/>
  <c r="AK398" i="27"/>
  <c r="AK433" i="27"/>
  <c r="AK459" i="27"/>
  <c r="AK139" i="27"/>
  <c r="AK245" i="27"/>
  <c r="AK176" i="27"/>
  <c r="AK315" i="27"/>
  <c r="AK317" i="27" s="1"/>
  <c r="AK19" i="28" s="1"/>
  <c r="AK291" i="27"/>
  <c r="AG228" i="27"/>
  <c r="AG232" i="27" s="1"/>
  <c r="AG219" i="27"/>
  <c r="AG219" i="28"/>
  <c r="AG215" i="27"/>
  <c r="AK262" i="27"/>
  <c r="AK320" i="27"/>
  <c r="AK322" i="27" s="1"/>
  <c r="AK18" i="28" s="1"/>
  <c r="AK303" i="27"/>
  <c r="AC17" i="32"/>
  <c r="AC232" i="28"/>
  <c r="AD235" i="28"/>
  <c r="J28" i="49" s="1"/>
  <c r="AD234" i="28"/>
  <c r="J27" i="49" s="1"/>
  <c r="AD233" i="28"/>
  <c r="J26" i="49" s="1"/>
  <c r="AD684" i="27"/>
  <c r="AD217" i="28" s="1"/>
  <c r="J10" i="49" s="1"/>
  <c r="AD236" i="28"/>
  <c r="J29" i="49" s="1"/>
  <c r="AG207" i="27"/>
  <c r="AG59" i="28"/>
  <c r="AK279" i="27"/>
  <c r="AH120" i="32"/>
  <c r="AM233" i="31"/>
  <c r="AM51" i="32" s="1"/>
  <c r="AK162" i="31"/>
  <c r="AK163" i="31"/>
  <c r="AK165" i="31"/>
  <c r="AJ241" i="31"/>
  <c r="AJ240" i="31" s="1"/>
  <c r="AJ62" i="31" s="1"/>
  <c r="AK164" i="31"/>
  <c r="AL159" i="31"/>
  <c r="AL168" i="31" s="1"/>
  <c r="AL229" i="31" s="1"/>
  <c r="AL241" i="31" s="1"/>
  <c r="AM158" i="31"/>
  <c r="AM154" i="31" s="1"/>
  <c r="AM50" i="31" s="1"/>
  <c r="AJ161" i="31"/>
  <c r="AN84" i="31"/>
  <c r="AO93" i="1"/>
  <c r="AO281" i="27"/>
  <c r="AL210" i="27"/>
  <c r="AL222" i="27" s="1"/>
  <c r="AO293" i="27"/>
  <c r="AM315" i="27"/>
  <c r="AM317" i="27" s="1"/>
  <c r="AM19" i="28" s="1"/>
  <c r="AN295" i="27"/>
  <c r="AM35" i="31"/>
  <c r="AN121" i="27"/>
  <c r="AK125" i="31"/>
  <c r="AM215" i="31"/>
  <c r="AN216" i="31" s="1"/>
  <c r="AN224" i="31" s="1"/>
  <c r="AN13" i="32" s="1"/>
  <c r="AM26" i="31"/>
  <c r="AO71" i="1"/>
  <c r="AO144" i="27"/>
  <c r="AR122" i="1"/>
  <c r="AR123" i="1" s="1"/>
  <c r="AR124" i="1" s="1"/>
  <c r="AQ123" i="1"/>
  <c r="AQ124" i="1" s="1"/>
  <c r="AR110" i="1"/>
  <c r="AR111" i="1" s="1"/>
  <c r="AQ111" i="1"/>
  <c r="AP343" i="27"/>
  <c r="AP47" i="28" s="1"/>
  <c r="AP88" i="28"/>
  <c r="AP199" i="28" s="1"/>
  <c r="AQ342" i="27"/>
  <c r="AQ340" i="27" s="1"/>
  <c r="AR9" i="28"/>
  <c r="AP68" i="27"/>
  <c r="AP93" i="28" s="1"/>
  <c r="AO69" i="27"/>
  <c r="AP103" i="27"/>
  <c r="AO104" i="28"/>
  <c r="AR171" i="1"/>
  <c r="M34" i="35" s="1"/>
  <c r="AO477" i="27"/>
  <c r="AO133" i="27"/>
  <c r="AM202" i="27"/>
  <c r="AL181" i="27"/>
  <c r="AL207" i="27" s="1"/>
  <c r="AN184" i="27"/>
  <c r="AN175" i="27" s="1"/>
  <c r="AN176" i="27" s="1"/>
  <c r="AN146" i="27"/>
  <c r="AN138" i="27" s="1"/>
  <c r="AN139" i="27" s="1"/>
  <c r="AN143" i="27" s="1"/>
  <c r="AO247" i="27"/>
  <c r="AO305" i="27"/>
  <c r="AO67" i="1"/>
  <c r="AO119" i="27"/>
  <c r="AO103" i="1"/>
  <c r="AO264" i="27"/>
  <c r="AO255" i="27"/>
  <c r="AN135" i="27"/>
  <c r="AM62" i="23"/>
  <c r="AM68" i="23"/>
  <c r="AO82" i="31"/>
  <c r="AM266" i="27"/>
  <c r="AM263" i="27" s="1"/>
  <c r="AM262" i="27" s="1"/>
  <c r="AO98" i="1"/>
  <c r="AN73" i="31"/>
  <c r="L3" i="52" s="1"/>
  <c r="AM283" i="27"/>
  <c r="AM280" i="27" s="1"/>
  <c r="AM279" i="27" s="1"/>
  <c r="AO47" i="31"/>
  <c r="AO48" i="31" s="1"/>
  <c r="AO155" i="31"/>
  <c r="AP33" i="31"/>
  <c r="AP27" i="31"/>
  <c r="AP273" i="27"/>
  <c r="AP153" i="27"/>
  <c r="AO182" i="27"/>
  <c r="AO197" i="27"/>
  <c r="AO156" i="31"/>
  <c r="AN49" i="31"/>
  <c r="L40" i="51" s="1"/>
  <c r="AO44" i="32"/>
  <c r="AO79" i="32"/>
  <c r="AO221" i="31"/>
  <c r="AO213" i="31"/>
  <c r="AO151" i="31"/>
  <c r="AO173" i="31"/>
  <c r="AO71" i="31"/>
  <c r="AO141" i="31"/>
  <c r="AP247" i="27"/>
  <c r="AR162" i="1"/>
  <c r="M26" i="35" s="1"/>
  <c r="AR161" i="1"/>
  <c r="M25" i="35" s="1"/>
  <c r="AR163" i="1"/>
  <c r="M27" i="35" s="1"/>
  <c r="AR160" i="1"/>
  <c r="M24" i="35" s="1"/>
  <c r="AO83" i="1"/>
  <c r="AO78" i="1"/>
  <c r="AO88" i="1"/>
  <c r="AO6" i="31"/>
  <c r="AO1" i="32"/>
  <c r="AO1" i="31"/>
  <c r="AO6" i="32"/>
  <c r="AO77" i="27"/>
  <c r="AO64" i="27"/>
  <c r="AO1" i="28"/>
  <c r="AO1" i="27"/>
  <c r="AO237" i="27"/>
  <c r="AO107" i="27"/>
  <c r="AO387" i="27"/>
  <c r="AO509" i="27"/>
  <c r="AO554" i="27"/>
  <c r="AO658" i="27"/>
  <c r="AO328" i="27"/>
  <c r="AO169" i="27"/>
  <c r="AO267" i="28"/>
  <c r="AO207" i="28"/>
  <c r="AO348" i="28"/>
  <c r="AO307" i="28"/>
  <c r="AO154" i="28"/>
  <c r="AO81" i="28"/>
  <c r="AO43" i="28"/>
  <c r="AO4" i="28"/>
  <c r="AO119" i="28"/>
  <c r="AM57" i="23"/>
  <c r="AM80" i="23"/>
  <c r="AR37" i="1"/>
  <c r="AQ45" i="1"/>
  <c r="AQ43" i="1"/>
  <c r="AQ46" i="1"/>
  <c r="AQ38" i="1"/>
  <c r="AQ55" i="1" s="1"/>
  <c r="AQ44" i="1"/>
  <c r="AO34" i="1"/>
  <c r="AO208" i="1"/>
  <c r="AO60" i="1"/>
  <c r="AO6" i="1"/>
  <c r="AO130" i="1"/>
  <c r="AO1" i="1"/>
  <c r="AP159" i="1"/>
  <c r="AP148" i="1"/>
  <c r="AP145" i="1"/>
  <c r="AP136" i="1"/>
  <c r="AP172" i="1"/>
  <c r="AP144" i="1"/>
  <c r="AP114" i="32"/>
  <c r="AO146" i="1"/>
  <c r="AO164" i="1"/>
  <c r="AG500" i="27" l="1"/>
  <c r="AO703" i="27"/>
  <c r="AO700" i="27" s="1"/>
  <c r="AQ154" i="27"/>
  <c r="J5" i="61"/>
  <c r="J23" i="39"/>
  <c r="AP198" i="27"/>
  <c r="AP83" i="31"/>
  <c r="AP256" i="27"/>
  <c r="AP248" i="27"/>
  <c r="AQ248" i="27" s="1"/>
  <c r="AP478" i="27"/>
  <c r="AP145" i="27"/>
  <c r="AJ166" i="31"/>
  <c r="J14" i="54" s="1"/>
  <c r="AG37" i="31"/>
  <c r="AK436" i="27"/>
  <c r="AK447" i="27" s="1"/>
  <c r="K21" i="57"/>
  <c r="AP34" i="31"/>
  <c r="AQ34" i="31" s="1"/>
  <c r="AP28" i="31"/>
  <c r="AQ28" i="31" s="1"/>
  <c r="AK644" i="27"/>
  <c r="AK13" i="32"/>
  <c r="L7" i="58" s="1"/>
  <c r="L4" i="57"/>
  <c r="AK233" i="31"/>
  <c r="J9" i="54"/>
  <c r="N17" i="45"/>
  <c r="D341" i="23"/>
  <c r="K7" i="39"/>
  <c r="AP152" i="1"/>
  <c r="AP151" i="1"/>
  <c r="AP462" i="27"/>
  <c r="AP409" i="27"/>
  <c r="AP302" i="27"/>
  <c r="AP290" i="27"/>
  <c r="AP278" i="27"/>
  <c r="AP270" i="27"/>
  <c r="AP261" i="27"/>
  <c r="AP252" i="27"/>
  <c r="AP244" i="27"/>
  <c r="AP151" i="27"/>
  <c r="AP142" i="27"/>
  <c r="AP131" i="27"/>
  <c r="AP117" i="27"/>
  <c r="AQ101" i="1"/>
  <c r="AQ96" i="1"/>
  <c r="AQ91" i="1"/>
  <c r="AQ86" i="1"/>
  <c r="AQ81" i="1"/>
  <c r="AQ76" i="1"/>
  <c r="AQ65" i="1"/>
  <c r="AP157" i="31"/>
  <c r="AP183" i="27"/>
  <c r="AP265" i="27"/>
  <c r="AP120" i="27"/>
  <c r="AP306" i="27"/>
  <c r="AP134" i="27"/>
  <c r="AP294" i="27"/>
  <c r="AP282" i="27"/>
  <c r="K8" i="39"/>
  <c r="AK143" i="27"/>
  <c r="L28" i="38" s="1"/>
  <c r="L26" i="38"/>
  <c r="AK493" i="27"/>
  <c r="AN701" i="27"/>
  <c r="AN702" i="27" s="1"/>
  <c r="AN218" i="28" s="1"/>
  <c r="AP274" i="27"/>
  <c r="AQ274" i="27" s="1"/>
  <c r="AK271" i="27"/>
  <c r="K4" i="56"/>
  <c r="J22" i="40"/>
  <c r="L25" i="38"/>
  <c r="AJ490" i="27"/>
  <c r="AJ501" i="27" s="1"/>
  <c r="AJ483" i="27"/>
  <c r="AG227" i="27"/>
  <c r="AI499" i="27"/>
  <c r="AM318" i="27"/>
  <c r="AL323" i="27"/>
  <c r="AI217" i="27"/>
  <c r="AN178" i="27"/>
  <c r="AN204" i="27" s="1"/>
  <c r="AN177" i="27"/>
  <c r="AK178" i="27"/>
  <c r="AK177" i="27"/>
  <c r="AN180" i="27"/>
  <c r="AN206" i="27" s="1"/>
  <c r="AN179" i="27"/>
  <c r="AN205" i="27" s="1"/>
  <c r="AK180" i="27"/>
  <c r="AK179" i="27"/>
  <c r="AI670" i="27"/>
  <c r="AN141" i="27"/>
  <c r="AL201" i="27"/>
  <c r="AL208" i="27" s="1"/>
  <c r="AM314" i="27"/>
  <c r="AI59" i="28"/>
  <c r="AI37" i="31" s="1"/>
  <c r="AI41" i="31" s="1"/>
  <c r="AJ496" i="27"/>
  <c r="AJ209" i="27"/>
  <c r="AJ216" i="27" s="1"/>
  <c r="AJ17" i="28" s="1"/>
  <c r="AI231" i="28"/>
  <c r="AI229" i="28" s="1"/>
  <c r="AI252" i="28" s="1"/>
  <c r="AI228" i="28"/>
  <c r="AI88" i="32" s="1"/>
  <c r="AK463" i="27"/>
  <c r="AJ219" i="28"/>
  <c r="K12" i="49" s="1"/>
  <c r="AJ228" i="27"/>
  <c r="AL219" i="27"/>
  <c r="AI367" i="27"/>
  <c r="AI365" i="27" s="1"/>
  <c r="AI102" i="28" s="1"/>
  <c r="AI232" i="27"/>
  <c r="AI48" i="28" s="1"/>
  <c r="AQ116" i="31"/>
  <c r="AQ91" i="31"/>
  <c r="AQ92" i="31"/>
  <c r="AQ117" i="31"/>
  <c r="AQ118" i="31"/>
  <c r="AQ119" i="31"/>
  <c r="AQ93" i="31"/>
  <c r="AQ94" i="31"/>
  <c r="AQ121" i="31"/>
  <c r="AQ120" i="31"/>
  <c r="AQ95" i="31"/>
  <c r="AQ96" i="31"/>
  <c r="AQ122" i="31"/>
  <c r="AQ123" i="31"/>
  <c r="AQ97" i="31"/>
  <c r="AQ98" i="31"/>
  <c r="AQ99" i="31"/>
  <c r="AR112" i="1"/>
  <c r="AR109" i="1"/>
  <c r="AQ112" i="1"/>
  <c r="AQ109" i="1"/>
  <c r="AJ682" i="27"/>
  <c r="AI233" i="27"/>
  <c r="AI684" i="27" s="1"/>
  <c r="AI217" i="28" s="1"/>
  <c r="AI232" i="28" s="1"/>
  <c r="AI256" i="28" s="1"/>
  <c r="AI682" i="27"/>
  <c r="AK598" i="27"/>
  <c r="AL598" i="27" s="1"/>
  <c r="AK570" i="27"/>
  <c r="AL570" i="27" s="1"/>
  <c r="AK584" i="27"/>
  <c r="AL584" i="27" s="1"/>
  <c r="AK626" i="27"/>
  <c r="AL626" i="27" s="1"/>
  <c r="AN191" i="31"/>
  <c r="K19" i="55" s="1"/>
  <c r="AL635" i="27"/>
  <c r="AL644" i="27" s="1"/>
  <c r="AK640" i="27"/>
  <c r="AN195" i="31"/>
  <c r="K23" i="55" s="1"/>
  <c r="AN193" i="31"/>
  <c r="K21" i="55" s="1"/>
  <c r="AM189" i="31"/>
  <c r="AN194" i="31"/>
  <c r="K22" i="55" s="1"/>
  <c r="AN192" i="31"/>
  <c r="AN190" i="31"/>
  <c r="K18" i="55" s="1"/>
  <c r="AL92" i="27"/>
  <c r="AM431" i="27"/>
  <c r="AM432" i="27"/>
  <c r="AM429" i="27"/>
  <c r="AM430" i="27"/>
  <c r="AM428" i="27"/>
  <c r="AM427" i="27"/>
  <c r="AM396" i="27"/>
  <c r="AO87" i="1"/>
  <c r="AO73" i="1"/>
  <c r="AO92" i="1"/>
  <c r="AL275" i="27"/>
  <c r="AL272" i="27" s="1"/>
  <c r="AL271" i="27" s="1"/>
  <c r="AO77" i="1"/>
  <c r="AO82" i="1"/>
  <c r="AO97" i="1"/>
  <c r="AO102" i="1"/>
  <c r="AO66" i="1"/>
  <c r="AM453" i="27"/>
  <c r="AM456" i="27"/>
  <c r="AN479" i="27"/>
  <c r="AL459" i="27"/>
  <c r="AM392" i="27"/>
  <c r="AM84" i="27" s="1"/>
  <c r="AM395" i="27"/>
  <c r="AM607" i="27" s="1"/>
  <c r="AL398" i="27"/>
  <c r="AL436" i="27" s="1"/>
  <c r="AL447" i="27" s="1"/>
  <c r="AM454" i="27"/>
  <c r="AM579" i="27" s="1"/>
  <c r="AM455" i="27"/>
  <c r="AM593" i="27" s="1"/>
  <c r="AM394" i="27"/>
  <c r="AM621" i="27" s="1"/>
  <c r="AM397" i="27"/>
  <c r="AM458" i="27"/>
  <c r="AM457" i="27"/>
  <c r="AM565" i="27" s="1"/>
  <c r="AM393" i="27"/>
  <c r="AM303" i="27"/>
  <c r="AM321" i="27" s="1"/>
  <c r="AM319" i="27" s="1"/>
  <c r="AN307" i="27"/>
  <c r="AN304" i="27" s="1"/>
  <c r="AN320" i="27" s="1"/>
  <c r="AN322" i="27" s="1"/>
  <c r="AN18" i="28" s="1"/>
  <c r="L15" i="44" s="1"/>
  <c r="AL433" i="27"/>
  <c r="AL493" i="27" s="1"/>
  <c r="AH37" i="31"/>
  <c r="AH41" i="31" s="1"/>
  <c r="AC43" i="31"/>
  <c r="AO257" i="27"/>
  <c r="AH119" i="32"/>
  <c r="AH134" i="32"/>
  <c r="AM155" i="27"/>
  <c r="AE38" i="31"/>
  <c r="AD42" i="31"/>
  <c r="AD44" i="31" s="1"/>
  <c r="AB138" i="32"/>
  <c r="AC123" i="32"/>
  <c r="AG63" i="31"/>
  <c r="AI240" i="31"/>
  <c r="K20" i="57" s="1"/>
  <c r="AL233" i="31"/>
  <c r="AL51" i="32" s="1"/>
  <c r="AK229" i="31"/>
  <c r="AI228" i="31"/>
  <c r="AK451" i="27"/>
  <c r="AP231" i="1"/>
  <c r="AQ231" i="1" s="1"/>
  <c r="AP222" i="1"/>
  <c r="AN292" i="27"/>
  <c r="AG201" i="27"/>
  <c r="AD232" i="28"/>
  <c r="AD256" i="28" s="1"/>
  <c r="AD17" i="32"/>
  <c r="J11" i="58" s="1"/>
  <c r="AK321" i="27"/>
  <c r="AK323" i="27" s="1"/>
  <c r="AG18" i="32"/>
  <c r="AG228" i="28"/>
  <c r="AG231" i="28"/>
  <c r="AG48" i="28"/>
  <c r="AG367" i="27"/>
  <c r="AG365" i="27" s="1"/>
  <c r="AG102" i="28" s="1"/>
  <c r="AH232" i="27"/>
  <c r="AH48" i="28" s="1"/>
  <c r="AN115" i="27"/>
  <c r="AM199" i="27"/>
  <c r="AG522" i="27"/>
  <c r="J12" i="42" s="1"/>
  <c r="AH522" i="27"/>
  <c r="AC256" i="28"/>
  <c r="AK191" i="27"/>
  <c r="AG209" i="27"/>
  <c r="AK316" i="27"/>
  <c r="AK318" i="27" s="1"/>
  <c r="AK202" i="27"/>
  <c r="AL164" i="31"/>
  <c r="AN233" i="31"/>
  <c r="AN51" i="32" s="1"/>
  <c r="AN158" i="31"/>
  <c r="AN154" i="31" s="1"/>
  <c r="K4" i="54" s="1"/>
  <c r="AK161" i="31"/>
  <c r="AL163" i="31"/>
  <c r="AM159" i="31"/>
  <c r="AM164" i="31" s="1"/>
  <c r="AL165" i="31"/>
  <c r="AL162" i="31"/>
  <c r="AP93" i="1"/>
  <c r="AP92" i="1" s="1"/>
  <c r="AP281" i="27"/>
  <c r="AL196" i="27"/>
  <c r="AL215" i="27" s="1"/>
  <c r="AL209" i="27" s="1"/>
  <c r="AL216" i="27" s="1"/>
  <c r="AL17" i="28" s="1"/>
  <c r="AN199" i="27"/>
  <c r="AN190" i="27" s="1"/>
  <c r="AN191" i="27" s="1"/>
  <c r="AN35" i="31"/>
  <c r="AL228" i="27"/>
  <c r="AL367" i="27" s="1"/>
  <c r="AL365" i="27" s="1"/>
  <c r="AL102" i="28" s="1"/>
  <c r="AO74" i="31"/>
  <c r="AN99" i="31"/>
  <c r="L27" i="52" s="1"/>
  <c r="AR176" i="1"/>
  <c r="M38" i="35" s="1"/>
  <c r="AQ68" i="27"/>
  <c r="AQ93" i="28" s="1"/>
  <c r="AP69" i="27"/>
  <c r="AQ103" i="27"/>
  <c r="AP104" i="28"/>
  <c r="AQ343" i="27"/>
  <c r="AQ47" i="28" s="1"/>
  <c r="AQ88" i="28"/>
  <c r="AQ199" i="28" s="1"/>
  <c r="AR342" i="27"/>
  <c r="AL219" i="28"/>
  <c r="AP477" i="27"/>
  <c r="AP133" i="27"/>
  <c r="AQ134" i="27" s="1"/>
  <c r="AM181" i="27"/>
  <c r="AM207" i="27" s="1"/>
  <c r="AN202" i="27"/>
  <c r="AN62" i="23"/>
  <c r="AN68" i="23"/>
  <c r="AP144" i="27"/>
  <c r="AP305" i="27"/>
  <c r="AP255" i="27"/>
  <c r="AL239" i="31"/>
  <c r="AP82" i="31"/>
  <c r="AP293" i="27"/>
  <c r="AN266" i="27"/>
  <c r="AN263" i="27" s="1"/>
  <c r="AN262" i="27" s="1"/>
  <c r="K17" i="40" s="1"/>
  <c r="AP98" i="1"/>
  <c r="AP97" i="1" s="1"/>
  <c r="AP67" i="1"/>
  <c r="AP66" i="1" s="1"/>
  <c r="AP71" i="1"/>
  <c r="AP73" i="1" s="1"/>
  <c r="AP72" i="1" s="1"/>
  <c r="AP119" i="27"/>
  <c r="AQ120" i="27" s="1"/>
  <c r="AP103" i="1"/>
  <c r="AP102" i="1" s="1"/>
  <c r="AP264" i="27"/>
  <c r="AN283" i="27"/>
  <c r="AN280" i="27" s="1"/>
  <c r="AN279" i="27" s="1"/>
  <c r="K27" i="40" s="1"/>
  <c r="AQ33" i="31"/>
  <c r="AQ27" i="31"/>
  <c r="AQ273" i="27"/>
  <c r="AQ153" i="27"/>
  <c r="AP182" i="27"/>
  <c r="AQ183" i="27" s="1"/>
  <c r="AP197" i="27"/>
  <c r="AP156" i="31"/>
  <c r="AP155" i="31"/>
  <c r="AP47" i="31"/>
  <c r="AP48" i="31" s="1"/>
  <c r="AO49" i="31"/>
  <c r="AL240" i="31"/>
  <c r="AP44" i="32"/>
  <c r="AP79" i="32"/>
  <c r="AP221" i="31"/>
  <c r="AP213" i="31"/>
  <c r="AP151" i="31"/>
  <c r="AP173" i="31"/>
  <c r="AP71" i="31"/>
  <c r="AP141" i="31"/>
  <c r="AP88" i="1"/>
  <c r="AP87" i="1" s="1"/>
  <c r="AP83" i="1"/>
  <c r="AP82" i="1" s="1"/>
  <c r="AP78" i="1"/>
  <c r="AP77" i="1" s="1"/>
  <c r="AP6" i="31"/>
  <c r="AP1" i="32"/>
  <c r="AP1" i="31"/>
  <c r="AP6" i="32"/>
  <c r="AP77" i="27"/>
  <c r="AP64" i="27"/>
  <c r="AP1" i="28"/>
  <c r="AP1" i="27"/>
  <c r="AP169" i="27"/>
  <c r="AP509" i="27"/>
  <c r="AP237" i="27"/>
  <c r="AP328" i="27"/>
  <c r="AP107" i="27"/>
  <c r="AP387" i="27"/>
  <c r="AP554" i="27"/>
  <c r="AP658" i="27"/>
  <c r="AP348" i="28"/>
  <c r="AP307" i="28"/>
  <c r="AP267" i="28"/>
  <c r="AP207" i="28"/>
  <c r="AP119" i="28"/>
  <c r="AP81" i="28"/>
  <c r="AP154" i="28"/>
  <c r="AP43" i="28"/>
  <c r="AP4" i="28"/>
  <c r="AN57" i="23"/>
  <c r="AN80" i="23"/>
  <c r="AP34" i="1"/>
  <c r="AP130" i="1"/>
  <c r="AP1" i="1"/>
  <c r="AP208" i="1"/>
  <c r="AP60" i="1"/>
  <c r="AP6" i="1"/>
  <c r="AP146" i="1"/>
  <c r="AP164" i="1"/>
  <c r="AQ159" i="1"/>
  <c r="AQ148" i="1"/>
  <c r="AQ145" i="1"/>
  <c r="AQ136" i="1"/>
  <c r="AQ172" i="1"/>
  <c r="AQ144" i="1"/>
  <c r="AR45" i="1"/>
  <c r="AR43" i="1"/>
  <c r="AR44" i="1"/>
  <c r="AR46" i="1"/>
  <c r="AR38" i="1"/>
  <c r="AR55" i="1" s="1"/>
  <c r="AQ114" i="32"/>
  <c r="AO701" i="27" l="1"/>
  <c r="AO702" i="27" s="1"/>
  <c r="AO218" i="28" s="1"/>
  <c r="AO230" i="28" s="1"/>
  <c r="AP703" i="27"/>
  <c r="AP700" i="27" s="1"/>
  <c r="AP701" i="27" s="1"/>
  <c r="AP702" i="27" s="1"/>
  <c r="AP218" i="28" s="1"/>
  <c r="AR154" i="27"/>
  <c r="AK141" i="27"/>
  <c r="L27" i="38" s="1"/>
  <c r="L11" i="49"/>
  <c r="AN230" i="28"/>
  <c r="L23" i="49" s="1"/>
  <c r="AQ83" i="31"/>
  <c r="AQ145" i="27"/>
  <c r="AP29" i="31"/>
  <c r="AP25" i="31" s="1"/>
  <c r="AQ157" i="31"/>
  <c r="AQ265" i="27"/>
  <c r="AQ294" i="27"/>
  <c r="AQ306" i="27"/>
  <c r="AQ282" i="27"/>
  <c r="AK483" i="27"/>
  <c r="AR34" i="31"/>
  <c r="AQ198" i="27"/>
  <c r="AQ256" i="27"/>
  <c r="AQ478" i="27"/>
  <c r="AJ500" i="27"/>
  <c r="K92" i="41"/>
  <c r="AQ152" i="1"/>
  <c r="AR28" i="31"/>
  <c r="AR340" i="27"/>
  <c r="AR88" i="28" s="1"/>
  <c r="AK166" i="31"/>
  <c r="AG216" i="27"/>
  <c r="AG17" i="28" s="1"/>
  <c r="J20" i="39"/>
  <c r="AN118" i="27"/>
  <c r="L9" i="38" s="1"/>
  <c r="L7" i="38"/>
  <c r="AN291" i="27"/>
  <c r="K36" i="40"/>
  <c r="AJ667" i="27"/>
  <c r="K88" i="41"/>
  <c r="AK51" i="32"/>
  <c r="L7" i="59" s="1"/>
  <c r="L13" i="57"/>
  <c r="AJ228" i="31"/>
  <c r="AJ242" i="31" s="1"/>
  <c r="AJ63" i="31" s="1"/>
  <c r="AR101" i="1"/>
  <c r="AR96" i="1"/>
  <c r="L23" i="34" s="1"/>
  <c r="AR91" i="1"/>
  <c r="AR86" i="1"/>
  <c r="L15" i="34" s="1"/>
  <c r="AR81" i="1"/>
  <c r="AR76" i="1"/>
  <c r="L7" i="34" s="1"/>
  <c r="AR65" i="1"/>
  <c r="B58" i="28"/>
  <c r="B30" i="28"/>
  <c r="B66" i="28"/>
  <c r="B23" i="45" s="1"/>
  <c r="B52" i="28"/>
  <c r="B57" i="28"/>
  <c r="B14" i="45" s="1"/>
  <c r="B62" i="28"/>
  <c r="B54" i="28"/>
  <c r="B33" i="28"/>
  <c r="B197" i="28"/>
  <c r="B122" i="32"/>
  <c r="B8" i="61" s="1"/>
  <c r="B71" i="28"/>
  <c r="B53" i="28"/>
  <c r="B11" i="28"/>
  <c r="B61" i="28"/>
  <c r="B32" i="28"/>
  <c r="B89" i="32"/>
  <c r="B10" i="60" s="1"/>
  <c r="B23" i="28"/>
  <c r="B60" i="28"/>
  <c r="AQ151" i="1"/>
  <c r="AQ462" i="27"/>
  <c r="AQ409" i="27"/>
  <c r="AQ302" i="27"/>
  <c r="AQ290" i="27"/>
  <c r="AQ278" i="27"/>
  <c r="AQ270" i="27"/>
  <c r="AQ261" i="27"/>
  <c r="AQ252" i="27"/>
  <c r="AQ244" i="27"/>
  <c r="AQ151" i="27"/>
  <c r="AQ142" i="27"/>
  <c r="AQ131" i="27"/>
  <c r="AQ117" i="27"/>
  <c r="AR274" i="27"/>
  <c r="AG208" i="27"/>
  <c r="J19" i="39"/>
  <c r="AK496" i="27"/>
  <c r="E483" i="29"/>
  <c r="E405" i="33"/>
  <c r="K28" i="40"/>
  <c r="K18" i="40"/>
  <c r="J25" i="49"/>
  <c r="L11" i="34"/>
  <c r="L19" i="34"/>
  <c r="L27" i="34"/>
  <c r="K44" i="40"/>
  <c r="AJ63" i="28"/>
  <c r="K20" i="45" s="1"/>
  <c r="AK63" i="28"/>
  <c r="AJ482" i="27"/>
  <c r="AJ59" i="28" s="1"/>
  <c r="AJ37" i="31" s="1"/>
  <c r="AJ41" i="31" s="1"/>
  <c r="AJ670" i="27"/>
  <c r="AI121" i="32"/>
  <c r="AK472" i="27"/>
  <c r="AK490" i="27" s="1"/>
  <c r="AM323" i="27"/>
  <c r="AJ217" i="27"/>
  <c r="AG217" i="27"/>
  <c r="AL217" i="27"/>
  <c r="AL227" i="27"/>
  <c r="AL230" i="27" s="1"/>
  <c r="AL683" i="27" s="1"/>
  <c r="AN193" i="27"/>
  <c r="AN212" i="27" s="1"/>
  <c r="AN224" i="27" s="1"/>
  <c r="AN192" i="27"/>
  <c r="AN211" i="27" s="1"/>
  <c r="AK193" i="27"/>
  <c r="AK192" i="27"/>
  <c r="AN195" i="27"/>
  <c r="AN214" i="27" s="1"/>
  <c r="AN226" i="27" s="1"/>
  <c r="AN194" i="27"/>
  <c r="AN213" i="27" s="1"/>
  <c r="AN225" i="27" s="1"/>
  <c r="AK195" i="27"/>
  <c r="AK194" i="27"/>
  <c r="AJ367" i="27"/>
  <c r="AJ365" i="27" s="1"/>
  <c r="AJ102" i="28" s="1"/>
  <c r="J22" i="46" s="1"/>
  <c r="AJ232" i="27"/>
  <c r="AJ48" i="28" s="1"/>
  <c r="K6" i="45" s="1"/>
  <c r="AL12" i="28"/>
  <c r="AM201" i="27"/>
  <c r="AM208" i="27" s="1"/>
  <c r="AN116" i="27"/>
  <c r="L8" i="38" s="1"/>
  <c r="AL463" i="27"/>
  <c r="AL472" i="27" s="1"/>
  <c r="AL490" i="27" s="1"/>
  <c r="AJ228" i="28"/>
  <c r="AJ88" i="32" s="1"/>
  <c r="AJ231" i="28"/>
  <c r="K24" i="49" s="1"/>
  <c r="AJ18" i="32"/>
  <c r="K12" i="58" s="1"/>
  <c r="AI17" i="32"/>
  <c r="AR116" i="31"/>
  <c r="M44" i="52" s="1"/>
  <c r="AR91" i="31"/>
  <c r="M19" i="52" s="1"/>
  <c r="AR117" i="31"/>
  <c r="AT117" i="31" s="1"/>
  <c r="AR92" i="31"/>
  <c r="AT92" i="31" s="1"/>
  <c r="AR118" i="31"/>
  <c r="M46" i="52" s="1"/>
  <c r="AR93" i="31"/>
  <c r="AT93" i="31" s="1"/>
  <c r="AR119" i="31"/>
  <c r="M47" i="52" s="1"/>
  <c r="AR94" i="31"/>
  <c r="AT94" i="31" s="1"/>
  <c r="AR120" i="31"/>
  <c r="AT120" i="31" s="1"/>
  <c r="AR121" i="31"/>
  <c r="AT121" i="31" s="1"/>
  <c r="AR95" i="31"/>
  <c r="AT95" i="31" s="1"/>
  <c r="AR96" i="31"/>
  <c r="AT96" i="31" s="1"/>
  <c r="AR122" i="31"/>
  <c r="AT122" i="31" s="1"/>
  <c r="AR97" i="31"/>
  <c r="AT97" i="31" s="1"/>
  <c r="AR123" i="31"/>
  <c r="M51" i="52" s="1"/>
  <c r="AR98" i="31"/>
  <c r="M26" i="52" s="1"/>
  <c r="AR99" i="31"/>
  <c r="M27" i="52" s="1"/>
  <c r="E57" i="31"/>
  <c r="AT98" i="31"/>
  <c r="AJ230" i="27"/>
  <c r="AJ683" i="27" s="1"/>
  <c r="AI236" i="28"/>
  <c r="AI233" i="28"/>
  <c r="AI234" i="28"/>
  <c r="AI235" i="28"/>
  <c r="AO29" i="31"/>
  <c r="AO25" i="31" s="1"/>
  <c r="AI522" i="27"/>
  <c r="AM635" i="27"/>
  <c r="AM644" i="27" s="1"/>
  <c r="AL640" i="27"/>
  <c r="AM626" i="27"/>
  <c r="AM598" i="27"/>
  <c r="AN215" i="31"/>
  <c r="AM584" i="27"/>
  <c r="AO73" i="31"/>
  <c r="AN26" i="31"/>
  <c r="L21" i="51" s="1"/>
  <c r="AN189" i="31"/>
  <c r="AM570" i="27"/>
  <c r="AM92" i="27"/>
  <c r="AN431" i="27"/>
  <c r="L45" i="41" s="1"/>
  <c r="AN432" i="27"/>
  <c r="L46" i="41" s="1"/>
  <c r="AN429" i="27"/>
  <c r="L43" i="41" s="1"/>
  <c r="AN430" i="27"/>
  <c r="L44" i="41" s="1"/>
  <c r="AN428" i="27"/>
  <c r="L42" i="41" s="1"/>
  <c r="AN427" i="27"/>
  <c r="L41" i="41" s="1"/>
  <c r="AQ222" i="1"/>
  <c r="AM275" i="27"/>
  <c r="AO72" i="1"/>
  <c r="AN392" i="27"/>
  <c r="L6" i="41" s="1"/>
  <c r="AO479" i="27"/>
  <c r="AN455" i="27"/>
  <c r="L64" i="41" s="1"/>
  <c r="AN395" i="27"/>
  <c r="L9" i="41" s="1"/>
  <c r="AN394" i="27"/>
  <c r="L8" i="41" s="1"/>
  <c r="AN393" i="27"/>
  <c r="L7" i="41" s="1"/>
  <c r="AN457" i="27"/>
  <c r="AN565" i="27" s="1"/>
  <c r="L10" i="43" s="1"/>
  <c r="AP257" i="27"/>
  <c r="AP307" i="27"/>
  <c r="AP304" i="27" s="1"/>
  <c r="AP320" i="27" s="1"/>
  <c r="AP322" i="27" s="1"/>
  <c r="AP18" i="28" s="1"/>
  <c r="AN458" i="27"/>
  <c r="L67" i="41" s="1"/>
  <c r="AN397" i="27"/>
  <c r="L11" i="41" s="1"/>
  <c r="AN396" i="27"/>
  <c r="L10" i="41" s="1"/>
  <c r="AN454" i="27"/>
  <c r="L63" i="41" s="1"/>
  <c r="AN456" i="27"/>
  <c r="L65" i="41" s="1"/>
  <c r="AN453" i="27"/>
  <c r="L62" i="41" s="1"/>
  <c r="AM433" i="27"/>
  <c r="AM493" i="27" s="1"/>
  <c r="AM398" i="27"/>
  <c r="AM436" i="27" s="1"/>
  <c r="AM459" i="27"/>
  <c r="AL451" i="27"/>
  <c r="AL496" i="27" s="1"/>
  <c r="AL667" i="27" s="1"/>
  <c r="AE42" i="31"/>
  <c r="AE44" i="31" s="1"/>
  <c r="AN155" i="27"/>
  <c r="AD43" i="31"/>
  <c r="AF38" i="31"/>
  <c r="J29" i="51" s="1"/>
  <c r="AN249" i="27"/>
  <c r="AN246" i="27" s="1"/>
  <c r="K8" i="40" s="1"/>
  <c r="AC138" i="32"/>
  <c r="AD123" i="32"/>
  <c r="AO249" i="27"/>
  <c r="AI242" i="31"/>
  <c r="K22" i="57" s="1"/>
  <c r="AI62" i="31"/>
  <c r="K53" i="51" s="1"/>
  <c r="AI120" i="32"/>
  <c r="AN101" i="31"/>
  <c r="L29" i="52" s="1"/>
  <c r="AK239" i="31"/>
  <c r="AK241" i="31"/>
  <c r="AO124" i="31"/>
  <c r="AO84" i="31"/>
  <c r="AN50" i="31"/>
  <c r="L41" i="51" s="1"/>
  <c r="AG41" i="31"/>
  <c r="AO146" i="27"/>
  <c r="AO295" i="27"/>
  <c r="AK206" i="27"/>
  <c r="AK314" i="27"/>
  <c r="AM190" i="27"/>
  <c r="K15" i="39" s="1"/>
  <c r="AG88" i="32"/>
  <c r="AK319" i="27"/>
  <c r="AG230" i="27"/>
  <c r="AG233" i="27" s="1"/>
  <c r="AG682" i="27"/>
  <c r="AN303" i="27"/>
  <c r="K43" i="40" s="1"/>
  <c r="AO135" i="27"/>
  <c r="AO184" i="27"/>
  <c r="AO121" i="27"/>
  <c r="AK204" i="27"/>
  <c r="AK205" i="27"/>
  <c r="AK203" i="27"/>
  <c r="AK181" i="27"/>
  <c r="AK210" i="27"/>
  <c r="AK222" i="27" s="1"/>
  <c r="AG121" i="32"/>
  <c r="AG229" i="28"/>
  <c r="AN315" i="27"/>
  <c r="AN317" i="27" s="1"/>
  <c r="AN19" i="28" s="1"/>
  <c r="L16" i="44" s="1"/>
  <c r="AL228" i="28"/>
  <c r="AL88" i="32" s="1"/>
  <c r="AL18" i="32"/>
  <c r="AM163" i="31"/>
  <c r="AN159" i="31"/>
  <c r="AN162" i="31" s="1"/>
  <c r="AM168" i="31"/>
  <c r="AM165" i="31"/>
  <c r="AM162" i="31"/>
  <c r="AL161" i="31"/>
  <c r="AP84" i="31"/>
  <c r="AN210" i="27"/>
  <c r="AN222" i="27" s="1"/>
  <c r="AP295" i="27"/>
  <c r="AP292" i="27" s="1"/>
  <c r="AP315" i="27" s="1"/>
  <c r="AP317" i="27" s="1"/>
  <c r="AP19" i="28" s="1"/>
  <c r="AQ93" i="1"/>
  <c r="AQ92" i="1" s="1"/>
  <c r="AQ281" i="27"/>
  <c r="AQ264" i="27"/>
  <c r="AR265" i="27" s="1"/>
  <c r="AO35" i="31"/>
  <c r="AQ144" i="27"/>
  <c r="AR145" i="27" s="1"/>
  <c r="AP121" i="27"/>
  <c r="AP115" i="27" s="1"/>
  <c r="AP118" i="27" s="1"/>
  <c r="AP190" i="31"/>
  <c r="AT99" i="31"/>
  <c r="N27" i="52" s="1"/>
  <c r="AQ98" i="1"/>
  <c r="AQ97" i="1" s="1"/>
  <c r="AR68" i="27"/>
  <c r="AQ69" i="27"/>
  <c r="AR103" i="27"/>
  <c r="AQ104" i="28"/>
  <c r="AR343" i="27"/>
  <c r="AL231" i="28"/>
  <c r="AP146" i="27"/>
  <c r="AP138" i="27" s="1"/>
  <c r="AP139" i="27" s="1"/>
  <c r="AP143" i="27" s="1"/>
  <c r="AQ477" i="27"/>
  <c r="AQ133" i="27"/>
  <c r="AR134" i="27" s="1"/>
  <c r="AN203" i="27"/>
  <c r="AN181" i="27"/>
  <c r="AN207" i="27" s="1"/>
  <c r="AP184" i="27"/>
  <c r="AP175" i="27" s="1"/>
  <c r="AP176" i="27" s="1"/>
  <c r="AP135" i="27"/>
  <c r="AO62" i="23"/>
  <c r="AO68" i="23"/>
  <c r="AQ82" i="31"/>
  <c r="AQ293" i="27"/>
  <c r="AR231" i="1"/>
  <c r="AO266" i="27"/>
  <c r="AP266" i="27"/>
  <c r="AP263" i="27" s="1"/>
  <c r="AP262" i="27" s="1"/>
  <c r="AQ71" i="1"/>
  <c r="AQ73" i="1" s="1"/>
  <c r="AQ72" i="1" s="1"/>
  <c r="AQ255" i="27"/>
  <c r="AR256" i="27" s="1"/>
  <c r="AQ305" i="27"/>
  <c r="AQ67" i="1"/>
  <c r="AQ66" i="1" s="1"/>
  <c r="AQ119" i="27"/>
  <c r="AR120" i="27" s="1"/>
  <c r="AQ103" i="1"/>
  <c r="AQ102" i="1" s="1"/>
  <c r="AQ247" i="27"/>
  <c r="AO283" i="27"/>
  <c r="AQ182" i="27"/>
  <c r="AR183" i="27" s="1"/>
  <c r="AQ197" i="27"/>
  <c r="AQ156" i="31"/>
  <c r="AQ47" i="31"/>
  <c r="AQ48" i="31" s="1"/>
  <c r="AQ155" i="31"/>
  <c r="AR27" i="31"/>
  <c r="M22" i="51" s="1"/>
  <c r="AR281" i="27"/>
  <c r="AR273" i="27"/>
  <c r="L24" i="40" s="1"/>
  <c r="B5" i="59"/>
  <c r="B3" i="57"/>
  <c r="B42" i="51"/>
  <c r="B5" i="61"/>
  <c r="B5" i="60"/>
  <c r="B5" i="58"/>
  <c r="AL62" i="31"/>
  <c r="AP49" i="31"/>
  <c r="AQ44" i="32"/>
  <c r="AQ79" i="32"/>
  <c r="AQ221" i="31"/>
  <c r="AQ213" i="31"/>
  <c r="AQ151" i="31"/>
  <c r="AQ173" i="31"/>
  <c r="AQ71" i="31"/>
  <c r="AQ141" i="31"/>
  <c r="AQ78" i="1"/>
  <c r="AQ77" i="1" s="1"/>
  <c r="AQ88" i="1"/>
  <c r="AQ87" i="1" s="1"/>
  <c r="AQ83" i="1"/>
  <c r="AQ82" i="1" s="1"/>
  <c r="AR93" i="1"/>
  <c r="AR92" i="1" s="1"/>
  <c r="AR67" i="1"/>
  <c r="AR66" i="1" s="1"/>
  <c r="AQ6" i="31"/>
  <c r="AQ1" i="32"/>
  <c r="AQ1" i="31"/>
  <c r="AQ6" i="32"/>
  <c r="AQ77" i="27"/>
  <c r="AQ64" i="27"/>
  <c r="AQ1" i="28"/>
  <c r="AQ1" i="27"/>
  <c r="AQ328" i="27"/>
  <c r="AQ169" i="27"/>
  <c r="AQ237" i="27"/>
  <c r="AQ107" i="27"/>
  <c r="AQ387" i="27"/>
  <c r="AQ509" i="27"/>
  <c r="AQ554" i="27"/>
  <c r="AQ658" i="27"/>
  <c r="AQ267" i="28"/>
  <c r="AQ207" i="28"/>
  <c r="AQ348" i="28"/>
  <c r="AQ307" i="28"/>
  <c r="AQ154" i="28"/>
  <c r="AQ81" i="28"/>
  <c r="AQ43" i="28"/>
  <c r="AQ4" i="28"/>
  <c r="AQ119" i="28"/>
  <c r="B3" i="48"/>
  <c r="B6" i="49"/>
  <c r="B3" i="45"/>
  <c r="AO57" i="23"/>
  <c r="AO80" i="23"/>
  <c r="AQ34" i="1"/>
  <c r="AQ208" i="1"/>
  <c r="AQ60" i="1"/>
  <c r="AQ6" i="1"/>
  <c r="AQ130" i="1"/>
  <c r="AQ1" i="1"/>
  <c r="AR159" i="1"/>
  <c r="M23" i="35" s="1"/>
  <c r="AR148" i="1"/>
  <c r="M14" i="35" s="1"/>
  <c r="AR145" i="1"/>
  <c r="AR152" i="1" s="1"/>
  <c r="M17" i="35" s="1"/>
  <c r="AR136" i="1"/>
  <c r="AR172" i="1"/>
  <c r="M35" i="35" s="1"/>
  <c r="AR144" i="1"/>
  <c r="AR151" i="1" s="1"/>
  <c r="AR114" i="32"/>
  <c r="AQ146" i="1"/>
  <c r="AQ164" i="1"/>
  <c r="L8" i="46" l="1"/>
  <c r="AR199" i="28"/>
  <c r="B199" i="28" s="1"/>
  <c r="K32" i="51"/>
  <c r="AQ703" i="27"/>
  <c r="AQ700" i="27" s="1"/>
  <c r="AQ701" i="27" s="1"/>
  <c r="AQ702" i="27" s="1"/>
  <c r="AQ218" i="28" s="1"/>
  <c r="AQ230" i="28" s="1"/>
  <c r="M5" i="37"/>
  <c r="AR93" i="28"/>
  <c r="L13" i="46" s="1"/>
  <c r="AP194" i="31"/>
  <c r="AR198" i="27"/>
  <c r="AR83" i="31"/>
  <c r="AR478" i="27"/>
  <c r="AP192" i="31"/>
  <c r="AR306" i="27"/>
  <c r="AP195" i="31"/>
  <c r="AP193" i="31"/>
  <c r="AP191" i="31"/>
  <c r="L20" i="34" a="1"/>
  <c r="L20" i="34" s="1"/>
  <c r="AR157" i="31"/>
  <c r="AR294" i="27"/>
  <c r="AR282" i="27"/>
  <c r="K10" i="54"/>
  <c r="K8" i="57"/>
  <c r="AP230" i="28"/>
  <c r="AR462" i="27"/>
  <c r="AR409" i="27"/>
  <c r="AR302" i="27"/>
  <c r="AR290" i="27"/>
  <c r="AR278" i="27"/>
  <c r="AR270" i="27"/>
  <c r="AR261" i="27"/>
  <c r="AR252" i="27"/>
  <c r="AR244" i="27"/>
  <c r="AR151" i="27"/>
  <c r="AR142" i="27"/>
  <c r="AR131" i="27"/>
  <c r="AR117" i="27"/>
  <c r="AR248" i="27"/>
  <c r="AR47" i="28"/>
  <c r="AT47" i="28" s="1"/>
  <c r="K9" i="60"/>
  <c r="J21" i="39"/>
  <c r="AJ498" i="27"/>
  <c r="K90" i="41" s="1"/>
  <c r="K85" i="41"/>
  <c r="K16" i="45"/>
  <c r="M11" i="35"/>
  <c r="M10" i="35"/>
  <c r="K21" i="49"/>
  <c r="M16" i="35"/>
  <c r="K7" i="54"/>
  <c r="M49" i="52"/>
  <c r="M50" i="52"/>
  <c r="M48" i="52"/>
  <c r="AL166" i="31"/>
  <c r="AL228" i="31" s="1"/>
  <c r="AL242" i="31" s="1"/>
  <c r="AL63" i="31" s="1"/>
  <c r="AG252" i="28"/>
  <c r="AO100" i="31"/>
  <c r="AO101" i="31" s="1"/>
  <c r="AO216" i="31"/>
  <c r="K3" i="56"/>
  <c r="AK667" i="27"/>
  <c r="E416" i="33"/>
  <c r="E494" i="29"/>
  <c r="K28" i="51"/>
  <c r="L29" i="40"/>
  <c r="L66" i="41"/>
  <c r="AN316" i="27"/>
  <c r="AN314" i="27" s="1"/>
  <c r="K48" i="40" s="1"/>
  <c r="K35" i="40"/>
  <c r="K14" i="44"/>
  <c r="M20" i="52"/>
  <c r="M21" i="52"/>
  <c r="M23" i="52"/>
  <c r="M25" i="52"/>
  <c r="M45" i="52"/>
  <c r="M22" i="52"/>
  <c r="M24" i="52"/>
  <c r="M5" i="35"/>
  <c r="AL63" i="28"/>
  <c r="AJ499" i="27"/>
  <c r="K91" i="41" s="1"/>
  <c r="AN223" i="27"/>
  <c r="AL483" i="27"/>
  <c r="AL482" i="27" s="1"/>
  <c r="AL498" i="27" s="1"/>
  <c r="AL501" i="27"/>
  <c r="AL500" i="27" s="1"/>
  <c r="AK501" i="27"/>
  <c r="AP178" i="27"/>
  <c r="AP204" i="27" s="1"/>
  <c r="AP177" i="27"/>
  <c r="AP180" i="27"/>
  <c r="AP179" i="27"/>
  <c r="AP116" i="27"/>
  <c r="AM12" i="28"/>
  <c r="AN201" i="27"/>
  <c r="AN208" i="27" s="1"/>
  <c r="AP141" i="27"/>
  <c r="AM463" i="27"/>
  <c r="AM472" i="27" s="1"/>
  <c r="AJ229" i="28"/>
  <c r="AJ252" i="28" s="1"/>
  <c r="AJ121" i="32"/>
  <c r="K7" i="61" s="1"/>
  <c r="AN219" i="27"/>
  <c r="AP206" i="27"/>
  <c r="AP205" i="27"/>
  <c r="AJ233" i="27"/>
  <c r="AJ236" i="28" s="1"/>
  <c r="N25" i="52"/>
  <c r="F109" i="31"/>
  <c r="F108" i="31"/>
  <c r="G108" i="31" s="1"/>
  <c r="H108" i="31" s="1"/>
  <c r="I108" i="31" s="1"/>
  <c r="N24" i="52"/>
  <c r="N49" i="52"/>
  <c r="F132" i="31"/>
  <c r="N22" i="52"/>
  <c r="F106" i="31"/>
  <c r="F105" i="31"/>
  <c r="N21" i="52"/>
  <c r="G105" i="31"/>
  <c r="H105" i="31" s="1"/>
  <c r="I105" i="31" s="1"/>
  <c r="N20" i="52"/>
  <c r="F104" i="31"/>
  <c r="N26" i="52"/>
  <c r="F110" i="31"/>
  <c r="N50" i="52"/>
  <c r="F133" i="31"/>
  <c r="N23" i="52"/>
  <c r="F107" i="31"/>
  <c r="N48" i="52"/>
  <c r="F131" i="31"/>
  <c r="N45" i="52"/>
  <c r="F128" i="31"/>
  <c r="AO193" i="31"/>
  <c r="AO190" i="31"/>
  <c r="AO192" i="31"/>
  <c r="AM640" i="27"/>
  <c r="AN635" i="27"/>
  <c r="L65" i="43" s="1"/>
  <c r="AN621" i="27"/>
  <c r="L54" i="43" s="1"/>
  <c r="AN607" i="27"/>
  <c r="L43" i="43" s="1"/>
  <c r="AO26" i="31"/>
  <c r="AP26" i="31" s="1"/>
  <c r="AN593" i="27"/>
  <c r="L32" i="43" s="1"/>
  <c r="AO75" i="31"/>
  <c r="AN579" i="27"/>
  <c r="L21" i="43" s="1"/>
  <c r="AR104" i="28"/>
  <c r="L24" i="46" s="1"/>
  <c r="AR144" i="27"/>
  <c r="M29" i="38" s="1"/>
  <c r="AN84" i="27"/>
  <c r="L15" i="37" s="1"/>
  <c r="AR264" i="27"/>
  <c r="L19" i="40" s="1"/>
  <c r="AO431" i="27"/>
  <c r="AO432" i="27"/>
  <c r="AO429" i="27"/>
  <c r="AO430" i="27"/>
  <c r="AO428" i="27"/>
  <c r="AO427" i="27"/>
  <c r="AR222" i="1"/>
  <c r="B247" i="1"/>
  <c r="B248" i="1" s="1"/>
  <c r="AR71" i="1"/>
  <c r="AR73" i="1" s="1"/>
  <c r="AR72" i="1" s="1"/>
  <c r="L4" i="34" s="1" a="1"/>
  <c r="L4" i="34" s="1"/>
  <c r="AR247" i="27"/>
  <c r="L9" i="40" s="1"/>
  <c r="AR293" i="27"/>
  <c r="L37" i="40" s="1"/>
  <c r="AR153" i="27"/>
  <c r="M35" i="38" s="1"/>
  <c r="AP303" i="27"/>
  <c r="AP321" i="27" s="1"/>
  <c r="AP319" i="27" s="1"/>
  <c r="AO307" i="27"/>
  <c r="AO304" i="27" s="1"/>
  <c r="AN275" i="27"/>
  <c r="AN272" i="27" s="1"/>
  <c r="AM272" i="27"/>
  <c r="AP479" i="27"/>
  <c r="AG38" i="31"/>
  <c r="AQ257" i="27"/>
  <c r="AN398" i="27"/>
  <c r="AN436" i="27" s="1"/>
  <c r="AN447" i="27" s="1"/>
  <c r="AQ307" i="27"/>
  <c r="AQ304" i="27" s="1"/>
  <c r="AQ320" i="27" s="1"/>
  <c r="AQ322" i="27" s="1"/>
  <c r="AQ18" i="28" s="1"/>
  <c r="AN459" i="27"/>
  <c r="L68" i="41" s="1"/>
  <c r="AM451" i="27"/>
  <c r="AM496" i="27" s="1"/>
  <c r="AM667" i="27" s="1"/>
  <c r="AN433" i="27"/>
  <c r="L47" i="41" s="1"/>
  <c r="AM483" i="27"/>
  <c r="AE43" i="31"/>
  <c r="AM447" i="27"/>
  <c r="AI119" i="32"/>
  <c r="AI134" i="32"/>
  <c r="AO155" i="27"/>
  <c r="AF42" i="31"/>
  <c r="J33" i="51" s="1"/>
  <c r="AP249" i="27"/>
  <c r="AP246" i="27" s="1"/>
  <c r="AP245" i="27" s="1"/>
  <c r="AD138" i="32"/>
  <c r="AE123" i="32"/>
  <c r="AP73" i="31"/>
  <c r="AP100" i="31" s="1"/>
  <c r="AP101" i="31" s="1"/>
  <c r="AO215" i="31"/>
  <c r="AQ29" i="31"/>
  <c r="AQ25" i="31" s="1"/>
  <c r="AK240" i="31"/>
  <c r="AK228" i="31"/>
  <c r="AI63" i="31"/>
  <c r="K54" i="51" s="1"/>
  <c r="AO158" i="31"/>
  <c r="AO159" i="31" s="1"/>
  <c r="AM229" i="31"/>
  <c r="AO125" i="31"/>
  <c r="AO454" i="27"/>
  <c r="AO395" i="27"/>
  <c r="AO457" i="27"/>
  <c r="AO392" i="27"/>
  <c r="AO453" i="27"/>
  <c r="AO396" i="27"/>
  <c r="AO458" i="27"/>
  <c r="AO455" i="27"/>
  <c r="AO397" i="27"/>
  <c r="AO394" i="27"/>
  <c r="AO393" i="27"/>
  <c r="AO456" i="27"/>
  <c r="AG235" i="28"/>
  <c r="AG684" i="27"/>
  <c r="AG217" i="28" s="1"/>
  <c r="AG234" i="28"/>
  <c r="AG233" i="28"/>
  <c r="AG236" i="28"/>
  <c r="C339" i="23"/>
  <c r="B15" i="45"/>
  <c r="C334" i="23"/>
  <c r="B10" i="45"/>
  <c r="C318" i="23"/>
  <c r="B30" i="44"/>
  <c r="C298" i="23"/>
  <c r="B8" i="44"/>
  <c r="C341" i="23"/>
  <c r="B17" i="45"/>
  <c r="AO280" i="27"/>
  <c r="AO263" i="27"/>
  <c r="AG120" i="32"/>
  <c r="AK213" i="27"/>
  <c r="AK225" i="27" s="1"/>
  <c r="AK214" i="27"/>
  <c r="AK226" i="27" s="1"/>
  <c r="AK211" i="27"/>
  <c r="AK223" i="27" s="1"/>
  <c r="AK196" i="27"/>
  <c r="AO115" i="27"/>
  <c r="AK482" i="27"/>
  <c r="AO292" i="27"/>
  <c r="AN245" i="27"/>
  <c r="K7" i="40" s="1"/>
  <c r="AO138" i="27"/>
  <c r="C380" i="23"/>
  <c r="C310" i="23"/>
  <c r="B20" i="44"/>
  <c r="C335" i="23"/>
  <c r="B11" i="45"/>
  <c r="C343" i="23"/>
  <c r="B19" i="45"/>
  <c r="C342" i="23"/>
  <c r="B18" i="45"/>
  <c r="C317" i="23"/>
  <c r="B29" i="44"/>
  <c r="C292" i="23"/>
  <c r="C387" i="23" s="1"/>
  <c r="B3" i="44"/>
  <c r="AO246" i="27"/>
  <c r="AO199" i="27"/>
  <c r="AK212" i="27"/>
  <c r="AK224" i="27" s="1"/>
  <c r="AK207" i="27"/>
  <c r="AO175" i="27"/>
  <c r="AN321" i="27"/>
  <c r="AN323" i="27" s="1"/>
  <c r="AG12" i="28"/>
  <c r="AG683" i="27"/>
  <c r="AH233" i="27"/>
  <c r="AM191" i="27"/>
  <c r="K16" i="39" s="1"/>
  <c r="AN165" i="31"/>
  <c r="K13" i="54" s="1"/>
  <c r="AL229" i="28"/>
  <c r="AL252" i="28" s="1"/>
  <c r="AL121" i="32"/>
  <c r="AP158" i="31"/>
  <c r="AP154" i="31" s="1"/>
  <c r="AP50" i="31" s="1"/>
  <c r="AL682" i="27"/>
  <c r="AN168" i="31"/>
  <c r="AN229" i="31" s="1"/>
  <c r="AN239" i="31" s="1"/>
  <c r="AN163" i="31"/>
  <c r="K11" i="54" s="1"/>
  <c r="AN164" i="31"/>
  <c r="K12" i="54" s="1"/>
  <c r="AQ295" i="27"/>
  <c r="AQ292" i="27" s="1"/>
  <c r="AQ315" i="27" s="1"/>
  <c r="AQ317" i="27" s="1"/>
  <c r="AQ19" i="28" s="1"/>
  <c r="AM161" i="31"/>
  <c r="AN196" i="27"/>
  <c r="AN215" i="27" s="1"/>
  <c r="AN209" i="27" s="1"/>
  <c r="AN216" i="27" s="1"/>
  <c r="AN17" i="28" s="1"/>
  <c r="AQ84" i="31"/>
  <c r="AP199" i="27"/>
  <c r="AP190" i="27" s="1"/>
  <c r="AP191" i="27" s="1"/>
  <c r="AP291" i="27"/>
  <c r="AP316" i="27" s="1"/>
  <c r="AP314" i="27" s="1"/>
  <c r="AR305" i="27"/>
  <c r="L45" i="40" s="1"/>
  <c r="AP35" i="31"/>
  <c r="AQ121" i="27"/>
  <c r="AQ115" i="27" s="1"/>
  <c r="AQ118" i="27" s="1"/>
  <c r="F111" i="31"/>
  <c r="AR103" i="1"/>
  <c r="AR102" i="1" s="1"/>
  <c r="L28" i="34" s="1" a="1"/>
  <c r="L28" i="34" s="1"/>
  <c r="AR33" i="31"/>
  <c r="M26" i="51" s="1"/>
  <c r="AP74" i="31"/>
  <c r="AP215" i="31"/>
  <c r="AQ216" i="31" s="1"/>
  <c r="AR69" i="27"/>
  <c r="AQ146" i="27"/>
  <c r="AQ138" i="27" s="1"/>
  <c r="AQ139" i="27" s="1"/>
  <c r="AQ143" i="27" s="1"/>
  <c r="AN228" i="27"/>
  <c r="AR119" i="27"/>
  <c r="M10" i="38" s="1"/>
  <c r="AR255" i="27"/>
  <c r="L14" i="40" s="1"/>
  <c r="AR477" i="27"/>
  <c r="M82" i="41" s="1"/>
  <c r="AR133" i="27"/>
  <c r="M21" i="38" s="1"/>
  <c r="AN219" i="28"/>
  <c r="AQ184" i="27"/>
  <c r="AQ175" i="27" s="1"/>
  <c r="AQ176" i="27" s="1"/>
  <c r="AP202" i="27"/>
  <c r="AQ135" i="27"/>
  <c r="AP62" i="23"/>
  <c r="AP68" i="23"/>
  <c r="AR82" i="31"/>
  <c r="M12" i="52" s="1"/>
  <c r="AR29" i="31"/>
  <c r="AR25" i="31" s="1"/>
  <c r="AQ73" i="31"/>
  <c r="AQ100" i="31" s="1"/>
  <c r="AQ101" i="31" s="1"/>
  <c r="AR98" i="1"/>
  <c r="AR97" i="1" s="1"/>
  <c r="L24" i="34" s="1" a="1"/>
  <c r="L24" i="34" s="1"/>
  <c r="AP283" i="27"/>
  <c r="AP280" i="27" s="1"/>
  <c r="AP279" i="27" s="1"/>
  <c r="AR182" i="27"/>
  <c r="L9" i="39" s="1"/>
  <c r="AR197" i="27"/>
  <c r="L17" i="39" s="1"/>
  <c r="AR156" i="31"/>
  <c r="L6" i="54" s="1"/>
  <c r="AR47" i="31"/>
  <c r="M38" i="51" s="1"/>
  <c r="AR155" i="31"/>
  <c r="L5" i="54" s="1"/>
  <c r="AT116" i="31"/>
  <c r="N44" i="52" s="1"/>
  <c r="AQ49" i="31"/>
  <c r="AT91" i="31"/>
  <c r="N19" i="52" s="1"/>
  <c r="AR44" i="32"/>
  <c r="AR79" i="32"/>
  <c r="AR221" i="31"/>
  <c r="AR213" i="31"/>
  <c r="AR151" i="31"/>
  <c r="AR173" i="31"/>
  <c r="AR71" i="31"/>
  <c r="AR141" i="31"/>
  <c r="AR78" i="1"/>
  <c r="AR77" i="1" s="1"/>
  <c r="L8" i="34" s="1" a="1"/>
  <c r="L8" i="34" s="1"/>
  <c r="AR83" i="1"/>
  <c r="AR82" i="1" s="1"/>
  <c r="L12" i="34" s="1" a="1"/>
  <c r="L12" i="34" s="1"/>
  <c r="AR88" i="1"/>
  <c r="AR87" i="1" s="1"/>
  <c r="L16" i="34" s="1" a="1"/>
  <c r="L16" i="34" s="1"/>
  <c r="AR6" i="31"/>
  <c r="AR1" i="32"/>
  <c r="AR1" i="31"/>
  <c r="AR6" i="32"/>
  <c r="AR77" i="27"/>
  <c r="AR64" i="27"/>
  <c r="AR1" i="28"/>
  <c r="AR1" i="27"/>
  <c r="AR107" i="27"/>
  <c r="AR387" i="27"/>
  <c r="AR554" i="27"/>
  <c r="AR658" i="27"/>
  <c r="AR169" i="27"/>
  <c r="AR509" i="27"/>
  <c r="AR237" i="27"/>
  <c r="AR328" i="27"/>
  <c r="AR348" i="28"/>
  <c r="AR307" i="28"/>
  <c r="AR267" i="28"/>
  <c r="AR207" i="28"/>
  <c r="AR119" i="28"/>
  <c r="AR154" i="28"/>
  <c r="AR43" i="28"/>
  <c r="AR4" i="28"/>
  <c r="AR81" i="28"/>
  <c r="AP57" i="23"/>
  <c r="AP80" i="23"/>
  <c r="AR146" i="1"/>
  <c r="M12" i="35" s="1"/>
  <c r="AR164" i="1"/>
  <c r="M28" i="35" s="1"/>
  <c r="AR34" i="1"/>
  <c r="AR130" i="1"/>
  <c r="AR1" i="1"/>
  <c r="AR208" i="1"/>
  <c r="AR60" i="1"/>
  <c r="AR6" i="1"/>
  <c r="AR703" i="27" l="1"/>
  <c r="M6" i="37"/>
  <c r="AN318" i="27"/>
  <c r="AP189" i="31"/>
  <c r="AJ522" i="27"/>
  <c r="M20" i="51"/>
  <c r="N5" i="45"/>
  <c r="D329" i="23"/>
  <c r="AO118" i="27"/>
  <c r="AO565" i="27"/>
  <c r="AO579" i="27"/>
  <c r="AM239" i="31"/>
  <c r="L19" i="57" s="1"/>
  <c r="L9" i="57"/>
  <c r="AM490" i="27"/>
  <c r="AM501" i="27" s="1"/>
  <c r="AM500" i="27" s="1"/>
  <c r="L55" i="41"/>
  <c r="G128" i="31"/>
  <c r="G131" i="31"/>
  <c r="G133" i="31"/>
  <c r="G110" i="31"/>
  <c r="H110" i="31" s="1"/>
  <c r="I110" i="31" s="1"/>
  <c r="G104" i="31"/>
  <c r="H104" i="31" s="1"/>
  <c r="J105" i="31"/>
  <c r="K105" i="31" s="1"/>
  <c r="D33" i="52"/>
  <c r="G109" i="31"/>
  <c r="H109" i="31" s="1"/>
  <c r="AO224" i="31"/>
  <c r="K22" i="49"/>
  <c r="L12" i="41"/>
  <c r="K16" i="54"/>
  <c r="AM166" i="31"/>
  <c r="AM228" i="31" s="1"/>
  <c r="AM242" i="31" s="1"/>
  <c r="AM63" i="31" s="1"/>
  <c r="K9" i="44"/>
  <c r="AK498" i="27"/>
  <c r="AG134" i="32"/>
  <c r="AO621" i="27"/>
  <c r="AO593" i="27"/>
  <c r="AO84" i="27"/>
  <c r="AO92" i="27" s="1"/>
  <c r="AO607" i="27"/>
  <c r="AP216" i="31"/>
  <c r="AP224" i="31" s="1"/>
  <c r="AP13" i="32" s="1"/>
  <c r="AM271" i="27"/>
  <c r="K23" i="40"/>
  <c r="G132" i="31"/>
  <c r="H132" i="31" s="1"/>
  <c r="I132" i="31" s="1"/>
  <c r="D36" i="52"/>
  <c r="AK500" i="27"/>
  <c r="L3" i="34"/>
  <c r="B47" i="28"/>
  <c r="M5" i="45"/>
  <c r="AM63" i="28"/>
  <c r="AL670" i="27"/>
  <c r="AK499" i="27"/>
  <c r="AL499" i="27"/>
  <c r="AP323" i="27"/>
  <c r="AP318" i="27"/>
  <c r="AN217" i="27"/>
  <c r="AN227" i="27"/>
  <c r="AN682" i="27" s="1"/>
  <c r="AQ178" i="27"/>
  <c r="AQ204" i="27" s="1"/>
  <c r="AQ177" i="27"/>
  <c r="AP193" i="27"/>
  <c r="AP212" i="27" s="1"/>
  <c r="AP224" i="27" s="1"/>
  <c r="AP192" i="27"/>
  <c r="AM193" i="27"/>
  <c r="AM192" i="27"/>
  <c r="AM195" i="27"/>
  <c r="AM194" i="27"/>
  <c r="AQ180" i="27"/>
  <c r="AQ206" i="27" s="1"/>
  <c r="AQ179" i="27"/>
  <c r="AQ205" i="27" s="1"/>
  <c r="AP195" i="27"/>
  <c r="AP214" i="27" s="1"/>
  <c r="AP226" i="27" s="1"/>
  <c r="AP194" i="27"/>
  <c r="AP213" i="27" s="1"/>
  <c r="AP225" i="27" s="1"/>
  <c r="AQ141" i="27"/>
  <c r="AQ116" i="27"/>
  <c r="AO116" i="27"/>
  <c r="AN463" i="27"/>
  <c r="AN472" i="27" s="1"/>
  <c r="L77" i="41" s="1"/>
  <c r="AJ120" i="32"/>
  <c r="K6" i="61" s="1"/>
  <c r="AN451" i="27"/>
  <c r="AN496" i="27" s="1"/>
  <c r="AN667" i="27" s="1"/>
  <c r="AN493" i="27"/>
  <c r="AN12" i="28"/>
  <c r="AP211" i="27"/>
  <c r="AJ684" i="27"/>
  <c r="AJ217" i="28" s="1"/>
  <c r="AJ232" i="28" s="1"/>
  <c r="AJ256" i="28" s="1"/>
  <c r="AJ234" i="28"/>
  <c r="AJ235" i="28"/>
  <c r="AJ233" i="28"/>
  <c r="L105" i="31"/>
  <c r="M105" i="31" s="1"/>
  <c r="H128" i="31"/>
  <c r="I128" i="31" s="1"/>
  <c r="H131" i="31"/>
  <c r="I131" i="31" s="1"/>
  <c r="H133" i="31"/>
  <c r="I133" i="31" s="1"/>
  <c r="G107" i="31"/>
  <c r="G106" i="31"/>
  <c r="J108" i="31"/>
  <c r="AO635" i="27"/>
  <c r="AN640" i="27"/>
  <c r="AN626" i="27"/>
  <c r="AN644" i="27"/>
  <c r="L72" i="43" s="1"/>
  <c r="AN598" i="27"/>
  <c r="AN584" i="27"/>
  <c r="AN570" i="27"/>
  <c r="AN92" i="27"/>
  <c r="AP431" i="27"/>
  <c r="AP432" i="27"/>
  <c r="AP429" i="27"/>
  <c r="AP430" i="27"/>
  <c r="AP428" i="27"/>
  <c r="AP427" i="27"/>
  <c r="AP458" i="27"/>
  <c r="AQ479" i="27"/>
  <c r="AQ458" i="27" s="1"/>
  <c r="AQ193" i="31"/>
  <c r="AQ26" i="31"/>
  <c r="AP393" i="27"/>
  <c r="AP454" i="27"/>
  <c r="AP579" i="27" s="1"/>
  <c r="AP455" i="27"/>
  <c r="AP593" i="27" s="1"/>
  <c r="AP453" i="27"/>
  <c r="AP397" i="27"/>
  <c r="AT703" i="27"/>
  <c r="AN271" i="27"/>
  <c r="AO275" i="27"/>
  <c r="AO272" i="27" s="1"/>
  <c r="AP456" i="27"/>
  <c r="AP392" i="27"/>
  <c r="AP84" i="27" s="1"/>
  <c r="AP394" i="27"/>
  <c r="AP621" i="27" s="1"/>
  <c r="AP395" i="27"/>
  <c r="AP607" i="27" s="1"/>
  <c r="AP457" i="27"/>
  <c r="AP565" i="27" s="1"/>
  <c r="AP396" i="27"/>
  <c r="AR257" i="27"/>
  <c r="AH38" i="31"/>
  <c r="AG42" i="31"/>
  <c r="AG44" i="31" s="1"/>
  <c r="AR307" i="27"/>
  <c r="AR304" i="27" s="1"/>
  <c r="AR320" i="27" s="1"/>
  <c r="AR322" i="27" s="1"/>
  <c r="AR18" i="28" s="1"/>
  <c r="AQ303" i="27"/>
  <c r="AQ321" i="27" s="1"/>
  <c r="AQ319" i="27" s="1"/>
  <c r="AL59" i="28"/>
  <c r="AQ191" i="31"/>
  <c r="AP155" i="27"/>
  <c r="AF43" i="31"/>
  <c r="J34" i="51" s="1"/>
  <c r="AF44" i="31"/>
  <c r="J35" i="51" s="1"/>
  <c r="AQ249" i="27"/>
  <c r="AQ246" i="27" s="1"/>
  <c r="AQ245" i="27" s="1"/>
  <c r="AG119" i="32"/>
  <c r="AE138" i="32"/>
  <c r="AF123" i="32"/>
  <c r="J9" i="61" s="1"/>
  <c r="AQ190" i="31"/>
  <c r="AQ194" i="31"/>
  <c r="AQ192" i="31"/>
  <c r="AQ195" i="31"/>
  <c r="AR48" i="31"/>
  <c r="M39" i="51" s="1"/>
  <c r="G111" i="31"/>
  <c r="H111" i="31" s="1"/>
  <c r="AO163" i="31"/>
  <c r="AM241" i="31"/>
  <c r="AO154" i="31"/>
  <c r="AO50" i="31" s="1"/>
  <c r="AK242" i="31"/>
  <c r="AK62" i="31"/>
  <c r="AO459" i="27"/>
  <c r="AO398" i="27"/>
  <c r="C326" i="23"/>
  <c r="C358" i="23" s="1"/>
  <c r="AO433" i="27"/>
  <c r="AN161" i="31"/>
  <c r="AH684" i="27"/>
  <c r="AH217" i="28" s="1"/>
  <c r="AH233" i="28"/>
  <c r="AH234" i="28"/>
  <c r="AH236" i="28"/>
  <c r="K29" i="49" s="1"/>
  <c r="AH235" i="28"/>
  <c r="AK219" i="27"/>
  <c r="AK228" i="27"/>
  <c r="AK232" i="27" s="1"/>
  <c r="AK219" i="28"/>
  <c r="AO190" i="27"/>
  <c r="AO245" i="27"/>
  <c r="AG232" i="28"/>
  <c r="AG17" i="32"/>
  <c r="AN367" i="27"/>
  <c r="AN365" i="27" s="1"/>
  <c r="AN102" i="28" s="1"/>
  <c r="K22" i="46" s="1"/>
  <c r="AM210" i="27"/>
  <c r="AM222" i="27" s="1"/>
  <c r="K26" i="39" s="1"/>
  <c r="AN319" i="27"/>
  <c r="K49" i="40" s="1"/>
  <c r="AO176" i="27"/>
  <c r="AK201" i="27"/>
  <c r="AO139" i="27"/>
  <c r="AO315" i="27"/>
  <c r="AO317" i="27" s="1"/>
  <c r="AO19" i="28" s="1"/>
  <c r="AO291" i="27"/>
  <c r="AK59" i="28"/>
  <c r="AK670" i="27"/>
  <c r="AO320" i="27"/>
  <c r="AO322" i="27" s="1"/>
  <c r="AO18" i="28" s="1"/>
  <c r="AO303" i="27"/>
  <c r="AK215" i="27"/>
  <c r="AK227" i="27" s="1"/>
  <c r="AO262" i="27"/>
  <c r="AO279" i="27"/>
  <c r="AL120" i="32"/>
  <c r="AP159" i="31"/>
  <c r="AP168" i="31" s="1"/>
  <c r="AP229" i="31" s="1"/>
  <c r="AN241" i="31"/>
  <c r="AN240" i="31" s="1"/>
  <c r="AN62" i="31" s="1"/>
  <c r="AQ291" i="27"/>
  <c r="AQ316" i="27" s="1"/>
  <c r="AQ314" i="27" s="1"/>
  <c r="AR295" i="27"/>
  <c r="AR292" i="27" s="1"/>
  <c r="AR315" i="27" s="1"/>
  <c r="AR317" i="27" s="1"/>
  <c r="AR19" i="28" s="1"/>
  <c r="AO165" i="31"/>
  <c r="AQ158" i="31"/>
  <c r="AQ154" i="31" s="1"/>
  <c r="AQ50" i="31" s="1"/>
  <c r="AN18" i="32"/>
  <c r="AR84" i="31"/>
  <c r="AO168" i="31"/>
  <c r="AO162" i="31"/>
  <c r="AO164" i="31"/>
  <c r="AQ199" i="27"/>
  <c r="AQ190" i="27" s="1"/>
  <c r="AQ191" i="27" s="1"/>
  <c r="AP210" i="27"/>
  <c r="AP222" i="27" s="1"/>
  <c r="AR35" i="31"/>
  <c r="AQ35" i="31"/>
  <c r="AR121" i="27"/>
  <c r="AR115" i="27" s="1"/>
  <c r="AR118" i="27" s="1"/>
  <c r="AR190" i="31"/>
  <c r="AR191" i="31"/>
  <c r="AR192" i="31"/>
  <c r="AR193" i="31"/>
  <c r="AR194" i="31"/>
  <c r="AR195" i="31"/>
  <c r="AR215" i="31"/>
  <c r="F127" i="31"/>
  <c r="AP75" i="31"/>
  <c r="AP124" i="31"/>
  <c r="AR146" i="27"/>
  <c r="AR138" i="27" s="1"/>
  <c r="AR139" i="27" s="1"/>
  <c r="AR143" i="27" s="1"/>
  <c r="AN228" i="28"/>
  <c r="AN88" i="32" s="1"/>
  <c r="AN231" i="28"/>
  <c r="AQ202" i="27"/>
  <c r="AR184" i="27"/>
  <c r="AR175" i="27" s="1"/>
  <c r="AR176" i="27" s="1"/>
  <c r="AP203" i="27"/>
  <c r="AP181" i="27"/>
  <c r="AP207" i="27" s="1"/>
  <c r="AR135" i="27"/>
  <c r="AQ62" i="23"/>
  <c r="AQ68" i="23"/>
  <c r="AQ266" i="27"/>
  <c r="AR266" i="27"/>
  <c r="AR263" i="27" s="1"/>
  <c r="AQ224" i="31"/>
  <c r="AQ13" i="32" s="1"/>
  <c r="AQ283" i="27"/>
  <c r="AQ280" i="27" s="1"/>
  <c r="AQ279" i="27" s="1"/>
  <c r="AR283" i="27"/>
  <c r="AR280" i="27" s="1"/>
  <c r="AR49" i="31"/>
  <c r="M40" i="51" s="1"/>
  <c r="AQ57" i="23"/>
  <c r="AQ80" i="23"/>
  <c r="K28" i="49" l="1"/>
  <c r="K10" i="49"/>
  <c r="K26" i="49"/>
  <c r="J110" i="31"/>
  <c r="I109" i="31"/>
  <c r="J109" i="31" s="1"/>
  <c r="K109" i="31" s="1"/>
  <c r="L109" i="31" s="1"/>
  <c r="K27" i="49"/>
  <c r="AM482" i="27"/>
  <c r="AM498" i="27" s="1"/>
  <c r="M15" i="44"/>
  <c r="M16" i="44"/>
  <c r="B19" i="28"/>
  <c r="L20" i="55"/>
  <c r="L18" i="55"/>
  <c r="D37" i="52"/>
  <c r="D32" i="52"/>
  <c r="D61" i="52"/>
  <c r="L21" i="55"/>
  <c r="D60" i="52"/>
  <c r="AO143" i="27"/>
  <c r="M28" i="38" s="1"/>
  <c r="M26" i="38"/>
  <c r="L8" i="39"/>
  <c r="AN166" i="31"/>
  <c r="AN228" i="31" s="1"/>
  <c r="B18" i="28"/>
  <c r="AO271" i="27"/>
  <c r="AO644" i="27"/>
  <c r="L59" i="41"/>
  <c r="L44" i="40"/>
  <c r="K22" i="40"/>
  <c r="L28" i="40"/>
  <c r="L36" i="40"/>
  <c r="AO13" i="32"/>
  <c r="AO233" i="31"/>
  <c r="E33" i="52"/>
  <c r="D38" i="52"/>
  <c r="M7" i="38"/>
  <c r="D39" i="52"/>
  <c r="AK37" i="31"/>
  <c r="AK208" i="27"/>
  <c r="K19" i="39"/>
  <c r="AO493" i="27"/>
  <c r="AO436" i="27"/>
  <c r="L21" i="57"/>
  <c r="C329" i="23"/>
  <c r="B5" i="45"/>
  <c r="L88" i="41"/>
  <c r="M25" i="38"/>
  <c r="L7" i="39"/>
  <c r="D59" i="52"/>
  <c r="D56" i="52"/>
  <c r="M9" i="38"/>
  <c r="K9" i="54"/>
  <c r="AN63" i="28"/>
  <c r="L20" i="45" s="1"/>
  <c r="AN483" i="27"/>
  <c r="AP223" i="27"/>
  <c r="AN490" i="27"/>
  <c r="AN501" i="27" s="1"/>
  <c r="L92" i="41" s="1"/>
  <c r="AM499" i="27"/>
  <c r="AQ318" i="27"/>
  <c r="AQ323" i="27"/>
  <c r="AR178" i="27"/>
  <c r="AR177" i="27"/>
  <c r="AO178" i="27"/>
  <c r="AO177" i="27"/>
  <c r="AQ193" i="27"/>
  <c r="AQ212" i="27" s="1"/>
  <c r="AQ224" i="27" s="1"/>
  <c r="AQ192" i="27"/>
  <c r="AQ211" i="27" s="1"/>
  <c r="AR180" i="27"/>
  <c r="AR179" i="27"/>
  <c r="AO180" i="27"/>
  <c r="AO179" i="27"/>
  <c r="AQ195" i="27"/>
  <c r="AQ214" i="27" s="1"/>
  <c r="AQ226" i="27" s="1"/>
  <c r="AQ194" i="27"/>
  <c r="AQ213" i="27" s="1"/>
  <c r="AQ225" i="27" s="1"/>
  <c r="AR141" i="27"/>
  <c r="AM670" i="27"/>
  <c r="AP201" i="27"/>
  <c r="AP208" i="27" s="1"/>
  <c r="AR116" i="27"/>
  <c r="M8" i="38" s="1"/>
  <c r="AP219" i="27"/>
  <c r="AO463" i="27"/>
  <c r="AJ119" i="32"/>
  <c r="K5" i="61" s="1"/>
  <c r="AJ134" i="32"/>
  <c r="AJ17" i="32"/>
  <c r="AQ210" i="27"/>
  <c r="AQ222" i="27" s="1"/>
  <c r="AQ457" i="27"/>
  <c r="AQ565" i="27" s="1"/>
  <c r="J133" i="31"/>
  <c r="K133" i="31" s="1"/>
  <c r="J128" i="31"/>
  <c r="K128" i="31" s="1"/>
  <c r="L128" i="31" s="1"/>
  <c r="N105" i="31"/>
  <c r="O105" i="31" s="1"/>
  <c r="J132" i="31"/>
  <c r="K132" i="31" s="1"/>
  <c r="L132" i="31" s="1"/>
  <c r="K108" i="31"/>
  <c r="H106" i="31"/>
  <c r="D34" i="52" s="1"/>
  <c r="H107" i="31"/>
  <c r="D35" i="52" s="1"/>
  <c r="J131" i="31"/>
  <c r="I104" i="31"/>
  <c r="K110" i="31"/>
  <c r="L110" i="31" s="1"/>
  <c r="AO570" i="27"/>
  <c r="AP570" i="27" s="1"/>
  <c r="AO584" i="27"/>
  <c r="AP584" i="27" s="1"/>
  <c r="AO626" i="27"/>
  <c r="AP626" i="27" s="1"/>
  <c r="AO598" i="27"/>
  <c r="AP598" i="27" s="1"/>
  <c r="AO640" i="27"/>
  <c r="AP635" i="27"/>
  <c r="AP644" i="27" s="1"/>
  <c r="AP92" i="27"/>
  <c r="AR479" i="27"/>
  <c r="AR431" i="27" s="1"/>
  <c r="AQ431" i="27"/>
  <c r="AQ432" i="27"/>
  <c r="AQ429" i="27"/>
  <c r="AQ430" i="27"/>
  <c r="AQ428" i="27"/>
  <c r="AQ427" i="27"/>
  <c r="AQ453" i="27"/>
  <c r="AQ395" i="27"/>
  <c r="AQ607" i="27" s="1"/>
  <c r="AQ397" i="27"/>
  <c r="AQ393" i="27"/>
  <c r="AQ454" i="27"/>
  <c r="AQ579" i="27" s="1"/>
  <c r="AQ455" i="27"/>
  <c r="AQ593" i="27" s="1"/>
  <c r="AQ396" i="27"/>
  <c r="AQ392" i="27"/>
  <c r="AQ84" i="27" s="1"/>
  <c r="AQ394" i="27"/>
  <c r="AQ621" i="27" s="1"/>
  <c r="AQ456" i="27"/>
  <c r="AR700" i="27"/>
  <c r="AP398" i="27"/>
  <c r="AP436" i="27" s="1"/>
  <c r="AP447" i="27" s="1"/>
  <c r="AP275" i="27"/>
  <c r="AP433" i="27"/>
  <c r="AP493" i="27" s="1"/>
  <c r="AP459" i="27"/>
  <c r="AG43" i="31"/>
  <c r="AH42" i="31"/>
  <c r="AH44" i="31" s="1"/>
  <c r="AI38" i="31"/>
  <c r="AT304" i="27"/>
  <c r="M44" i="40" s="1"/>
  <c r="AR303" i="27"/>
  <c r="L43" i="40" s="1"/>
  <c r="AL37" i="31"/>
  <c r="AL119" i="32"/>
  <c r="AL134" i="32"/>
  <c r="AQ155" i="27"/>
  <c r="AR249" i="27"/>
  <c r="AR246" i="27" s="1"/>
  <c r="AT246" i="27" s="1"/>
  <c r="M8" i="40" s="1"/>
  <c r="AF138" i="32"/>
  <c r="AG123" i="32"/>
  <c r="AR73" i="31"/>
  <c r="M3" i="52" s="1"/>
  <c r="AQ215" i="31"/>
  <c r="I111" i="31"/>
  <c r="AQ189" i="31"/>
  <c r="G127" i="31"/>
  <c r="H127" i="31" s="1"/>
  <c r="AO229" i="31"/>
  <c r="AM240" i="31"/>
  <c r="L20" i="57" s="1"/>
  <c r="AK63" i="31"/>
  <c r="AP233" i="31"/>
  <c r="AP51" i="32" s="1"/>
  <c r="AO451" i="27"/>
  <c r="AT139" i="27"/>
  <c r="N26" i="38" s="1"/>
  <c r="AT315" i="27"/>
  <c r="AQ263" i="27"/>
  <c r="AK209" i="27"/>
  <c r="AO321" i="27"/>
  <c r="AO323" i="27" s="1"/>
  <c r="AK522" i="27"/>
  <c r="K12" i="42" s="1"/>
  <c r="AL522" i="27"/>
  <c r="AO316" i="27"/>
  <c r="AO318" i="27" s="1"/>
  <c r="AM213" i="27"/>
  <c r="AM225" i="27" s="1"/>
  <c r="AT320" i="27"/>
  <c r="AG256" i="28"/>
  <c r="AK231" i="28"/>
  <c r="AK228" i="28"/>
  <c r="AK18" i="32"/>
  <c r="AH232" i="28"/>
  <c r="AH256" i="28" s="1"/>
  <c r="AH17" i="32"/>
  <c r="AO447" i="27"/>
  <c r="AO202" i="27"/>
  <c r="AM214" i="27"/>
  <c r="AM226" i="27" s="1"/>
  <c r="AM212" i="27"/>
  <c r="AM224" i="27" s="1"/>
  <c r="AM211" i="27"/>
  <c r="AM223" i="27" s="1"/>
  <c r="AM196" i="27"/>
  <c r="AO191" i="27"/>
  <c r="AK48" i="28"/>
  <c r="AK367" i="27"/>
  <c r="AK365" i="27" s="1"/>
  <c r="AK102" i="28" s="1"/>
  <c r="AL232" i="27"/>
  <c r="AL48" i="28" s="1"/>
  <c r="AP164" i="31"/>
  <c r="AT292" i="27"/>
  <c r="M36" i="40" s="1"/>
  <c r="AP163" i="31"/>
  <c r="AP162" i="31"/>
  <c r="AN229" i="28"/>
  <c r="AN252" i="28" s="1"/>
  <c r="AN121" i="32"/>
  <c r="AP165" i="31"/>
  <c r="AQ159" i="31"/>
  <c r="AQ164" i="31" s="1"/>
  <c r="AR291" i="27"/>
  <c r="AR316" i="27" s="1"/>
  <c r="AR318" i="27" s="1"/>
  <c r="AR158" i="31"/>
  <c r="AR154" i="31" s="1"/>
  <c r="L4" i="54" s="1"/>
  <c r="AN230" i="27"/>
  <c r="AO161" i="31"/>
  <c r="AP196" i="27"/>
  <c r="AP215" i="27" s="1"/>
  <c r="AP209" i="27" s="1"/>
  <c r="AP216" i="27" s="1"/>
  <c r="AP17" i="28" s="1"/>
  <c r="AR199" i="27"/>
  <c r="AR190" i="27" s="1"/>
  <c r="AR191" i="27" s="1"/>
  <c r="AT115" i="27"/>
  <c r="N7" i="38" s="1"/>
  <c r="AR189" i="31"/>
  <c r="AP125" i="31"/>
  <c r="AT25" i="31"/>
  <c r="N20" i="51" s="1"/>
  <c r="AR26" i="31"/>
  <c r="M21" i="51" s="1"/>
  <c r="AP219" i="28"/>
  <c r="AP228" i="27"/>
  <c r="AP367" i="27" s="1"/>
  <c r="AP365" i="27" s="1"/>
  <c r="AP102" i="28" s="1"/>
  <c r="AR202" i="27"/>
  <c r="AT176" i="27"/>
  <c r="M8" i="39" s="1"/>
  <c r="AQ203" i="27"/>
  <c r="AQ181" i="27"/>
  <c r="AQ207" i="27" s="1"/>
  <c r="AR262" i="27"/>
  <c r="AP239" i="31"/>
  <c r="AP241" i="31"/>
  <c r="AP240" i="31" s="1"/>
  <c r="AP62" i="31" s="1"/>
  <c r="AQ233" i="31"/>
  <c r="AQ51" i="32" s="1"/>
  <c r="AT280" i="27"/>
  <c r="M28" i="40" s="1"/>
  <c r="AR279" i="27"/>
  <c r="AT279" i="27" s="1"/>
  <c r="M27" i="40" s="1"/>
  <c r="AT163" i="27"/>
  <c r="N43" i="38" s="1"/>
  <c r="AM59" i="28" l="1"/>
  <c r="AM37" i="31" s="1"/>
  <c r="AM41" i="31" s="1"/>
  <c r="K11" i="58"/>
  <c r="AO483" i="27"/>
  <c r="AO141" i="27"/>
  <c r="M27" i="38" s="1"/>
  <c r="K14" i="54"/>
  <c r="M45" i="41"/>
  <c r="AN242" i="31"/>
  <c r="L8" i="57"/>
  <c r="L16" i="39"/>
  <c r="AT263" i="27"/>
  <c r="M18" i="40" s="1"/>
  <c r="L18" i="40"/>
  <c r="J111" i="31"/>
  <c r="K111" i="31" s="1"/>
  <c r="AR701" i="27"/>
  <c r="AR702" i="27" s="1"/>
  <c r="E38" i="52"/>
  <c r="K25" i="49"/>
  <c r="AO51" i="32"/>
  <c r="L8" i="40"/>
  <c r="L35" i="40"/>
  <c r="D55" i="52"/>
  <c r="AO166" i="31"/>
  <c r="AK216" i="27"/>
  <c r="AK17" i="28" s="1"/>
  <c r="AO496" i="27"/>
  <c r="AO63" i="28" s="1"/>
  <c r="AO241" i="31"/>
  <c r="AR216" i="31"/>
  <c r="AT216" i="31" s="1"/>
  <c r="M4" i="56" s="1"/>
  <c r="L3" i="56"/>
  <c r="E60" i="52"/>
  <c r="E37" i="52"/>
  <c r="L15" i="39"/>
  <c r="L27" i="40"/>
  <c r="E56" i="52"/>
  <c r="AN482" i="27"/>
  <c r="AN499" i="27" s="1"/>
  <c r="L91" i="41" s="1"/>
  <c r="AN500" i="27"/>
  <c r="AN670" i="27"/>
  <c r="AQ223" i="27"/>
  <c r="AO472" i="27"/>
  <c r="AK217" i="27"/>
  <c r="AP217" i="27"/>
  <c r="AP227" i="27"/>
  <c r="AP682" i="27" s="1"/>
  <c r="AR193" i="27"/>
  <c r="AR192" i="27"/>
  <c r="AR211" i="27" s="1"/>
  <c r="AO193" i="27"/>
  <c r="AO192" i="27"/>
  <c r="AT192" i="27" s="1"/>
  <c r="AR195" i="27"/>
  <c r="AR214" i="27" s="1"/>
  <c r="AR194" i="27"/>
  <c r="AO195" i="27"/>
  <c r="AO194" i="27"/>
  <c r="AP463" i="27"/>
  <c r="AP472" i="27" s="1"/>
  <c r="AP490" i="27" s="1"/>
  <c r="AP501" i="27" s="1"/>
  <c r="AQ219" i="27"/>
  <c r="AP12" i="28"/>
  <c r="AQ201" i="27"/>
  <c r="AQ208" i="27" s="1"/>
  <c r="AQ570" i="27"/>
  <c r="I106" i="31"/>
  <c r="L133" i="31"/>
  <c r="M133" i="31" s="1"/>
  <c r="P105" i="31"/>
  <c r="F33" i="52" s="1"/>
  <c r="M132" i="31"/>
  <c r="M109" i="31"/>
  <c r="J104" i="31"/>
  <c r="K131" i="31"/>
  <c r="I107" i="31"/>
  <c r="L108" i="31"/>
  <c r="E36" i="52" s="1"/>
  <c r="M128" i="31"/>
  <c r="M110" i="31"/>
  <c r="AM522" i="27"/>
  <c r="AQ635" i="27"/>
  <c r="AQ644" i="27" s="1"/>
  <c r="AP640" i="27"/>
  <c r="AQ626" i="27"/>
  <c r="AQ598" i="27"/>
  <c r="AQ584" i="27"/>
  <c r="AR458" i="27"/>
  <c r="AR397" i="27"/>
  <c r="AT397" i="27" s="1"/>
  <c r="N11" i="41" s="1"/>
  <c r="AR395" i="27"/>
  <c r="M9" i="41" s="1"/>
  <c r="AR392" i="27"/>
  <c r="AR84" i="27" s="1"/>
  <c r="AT84" i="27" s="1"/>
  <c r="AR456" i="27"/>
  <c r="M65" i="41" s="1"/>
  <c r="AR454" i="27"/>
  <c r="M63" i="41" s="1"/>
  <c r="AQ92" i="27"/>
  <c r="AR92" i="27"/>
  <c r="AR455" i="27"/>
  <c r="M64" i="41" s="1"/>
  <c r="AR457" i="27"/>
  <c r="AR565" i="27" s="1"/>
  <c r="M10" i="43" s="1"/>
  <c r="AR396" i="27"/>
  <c r="AT396" i="27" s="1"/>
  <c r="B396" i="27" s="1"/>
  <c r="AR453" i="27"/>
  <c r="AT453" i="27" s="1"/>
  <c r="N62" i="41" s="1"/>
  <c r="AR393" i="27"/>
  <c r="M7" i="41" s="1"/>
  <c r="AR394" i="27"/>
  <c r="M8" i="41" s="1"/>
  <c r="AR430" i="27"/>
  <c r="AT430" i="27" s="1"/>
  <c r="B430" i="27" s="1"/>
  <c r="AR427" i="27"/>
  <c r="AT427" i="27" s="1"/>
  <c r="B427" i="27" s="1"/>
  <c r="AR432" i="27"/>
  <c r="M46" i="41" s="1"/>
  <c r="AR428" i="27"/>
  <c r="M42" i="41" s="1"/>
  <c r="AR429" i="27"/>
  <c r="AT429" i="27" s="1"/>
  <c r="AT428" i="27"/>
  <c r="B428" i="27" s="1"/>
  <c r="AT432" i="27"/>
  <c r="AQ459" i="27"/>
  <c r="AQ433" i="27"/>
  <c r="AP451" i="27"/>
  <c r="AP496" i="27" s="1"/>
  <c r="AP667" i="27" s="1"/>
  <c r="AT393" i="27"/>
  <c r="N7" i="41" s="1"/>
  <c r="AQ398" i="27"/>
  <c r="AQ436" i="27" s="1"/>
  <c r="AQ447" i="27" s="1"/>
  <c r="AT431" i="27"/>
  <c r="B431" i="27" s="1"/>
  <c r="AT700" i="27"/>
  <c r="AI42" i="31"/>
  <c r="AI44" i="31" s="1"/>
  <c r="AQ275" i="27"/>
  <c r="AQ272" i="27" s="1"/>
  <c r="AQ271" i="27" s="1"/>
  <c r="AR275" i="27"/>
  <c r="AR272" i="27" s="1"/>
  <c r="AP272" i="27"/>
  <c r="AH43" i="31"/>
  <c r="AT303" i="27"/>
  <c r="M43" i="40" s="1"/>
  <c r="AJ38" i="31"/>
  <c r="K29" i="51" s="1"/>
  <c r="AR321" i="27"/>
  <c r="AR323" i="27" s="1"/>
  <c r="AR155" i="27"/>
  <c r="AR245" i="27"/>
  <c r="AG138" i="32"/>
  <c r="AH123" i="32"/>
  <c r="AT215" i="31"/>
  <c r="M3" i="56" s="1"/>
  <c r="AR100" i="31"/>
  <c r="M28" i="52" s="1"/>
  <c r="AT73" i="31"/>
  <c r="N3" i="52" s="1"/>
  <c r="I127" i="31"/>
  <c r="AO240" i="31"/>
  <c r="AR50" i="31"/>
  <c r="M41" i="51" s="1"/>
  <c r="AO239" i="31"/>
  <c r="AK41" i="31"/>
  <c r="AM62" i="31"/>
  <c r="L53" i="51" s="1"/>
  <c r="AQ168" i="31"/>
  <c r="AT291" i="27"/>
  <c r="M35" i="40" s="1"/>
  <c r="AQ165" i="31"/>
  <c r="AN120" i="32"/>
  <c r="AT316" i="27"/>
  <c r="AN683" i="27"/>
  <c r="AO205" i="27"/>
  <c r="AK121" i="32"/>
  <c r="AK229" i="28"/>
  <c r="AM219" i="28"/>
  <c r="L12" i="49" s="1"/>
  <c r="AM219" i="27"/>
  <c r="K23" i="39" s="1"/>
  <c r="AM228" i="27"/>
  <c r="AK12" i="28"/>
  <c r="L9" i="44" s="1"/>
  <c r="AO319" i="27"/>
  <c r="AQ262" i="27"/>
  <c r="L17" i="40" s="1"/>
  <c r="AO210" i="27"/>
  <c r="AO222" i="27" s="1"/>
  <c r="AM215" i="27"/>
  <c r="AM227" i="27" s="1"/>
  <c r="AO204" i="27"/>
  <c r="AO203" i="27"/>
  <c r="AO181" i="27"/>
  <c r="AO206" i="27"/>
  <c r="AK88" i="32"/>
  <c r="AK682" i="27"/>
  <c r="AK230" i="27"/>
  <c r="AK233" i="27" s="1"/>
  <c r="AO314" i="27"/>
  <c r="AQ163" i="31"/>
  <c r="AR159" i="31"/>
  <c r="AR168" i="31" s="1"/>
  <c r="AQ162" i="31"/>
  <c r="AR314" i="27"/>
  <c r="AP161" i="31"/>
  <c r="AP228" i="28"/>
  <c r="AP88" i="32" s="1"/>
  <c r="AP18" i="32"/>
  <c r="AT191" i="27"/>
  <c r="M16" i="39" s="1"/>
  <c r="AQ219" i="28"/>
  <c r="AQ228" i="27"/>
  <c r="AQ367" i="27" s="1"/>
  <c r="AQ365" i="27" s="1"/>
  <c r="AQ102" i="28" s="1"/>
  <c r="AP231" i="28"/>
  <c r="AQ196" i="27"/>
  <c r="AQ215" i="27" s="1"/>
  <c r="AQ209" i="27" s="1"/>
  <c r="AQ216" i="27" s="1"/>
  <c r="AQ17" i="28" s="1"/>
  <c r="AR210" i="27"/>
  <c r="AR222" i="27" s="1"/>
  <c r="L111" i="31"/>
  <c r="M111" i="31" s="1"/>
  <c r="AT118" i="27"/>
  <c r="N9" i="38" s="1"/>
  <c r="AT178" i="27"/>
  <c r="AR204" i="27"/>
  <c r="AT202" i="27"/>
  <c r="AT180" i="27"/>
  <c r="AR206" i="27"/>
  <c r="AT179" i="27"/>
  <c r="AR205" i="27"/>
  <c r="AT177" i="27"/>
  <c r="AR203" i="27"/>
  <c r="AR181" i="27"/>
  <c r="F443" i="27"/>
  <c r="F444" i="27"/>
  <c r="F487" i="27" s="1"/>
  <c r="F84" i="28" s="1"/>
  <c r="G444" i="27"/>
  <c r="G487" i="27" s="1"/>
  <c r="G84" i="28" s="1"/>
  <c r="G443" i="27"/>
  <c r="H444" i="27"/>
  <c r="D52" i="41" s="1"/>
  <c r="H443" i="27"/>
  <c r="D51" i="41" s="1"/>
  <c r="I443" i="27"/>
  <c r="I444" i="27"/>
  <c r="I487" i="27" s="1"/>
  <c r="I84" i="28" s="1"/>
  <c r="K444" i="27"/>
  <c r="K487" i="27" s="1"/>
  <c r="K84" i="28" s="1"/>
  <c r="J444" i="27"/>
  <c r="J487" i="27" s="1"/>
  <c r="J84" i="28" s="1"/>
  <c r="J443" i="27"/>
  <c r="K443" i="27"/>
  <c r="L443" i="27"/>
  <c r="E51" i="41" s="1"/>
  <c r="L444" i="27"/>
  <c r="E52" i="41" s="1"/>
  <c r="M444" i="27"/>
  <c r="M487" i="27" s="1"/>
  <c r="M84" i="28" s="1"/>
  <c r="M443" i="27"/>
  <c r="N443" i="27"/>
  <c r="N444" i="27"/>
  <c r="N487" i="27" s="1"/>
  <c r="N84" i="28" s="1"/>
  <c r="O444" i="27"/>
  <c r="O487" i="27" s="1"/>
  <c r="O84" i="28" s="1"/>
  <c r="O443" i="27"/>
  <c r="P444" i="27"/>
  <c r="F52" i="41" s="1"/>
  <c r="P443" i="27"/>
  <c r="F51" i="41" s="1"/>
  <c r="AT143" i="27"/>
  <c r="N28" i="38" s="1"/>
  <c r="AR218" i="28" l="1"/>
  <c r="AT702" i="27"/>
  <c r="AT262" i="27"/>
  <c r="M17" i="40" s="1"/>
  <c r="L48" i="40"/>
  <c r="J127" i="31"/>
  <c r="K127" i="31" s="1"/>
  <c r="N110" i="31"/>
  <c r="J106" i="31"/>
  <c r="K106" i="31" s="1"/>
  <c r="AO490" i="27"/>
  <c r="AO501" i="27" s="1"/>
  <c r="AN498" i="27"/>
  <c r="L90" i="41" s="1"/>
  <c r="L85" i="41"/>
  <c r="M66" i="41"/>
  <c r="AO667" i="27"/>
  <c r="E61" i="52"/>
  <c r="L7" i="54"/>
  <c r="E39" i="52"/>
  <c r="M41" i="41"/>
  <c r="M15" i="37"/>
  <c r="M43" i="41"/>
  <c r="M62" i="41"/>
  <c r="B218" i="28"/>
  <c r="B11" i="49" s="1"/>
  <c r="M11" i="49"/>
  <c r="AP166" i="31"/>
  <c r="AP228" i="31" s="1"/>
  <c r="AP242" i="31" s="1"/>
  <c r="AP63" i="31" s="1"/>
  <c r="L26" i="39"/>
  <c r="AK252" i="28"/>
  <c r="L16" i="54"/>
  <c r="AT245" i="27"/>
  <c r="M7" i="40" s="1"/>
  <c r="L7" i="40"/>
  <c r="L23" i="40"/>
  <c r="N46" i="41"/>
  <c r="B432" i="27"/>
  <c r="N43" i="41"/>
  <c r="B429" i="27"/>
  <c r="AT458" i="27"/>
  <c r="N67" i="41" s="1"/>
  <c r="M67" i="41"/>
  <c r="N132" i="31"/>
  <c r="O132" i="31" s="1"/>
  <c r="P132" i="31" s="1"/>
  <c r="AR224" i="31"/>
  <c r="L4" i="56"/>
  <c r="M6" i="41"/>
  <c r="M44" i="41"/>
  <c r="AN63" i="31"/>
  <c r="L54" i="51" s="1"/>
  <c r="L22" i="57"/>
  <c r="M11" i="41"/>
  <c r="M10" i="41"/>
  <c r="AN59" i="28"/>
  <c r="AP63" i="28"/>
  <c r="AR226" i="27"/>
  <c r="AR223" i="27"/>
  <c r="AQ217" i="27"/>
  <c r="AQ227" i="27"/>
  <c r="AQ230" i="27" s="1"/>
  <c r="AQ683" i="27" s="1"/>
  <c r="AT321" i="27"/>
  <c r="AP483" i="27"/>
  <c r="AP482" i="27" s="1"/>
  <c r="AP498" i="27" s="1"/>
  <c r="AQ463" i="27"/>
  <c r="AQ472" i="27" s="1"/>
  <c r="AQ490" i="27" s="1"/>
  <c r="AQ501" i="27" s="1"/>
  <c r="AP500" i="27"/>
  <c r="AQ451" i="27"/>
  <c r="AQ496" i="27" s="1"/>
  <c r="AQ667" i="27" s="1"/>
  <c r="AQ493" i="27"/>
  <c r="AQ12" i="28"/>
  <c r="AT392" i="27"/>
  <c r="N6" i="41" s="1"/>
  <c r="N133" i="31"/>
  <c r="O133" i="31" s="1"/>
  <c r="P133" i="31" s="1"/>
  <c r="Q133" i="31" s="1"/>
  <c r="J107" i="31"/>
  <c r="K107" i="31" s="1"/>
  <c r="L131" i="31"/>
  <c r="E59" i="52" s="1"/>
  <c r="K104" i="31"/>
  <c r="O110" i="31"/>
  <c r="P110" i="31" s="1"/>
  <c r="N128" i="31"/>
  <c r="Q105" i="31"/>
  <c r="N109" i="31"/>
  <c r="M108" i="31"/>
  <c r="U194" i="31"/>
  <c r="G22" i="55" s="1"/>
  <c r="U191" i="31"/>
  <c r="G19" i="55" s="1"/>
  <c r="AT456" i="27"/>
  <c r="B456" i="27" s="1"/>
  <c r="AQ640" i="27"/>
  <c r="AR635" i="27"/>
  <c r="M65" i="43" s="1"/>
  <c r="AT394" i="27"/>
  <c r="B394" i="27" s="1"/>
  <c r="AD403" i="27" s="1"/>
  <c r="AR621" i="27"/>
  <c r="M54" i="43" s="1"/>
  <c r="AT395" i="27"/>
  <c r="B395" i="27" s="1"/>
  <c r="S404" i="27" s="1"/>
  <c r="AR607" i="27"/>
  <c r="M43" i="43" s="1"/>
  <c r="AT455" i="27"/>
  <c r="N64" i="41" s="1"/>
  <c r="AR593" i="27"/>
  <c r="M32" i="43" s="1"/>
  <c r="AR579" i="27"/>
  <c r="M21" i="43" s="1"/>
  <c r="AT457" i="27"/>
  <c r="B457" i="27" s="1"/>
  <c r="B84" i="27"/>
  <c r="I85" i="27" s="1"/>
  <c r="N15" i="37"/>
  <c r="AR433" i="27"/>
  <c r="M47" i="41" s="1"/>
  <c r="AT92" i="27"/>
  <c r="N42" i="41"/>
  <c r="AT454" i="27"/>
  <c r="N63" i="41" s="1"/>
  <c r="AR459" i="27"/>
  <c r="M68" i="41" s="1"/>
  <c r="AR398" i="27"/>
  <c r="M12" i="41" s="1"/>
  <c r="N41" i="41"/>
  <c r="N44" i="41"/>
  <c r="B393" i="27"/>
  <c r="E402" i="27" s="1"/>
  <c r="N10" i="41"/>
  <c r="AO194" i="31"/>
  <c r="L22" i="55" s="1"/>
  <c r="B397" i="27"/>
  <c r="AH406" i="27" s="1"/>
  <c r="N45" i="41"/>
  <c r="AI43" i="31"/>
  <c r="AK38" i="31"/>
  <c r="AR405" i="27"/>
  <c r="E405" i="27"/>
  <c r="AP271" i="27"/>
  <c r="AT272" i="27"/>
  <c r="M23" i="40" s="1"/>
  <c r="AR271" i="27"/>
  <c r="AR319" i="27"/>
  <c r="AT319" i="27" s="1"/>
  <c r="M49" i="40" s="1"/>
  <c r="AJ42" i="31"/>
  <c r="K33" i="51" s="1"/>
  <c r="AN119" i="32"/>
  <c r="AN134" i="32"/>
  <c r="AT100" i="31"/>
  <c r="N28" i="52" s="1"/>
  <c r="AH138" i="32"/>
  <c r="AI123" i="32"/>
  <c r="AR101" i="31"/>
  <c r="M29" i="52" s="1"/>
  <c r="B453" i="27"/>
  <c r="AT210" i="27"/>
  <c r="AO191" i="31"/>
  <c r="L19" i="55" s="1"/>
  <c r="AQ229" i="31"/>
  <c r="AO228" i="31"/>
  <c r="AO62" i="31"/>
  <c r="Q405" i="27"/>
  <c r="O405" i="27"/>
  <c r="AB405" i="27"/>
  <c r="P405" i="27"/>
  <c r="X405" i="27"/>
  <c r="AE405" i="27"/>
  <c r="N405" i="27"/>
  <c r="T405" i="27"/>
  <c r="U405" i="27"/>
  <c r="F405" i="27"/>
  <c r="H405" i="27"/>
  <c r="S405" i="27"/>
  <c r="Y405" i="27"/>
  <c r="K405" i="27"/>
  <c r="AQ405" i="27"/>
  <c r="AL405" i="27"/>
  <c r="AH405" i="27"/>
  <c r="L405" i="27"/>
  <c r="AA405" i="27"/>
  <c r="AN405" i="27"/>
  <c r="AO405" i="27"/>
  <c r="M405" i="27"/>
  <c r="AP405" i="27"/>
  <c r="W405" i="27"/>
  <c r="AM405" i="27"/>
  <c r="AF405" i="27"/>
  <c r="AD405" i="27"/>
  <c r="AG405" i="27"/>
  <c r="R405" i="27"/>
  <c r="G405" i="27"/>
  <c r="AK405" i="27"/>
  <c r="Z405" i="27"/>
  <c r="I405" i="27"/>
  <c r="AI405" i="27"/>
  <c r="V405" i="27"/>
  <c r="AJ405" i="27"/>
  <c r="AC405" i="27"/>
  <c r="J405" i="27"/>
  <c r="AR164" i="31"/>
  <c r="L12" i="54" s="1"/>
  <c r="AT204" i="27"/>
  <c r="AR163" i="31"/>
  <c r="AT163" i="31" s="1"/>
  <c r="M11" i="54" s="1"/>
  <c r="AR165" i="31"/>
  <c r="AT165" i="31" s="1"/>
  <c r="M13" i="54" s="1"/>
  <c r="AT205" i="27"/>
  <c r="AT193" i="27"/>
  <c r="AT314" i="27"/>
  <c r="M48" i="40" s="1"/>
  <c r="AR162" i="31"/>
  <c r="L10" i="54" s="1"/>
  <c r="AT194" i="27"/>
  <c r="L487" i="27"/>
  <c r="AK684" i="27"/>
  <c r="AK217" i="28" s="1"/>
  <c r="AK234" i="28"/>
  <c r="AK235" i="28"/>
  <c r="AK233" i="28"/>
  <c r="AK236" i="28"/>
  <c r="AO207" i="27"/>
  <c r="AM209" i="27"/>
  <c r="AO212" i="27"/>
  <c r="AO224" i="27" s="1"/>
  <c r="AO214" i="27"/>
  <c r="AT214" i="27" s="1"/>
  <c r="AO211" i="27"/>
  <c r="AO223" i="27" s="1"/>
  <c r="AO196" i="27"/>
  <c r="AM367" i="27"/>
  <c r="AM365" i="27" s="1"/>
  <c r="AM102" i="28" s="1"/>
  <c r="AN232" i="27"/>
  <c r="AN48" i="28" s="1"/>
  <c r="AM231" i="28"/>
  <c r="L24" i="49" s="1"/>
  <c r="AM228" i="28"/>
  <c r="L21" i="49" s="1"/>
  <c r="AM18" i="32"/>
  <c r="L12" i="58" s="1"/>
  <c r="AK120" i="32"/>
  <c r="P487" i="27"/>
  <c r="H487" i="27"/>
  <c r="AK683" i="27"/>
  <c r="AL233" i="27"/>
  <c r="AO213" i="27"/>
  <c r="AO225" i="27" s="1"/>
  <c r="AM232" i="27"/>
  <c r="AQ232" i="27"/>
  <c r="AQ48" i="28" s="1"/>
  <c r="AQ161" i="31"/>
  <c r="AP229" i="28"/>
  <c r="AP252" i="28" s="1"/>
  <c r="AP121" i="32"/>
  <c r="AQ231" i="28"/>
  <c r="AP230" i="27"/>
  <c r="AQ228" i="28"/>
  <c r="AT195" i="27"/>
  <c r="AR213" i="27"/>
  <c r="AR225" i="27" s="1"/>
  <c r="AR219" i="28"/>
  <c r="AR212" i="27"/>
  <c r="AR224" i="27" s="1"/>
  <c r="AR196" i="27"/>
  <c r="AT116" i="27"/>
  <c r="N8" i="38" s="1"/>
  <c r="N111" i="31"/>
  <c r="AT218" i="28"/>
  <c r="N11" i="49" s="1"/>
  <c r="AR230" i="28"/>
  <c r="AT203" i="27"/>
  <c r="AT206" i="27"/>
  <c r="AR207" i="27"/>
  <c r="AT181" i="27"/>
  <c r="N486" i="27"/>
  <c r="N103" i="28" s="1"/>
  <c r="L486" i="27"/>
  <c r="J486" i="27"/>
  <c r="J103" i="28" s="1"/>
  <c r="I486" i="27"/>
  <c r="I103" i="28" s="1"/>
  <c r="F486" i="27"/>
  <c r="F103" i="28" s="1"/>
  <c r="P486" i="27"/>
  <c r="O486" i="27"/>
  <c r="O103" i="28" s="1"/>
  <c r="M486" i="27"/>
  <c r="M103" i="28" s="1"/>
  <c r="K486" i="27"/>
  <c r="K103" i="28" s="1"/>
  <c r="H486" i="27"/>
  <c r="G486" i="27"/>
  <c r="G103" i="28" s="1"/>
  <c r="AT168" i="31"/>
  <c r="M16" i="54" s="1"/>
  <c r="AR229" i="31"/>
  <c r="AT141" i="27"/>
  <c r="N27" i="38" s="1"/>
  <c r="AN522" i="27" l="1"/>
  <c r="L127" i="31"/>
  <c r="E55" i="52" s="1"/>
  <c r="B458" i="27"/>
  <c r="B229" i="31"/>
  <c r="B9" i="57" s="1"/>
  <c r="L106" i="31"/>
  <c r="M106" i="31" s="1"/>
  <c r="AO482" i="27"/>
  <c r="AO499" i="27" s="1"/>
  <c r="F19" i="41"/>
  <c r="AQ166" i="31"/>
  <c r="AK134" i="32"/>
  <c r="AM216" i="27"/>
  <c r="AM17" i="28" s="1"/>
  <c r="L14" i="44" s="1"/>
  <c r="K20" i="39"/>
  <c r="AO498" i="27"/>
  <c r="K19" i="41"/>
  <c r="AQ18" i="32"/>
  <c r="M9" i="57"/>
  <c r="D19" i="41"/>
  <c r="AR13" i="32"/>
  <c r="B224" i="31"/>
  <c r="B4" i="57" s="1"/>
  <c r="M4" i="57"/>
  <c r="AT224" i="31"/>
  <c r="N4" i="57" s="1"/>
  <c r="AR233" i="31"/>
  <c r="F60" i="52"/>
  <c r="E34" i="52"/>
  <c r="L49" i="40"/>
  <c r="L13" i="54"/>
  <c r="B230" i="28"/>
  <c r="B23" i="49" s="1"/>
  <c r="M23" i="49"/>
  <c r="J19" i="41"/>
  <c r="E19" i="41"/>
  <c r="L19" i="41"/>
  <c r="M19" i="41"/>
  <c r="I19" i="41"/>
  <c r="H19" i="41"/>
  <c r="G19" i="41"/>
  <c r="L22" i="40"/>
  <c r="H404" i="27"/>
  <c r="AO500" i="27"/>
  <c r="AN37" i="31"/>
  <c r="L16" i="45"/>
  <c r="F61" i="52"/>
  <c r="F38" i="52"/>
  <c r="L11" i="54"/>
  <c r="AQ63" i="28"/>
  <c r="AP120" i="32"/>
  <c r="AP134" i="32" s="1"/>
  <c r="N65" i="41"/>
  <c r="AH403" i="27"/>
  <c r="AQ403" i="27"/>
  <c r="AQ483" i="27"/>
  <c r="AQ482" i="27" s="1"/>
  <c r="AQ498" i="27" s="1"/>
  <c r="AP499" i="27"/>
  <c r="AM217" i="27"/>
  <c r="K21" i="39" s="1"/>
  <c r="AO226" i="27"/>
  <c r="AP59" i="28"/>
  <c r="AP37" i="31" s="1"/>
  <c r="AT459" i="27"/>
  <c r="N68" i="41" s="1"/>
  <c r="AQ500" i="27"/>
  <c r="AR493" i="27"/>
  <c r="AP670" i="27"/>
  <c r="N106" i="31"/>
  <c r="O106" i="31" s="1"/>
  <c r="P106" i="31" s="1"/>
  <c r="R133" i="31"/>
  <c r="B392" i="27"/>
  <c r="AQ401" i="27" s="1"/>
  <c r="Q110" i="31"/>
  <c r="Q132" i="31"/>
  <c r="O109" i="31"/>
  <c r="N108" i="31"/>
  <c r="O108" i="31" s="1"/>
  <c r="P108" i="31" s="1"/>
  <c r="Q108" i="31" s="1"/>
  <c r="O128" i="31"/>
  <c r="P128" i="31" s="1"/>
  <c r="L107" i="31"/>
  <c r="E35" i="52" s="1"/>
  <c r="R105" i="31"/>
  <c r="S105" i="31" s="1"/>
  <c r="T105" i="31" s="1"/>
  <c r="L104" i="31"/>
  <c r="E32" i="52" s="1"/>
  <c r="M131" i="31"/>
  <c r="AK192" i="31"/>
  <c r="K20" i="55" s="1"/>
  <c r="Q435" i="27"/>
  <c r="Q192" i="31"/>
  <c r="F20" i="55" s="1"/>
  <c r="AO195" i="31"/>
  <c r="L23" i="55" s="1"/>
  <c r="U195" i="31"/>
  <c r="G23" i="55" s="1"/>
  <c r="U435" i="27"/>
  <c r="B454" i="27"/>
  <c r="O403" i="27"/>
  <c r="W403" i="27"/>
  <c r="F403" i="27"/>
  <c r="AM403" i="27"/>
  <c r="L403" i="27"/>
  <c r="Q403" i="27"/>
  <c r="X403" i="27"/>
  <c r="Z403" i="27"/>
  <c r="AK403" i="27"/>
  <c r="M403" i="27"/>
  <c r="P403" i="27"/>
  <c r="U403" i="27"/>
  <c r="H403" i="27"/>
  <c r="AL403" i="27"/>
  <c r="AG403" i="27"/>
  <c r="V403" i="27"/>
  <c r="I403" i="27"/>
  <c r="E403" i="27"/>
  <c r="K403" i="27"/>
  <c r="AN403" i="27"/>
  <c r="AE403" i="27"/>
  <c r="N403" i="27"/>
  <c r="T403" i="27"/>
  <c r="AB403" i="27"/>
  <c r="AR403" i="27"/>
  <c r="Y403" i="27"/>
  <c r="S403" i="27"/>
  <c r="AO403" i="27"/>
  <c r="AF403" i="27"/>
  <c r="G403" i="27"/>
  <c r="AC403" i="27"/>
  <c r="AP403" i="27"/>
  <c r="R403" i="27"/>
  <c r="AJ403" i="27"/>
  <c r="AI403" i="27"/>
  <c r="AA403" i="27"/>
  <c r="N8" i="41"/>
  <c r="J403" i="27"/>
  <c r="AR640" i="27"/>
  <c r="B640" i="27" s="1"/>
  <c r="AT635" i="27"/>
  <c r="AR644" i="27"/>
  <c r="M72" i="43" s="1"/>
  <c r="AR626" i="27"/>
  <c r="B626" i="27" s="1"/>
  <c r="AT621" i="27"/>
  <c r="AK404" i="27"/>
  <c r="AR404" i="27"/>
  <c r="Q404" i="27"/>
  <c r="AT433" i="27"/>
  <c r="N47" i="41" s="1"/>
  <c r="B433" i="27"/>
  <c r="AH404" i="27"/>
  <c r="F404" i="27"/>
  <c r="AA404" i="27"/>
  <c r="X404" i="27"/>
  <c r="E85" i="27"/>
  <c r="B455" i="27"/>
  <c r="N9" i="41"/>
  <c r="AM404" i="27"/>
  <c r="L404" i="27"/>
  <c r="R404" i="27"/>
  <c r="Y404" i="27"/>
  <c r="AP404" i="27"/>
  <c r="T404" i="27"/>
  <c r="AO404" i="27"/>
  <c r="I404" i="27"/>
  <c r="U404" i="27"/>
  <c r="AC404" i="27"/>
  <c r="J404" i="27"/>
  <c r="V404" i="27"/>
  <c r="M404" i="27"/>
  <c r="O404" i="27"/>
  <c r="AL404" i="27"/>
  <c r="AB404" i="27"/>
  <c r="AN404" i="27"/>
  <c r="AQ404" i="27"/>
  <c r="K404" i="27"/>
  <c r="AG404" i="27"/>
  <c r="P404" i="27"/>
  <c r="AD404" i="27"/>
  <c r="AI404" i="27"/>
  <c r="N404" i="27"/>
  <c r="Z404" i="27"/>
  <c r="AF404" i="27"/>
  <c r="G404" i="27"/>
  <c r="E404" i="27"/>
  <c r="W404" i="27"/>
  <c r="AE404" i="27"/>
  <c r="AJ404" i="27"/>
  <c r="AR451" i="27"/>
  <c r="M59" i="41" s="1"/>
  <c r="AR436" i="27"/>
  <c r="AT398" i="27"/>
  <c r="B398" i="27" s="1"/>
  <c r="AR598" i="27"/>
  <c r="B598" i="27" s="1"/>
  <c r="AT593" i="27"/>
  <c r="AL85" i="27"/>
  <c r="N66" i="41"/>
  <c r="P85" i="27"/>
  <c r="AD85" i="27"/>
  <c r="AM85" i="27"/>
  <c r="AP85" i="27"/>
  <c r="AH85" i="27"/>
  <c r="X85" i="27"/>
  <c r="H85" i="27"/>
  <c r="AA85" i="27"/>
  <c r="AR584" i="27"/>
  <c r="B584" i="27" s="1"/>
  <c r="AT579" i="27"/>
  <c r="AR85" i="27"/>
  <c r="AN85" i="27"/>
  <c r="AJ85" i="27"/>
  <c r="AF85" i="27"/>
  <c r="AB85" i="27"/>
  <c r="T85" i="27"/>
  <c r="L85" i="27"/>
  <c r="AQ85" i="27"/>
  <c r="AI85" i="27"/>
  <c r="S85" i="27"/>
  <c r="AE85" i="27"/>
  <c r="W85" i="27"/>
  <c r="M85" i="27"/>
  <c r="AR570" i="27"/>
  <c r="B570" i="27" s="1"/>
  <c r="AT565" i="27"/>
  <c r="Z85" i="27"/>
  <c r="V85" i="27"/>
  <c r="R85" i="27"/>
  <c r="N85" i="27"/>
  <c r="J85" i="27"/>
  <c r="F85" i="27"/>
  <c r="AO85" i="27"/>
  <c r="AK85" i="27"/>
  <c r="AG85" i="27"/>
  <c r="AC85" i="27"/>
  <c r="Y85" i="27"/>
  <c r="U85" i="27"/>
  <c r="Q85" i="27"/>
  <c r="O85" i="27"/>
  <c r="K85" i="27"/>
  <c r="G85" i="27"/>
  <c r="B92" i="27"/>
  <c r="AO435" i="27"/>
  <c r="AR463" i="27"/>
  <c r="AN402" i="27"/>
  <c r="Q402" i="27"/>
  <c r="G402" i="27"/>
  <c r="AK402" i="27"/>
  <c r="J406" i="27"/>
  <c r="P406" i="27"/>
  <c r="AK435" i="27"/>
  <c r="N402" i="27"/>
  <c r="J402" i="27"/>
  <c r="AG402" i="27"/>
  <c r="AC402" i="27"/>
  <c r="AP402" i="27"/>
  <c r="AD402" i="27"/>
  <c r="V402" i="27"/>
  <c r="W402" i="27"/>
  <c r="AF402" i="27"/>
  <c r="AJ402" i="27"/>
  <c r="Y402" i="27"/>
  <c r="AQ402" i="27"/>
  <c r="AA402" i="27"/>
  <c r="U402" i="27"/>
  <c r="AR402" i="27"/>
  <c r="AO402" i="27"/>
  <c r="AM402" i="27"/>
  <c r="AH402" i="27"/>
  <c r="H402" i="27"/>
  <c r="AL402" i="27"/>
  <c r="AB402" i="27"/>
  <c r="X402" i="27"/>
  <c r="S402" i="27"/>
  <c r="M402" i="27"/>
  <c r="L402" i="27"/>
  <c r="K402" i="27"/>
  <c r="O402" i="27"/>
  <c r="P402" i="27"/>
  <c r="T402" i="27"/>
  <c r="Z402" i="27"/>
  <c r="R402" i="27"/>
  <c r="I402" i="27"/>
  <c r="AE402" i="27"/>
  <c r="AI402" i="27"/>
  <c r="F402" i="27"/>
  <c r="AI406" i="27"/>
  <c r="W406" i="27"/>
  <c r="X406" i="27"/>
  <c r="AM129" i="27"/>
  <c r="AM132" i="27" s="1"/>
  <c r="O406" i="27"/>
  <c r="AF406" i="27"/>
  <c r="AR406" i="27"/>
  <c r="Z406" i="27"/>
  <c r="AA406" i="27"/>
  <c r="AE406" i="27"/>
  <c r="N406" i="27"/>
  <c r="G406" i="27"/>
  <c r="AP406" i="27"/>
  <c r="AO406" i="27"/>
  <c r="L406" i="27"/>
  <c r="R406" i="27"/>
  <c r="AG406" i="27"/>
  <c r="T406" i="27"/>
  <c r="E406" i="27"/>
  <c r="AL129" i="27"/>
  <c r="AL132" i="27" s="1"/>
  <c r="AI129" i="27"/>
  <c r="AI132" i="27" s="1"/>
  <c r="R129" i="27"/>
  <c r="R132" i="27" s="1"/>
  <c r="M129" i="27"/>
  <c r="AN406" i="27"/>
  <c r="AD406" i="27"/>
  <c r="O129" i="27"/>
  <c r="O132" i="27" s="1"/>
  <c r="AQ406" i="27"/>
  <c r="M406" i="27"/>
  <c r="U406" i="27"/>
  <c r="K406" i="27"/>
  <c r="AM406" i="27"/>
  <c r="H406" i="27"/>
  <c r="AL406" i="27"/>
  <c r="Y406" i="27"/>
  <c r="AB406" i="27"/>
  <c r="F406" i="27"/>
  <c r="S406" i="27"/>
  <c r="AJ406" i="27"/>
  <c r="AC406" i="27"/>
  <c r="V406" i="27"/>
  <c r="Q406" i="27"/>
  <c r="I406" i="27"/>
  <c r="AK406" i="27"/>
  <c r="Q129" i="27"/>
  <c r="N129" i="27"/>
  <c r="N132" i="27" s="1"/>
  <c r="AP129" i="27"/>
  <c r="AP132" i="27" s="1"/>
  <c r="G129" i="27"/>
  <c r="G132" i="27" s="1"/>
  <c r="AC129" i="27"/>
  <c r="W129" i="27"/>
  <c r="W132" i="27" s="1"/>
  <c r="AQ129" i="27"/>
  <c r="AQ132" i="27" s="1"/>
  <c r="K129" i="27"/>
  <c r="K132" i="27" s="1"/>
  <c r="S129" i="27"/>
  <c r="S132" i="27" s="1"/>
  <c r="AK42" i="31"/>
  <c r="AK44" i="31" s="1"/>
  <c r="Y129" i="27"/>
  <c r="AD129" i="27"/>
  <c r="AD132" i="27" s="1"/>
  <c r="Z129" i="27"/>
  <c r="Z132" i="27" s="1"/>
  <c r="AO129" i="27"/>
  <c r="AG129" i="27"/>
  <c r="AH129" i="27"/>
  <c r="AH132" i="27" s="1"/>
  <c r="AE129" i="27"/>
  <c r="AE132" i="27" s="1"/>
  <c r="U129" i="27"/>
  <c r="AA129" i="27"/>
  <c r="AA132" i="27" s="1"/>
  <c r="AK129" i="27"/>
  <c r="J129" i="27"/>
  <c r="J132" i="27" s="1"/>
  <c r="V129" i="27"/>
  <c r="V132" i="27" s="1"/>
  <c r="I129" i="27"/>
  <c r="AJ44" i="31"/>
  <c r="K35" i="51" s="1"/>
  <c r="AL38" i="31"/>
  <c r="AM38" i="31" s="1"/>
  <c r="AT271" i="27"/>
  <c r="M22" i="40" s="1"/>
  <c r="AJ43" i="31"/>
  <c r="K34" i="51" s="1"/>
  <c r="AP119" i="32"/>
  <c r="AT101" i="31"/>
  <c r="N29" i="52" s="1"/>
  <c r="F112" i="31"/>
  <c r="AK119" i="32"/>
  <c r="AI138" i="32"/>
  <c r="AJ123" i="32"/>
  <c r="K9" i="61" s="1"/>
  <c r="AT213" i="27"/>
  <c r="AO242" i="31"/>
  <c r="AT164" i="31"/>
  <c r="M12" i="54" s="1"/>
  <c r="AQ241" i="31"/>
  <c r="AQ239" i="31"/>
  <c r="AR161" i="31"/>
  <c r="L9" i="54" s="1"/>
  <c r="AT405" i="27"/>
  <c r="AT162" i="31"/>
  <c r="M10" i="54" s="1"/>
  <c r="AT212" i="27"/>
  <c r="AT223" i="27"/>
  <c r="P103" i="28"/>
  <c r="E23" i="46" s="1"/>
  <c r="L103" i="28"/>
  <c r="D23" i="46" s="1"/>
  <c r="AM48" i="28"/>
  <c r="L6" i="45" s="1"/>
  <c r="AO219" i="27"/>
  <c r="AO228" i="27"/>
  <c r="AO232" i="27" s="1"/>
  <c r="AO219" i="28"/>
  <c r="AL235" i="28"/>
  <c r="AL234" i="28"/>
  <c r="AL684" i="27"/>
  <c r="AL217" i="28" s="1"/>
  <c r="AL233" i="28"/>
  <c r="AL236" i="28"/>
  <c r="AM121" i="32"/>
  <c r="L7" i="61" s="1"/>
  <c r="AM229" i="28"/>
  <c r="AO215" i="27"/>
  <c r="AO227" i="27" s="1"/>
  <c r="AT211" i="27"/>
  <c r="AM682" i="27"/>
  <c r="AM230" i="27"/>
  <c r="AO201" i="27"/>
  <c r="AK17" i="32"/>
  <c r="AK232" i="28"/>
  <c r="L84" i="28"/>
  <c r="D4" i="46" s="1"/>
  <c r="H103" i="28"/>
  <c r="C23" i="46" s="1"/>
  <c r="H84" i="28"/>
  <c r="C4" i="46" s="1"/>
  <c r="P84" i="28"/>
  <c r="E4" i="46" s="1"/>
  <c r="AM88" i="32"/>
  <c r="L9" i="60" s="1"/>
  <c r="AO59" i="28"/>
  <c r="AO670" i="27"/>
  <c r="AQ229" i="28"/>
  <c r="AQ252" i="28" s="1"/>
  <c r="AR228" i="27"/>
  <c r="AR18" i="32"/>
  <c r="AP683" i="27"/>
  <c r="AQ233" i="27"/>
  <c r="AQ684" i="27" s="1"/>
  <c r="AQ217" i="28" s="1"/>
  <c r="AQ682" i="27"/>
  <c r="AR219" i="27"/>
  <c r="AT222" i="27"/>
  <c r="M26" i="39" s="1"/>
  <c r="AR215" i="27"/>
  <c r="AR227" i="27" s="1"/>
  <c r="AT196" i="27"/>
  <c r="M127" i="31"/>
  <c r="O111" i="31"/>
  <c r="P111" i="31" s="1"/>
  <c r="Q111" i="31" s="1"/>
  <c r="AT230" i="28"/>
  <c r="N23" i="49" s="1"/>
  <c r="AR228" i="28"/>
  <c r="AR231" i="28"/>
  <c r="AT207" i="27"/>
  <c r="AR201" i="27"/>
  <c r="AR208" i="27" s="1"/>
  <c r="AR239" i="31"/>
  <c r="AT229" i="31"/>
  <c r="N9" i="57" s="1"/>
  <c r="AR241" i="31"/>
  <c r="J17" i="41" l="1"/>
  <c r="B241" i="31"/>
  <c r="B21" i="57" s="1"/>
  <c r="B239" i="31"/>
  <c r="B19" i="57" s="1"/>
  <c r="L20" i="41"/>
  <c r="G20" i="41"/>
  <c r="J20" i="41"/>
  <c r="H20" i="41"/>
  <c r="D20" i="41"/>
  <c r="K20" i="41"/>
  <c r="E16" i="41"/>
  <c r="M16" i="41"/>
  <c r="M18" i="41"/>
  <c r="G17" i="41"/>
  <c r="D16" i="41"/>
  <c r="AM252" i="28"/>
  <c r="L22" i="49"/>
  <c r="AQ88" i="32"/>
  <c r="M19" i="57"/>
  <c r="G112" i="31"/>
  <c r="H112" i="31" s="1"/>
  <c r="D40" i="52" s="1"/>
  <c r="I132" i="27"/>
  <c r="I130" i="27" s="1"/>
  <c r="AG132" i="27"/>
  <c r="AG130" i="27" s="1"/>
  <c r="Y132" i="27"/>
  <c r="Y130" i="27" s="1"/>
  <c r="AC132" i="27"/>
  <c r="AC130" i="27" s="1"/>
  <c r="Q132" i="27"/>
  <c r="Q130" i="27" s="1"/>
  <c r="E20" i="41"/>
  <c r="I20" i="41"/>
  <c r="F20" i="41"/>
  <c r="M20" i="41"/>
  <c r="I16" i="41"/>
  <c r="K16" i="41"/>
  <c r="L16" i="41"/>
  <c r="G16" i="41"/>
  <c r="D18" i="41"/>
  <c r="K18" i="41"/>
  <c r="J18" i="41"/>
  <c r="E18" i="41"/>
  <c r="I18" i="41"/>
  <c r="E17" i="41"/>
  <c r="K17" i="41"/>
  <c r="L17" i="41"/>
  <c r="U494" i="27"/>
  <c r="H86" i="41" s="1"/>
  <c r="H48" i="41"/>
  <c r="V31" i="31"/>
  <c r="H24" i="51" s="1"/>
  <c r="Q494" i="27"/>
  <c r="G86" i="41" s="1"/>
  <c r="G48" i="41"/>
  <c r="R31" i="31"/>
  <c r="G24" i="51" s="1"/>
  <c r="R110" i="31"/>
  <c r="S110" i="31" s="1"/>
  <c r="T110" i="31" s="1"/>
  <c r="U110" i="31" s="1"/>
  <c r="AN41" i="31"/>
  <c r="L28" i="51"/>
  <c r="F36" i="52"/>
  <c r="AQ228" i="31"/>
  <c r="AQ17" i="32" s="1"/>
  <c r="AO37" i="31"/>
  <c r="AO208" i="27"/>
  <c r="L19" i="39"/>
  <c r="AT219" i="28"/>
  <c r="N12" i="49" s="1"/>
  <c r="M12" i="49"/>
  <c r="L23" i="39"/>
  <c r="AR166" i="31"/>
  <c r="L14" i="54" s="1"/>
  <c r="AQ121" i="32"/>
  <c r="M21" i="57"/>
  <c r="AK132" i="27"/>
  <c r="AK130" i="27" s="1"/>
  <c r="U132" i="27"/>
  <c r="U130" i="27" s="1"/>
  <c r="AO132" i="27"/>
  <c r="AO130" i="27" s="1"/>
  <c r="M132" i="27"/>
  <c r="M130" i="27" s="1"/>
  <c r="F16" i="41"/>
  <c r="H16" i="41"/>
  <c r="J16" i="41"/>
  <c r="L48" i="41"/>
  <c r="AL31" i="31"/>
  <c r="L24" i="51" s="1"/>
  <c r="M48" i="41"/>
  <c r="AP31" i="31"/>
  <c r="M24" i="51" s="1"/>
  <c r="F18" i="41"/>
  <c r="H18" i="41"/>
  <c r="G18" i="41"/>
  <c r="L18" i="41"/>
  <c r="M17" i="41"/>
  <c r="I17" i="41"/>
  <c r="D17" i="41"/>
  <c r="H17" i="41"/>
  <c r="F17" i="41"/>
  <c r="R132" i="31"/>
  <c r="S132" i="31" s="1"/>
  <c r="F34" i="52"/>
  <c r="AR51" i="32"/>
  <c r="B233" i="31"/>
  <c r="B13" i="57" s="1"/>
  <c r="M13" i="57"/>
  <c r="AT233" i="31"/>
  <c r="N13" i="57" s="1"/>
  <c r="B13" i="32"/>
  <c r="B7" i="58" s="1"/>
  <c r="M7" i="58"/>
  <c r="AT13" i="32"/>
  <c r="N7" i="58" s="1"/>
  <c r="G33" i="52"/>
  <c r="B219" i="28"/>
  <c r="B12" i="49" s="1"/>
  <c r="F56" i="52"/>
  <c r="F39" i="52"/>
  <c r="I401" i="27"/>
  <c r="AE401" i="27"/>
  <c r="AE407" i="27" s="1"/>
  <c r="AE439" i="27" s="1"/>
  <c r="B459" i="27"/>
  <c r="AQ499" i="27"/>
  <c r="AQ460" i="27" a="1"/>
  <c r="AQ460" i="27" s="1"/>
  <c r="AQ464" i="27" s="1"/>
  <c r="J130" i="27"/>
  <c r="AA130" i="27"/>
  <c r="AE130" i="27"/>
  <c r="AD130" i="27"/>
  <c r="K130" i="27"/>
  <c r="W130" i="27"/>
  <c r="G130" i="27"/>
  <c r="O130" i="27"/>
  <c r="R130" i="27"/>
  <c r="AL130" i="27"/>
  <c r="AM130" i="27"/>
  <c r="AN74" i="31"/>
  <c r="AN123" i="31" s="1"/>
  <c r="AN125" i="31" s="1"/>
  <c r="AK494" i="27"/>
  <c r="L86" i="41" s="1"/>
  <c r="F460" i="27" a="1"/>
  <c r="F460" i="27" s="1"/>
  <c r="F464" i="27" s="1"/>
  <c r="H460" i="27" a="1"/>
  <c r="H460" i="27" s="1"/>
  <c r="H464" i="27" s="1"/>
  <c r="J460" i="27" a="1"/>
  <c r="J460" i="27" s="1"/>
  <c r="J464" i="27" s="1"/>
  <c r="L460" i="27" a="1"/>
  <c r="L460" i="27" s="1"/>
  <c r="L464" i="27" s="1"/>
  <c r="N460" i="27" a="1"/>
  <c r="N460" i="27" s="1"/>
  <c r="N464" i="27" s="1"/>
  <c r="P460" i="27" a="1"/>
  <c r="P460" i="27" s="1"/>
  <c r="P464" i="27" s="1"/>
  <c r="R460" i="27" a="1"/>
  <c r="R460" i="27" s="1"/>
  <c r="R464" i="27" s="1"/>
  <c r="T460" i="27" a="1"/>
  <c r="T460" i="27" s="1"/>
  <c r="T464" i="27" s="1"/>
  <c r="V460" i="27" a="1"/>
  <c r="V460" i="27" s="1"/>
  <c r="V464" i="27" s="1"/>
  <c r="X460" i="27" a="1"/>
  <c r="X460" i="27" s="1"/>
  <c r="X464" i="27" s="1"/>
  <c r="Z460" i="27" a="1"/>
  <c r="Z460" i="27" s="1"/>
  <c r="Z464" i="27" s="1"/>
  <c r="AB460" i="27" a="1"/>
  <c r="AB460" i="27" s="1"/>
  <c r="AB464" i="27" s="1"/>
  <c r="AD460" i="27" a="1"/>
  <c r="AD460" i="27" s="1"/>
  <c r="AD464" i="27" s="1"/>
  <c r="AF460" i="27" a="1"/>
  <c r="AF460" i="27" s="1"/>
  <c r="AF464" i="27" s="1"/>
  <c r="AH460" i="27" a="1"/>
  <c r="AH460" i="27" s="1"/>
  <c r="AH464" i="27" s="1"/>
  <c r="AJ460" i="27" a="1"/>
  <c r="AJ460" i="27" s="1"/>
  <c r="AJ464" i="27" s="1"/>
  <c r="AL460" i="27" a="1"/>
  <c r="AL460" i="27" s="1"/>
  <c r="AL464" i="27" s="1"/>
  <c r="AN460" i="27" a="1"/>
  <c r="AN460" i="27" s="1"/>
  <c r="AN464" i="27" s="1"/>
  <c r="AP460" i="27" a="1"/>
  <c r="AP460" i="27" s="1"/>
  <c r="AP464" i="27" s="1"/>
  <c r="AR460" i="27" a="1"/>
  <c r="AR460" i="27" s="1"/>
  <c r="AR464" i="27" s="1"/>
  <c r="V130" i="27"/>
  <c r="AH130" i="27"/>
  <c r="Z130" i="27"/>
  <c r="S130" i="27"/>
  <c r="AQ130" i="27"/>
  <c r="AP130" i="27"/>
  <c r="N130" i="27"/>
  <c r="AI130" i="27"/>
  <c r="AO494" i="27"/>
  <c r="M86" i="41" s="1"/>
  <c r="AR496" i="27"/>
  <c r="AQ670" i="27"/>
  <c r="E460" i="27" a="1"/>
  <c r="E460" i="27" s="1"/>
  <c r="G460" i="27" a="1"/>
  <c r="G460" i="27" s="1"/>
  <c r="G464" i="27" s="1"/>
  <c r="I460" i="27" a="1"/>
  <c r="I460" i="27" s="1"/>
  <c r="K460" i="27" a="1"/>
  <c r="K460" i="27" s="1"/>
  <c r="K464" i="27" s="1"/>
  <c r="M460" i="27" a="1"/>
  <c r="M460" i="27" s="1"/>
  <c r="O460" i="27" a="1"/>
  <c r="O460" i="27" s="1"/>
  <c r="O464" i="27" s="1"/>
  <c r="Q460" i="27" a="1"/>
  <c r="Q460" i="27" s="1"/>
  <c r="S460" i="27" a="1"/>
  <c r="S460" i="27" s="1"/>
  <c r="S464" i="27" s="1"/>
  <c r="U460" i="27" a="1"/>
  <c r="U460" i="27" s="1"/>
  <c r="W460" i="27" a="1"/>
  <c r="W460" i="27" s="1"/>
  <c r="W464" i="27" s="1"/>
  <c r="Y460" i="27" a="1"/>
  <c r="Y460" i="27" s="1"/>
  <c r="AA460" i="27" a="1"/>
  <c r="AA460" i="27" s="1"/>
  <c r="AA464" i="27" s="1"/>
  <c r="AC460" i="27" a="1"/>
  <c r="AC460" i="27" s="1"/>
  <c r="AE460" i="27" a="1"/>
  <c r="AE460" i="27" s="1"/>
  <c r="AE464" i="27" s="1"/>
  <c r="AG460" i="27" a="1"/>
  <c r="AG460" i="27" s="1"/>
  <c r="AI460" i="27" a="1"/>
  <c r="AI460" i="27" s="1"/>
  <c r="AI464" i="27" s="1"/>
  <c r="AK460" i="27" a="1"/>
  <c r="AK460" i="27" s="1"/>
  <c r="AM460" i="27" a="1"/>
  <c r="AM460" i="27" s="1"/>
  <c r="AM464" i="27" s="1"/>
  <c r="AO460" i="27" a="1"/>
  <c r="AO460" i="27" s="1"/>
  <c r="AB401" i="27"/>
  <c r="AB407" i="27" s="1"/>
  <c r="AB439" i="27" s="1"/>
  <c r="H401" i="27"/>
  <c r="H407" i="27" s="1"/>
  <c r="H439" i="27" s="1"/>
  <c r="Q106" i="31"/>
  <c r="AA401" i="27"/>
  <c r="AA407" i="27" s="1"/>
  <c r="AA439" i="27" s="1"/>
  <c r="W401" i="27"/>
  <c r="W407" i="27" s="1"/>
  <c r="W439" i="27" s="1"/>
  <c r="AH401" i="27"/>
  <c r="AH407" i="27" s="1"/>
  <c r="AH439" i="27" s="1"/>
  <c r="AC401" i="27"/>
  <c r="AP401" i="27"/>
  <c r="AP407" i="27" s="1"/>
  <c r="AP439" i="27" s="1"/>
  <c r="AD401" i="27"/>
  <c r="AD407" i="27" s="1"/>
  <c r="AD439" i="27" s="1"/>
  <c r="S133" i="31"/>
  <c r="V401" i="27"/>
  <c r="V407" i="27" s="1"/>
  <c r="V439" i="27" s="1"/>
  <c r="AL401" i="27"/>
  <c r="AL407" i="27" s="1"/>
  <c r="AL439" i="27" s="1"/>
  <c r="N401" i="27"/>
  <c r="N407" i="27" s="1"/>
  <c r="N439" i="27" s="1"/>
  <c r="P401" i="27"/>
  <c r="P407" i="27" s="1"/>
  <c r="P439" i="27" s="1"/>
  <c r="AO401" i="27"/>
  <c r="L401" i="27"/>
  <c r="L407" i="27" s="1"/>
  <c r="L439" i="27" s="1"/>
  <c r="Q401" i="27"/>
  <c r="T401" i="27"/>
  <c r="T407" i="27" s="1"/>
  <c r="T439" i="27" s="1"/>
  <c r="S401" i="27"/>
  <c r="S407" i="27" s="1"/>
  <c r="S439" i="27" s="1"/>
  <c r="E401" i="27"/>
  <c r="AJ401" i="27"/>
  <c r="AJ407" i="27" s="1"/>
  <c r="AJ439" i="27" s="1"/>
  <c r="M401" i="27"/>
  <c r="AI401" i="27"/>
  <c r="AI407" i="27" s="1"/>
  <c r="AI439" i="27" s="1"/>
  <c r="U401" i="27"/>
  <c r="G401" i="27"/>
  <c r="G407" i="27" s="1"/>
  <c r="G439" i="27" s="1"/>
  <c r="AM401" i="27"/>
  <c r="AM407" i="27" s="1"/>
  <c r="AM439" i="27" s="1"/>
  <c r="AF401" i="27"/>
  <c r="AF407" i="27" s="1"/>
  <c r="AF439" i="27" s="1"/>
  <c r="Y401" i="27"/>
  <c r="R401" i="27"/>
  <c r="R407" i="27" s="1"/>
  <c r="R439" i="27" s="1"/>
  <c r="F401" i="27"/>
  <c r="F407" i="27" s="1"/>
  <c r="F439" i="27" s="1"/>
  <c r="AK401" i="27"/>
  <c r="X401" i="27"/>
  <c r="X407" i="27" s="1"/>
  <c r="X439" i="27" s="1"/>
  <c r="J401" i="27"/>
  <c r="AO189" i="31"/>
  <c r="L17" i="55" s="1"/>
  <c r="AR401" i="27"/>
  <c r="AR407" i="27" s="1"/>
  <c r="AR439" i="27" s="1"/>
  <c r="AG401" i="27"/>
  <c r="AN401" i="27"/>
  <c r="AN407" i="27" s="1"/>
  <c r="AN439" i="27" s="1"/>
  <c r="O401" i="27"/>
  <c r="O407" i="27" s="1"/>
  <c r="O439" i="27" s="1"/>
  <c r="Z401" i="27"/>
  <c r="K401" i="27"/>
  <c r="K407" i="27" s="1"/>
  <c r="K439" i="27" s="1"/>
  <c r="Q128" i="31"/>
  <c r="U105" i="31"/>
  <c r="N131" i="31"/>
  <c r="M104" i="31"/>
  <c r="R108" i="31"/>
  <c r="P109" i="31"/>
  <c r="F37" i="52" s="1"/>
  <c r="M107" i="31"/>
  <c r="O636" i="27"/>
  <c r="M636" i="27"/>
  <c r="K636" i="27"/>
  <c r="I636" i="27"/>
  <c r="G636" i="27"/>
  <c r="E636" i="27"/>
  <c r="P636" i="27"/>
  <c r="N636" i="27"/>
  <c r="L636" i="27"/>
  <c r="J636" i="27"/>
  <c r="H636" i="27"/>
  <c r="F636" i="27"/>
  <c r="AK189" i="31"/>
  <c r="K17" i="55" s="1"/>
  <c r="U189" i="31"/>
  <c r="G17" i="55" s="1"/>
  <c r="Q189" i="31"/>
  <c r="F17" i="55" s="1"/>
  <c r="U9" i="28"/>
  <c r="Q9" i="28"/>
  <c r="G6" i="44" s="1"/>
  <c r="Q444" i="27"/>
  <c r="Q487" i="27" s="1"/>
  <c r="Q84" i="28" s="1"/>
  <c r="R443" i="27"/>
  <c r="R486" i="27" s="1"/>
  <c r="R103" i="28" s="1"/>
  <c r="S444" i="27"/>
  <c r="S487" i="27" s="1"/>
  <c r="S84" i="28" s="1"/>
  <c r="S443" i="27"/>
  <c r="S486" i="27" s="1"/>
  <c r="S103" i="28" s="1"/>
  <c r="U443" i="27"/>
  <c r="U486" i="27" s="1"/>
  <c r="U103" i="28" s="1"/>
  <c r="V443" i="27"/>
  <c r="V486" i="27" s="1"/>
  <c r="V103" i="28" s="1"/>
  <c r="W444" i="27"/>
  <c r="W487" i="27" s="1"/>
  <c r="W84" i="28" s="1"/>
  <c r="X443" i="27"/>
  <c r="H51" i="41" s="1"/>
  <c r="Y443" i="27"/>
  <c r="Y486" i="27" s="1"/>
  <c r="Y103" i="28" s="1"/>
  <c r="Z444" i="27"/>
  <c r="Z487" i="27" s="1"/>
  <c r="Z84" i="28" s="1"/>
  <c r="AA443" i="27"/>
  <c r="AA486" i="27" s="1"/>
  <c r="AA103" i="28" s="1"/>
  <c r="AB443" i="27"/>
  <c r="I51" i="41" s="1"/>
  <c r="AC444" i="27"/>
  <c r="AC487" i="27" s="1"/>
  <c r="AC84" i="28" s="1"/>
  <c r="AD443" i="27"/>
  <c r="AD486" i="27" s="1"/>
  <c r="AD103" i="28" s="1"/>
  <c r="AE443" i="27"/>
  <c r="AE486" i="27" s="1"/>
  <c r="AE103" i="28" s="1"/>
  <c r="AF444" i="27"/>
  <c r="J52" i="41" s="1"/>
  <c r="AG443" i="27"/>
  <c r="AG486" i="27" s="1"/>
  <c r="AG103" i="28" s="1"/>
  <c r="AH444" i="27"/>
  <c r="AH487" i="27" s="1"/>
  <c r="AH84" i="28" s="1"/>
  <c r="Q443" i="27"/>
  <c r="Q486" i="27" s="1"/>
  <c r="Q103" i="28" s="1"/>
  <c r="R444" i="27"/>
  <c r="R487" i="27" s="1"/>
  <c r="R84" i="28" s="1"/>
  <c r="T444" i="27"/>
  <c r="G52" i="41" s="1"/>
  <c r="T443" i="27"/>
  <c r="G51" i="41" s="1"/>
  <c r="U444" i="27"/>
  <c r="U487" i="27" s="1"/>
  <c r="U84" i="28" s="1"/>
  <c r="V444" i="27"/>
  <c r="V487" i="27" s="1"/>
  <c r="V84" i="28" s="1"/>
  <c r="W443" i="27"/>
  <c r="W486" i="27" s="1"/>
  <c r="W103" i="28" s="1"/>
  <c r="X444" i="27"/>
  <c r="H52" i="41" s="1"/>
  <c r="Y444" i="27"/>
  <c r="Y487" i="27" s="1"/>
  <c r="Y84" i="28" s="1"/>
  <c r="Z443" i="27"/>
  <c r="Z486" i="27" s="1"/>
  <c r="Z103" i="28" s="1"/>
  <c r="AA444" i="27"/>
  <c r="AA487" i="27" s="1"/>
  <c r="AA84" i="28" s="1"/>
  <c r="AB444" i="27"/>
  <c r="I52" i="41" s="1"/>
  <c r="AC443" i="27"/>
  <c r="AC486" i="27" s="1"/>
  <c r="AC103" i="28" s="1"/>
  <c r="AD444" i="27"/>
  <c r="AD487" i="27" s="1"/>
  <c r="AD84" i="28" s="1"/>
  <c r="AE444" i="27"/>
  <c r="AE487" i="27" s="1"/>
  <c r="AE84" i="28" s="1"/>
  <c r="AF443" i="27"/>
  <c r="J51" i="41" s="1"/>
  <c r="AG444" i="27"/>
  <c r="AG487" i="27" s="1"/>
  <c r="AG84" i="28" s="1"/>
  <c r="AH443" i="27"/>
  <c r="AH486" i="27" s="1"/>
  <c r="AH103" i="28" s="1"/>
  <c r="AI443" i="27"/>
  <c r="AI486" i="27" s="1"/>
  <c r="AI103" i="28" s="1"/>
  <c r="AJ443" i="27"/>
  <c r="K51" i="41" s="1"/>
  <c r="AI444" i="27"/>
  <c r="AI487" i="27" s="1"/>
  <c r="AI84" i="28" s="1"/>
  <c r="AJ444" i="27"/>
  <c r="K52" i="41" s="1"/>
  <c r="B565" i="27"/>
  <c r="M571" i="27" s="1"/>
  <c r="N10" i="43"/>
  <c r="B579" i="27"/>
  <c r="E585" i="27" s="1"/>
  <c r="N21" i="43"/>
  <c r="B593" i="27"/>
  <c r="G599" i="27" s="1"/>
  <c r="N32" i="43"/>
  <c r="B635" i="27"/>
  <c r="AR641" i="27" s="1"/>
  <c r="N65" i="43"/>
  <c r="B621" i="27"/>
  <c r="E627" i="27" s="1"/>
  <c r="N54" i="43"/>
  <c r="E629" i="27"/>
  <c r="AR629" i="27"/>
  <c r="AP629" i="27"/>
  <c r="AN629" i="27"/>
  <c r="AL629" i="27"/>
  <c r="AJ629" i="27"/>
  <c r="AH629" i="27"/>
  <c r="AF629" i="27"/>
  <c r="AD629" i="27"/>
  <c r="AB629" i="27"/>
  <c r="Z629" i="27"/>
  <c r="X629" i="27"/>
  <c r="V629" i="27"/>
  <c r="T629" i="27"/>
  <c r="R629" i="27"/>
  <c r="P629" i="27"/>
  <c r="N629" i="27"/>
  <c r="L629" i="27"/>
  <c r="J629" i="27"/>
  <c r="H629" i="27"/>
  <c r="F629" i="27"/>
  <c r="AQ629" i="27"/>
  <c r="AO629" i="27"/>
  <c r="AM629" i="27"/>
  <c r="AK629" i="27"/>
  <c r="AI629" i="27"/>
  <c r="AG629" i="27"/>
  <c r="AE629" i="27"/>
  <c r="AC629" i="27"/>
  <c r="AA629" i="27"/>
  <c r="Y629" i="27"/>
  <c r="W629" i="27"/>
  <c r="U629" i="27"/>
  <c r="S629" i="27"/>
  <c r="Q629" i="27"/>
  <c r="O629" i="27"/>
  <c r="M629" i="27"/>
  <c r="K629" i="27"/>
  <c r="I629" i="27"/>
  <c r="G629" i="27"/>
  <c r="AT403" i="27"/>
  <c r="N17" i="41" s="1"/>
  <c r="AN444" i="27"/>
  <c r="AT404" i="27"/>
  <c r="N18" i="41" s="1"/>
  <c r="AT493" i="27"/>
  <c r="AQ59" i="28"/>
  <c r="AQ37" i="31" s="1"/>
  <c r="AQ41" i="31" s="1"/>
  <c r="AG464" i="27"/>
  <c r="AT451" i="27"/>
  <c r="N59" i="41" s="1"/>
  <c r="N12" i="41"/>
  <c r="AT436" i="27"/>
  <c r="AR447" i="27"/>
  <c r="M55" i="41" s="1"/>
  <c r="B85" i="27"/>
  <c r="K86" i="27" s="1"/>
  <c r="AO9" i="28"/>
  <c r="M6" i="44" s="1"/>
  <c r="AR444" i="27"/>
  <c r="M52" i="41" s="1"/>
  <c r="AR74" i="31"/>
  <c r="AR75" i="31" s="1"/>
  <c r="AO443" i="27"/>
  <c r="AO486" i="27" s="1"/>
  <c r="AO103" i="28" s="1"/>
  <c r="AR483" i="27"/>
  <c r="AR472" i="27"/>
  <c r="M77" i="41" s="1"/>
  <c r="AT463" i="27"/>
  <c r="AP443" i="27"/>
  <c r="AP486" i="27" s="1"/>
  <c r="AP103" i="28" s="1"/>
  <c r="AN443" i="27"/>
  <c r="L51" i="41" s="1"/>
  <c r="AK444" i="27"/>
  <c r="AK487" i="27" s="1"/>
  <c r="AK84" i="28" s="1"/>
  <c r="AO444" i="27"/>
  <c r="AO487" i="27" s="1"/>
  <c r="AO84" i="28" s="1"/>
  <c r="AQ444" i="27"/>
  <c r="AQ487" i="27" s="1"/>
  <c r="AQ84" i="28" s="1"/>
  <c r="AT435" i="27"/>
  <c r="N48" i="41" s="1"/>
  <c r="AM444" i="27"/>
  <c r="AM487" i="27" s="1"/>
  <c r="AM84" i="28" s="1"/>
  <c r="AL443" i="27"/>
  <c r="AL486" i="27" s="1"/>
  <c r="AL103" i="28" s="1"/>
  <c r="AQ443" i="27"/>
  <c r="AQ486" i="27" s="1"/>
  <c r="AQ103" i="28" s="1"/>
  <c r="AP444" i="27"/>
  <c r="AP487" i="27" s="1"/>
  <c r="AP84" i="28" s="1"/>
  <c r="AR443" i="27"/>
  <c r="M51" i="41" s="1"/>
  <c r="B435" i="27"/>
  <c r="AL444" i="27"/>
  <c r="AL487" i="27" s="1"/>
  <c r="AL84" i="28" s="1"/>
  <c r="AM443" i="27"/>
  <c r="AM486" i="27" s="1"/>
  <c r="AM103" i="28" s="1"/>
  <c r="AK443" i="27"/>
  <c r="AK486" i="27" s="1"/>
  <c r="AK103" i="28" s="1"/>
  <c r="AK9" i="28"/>
  <c r="L6" i="44" s="1"/>
  <c r="AQ407" i="27"/>
  <c r="AQ439" i="27" s="1"/>
  <c r="F129" i="27"/>
  <c r="AT402" i="27"/>
  <c r="B402" i="27" s="1"/>
  <c r="AT406" i="27"/>
  <c r="N20" i="41" s="1"/>
  <c r="AK43" i="31"/>
  <c r="AL42" i="31"/>
  <c r="AL44" i="31" s="1"/>
  <c r="L129" i="27"/>
  <c r="L132" i="27" s="1"/>
  <c r="AK123" i="32"/>
  <c r="AJ138" i="32"/>
  <c r="T129" i="27"/>
  <c r="T132" i="27" s="1"/>
  <c r="P129" i="27"/>
  <c r="P132" i="27" s="1"/>
  <c r="AO63" i="31"/>
  <c r="AQ240" i="31"/>
  <c r="H129" i="27"/>
  <c r="H132" i="27" s="1"/>
  <c r="AF129" i="27"/>
  <c r="AF132" i="27" s="1"/>
  <c r="AR129" i="27"/>
  <c r="AR132" i="27" s="1"/>
  <c r="AN129" i="27"/>
  <c r="AN132" i="27" s="1"/>
  <c r="AJ129" i="27"/>
  <c r="AJ132" i="27" s="1"/>
  <c r="X129" i="27"/>
  <c r="X132" i="27" s="1"/>
  <c r="B405" i="27"/>
  <c r="N19" i="41"/>
  <c r="AT224" i="27"/>
  <c r="AQ234" i="28"/>
  <c r="AT225" i="27"/>
  <c r="AR367" i="27"/>
  <c r="AR365" i="27" s="1"/>
  <c r="AR102" i="28" s="1"/>
  <c r="L22" i="46" s="1"/>
  <c r="AK256" i="28"/>
  <c r="AO230" i="27"/>
  <c r="AO233" i="27" s="1"/>
  <c r="AO682" i="27"/>
  <c r="AM233" i="27"/>
  <c r="AN233" i="27"/>
  <c r="AM683" i="27"/>
  <c r="AL17" i="32"/>
  <c r="AL232" i="28"/>
  <c r="AL256" i="28" s="1"/>
  <c r="AO48" i="28"/>
  <c r="AO367" i="27"/>
  <c r="AO365" i="27" s="1"/>
  <c r="AO102" i="28" s="1"/>
  <c r="AP232" i="27"/>
  <c r="AP48" i="28" s="1"/>
  <c r="AO522" i="27"/>
  <c r="L12" i="42" s="1"/>
  <c r="AP522" i="27"/>
  <c r="AO209" i="27"/>
  <c r="AM120" i="32"/>
  <c r="AO228" i="28"/>
  <c r="AO231" i="28"/>
  <c r="AO18" i="32"/>
  <c r="M12" i="58" s="1"/>
  <c r="AT226" i="27"/>
  <c r="AR232" i="27"/>
  <c r="AR121" i="32"/>
  <c r="AR88" i="32"/>
  <c r="AQ235" i="28"/>
  <c r="AQ232" i="28"/>
  <c r="AQ256" i="28" s="1"/>
  <c r="AQ236" i="28"/>
  <c r="AQ233" i="28"/>
  <c r="AT215" i="27"/>
  <c r="AR209" i="27"/>
  <c r="AR216" i="27" s="1"/>
  <c r="AR17" i="28" s="1"/>
  <c r="AT239" i="31"/>
  <c r="N19" i="57" s="1"/>
  <c r="N127" i="31"/>
  <c r="O127" i="31" s="1"/>
  <c r="P127" i="31" s="1"/>
  <c r="Q127" i="31" s="1"/>
  <c r="R111" i="31"/>
  <c r="AT201" i="27"/>
  <c r="M19" i="39" s="1"/>
  <c r="AR682" i="27"/>
  <c r="AR230" i="27"/>
  <c r="AT227" i="27"/>
  <c r="AR229" i="28"/>
  <c r="AO65" i="28"/>
  <c r="AM65" i="28"/>
  <c r="AD65" i="28"/>
  <c r="AB65" i="28"/>
  <c r="AA65" i="28"/>
  <c r="V65" i="28"/>
  <c r="S65" i="28"/>
  <c r="N65" i="28"/>
  <c r="AN65" i="28"/>
  <c r="AK65" i="28"/>
  <c r="AJ65" i="28"/>
  <c r="AI65" i="28"/>
  <c r="AF65" i="28"/>
  <c r="W65" i="28"/>
  <c r="Q65" i="28"/>
  <c r="O65" i="28"/>
  <c r="K65" i="28"/>
  <c r="H65" i="28"/>
  <c r="AP65" i="28"/>
  <c r="X65" i="28"/>
  <c r="J65" i="28"/>
  <c r="F65" i="28"/>
  <c r="P65" i="28"/>
  <c r="U65" i="28"/>
  <c r="L65" i="28"/>
  <c r="I65" i="28"/>
  <c r="Z65" i="28"/>
  <c r="T65" i="28"/>
  <c r="M65" i="28"/>
  <c r="G65" i="28"/>
  <c r="AL65" i="28"/>
  <c r="AG65" i="28"/>
  <c r="AE65" i="28"/>
  <c r="Y65" i="28"/>
  <c r="R65" i="28"/>
  <c r="AH65" i="28"/>
  <c r="AC65" i="28"/>
  <c r="J22" i="45" s="1"/>
  <c r="AR240" i="31"/>
  <c r="AT241" i="31"/>
  <c r="N21" i="57" s="1"/>
  <c r="AN38" i="31"/>
  <c r="L29" i="51" s="1"/>
  <c r="AM42" i="31"/>
  <c r="AM44" i="31" s="1"/>
  <c r="B240" i="31" l="1"/>
  <c r="B20" i="57" s="1"/>
  <c r="F22" i="45"/>
  <c r="K69" i="41"/>
  <c r="E61" i="43"/>
  <c r="F61" i="43"/>
  <c r="G61" i="43"/>
  <c r="H61" i="43"/>
  <c r="I61" i="43"/>
  <c r="J61" i="43"/>
  <c r="K61" i="43"/>
  <c r="L61" i="43"/>
  <c r="M61" i="43"/>
  <c r="G38" i="52"/>
  <c r="G22" i="45"/>
  <c r="AT228" i="28"/>
  <c r="N21" i="49" s="1"/>
  <c r="M21" i="49"/>
  <c r="AO216" i="27"/>
  <c r="AO17" i="28" s="1"/>
  <c r="M14" i="44" s="1"/>
  <c r="L20" i="39"/>
  <c r="D61" i="43"/>
  <c r="H6" i="44"/>
  <c r="B9" i="28"/>
  <c r="D66" i="43"/>
  <c r="E66" i="43"/>
  <c r="F66" i="43"/>
  <c r="R128" i="31"/>
  <c r="S128" i="31" s="1"/>
  <c r="T128" i="31" s="1"/>
  <c r="U128" i="31" s="1"/>
  <c r="AK407" i="27"/>
  <c r="L15" i="41"/>
  <c r="Q407" i="27"/>
  <c r="G15" i="41"/>
  <c r="AO407" i="27"/>
  <c r="M15" i="41"/>
  <c r="AC407" i="27"/>
  <c r="J15" i="41"/>
  <c r="R106" i="31"/>
  <c r="S106" i="31" s="1"/>
  <c r="F18" i="38"/>
  <c r="M18" i="38"/>
  <c r="H18" i="38"/>
  <c r="L18" i="38"/>
  <c r="B18" i="32"/>
  <c r="B12" i="58" s="1"/>
  <c r="AQ242" i="31"/>
  <c r="G20" i="38"/>
  <c r="J20" i="38"/>
  <c r="K20" i="38"/>
  <c r="E20" i="38"/>
  <c r="B228" i="28"/>
  <c r="B21" i="49" s="1"/>
  <c r="I22" i="45"/>
  <c r="K22" i="45"/>
  <c r="E22" i="45"/>
  <c r="H22" i="45"/>
  <c r="D22" i="45"/>
  <c r="L22" i="45"/>
  <c r="AR252" i="28"/>
  <c r="B17" i="28"/>
  <c r="M24" i="49"/>
  <c r="AM134" i="32"/>
  <c r="L6" i="61"/>
  <c r="AQ120" i="32"/>
  <c r="AQ134" i="32" s="1"/>
  <c r="M20" i="57"/>
  <c r="F132" i="27"/>
  <c r="D20" i="38" s="1"/>
  <c r="D18" i="38"/>
  <c r="AN487" i="27"/>
  <c r="L52" i="41"/>
  <c r="AG407" i="27"/>
  <c r="K15" i="41"/>
  <c r="Y407" i="27"/>
  <c r="I15" i="41"/>
  <c r="U407" i="27"/>
  <c r="H15" i="41"/>
  <c r="M407" i="27"/>
  <c r="F15" i="41"/>
  <c r="E407" i="27"/>
  <c r="E442" i="27" s="1"/>
  <c r="D15" i="41"/>
  <c r="AO464" i="27"/>
  <c r="M69" i="41"/>
  <c r="AK464" i="27"/>
  <c r="L69" i="41"/>
  <c r="AC464" i="27"/>
  <c r="J69" i="41"/>
  <c r="Y464" i="27"/>
  <c r="I69" i="41"/>
  <c r="U464" i="27"/>
  <c r="H69" i="41"/>
  <c r="Q464" i="27"/>
  <c r="G69" i="41"/>
  <c r="M464" i="27"/>
  <c r="F69" i="41"/>
  <c r="I464" i="27"/>
  <c r="E69" i="41"/>
  <c r="E464" i="27"/>
  <c r="E465" i="27" s="1"/>
  <c r="E470" i="27" s="1"/>
  <c r="D69" i="41"/>
  <c r="AR667" i="27"/>
  <c r="AT667" i="27" s="1"/>
  <c r="M88" i="41"/>
  <c r="I407" i="27"/>
  <c r="E15" i="41"/>
  <c r="B51" i="32"/>
  <c r="B7" i="59" s="1"/>
  <c r="AT51" i="32"/>
  <c r="N7" i="59" s="1"/>
  <c r="M7" i="59"/>
  <c r="F20" i="38"/>
  <c r="M20" i="38"/>
  <c r="H20" i="38"/>
  <c r="L20" i="38"/>
  <c r="AR228" i="31"/>
  <c r="F55" i="52"/>
  <c r="G18" i="38"/>
  <c r="J18" i="38"/>
  <c r="K18" i="38"/>
  <c r="E18" i="38"/>
  <c r="B231" i="28"/>
  <c r="B24" i="49" s="1"/>
  <c r="AR63" i="28"/>
  <c r="AL41" i="31"/>
  <c r="L32" i="51" s="1"/>
  <c r="AN75" i="31"/>
  <c r="AM74" i="31"/>
  <c r="J466" i="27"/>
  <c r="E466" i="27"/>
  <c r="F466" i="27"/>
  <c r="G466" i="27"/>
  <c r="H466" i="27"/>
  <c r="D71" i="41" s="1"/>
  <c r="I466" i="27"/>
  <c r="K466" i="27"/>
  <c r="L466" i="27"/>
  <c r="E71" i="41" s="1"/>
  <c r="O466" i="27"/>
  <c r="N466" i="27"/>
  <c r="M466" i="27"/>
  <c r="P466" i="27"/>
  <c r="F71" i="41" s="1"/>
  <c r="Q466" i="27"/>
  <c r="R466" i="27"/>
  <c r="S466" i="27"/>
  <c r="T466" i="27"/>
  <c r="G71" i="41" s="1"/>
  <c r="U466" i="27"/>
  <c r="V466" i="27"/>
  <c r="W466" i="27"/>
  <c r="X466" i="27"/>
  <c r="H71" i="41" s="1"/>
  <c r="Z466" i="27"/>
  <c r="Y466" i="27"/>
  <c r="AA466" i="27"/>
  <c r="AB466" i="27"/>
  <c r="I71" i="41" s="1"/>
  <c r="AD466" i="27"/>
  <c r="AC466" i="27"/>
  <c r="AE466" i="27"/>
  <c r="AF466" i="27"/>
  <c r="J71" i="41" s="1"/>
  <c r="AG466" i="27"/>
  <c r="AH466" i="27"/>
  <c r="AI466" i="27"/>
  <c r="AJ466" i="27"/>
  <c r="K71" i="41" s="1"/>
  <c r="AK466" i="27"/>
  <c r="AL466" i="27"/>
  <c r="AM466" i="27"/>
  <c r="AN466" i="27"/>
  <c r="L71" i="41" s="1"/>
  <c r="AO466" i="27"/>
  <c r="AP466" i="27"/>
  <c r="AQ466" i="27"/>
  <c r="AR466" i="27"/>
  <c r="M71" i="41" s="1"/>
  <c r="AO217" i="27"/>
  <c r="AR217" i="27"/>
  <c r="F465" i="27"/>
  <c r="AJ130" i="27"/>
  <c r="K19" i="38" s="1"/>
  <c r="AR130" i="27"/>
  <c r="M19" i="38" s="1"/>
  <c r="H130" i="27"/>
  <c r="F130" i="27"/>
  <c r="AR467" i="27"/>
  <c r="M72" i="41" s="1"/>
  <c r="AP467" i="27"/>
  <c r="AN467" i="27"/>
  <c r="L72" i="41" s="1"/>
  <c r="AL467" i="27"/>
  <c r="AJ467" i="27"/>
  <c r="K72" i="41" s="1"/>
  <c r="AH467" i="27"/>
  <c r="AF467" i="27"/>
  <c r="J72" i="41" s="1"/>
  <c r="AD467" i="27"/>
  <c r="AB467" i="27"/>
  <c r="I72" i="41" s="1"/>
  <c r="Z467" i="27"/>
  <c r="X467" i="27"/>
  <c r="H72" i="41" s="1"/>
  <c r="V467" i="27"/>
  <c r="T467" i="27"/>
  <c r="G72" i="41" s="1"/>
  <c r="R467" i="27"/>
  <c r="P467" i="27"/>
  <c r="F72" i="41" s="1"/>
  <c r="N467" i="27"/>
  <c r="L467" i="27"/>
  <c r="E72" i="41" s="1"/>
  <c r="J467" i="27"/>
  <c r="H467" i="27"/>
  <c r="D72" i="41" s="1"/>
  <c r="F467" i="27"/>
  <c r="AQ467" i="27"/>
  <c r="AO467" i="27"/>
  <c r="AM467" i="27"/>
  <c r="AK467" i="27"/>
  <c r="AI467" i="27"/>
  <c r="AG467" i="27"/>
  <c r="AE467" i="27"/>
  <c r="AC467" i="27"/>
  <c r="AA467" i="27"/>
  <c r="Y467" i="27"/>
  <c r="W467" i="27"/>
  <c r="U467" i="27"/>
  <c r="S467" i="27"/>
  <c r="Q467" i="27"/>
  <c r="O467" i="27"/>
  <c r="M467" i="27"/>
  <c r="K467" i="27"/>
  <c r="I467" i="27"/>
  <c r="G467" i="27"/>
  <c r="E467" i="27"/>
  <c r="X130" i="27"/>
  <c r="H19" i="38" s="1"/>
  <c r="AN130" i="27"/>
  <c r="L19" i="38" s="1"/>
  <c r="AF130" i="27"/>
  <c r="J19" i="38" s="1"/>
  <c r="P130" i="27"/>
  <c r="F19" i="38" s="1"/>
  <c r="T130" i="27"/>
  <c r="G19" i="38" s="1"/>
  <c r="L130" i="27"/>
  <c r="E19" i="38" s="1"/>
  <c r="T133" i="31"/>
  <c r="G61" i="52" s="1"/>
  <c r="J407" i="27"/>
  <c r="J439" i="27" s="1"/>
  <c r="Z407" i="27"/>
  <c r="Z439" i="27" s="1"/>
  <c r="AT401" i="27"/>
  <c r="N15" i="41" s="1"/>
  <c r="V110" i="31"/>
  <c r="W110" i="31" s="1"/>
  <c r="Q109" i="31"/>
  <c r="O131" i="31"/>
  <c r="T132" i="31"/>
  <c r="G60" i="52" s="1"/>
  <c r="V105" i="31"/>
  <c r="W105" i="31" s="1"/>
  <c r="X105" i="31" s="1"/>
  <c r="Y105" i="31" s="1"/>
  <c r="S108" i="31"/>
  <c r="T108" i="31" s="1"/>
  <c r="U108" i="31" s="1"/>
  <c r="N107" i="31"/>
  <c r="O107" i="31" s="1"/>
  <c r="P107" i="31" s="1"/>
  <c r="Q107" i="31" s="1"/>
  <c r="N104" i="31"/>
  <c r="O104" i="31" s="1"/>
  <c r="P104" i="31" s="1"/>
  <c r="Q104" i="31" s="1"/>
  <c r="E615" i="27"/>
  <c r="O622" i="27"/>
  <c r="M622" i="27"/>
  <c r="K622" i="27"/>
  <c r="I622" i="27"/>
  <c r="G622" i="27"/>
  <c r="E622" i="27"/>
  <c r="P622" i="27"/>
  <c r="N622" i="27"/>
  <c r="L622" i="27"/>
  <c r="J622" i="27"/>
  <c r="H622" i="27"/>
  <c r="F622" i="27"/>
  <c r="P594" i="27"/>
  <c r="N594" i="27"/>
  <c r="L594" i="27"/>
  <c r="J594" i="27"/>
  <c r="H594" i="27"/>
  <c r="F594" i="27"/>
  <c r="O594" i="27"/>
  <c r="M594" i="27"/>
  <c r="K594" i="27"/>
  <c r="I594" i="27"/>
  <c r="G594" i="27"/>
  <c r="E594" i="27"/>
  <c r="G566" i="27"/>
  <c r="E566" i="27"/>
  <c r="H566" i="27"/>
  <c r="F566" i="27"/>
  <c r="E580" i="27"/>
  <c r="K580" i="27"/>
  <c r="I580" i="27"/>
  <c r="G580" i="27"/>
  <c r="L580" i="27"/>
  <c r="J580" i="27"/>
  <c r="H580" i="27"/>
  <c r="F580" i="27"/>
  <c r="U585" i="27"/>
  <c r="Y599" i="27"/>
  <c r="E638" i="27"/>
  <c r="K627" i="27"/>
  <c r="AP615" i="27"/>
  <c r="AN587" i="27"/>
  <c r="I573" i="27"/>
  <c r="Q573" i="27"/>
  <c r="B10" i="43"/>
  <c r="AD571" i="27"/>
  <c r="AJ585" i="27"/>
  <c r="AP599" i="27"/>
  <c r="E599" i="27"/>
  <c r="AR599" i="27"/>
  <c r="AQ627" i="27"/>
  <c r="Q641" i="27"/>
  <c r="U615" i="27"/>
  <c r="B21" i="43"/>
  <c r="AN486" i="27"/>
  <c r="AN103" i="28" s="1"/>
  <c r="K23" i="46" s="1"/>
  <c r="AJ571" i="27"/>
  <c r="U571" i="27"/>
  <c r="E571" i="27"/>
  <c r="AD585" i="27"/>
  <c r="N585" i="27"/>
  <c r="AH599" i="27"/>
  <c r="R599" i="27"/>
  <c r="AA627" i="27"/>
  <c r="AH641" i="27"/>
  <c r="AP573" i="27"/>
  <c r="P587" i="27"/>
  <c r="N615" i="27"/>
  <c r="AO571" i="27"/>
  <c r="AF571" i="27"/>
  <c r="Z571" i="27"/>
  <c r="R571" i="27"/>
  <c r="I571" i="27"/>
  <c r="AN585" i="27"/>
  <c r="AG585" i="27"/>
  <c r="Z585" i="27"/>
  <c r="Q585" i="27"/>
  <c r="I585" i="27"/>
  <c r="AL599" i="27"/>
  <c r="AC599" i="27"/>
  <c r="U599" i="27"/>
  <c r="N599" i="27"/>
  <c r="AI627" i="27"/>
  <c r="S627" i="27"/>
  <c r="AP641" i="27"/>
  <c r="Z641" i="27"/>
  <c r="J641" i="27"/>
  <c r="J573" i="27"/>
  <c r="W587" i="27"/>
  <c r="AK615" i="27"/>
  <c r="AD615" i="27"/>
  <c r="AQ571" i="27"/>
  <c r="AM571" i="27"/>
  <c r="AI571" i="27"/>
  <c r="AE571" i="27"/>
  <c r="AA571" i="27"/>
  <c r="W571" i="27"/>
  <c r="S571" i="27"/>
  <c r="O571" i="27"/>
  <c r="K571" i="27"/>
  <c r="G571" i="27"/>
  <c r="AQ585" i="27"/>
  <c r="AM585" i="27"/>
  <c r="AI585" i="27"/>
  <c r="AE585" i="27"/>
  <c r="AA585" i="27"/>
  <c r="W585" i="27"/>
  <c r="S585" i="27"/>
  <c r="O585" i="27"/>
  <c r="L585" i="27"/>
  <c r="G585" i="27"/>
  <c r="AO599" i="27"/>
  <c r="AK599" i="27"/>
  <c r="AF599" i="27"/>
  <c r="AB599" i="27"/>
  <c r="X599" i="27"/>
  <c r="T599" i="27"/>
  <c r="P599" i="27"/>
  <c r="I599" i="27"/>
  <c r="AM627" i="27"/>
  <c r="AE627" i="27"/>
  <c r="W627" i="27"/>
  <c r="O627" i="27"/>
  <c r="G627" i="27"/>
  <c r="AL641" i="27"/>
  <c r="AD641" i="27"/>
  <c r="V641" i="27"/>
  <c r="M641" i="27"/>
  <c r="F641" i="27"/>
  <c r="Z573" i="27"/>
  <c r="AG573" i="27"/>
  <c r="G587" i="27"/>
  <c r="AM587" i="27"/>
  <c r="AF587" i="27"/>
  <c r="M615" i="27"/>
  <c r="AC615" i="27"/>
  <c r="F615" i="27"/>
  <c r="V615" i="27"/>
  <c r="AL615" i="27"/>
  <c r="AJ487" i="27"/>
  <c r="AJ486" i="27"/>
  <c r="AF486" i="27"/>
  <c r="AB487" i="27"/>
  <c r="X487" i="27"/>
  <c r="T486" i="27"/>
  <c r="AF487" i="27"/>
  <c r="AB486" i="27"/>
  <c r="X486" i="27"/>
  <c r="T487" i="27"/>
  <c r="S74" i="31"/>
  <c r="G4" i="52" s="1"/>
  <c r="R32" i="31"/>
  <c r="R41" i="31"/>
  <c r="G32" i="51" s="1"/>
  <c r="W74" i="31"/>
  <c r="H4" i="52" s="1"/>
  <c r="V41" i="31"/>
  <c r="H32" i="51" s="1"/>
  <c r="AP571" i="27"/>
  <c r="AN571" i="27"/>
  <c r="AL571" i="27"/>
  <c r="AK571" i="27"/>
  <c r="AH571" i="27"/>
  <c r="AG571" i="27"/>
  <c r="AC571" i="27"/>
  <c r="AB571" i="27"/>
  <c r="Y571" i="27"/>
  <c r="X571" i="27"/>
  <c r="V571" i="27"/>
  <c r="T571" i="27"/>
  <c r="Q571" i="27"/>
  <c r="P571" i="27"/>
  <c r="N571" i="27"/>
  <c r="L571" i="27"/>
  <c r="J571" i="27"/>
  <c r="H571" i="27"/>
  <c r="F571" i="27"/>
  <c r="AR571" i="27"/>
  <c r="AP585" i="27"/>
  <c r="AO585" i="27"/>
  <c r="AL585" i="27"/>
  <c r="AK585" i="27"/>
  <c r="AH585" i="27"/>
  <c r="AF585" i="27"/>
  <c r="AC585" i="27"/>
  <c r="AB585" i="27"/>
  <c r="Y585" i="27"/>
  <c r="X585" i="27"/>
  <c r="V585" i="27"/>
  <c r="T585" i="27"/>
  <c r="R585" i="27"/>
  <c r="P585" i="27"/>
  <c r="M585" i="27"/>
  <c r="K585" i="27"/>
  <c r="J585" i="27"/>
  <c r="H585" i="27"/>
  <c r="F585" i="27"/>
  <c r="AR585" i="27"/>
  <c r="AQ599" i="27"/>
  <c r="AN599" i="27"/>
  <c r="AM599" i="27"/>
  <c r="AJ599" i="27"/>
  <c r="AI599" i="27"/>
  <c r="AG599" i="27"/>
  <c r="AE599" i="27"/>
  <c r="AD599" i="27"/>
  <c r="AA599" i="27"/>
  <c r="Z599" i="27"/>
  <c r="W599" i="27"/>
  <c r="V599" i="27"/>
  <c r="S599" i="27"/>
  <c r="Q599" i="27"/>
  <c r="O599" i="27"/>
  <c r="K599" i="27"/>
  <c r="AN627" i="27"/>
  <c r="AK627" i="27"/>
  <c r="AG627" i="27"/>
  <c r="AD627" i="27"/>
  <c r="Z627" i="27"/>
  <c r="U627" i="27"/>
  <c r="R627" i="27"/>
  <c r="M627" i="27"/>
  <c r="I627" i="27"/>
  <c r="AO641" i="27"/>
  <c r="AJ641" i="27"/>
  <c r="AF641" i="27"/>
  <c r="AB641" i="27"/>
  <c r="X641" i="27"/>
  <c r="T641" i="27"/>
  <c r="P641" i="27"/>
  <c r="L641" i="27"/>
  <c r="G641" i="27"/>
  <c r="AH573" i="27"/>
  <c r="R573" i="27"/>
  <c r="AO573" i="27"/>
  <c r="Y573" i="27"/>
  <c r="O587" i="27"/>
  <c r="AE587" i="27"/>
  <c r="H587" i="27"/>
  <c r="X587" i="27"/>
  <c r="I615" i="27"/>
  <c r="Q615" i="27"/>
  <c r="Y615" i="27"/>
  <c r="AG615" i="27"/>
  <c r="AO615" i="27"/>
  <c r="J615" i="27"/>
  <c r="R615" i="27"/>
  <c r="Z615" i="27"/>
  <c r="AH615" i="27"/>
  <c r="F627" i="27"/>
  <c r="H627" i="27"/>
  <c r="J627" i="27"/>
  <c r="L627" i="27"/>
  <c r="N627" i="27"/>
  <c r="P627" i="27"/>
  <c r="Q627" i="27"/>
  <c r="T627" i="27"/>
  <c r="V627" i="27"/>
  <c r="X627" i="27"/>
  <c r="Y627" i="27"/>
  <c r="AB627" i="27"/>
  <c r="AC627" i="27"/>
  <c r="AF627" i="27"/>
  <c r="AH627" i="27"/>
  <c r="AJ627" i="27"/>
  <c r="AL627" i="27"/>
  <c r="AO627" i="27"/>
  <c r="AP627" i="27"/>
  <c r="AR587" i="27"/>
  <c r="AJ587" i="27"/>
  <c r="AB587" i="27"/>
  <c r="T587" i="27"/>
  <c r="L587" i="27"/>
  <c r="AQ587" i="27"/>
  <c r="AI587" i="27"/>
  <c r="AA587" i="27"/>
  <c r="S587" i="27"/>
  <c r="K587" i="27"/>
  <c r="E573" i="27"/>
  <c r="M573" i="27"/>
  <c r="U573" i="27"/>
  <c r="AC573" i="27"/>
  <c r="AK573" i="27"/>
  <c r="F573" i="27"/>
  <c r="N573" i="27"/>
  <c r="V573" i="27"/>
  <c r="AD573" i="27"/>
  <c r="AL573" i="27"/>
  <c r="B65" i="43"/>
  <c r="E641" i="27"/>
  <c r="H641" i="27"/>
  <c r="I641" i="27"/>
  <c r="K641" i="27"/>
  <c r="N641" i="27"/>
  <c r="O641" i="27"/>
  <c r="R641" i="27"/>
  <c r="S641" i="27"/>
  <c r="U641" i="27"/>
  <c r="W641" i="27"/>
  <c r="Y641" i="27"/>
  <c r="AA641" i="27"/>
  <c r="AC641" i="27"/>
  <c r="AE641" i="27"/>
  <c r="AG641" i="27"/>
  <c r="AI641" i="27"/>
  <c r="AK641" i="27"/>
  <c r="AM641" i="27"/>
  <c r="AN641" i="27"/>
  <c r="AQ641" i="27"/>
  <c r="AR615" i="27"/>
  <c r="AN615" i="27"/>
  <c r="AJ615" i="27"/>
  <c r="AF615" i="27"/>
  <c r="AB615" i="27"/>
  <c r="X615" i="27"/>
  <c r="T615" i="27"/>
  <c r="P615" i="27"/>
  <c r="L615" i="27"/>
  <c r="H615" i="27"/>
  <c r="AQ615" i="27"/>
  <c r="AM615" i="27"/>
  <c r="AI615" i="27"/>
  <c r="AE615" i="27"/>
  <c r="AA615" i="27"/>
  <c r="W615" i="27"/>
  <c r="S615" i="27"/>
  <c r="O615" i="27"/>
  <c r="K615" i="27"/>
  <c r="G615" i="27"/>
  <c r="B32" i="43"/>
  <c r="F599" i="27"/>
  <c r="H599" i="27"/>
  <c r="J599" i="27"/>
  <c r="L599" i="27"/>
  <c r="M599" i="27"/>
  <c r="AR573" i="27"/>
  <c r="AN573" i="27"/>
  <c r="AJ573" i="27"/>
  <c r="AF573" i="27"/>
  <c r="AB573" i="27"/>
  <c r="X573" i="27"/>
  <c r="T573" i="27"/>
  <c r="P573" i="27"/>
  <c r="L573" i="27"/>
  <c r="H573" i="27"/>
  <c r="AQ573" i="27"/>
  <c r="AM573" i="27"/>
  <c r="AI573" i="27"/>
  <c r="AE573" i="27"/>
  <c r="AA573" i="27"/>
  <c r="W573" i="27"/>
  <c r="S573" i="27"/>
  <c r="O573" i="27"/>
  <c r="K573" i="27"/>
  <c r="G573" i="27"/>
  <c r="I587" i="27"/>
  <c r="M587" i="27"/>
  <c r="Q587" i="27"/>
  <c r="U587" i="27"/>
  <c r="Y587" i="27"/>
  <c r="AC587" i="27"/>
  <c r="AG587" i="27"/>
  <c r="AK587" i="27"/>
  <c r="AO587" i="27"/>
  <c r="F587" i="27"/>
  <c r="J587" i="27"/>
  <c r="N587" i="27"/>
  <c r="R587" i="27"/>
  <c r="V587" i="27"/>
  <c r="Z587" i="27"/>
  <c r="AD587" i="27"/>
  <c r="AH587" i="27"/>
  <c r="AL587" i="27"/>
  <c r="AP587" i="27"/>
  <c r="E587" i="27"/>
  <c r="AR627" i="27"/>
  <c r="B54" i="43"/>
  <c r="AQ522" i="27"/>
  <c r="AN84" i="28"/>
  <c r="K4" i="46" s="1"/>
  <c r="B404" i="27"/>
  <c r="AR124" i="31"/>
  <c r="AR125" i="31" s="1"/>
  <c r="AT496" i="27"/>
  <c r="N88" i="41" s="1"/>
  <c r="B403" i="27"/>
  <c r="I86" i="27"/>
  <c r="AR487" i="27"/>
  <c r="AQ65" i="28"/>
  <c r="AQ276" i="28" s="1"/>
  <c r="AT460" i="27"/>
  <c r="N69" i="41" s="1"/>
  <c r="B451" i="27"/>
  <c r="AT447" i="27"/>
  <c r="N55" i="41" s="1"/>
  <c r="AP86" i="27"/>
  <c r="Z86" i="27"/>
  <c r="F86" i="27"/>
  <c r="AH86" i="27"/>
  <c r="P86" i="27"/>
  <c r="AL86" i="27"/>
  <c r="AD86" i="27"/>
  <c r="V86" i="27"/>
  <c r="H86" i="27"/>
  <c r="AI86" i="27"/>
  <c r="G86" i="27"/>
  <c r="AR86" i="27"/>
  <c r="AN86" i="27"/>
  <c r="AJ86" i="27"/>
  <c r="AF86" i="27"/>
  <c r="AB86" i="27"/>
  <c r="X86" i="27"/>
  <c r="T86" i="27"/>
  <c r="L86" i="27"/>
  <c r="AO86" i="27"/>
  <c r="Y86" i="27"/>
  <c r="R86" i="27"/>
  <c r="N86" i="27"/>
  <c r="J86" i="27"/>
  <c r="AQ86" i="27"/>
  <c r="AM86" i="27"/>
  <c r="AE86" i="27"/>
  <c r="Q86" i="27"/>
  <c r="AK86" i="27"/>
  <c r="AG86" i="27"/>
  <c r="K16" i="37" s="1"/>
  <c r="AC86" i="27"/>
  <c r="U86" i="27"/>
  <c r="M86" i="27"/>
  <c r="AA86" i="27"/>
  <c r="W86" i="27"/>
  <c r="S86" i="27"/>
  <c r="O86" i="27"/>
  <c r="AP41" i="31"/>
  <c r="AT31" i="31"/>
  <c r="N24" i="51" s="1"/>
  <c r="AQ74" i="31"/>
  <c r="M4" i="52" s="1"/>
  <c r="AT472" i="27"/>
  <c r="B472" i="27" s="1"/>
  <c r="E88" i="27"/>
  <c r="E93" i="27"/>
  <c r="AR490" i="27"/>
  <c r="AR501" i="27" s="1"/>
  <c r="M92" i="41" s="1"/>
  <c r="AT483" i="27"/>
  <c r="N16" i="41"/>
  <c r="AR486" i="27"/>
  <c r="AR103" i="28" s="1"/>
  <c r="L23" i="46" s="1"/>
  <c r="B406" i="27"/>
  <c r="AT494" i="27"/>
  <c r="N86" i="41" s="1"/>
  <c r="AL43" i="31"/>
  <c r="AT18" i="28"/>
  <c r="N15" i="44" s="1"/>
  <c r="AT322" i="27"/>
  <c r="AT323" i="27"/>
  <c r="AT317" i="27"/>
  <c r="AT318" i="27"/>
  <c r="AT19" i="28"/>
  <c r="D306" i="23" s="1"/>
  <c r="C306" i="23"/>
  <c r="AK138" i="32"/>
  <c r="AL123" i="32"/>
  <c r="AL138" i="32" s="1"/>
  <c r="AT18" i="32"/>
  <c r="N12" i="58" s="1"/>
  <c r="AM119" i="32"/>
  <c r="L5" i="61" s="1"/>
  <c r="AO41" i="31"/>
  <c r="AQ62" i="31"/>
  <c r="R127" i="31"/>
  <c r="S127" i="31" s="1"/>
  <c r="T127" i="31" s="1"/>
  <c r="U127" i="31" s="1"/>
  <c r="AT128" i="27"/>
  <c r="AB129" i="27"/>
  <c r="AT232" i="27"/>
  <c r="AT231" i="28"/>
  <c r="N24" i="49" s="1"/>
  <c r="AR48" i="28"/>
  <c r="B48" i="28" s="1"/>
  <c r="AT682" i="27"/>
  <c r="AO234" i="28"/>
  <c r="AO236" i="28"/>
  <c r="AO235" i="28"/>
  <c r="C305" i="23"/>
  <c r="B15" i="44"/>
  <c r="AO229" i="28"/>
  <c r="AO121" i="32"/>
  <c r="M7" i="61" s="1"/>
  <c r="AN234" i="28"/>
  <c r="AN233" i="28"/>
  <c r="AN684" i="27"/>
  <c r="AN217" i="28" s="1"/>
  <c r="AN235" i="28"/>
  <c r="AN236" i="28"/>
  <c r="AO12" i="28"/>
  <c r="AO683" i="27"/>
  <c r="AP233" i="27"/>
  <c r="AO88" i="32"/>
  <c r="M9" i="60" s="1"/>
  <c r="AM684" i="27"/>
  <c r="AM217" i="28" s="1"/>
  <c r="AM234" i="28"/>
  <c r="AM235" i="28"/>
  <c r="L28" i="49" s="1"/>
  <c r="AM236" i="28"/>
  <c r="AM233" i="28"/>
  <c r="L26" i="49" s="1"/>
  <c r="AO684" i="27"/>
  <c r="AO217" i="28" s="1"/>
  <c r="AO233" i="28"/>
  <c r="AT209" i="27"/>
  <c r="M20" i="39" s="1"/>
  <c r="S111" i="31"/>
  <c r="T111" i="31" s="1"/>
  <c r="U111" i="31" s="1"/>
  <c r="I112" i="31"/>
  <c r="AR233" i="27"/>
  <c r="AR683" i="27"/>
  <c r="AR12" i="28"/>
  <c r="B12" i="28" s="1"/>
  <c r="AT208" i="27"/>
  <c r="R276" i="28"/>
  <c r="R356" i="28"/>
  <c r="R314" i="28"/>
  <c r="AG314" i="28"/>
  <c r="AG356" i="28"/>
  <c r="AG276" i="28"/>
  <c r="AL314" i="28"/>
  <c r="AL356" i="28"/>
  <c r="AL276" i="28"/>
  <c r="G356" i="28"/>
  <c r="G314" i="28"/>
  <c r="G276" i="28"/>
  <c r="Z314" i="28"/>
  <c r="Z276" i="28"/>
  <c r="Z356" i="28"/>
  <c r="I276" i="28"/>
  <c r="I356" i="28"/>
  <c r="I314" i="28"/>
  <c r="F276" i="28"/>
  <c r="F356" i="28"/>
  <c r="F314" i="28"/>
  <c r="J356" i="28"/>
  <c r="J314" i="28"/>
  <c r="J276" i="28"/>
  <c r="X314" i="28"/>
  <c r="X276" i="28"/>
  <c r="X356" i="28"/>
  <c r="O356" i="28"/>
  <c r="O276" i="28"/>
  <c r="O314" i="28"/>
  <c r="Q314" i="28"/>
  <c r="Q356" i="28"/>
  <c r="Q276" i="28"/>
  <c r="W356" i="28"/>
  <c r="W314" i="28"/>
  <c r="W276" i="28"/>
  <c r="AI356" i="28"/>
  <c r="AI314" i="28"/>
  <c r="AI276" i="28"/>
  <c r="AK356" i="28"/>
  <c r="AK314" i="28"/>
  <c r="AK276" i="28"/>
  <c r="V276" i="28"/>
  <c r="V314" i="28"/>
  <c r="V356" i="28"/>
  <c r="AB276" i="28"/>
  <c r="AB356" i="28"/>
  <c r="AB314" i="28"/>
  <c r="AD356" i="28"/>
  <c r="AD314" i="28"/>
  <c r="AD276" i="28"/>
  <c r="AO314" i="28"/>
  <c r="AO276" i="28"/>
  <c r="AO356" i="28"/>
  <c r="AC356" i="28"/>
  <c r="AC276" i="28"/>
  <c r="AC314" i="28"/>
  <c r="AH314" i="28"/>
  <c r="AH276" i="28"/>
  <c r="AH356" i="28"/>
  <c r="Y356" i="28"/>
  <c r="Y314" i="28"/>
  <c r="Y276" i="28"/>
  <c r="AE356" i="28"/>
  <c r="AE314" i="28"/>
  <c r="AE276" i="28"/>
  <c r="M314" i="28"/>
  <c r="M276" i="28"/>
  <c r="M356" i="28"/>
  <c r="T314" i="28"/>
  <c r="T356" i="28"/>
  <c r="T276" i="28"/>
  <c r="L314" i="28"/>
  <c r="L276" i="28"/>
  <c r="L356" i="28"/>
  <c r="U356" i="28"/>
  <c r="U314" i="28"/>
  <c r="U276" i="28"/>
  <c r="P356" i="28"/>
  <c r="P314" i="28"/>
  <c r="P276" i="28"/>
  <c r="AP314" i="28"/>
  <c r="AP356" i="28"/>
  <c r="AP276" i="28"/>
  <c r="H276" i="28"/>
  <c r="H356" i="28"/>
  <c r="H314" i="28"/>
  <c r="K314" i="28"/>
  <c r="K356" i="28"/>
  <c r="K276" i="28"/>
  <c r="AF276" i="28"/>
  <c r="AF314" i="28"/>
  <c r="AF356" i="28"/>
  <c r="AJ356" i="28"/>
  <c r="AJ276" i="28"/>
  <c r="AJ314" i="28"/>
  <c r="AN356" i="28"/>
  <c r="AN276" i="28"/>
  <c r="AN314" i="28"/>
  <c r="N356" i="28"/>
  <c r="N276" i="28"/>
  <c r="N314" i="28"/>
  <c r="S356" i="28"/>
  <c r="S314" i="28"/>
  <c r="S276" i="28"/>
  <c r="AA276" i="28"/>
  <c r="AA356" i="28"/>
  <c r="AA314" i="28"/>
  <c r="AM356" i="28"/>
  <c r="AM276" i="28"/>
  <c r="AM314" i="28"/>
  <c r="AR120" i="32"/>
  <c r="AR62" i="31"/>
  <c r="AT240" i="31"/>
  <c r="N20" i="57" s="1"/>
  <c r="AO38" i="31"/>
  <c r="AN42" i="31"/>
  <c r="L33" i="51" s="1"/>
  <c r="AM43" i="31"/>
  <c r="J16" i="37" l="1"/>
  <c r="L29" i="49"/>
  <c r="L27" i="49"/>
  <c r="G441" i="27"/>
  <c r="G484" i="27" s="1"/>
  <c r="G96" i="28" s="1"/>
  <c r="AT464" i="27"/>
  <c r="B464" i="27" s="1"/>
  <c r="E474" i="27" s="1"/>
  <c r="H441" i="27"/>
  <c r="D49" i="41" s="1"/>
  <c r="AQ119" i="32"/>
  <c r="I442" i="27"/>
  <c r="I485" i="27" s="1"/>
  <c r="K441" i="27"/>
  <c r="K484" i="27" s="1"/>
  <c r="K96" i="28" s="1"/>
  <c r="F442" i="27"/>
  <c r="F485" i="27" s="1"/>
  <c r="I441" i="27"/>
  <c r="G442" i="27"/>
  <c r="G485" i="27" s="1"/>
  <c r="H442" i="27"/>
  <c r="D50" i="41" s="1"/>
  <c r="F441" i="27"/>
  <c r="F484" i="27" s="1"/>
  <c r="F96" i="28" s="1"/>
  <c r="E441" i="27"/>
  <c r="D28" i="43"/>
  <c r="U441" i="27"/>
  <c r="T106" i="31"/>
  <c r="U106" i="31" s="1"/>
  <c r="B62" i="31"/>
  <c r="B53" i="51" s="1"/>
  <c r="I9" i="50"/>
  <c r="L10" i="49"/>
  <c r="G56" i="52"/>
  <c r="L16" i="37"/>
  <c r="D33" i="43"/>
  <c r="E33" i="43"/>
  <c r="F33" i="43"/>
  <c r="G9" i="50"/>
  <c r="D9" i="50"/>
  <c r="AR134" i="32"/>
  <c r="H9" i="50"/>
  <c r="F9" i="50"/>
  <c r="J9" i="50"/>
  <c r="L9" i="50"/>
  <c r="E9" i="50"/>
  <c r="K9" i="50"/>
  <c r="AO252" i="28"/>
  <c r="M22" i="49"/>
  <c r="M53" i="51"/>
  <c r="H16" i="37"/>
  <c r="G16" i="37"/>
  <c r="M16" i="37"/>
  <c r="M28" i="43"/>
  <c r="K28" i="43"/>
  <c r="I28" i="43"/>
  <c r="G28" i="43"/>
  <c r="E28" i="43"/>
  <c r="J17" i="43"/>
  <c r="F17" i="43"/>
  <c r="K50" i="43"/>
  <c r="G50" i="43"/>
  <c r="I17" i="43"/>
  <c r="J50" i="43"/>
  <c r="L50" i="43"/>
  <c r="H50" i="43"/>
  <c r="E17" i="43"/>
  <c r="E639" i="27"/>
  <c r="E637" i="27" s="1"/>
  <c r="E22" i="43"/>
  <c r="D22" i="43"/>
  <c r="D19" i="38"/>
  <c r="G465" i="27"/>
  <c r="F470" i="27"/>
  <c r="L21" i="39"/>
  <c r="B63" i="28"/>
  <c r="C344" i="23" s="1"/>
  <c r="M20" i="45"/>
  <c r="I439" i="27"/>
  <c r="E21" i="41"/>
  <c r="M6" i="45"/>
  <c r="AQ63" i="31"/>
  <c r="AC439" i="27"/>
  <c r="J21" i="41"/>
  <c r="AO439" i="27"/>
  <c r="M21" i="41"/>
  <c r="Q439" i="27"/>
  <c r="G21" i="41"/>
  <c r="AK439" i="27"/>
  <c r="L21" i="41"/>
  <c r="F35" i="52"/>
  <c r="B88" i="32"/>
  <c r="B9" i="60" s="1"/>
  <c r="M9" i="44"/>
  <c r="AB132" i="27"/>
  <c r="I20" i="38" s="1"/>
  <c r="I18" i="38"/>
  <c r="F16" i="37"/>
  <c r="I16" i="37"/>
  <c r="D16" i="37"/>
  <c r="E16" i="37"/>
  <c r="L28" i="43"/>
  <c r="J28" i="43"/>
  <c r="H28" i="43"/>
  <c r="F28" i="43"/>
  <c r="L17" i="43"/>
  <c r="H17" i="43"/>
  <c r="D17" i="43"/>
  <c r="M50" i="43"/>
  <c r="I50" i="43"/>
  <c r="E50" i="43"/>
  <c r="M17" i="43"/>
  <c r="F50" i="43"/>
  <c r="K17" i="43"/>
  <c r="G17" i="43"/>
  <c r="D11" i="43"/>
  <c r="D55" i="43"/>
  <c r="E55" i="43"/>
  <c r="F55" i="43"/>
  <c r="D50" i="43"/>
  <c r="AM123" i="31"/>
  <c r="AT123" i="31" s="1"/>
  <c r="F134" i="31" s="1"/>
  <c r="L4" i="52"/>
  <c r="AR242" i="31"/>
  <c r="M22" i="57" s="1"/>
  <c r="B228" i="31"/>
  <c r="E439" i="27"/>
  <c r="E440" i="27" s="1"/>
  <c r="D21" i="41"/>
  <c r="M439" i="27"/>
  <c r="AT439" i="27" s="1"/>
  <c r="F21" i="41"/>
  <c r="U439" i="27"/>
  <c r="H21" i="41"/>
  <c r="Y439" i="27"/>
  <c r="I21" i="41"/>
  <c r="AG439" i="27"/>
  <c r="K21" i="41"/>
  <c r="F32" i="52"/>
  <c r="B121" i="32"/>
  <c r="B229" i="28"/>
  <c r="B22" i="49" s="1"/>
  <c r="M8" i="57"/>
  <c r="H33" i="52"/>
  <c r="G55" i="52"/>
  <c r="G36" i="52"/>
  <c r="G39" i="52"/>
  <c r="R442" i="27"/>
  <c r="R485" i="27" s="1"/>
  <c r="AT229" i="28"/>
  <c r="N22" i="49" s="1"/>
  <c r="AL441" i="27"/>
  <c r="AL484" i="27" s="1"/>
  <c r="AL96" i="28" s="1"/>
  <c r="S442" i="27"/>
  <c r="S485" i="27" s="1"/>
  <c r="V442" i="27"/>
  <c r="V485" i="27" s="1"/>
  <c r="AF441" i="27"/>
  <c r="J49" i="41" s="1"/>
  <c r="W441" i="27"/>
  <c r="W484" i="27" s="1"/>
  <c r="W96" i="28" s="1"/>
  <c r="M442" i="27"/>
  <c r="M485" i="27" s="1"/>
  <c r="N442" i="27"/>
  <c r="N485" i="27" s="1"/>
  <c r="Q441" i="27"/>
  <c r="Q484" i="27" s="1"/>
  <c r="Q96" i="28" s="1"/>
  <c r="J441" i="27"/>
  <c r="J484" i="27" s="1"/>
  <c r="J96" i="28" s="1"/>
  <c r="P442" i="27"/>
  <c r="F50" i="41" s="1"/>
  <c r="AT217" i="27"/>
  <c r="M21" i="39" s="1"/>
  <c r="F474" i="27"/>
  <c r="AT407" i="27"/>
  <c r="N21" i="41" s="1"/>
  <c r="X442" i="27"/>
  <c r="H50" i="41" s="1"/>
  <c r="R441" i="27"/>
  <c r="R484" i="27" s="1"/>
  <c r="R96" i="28" s="1"/>
  <c r="AE441" i="27"/>
  <c r="AE484" i="27" s="1"/>
  <c r="AE96" i="28" s="1"/>
  <c r="AN442" i="27"/>
  <c r="L50" i="41" s="1"/>
  <c r="AK442" i="27"/>
  <c r="AK485" i="27" s="1"/>
  <c r="X441" i="27"/>
  <c r="H49" i="41" s="1"/>
  <c r="L441" i="27"/>
  <c r="E49" i="41" s="1"/>
  <c r="P441" i="27"/>
  <c r="F49" i="41" s="1"/>
  <c r="O442" i="27"/>
  <c r="O485" i="27" s="1"/>
  <c r="AM75" i="31"/>
  <c r="L5" i="52" s="1"/>
  <c r="AR500" i="27"/>
  <c r="B401" i="27"/>
  <c r="U133" i="31"/>
  <c r="AP441" i="27"/>
  <c r="AP484" i="27" s="1"/>
  <c r="AP96" i="28" s="1"/>
  <c r="AM441" i="27"/>
  <c r="AM484" i="27" s="1"/>
  <c r="AM96" i="28" s="1"/>
  <c r="AP442" i="27"/>
  <c r="AP485" i="27" s="1"/>
  <c r="U442" i="27"/>
  <c r="U485" i="27" s="1"/>
  <c r="Z441" i="27"/>
  <c r="Z484" i="27" s="1"/>
  <c r="Z96" i="28" s="1"/>
  <c r="AA441" i="27"/>
  <c r="AA484" i="27" s="1"/>
  <c r="AA96" i="28" s="1"/>
  <c r="AJ441" i="27"/>
  <c r="K49" i="41" s="1"/>
  <c r="AD442" i="27"/>
  <c r="AD485" i="27" s="1"/>
  <c r="S441" i="27"/>
  <c r="S484" i="27" s="1"/>
  <c r="S96" i="28" s="1"/>
  <c r="W442" i="27"/>
  <c r="W485" i="27" s="1"/>
  <c r="AM442" i="27"/>
  <c r="AM485" i="27" s="1"/>
  <c r="AN441" i="27"/>
  <c r="L49" i="41" s="1"/>
  <c r="V441" i="27"/>
  <c r="V484" i="27" s="1"/>
  <c r="V96" i="28" s="1"/>
  <c r="T441" i="27"/>
  <c r="G49" i="41" s="1"/>
  <c r="T442" i="27"/>
  <c r="G50" i="41" s="1"/>
  <c r="AJ442" i="27"/>
  <c r="K50" i="41" s="1"/>
  <c r="Y442" i="27"/>
  <c r="Y485" i="27" s="1"/>
  <c r="AQ442" i="27"/>
  <c r="AQ485" i="27" s="1"/>
  <c r="Y441" i="27"/>
  <c r="Y484" i="27" s="1"/>
  <c r="Y96" i="28" s="1"/>
  <c r="AO442" i="27"/>
  <c r="AO485" i="27" s="1"/>
  <c r="K442" i="27"/>
  <c r="K485" i="27" s="1"/>
  <c r="M441" i="27"/>
  <c r="M484" i="27" s="1"/>
  <c r="M96" i="28" s="1"/>
  <c r="O441" i="27"/>
  <c r="O484" i="27" s="1"/>
  <c r="O96" i="28" s="1"/>
  <c r="J442" i="27"/>
  <c r="J485" i="27" s="1"/>
  <c r="L442" i="27"/>
  <c r="E50" i="41" s="1"/>
  <c r="Q442" i="27"/>
  <c r="Q485" i="27" s="1"/>
  <c r="N441" i="27"/>
  <c r="N484" i="27" s="1"/>
  <c r="N96" i="28" s="1"/>
  <c r="AH441" i="27"/>
  <c r="AH484" i="27" s="1"/>
  <c r="AH96" i="28" s="1"/>
  <c r="AI441" i="27"/>
  <c r="AI484" i="27" s="1"/>
  <c r="AI96" i="28" s="1"/>
  <c r="AR442" i="27"/>
  <c r="M50" i="41" s="1"/>
  <c r="AL442" i="27"/>
  <c r="AL485" i="27" s="1"/>
  <c r="AK441" i="27"/>
  <c r="AK484" i="27" s="1"/>
  <c r="AK96" i="28" s="1"/>
  <c r="AE442" i="27"/>
  <c r="AE485" i="27" s="1"/>
  <c r="AD441" i="27"/>
  <c r="AD484" i="27" s="1"/>
  <c r="AD96" i="28" s="1"/>
  <c r="AF442" i="27"/>
  <c r="J50" i="41" s="1"/>
  <c r="Z442" i="27"/>
  <c r="Z485" i="27" s="1"/>
  <c r="AA442" i="27"/>
  <c r="AA485" i="27" s="1"/>
  <c r="AH442" i="27"/>
  <c r="AH485" i="27" s="1"/>
  <c r="AG441" i="27"/>
  <c r="AG484" i="27" s="1"/>
  <c r="AG96" i="28" s="1"/>
  <c r="AG442" i="27"/>
  <c r="AG485" i="27" s="1"/>
  <c r="AB441" i="27"/>
  <c r="I49" i="41" s="1"/>
  <c r="AB442" i="27"/>
  <c r="I50" i="41" s="1"/>
  <c r="AQ441" i="27"/>
  <c r="AQ484" i="27" s="1"/>
  <c r="AQ96" i="28" s="1"/>
  <c r="AI442" i="27"/>
  <c r="AI485" i="27" s="1"/>
  <c r="AR441" i="27"/>
  <c r="M49" i="41" s="1"/>
  <c r="AC442" i="27"/>
  <c r="AC485" i="27" s="1"/>
  <c r="AC441" i="27"/>
  <c r="AC484" i="27" s="1"/>
  <c r="AC96" i="28" s="1"/>
  <c r="AO441" i="27"/>
  <c r="AO484" i="27" s="1"/>
  <c r="AO96" i="28" s="1"/>
  <c r="X110" i="31"/>
  <c r="Y110" i="31" s="1"/>
  <c r="V128" i="31"/>
  <c r="V108" i="31"/>
  <c r="W108" i="31" s="1"/>
  <c r="X108" i="31" s="1"/>
  <c r="Y108" i="31" s="1"/>
  <c r="R107" i="31"/>
  <c r="S107" i="31" s="1"/>
  <c r="T107" i="31" s="1"/>
  <c r="U107" i="31" s="1"/>
  <c r="R104" i="31"/>
  <c r="S104" i="31" s="1"/>
  <c r="T104" i="31" s="1"/>
  <c r="U104" i="31" s="1"/>
  <c r="Z105" i="31"/>
  <c r="AA105" i="31" s="1"/>
  <c r="AB105" i="31" s="1"/>
  <c r="AC105" i="31" s="1"/>
  <c r="U132" i="31"/>
  <c r="P131" i="31"/>
  <c r="F59" i="52" s="1"/>
  <c r="R109" i="31"/>
  <c r="E582" i="27"/>
  <c r="E596" i="27"/>
  <c r="E624" i="27"/>
  <c r="E568" i="27"/>
  <c r="B627" i="27"/>
  <c r="B641" i="27"/>
  <c r="AT74" i="31"/>
  <c r="N4" i="52" s="1"/>
  <c r="B571" i="27"/>
  <c r="N77" i="41"/>
  <c r="W75" i="31"/>
  <c r="H5" i="52" s="1"/>
  <c r="W119" i="31"/>
  <c r="H47" i="52" s="1"/>
  <c r="S75" i="31"/>
  <c r="G5" i="52" s="1"/>
  <c r="S118" i="31"/>
  <c r="G46" i="52" s="1"/>
  <c r="X103" i="28"/>
  <c r="G23" i="46" s="1"/>
  <c r="AB103" i="28"/>
  <c r="H23" i="46" s="1"/>
  <c r="AF84" i="28"/>
  <c r="I4" i="46" s="1"/>
  <c r="T103" i="28"/>
  <c r="F23" i="46" s="1"/>
  <c r="AF103" i="28"/>
  <c r="I23" i="46" s="1"/>
  <c r="AJ103" i="28"/>
  <c r="J23" i="46" s="1"/>
  <c r="AJ84" i="28"/>
  <c r="J4" i="46" s="1"/>
  <c r="S32" i="31"/>
  <c r="R55" i="31"/>
  <c r="T84" i="28"/>
  <c r="F4" i="46" s="1"/>
  <c r="X84" i="28"/>
  <c r="G4" i="46" s="1"/>
  <c r="AB84" i="28"/>
  <c r="H4" i="46" s="1"/>
  <c r="B585" i="27"/>
  <c r="B599" i="27"/>
  <c r="E484" i="27"/>
  <c r="E96" i="28" s="1"/>
  <c r="E485" i="27"/>
  <c r="AT63" i="28"/>
  <c r="D344" i="23" s="1"/>
  <c r="U484" i="27"/>
  <c r="U96" i="28" s="1"/>
  <c r="AQ356" i="28"/>
  <c r="I484" i="27"/>
  <c r="I96" i="28" s="1"/>
  <c r="AQ314" i="28"/>
  <c r="AR84" i="28"/>
  <c r="L4" i="46" s="1"/>
  <c r="B447" i="27"/>
  <c r="AQ75" i="31"/>
  <c r="M5" i="52" s="1"/>
  <c r="AQ124" i="31"/>
  <c r="AT490" i="27"/>
  <c r="E89" i="27"/>
  <c r="E94" i="27"/>
  <c r="E87" i="27"/>
  <c r="AR482" i="27"/>
  <c r="M473" i="27"/>
  <c r="D305" i="23"/>
  <c r="H484" i="27"/>
  <c r="H96" i="28" s="1"/>
  <c r="C16" i="46" s="1"/>
  <c r="AE473" i="27"/>
  <c r="E473" i="27"/>
  <c r="AJ473" i="27"/>
  <c r="AL473" i="27"/>
  <c r="K473" i="27"/>
  <c r="F473" i="27"/>
  <c r="AK473" i="27"/>
  <c r="O473" i="27"/>
  <c r="J473" i="27"/>
  <c r="N16" i="44"/>
  <c r="I473" i="27"/>
  <c r="X473" i="27"/>
  <c r="AN473" i="27"/>
  <c r="Q473" i="27"/>
  <c r="AG473" i="27"/>
  <c r="N473" i="27"/>
  <c r="G473" i="27"/>
  <c r="AM473" i="27"/>
  <c r="L473" i="27"/>
  <c r="S473" i="27"/>
  <c r="AP473" i="27"/>
  <c r="B16" i="44"/>
  <c r="AM123" i="32"/>
  <c r="AT88" i="32"/>
  <c r="N9" i="60" s="1"/>
  <c r="AT121" i="32"/>
  <c r="N7" i="61" s="1"/>
  <c r="AN44" i="31"/>
  <c r="L35" i="51" s="1"/>
  <c r="V127" i="31"/>
  <c r="W127" i="31" s="1"/>
  <c r="X127" i="31" s="1"/>
  <c r="Y127" i="31" s="1"/>
  <c r="AT62" i="31"/>
  <c r="N53" i="51" s="1"/>
  <c r="C330" i="23"/>
  <c r="AT129" i="27"/>
  <c r="N18" i="38" s="1"/>
  <c r="AT48" i="28"/>
  <c r="N6" i="45" s="1"/>
  <c r="AT683" i="27"/>
  <c r="AP234" i="28"/>
  <c r="AP236" i="28"/>
  <c r="AP233" i="28"/>
  <c r="AP684" i="27"/>
  <c r="AP217" i="28" s="1"/>
  <c r="AP235" i="28"/>
  <c r="AN17" i="32"/>
  <c r="AN232" i="28"/>
  <c r="AN256" i="28" s="1"/>
  <c r="AO17" i="32"/>
  <c r="AO232" i="28"/>
  <c r="AM17" i="32"/>
  <c r="L11" i="58" s="1"/>
  <c r="AM232" i="28"/>
  <c r="L25" i="49" s="1"/>
  <c r="AO120" i="32"/>
  <c r="AT216" i="27"/>
  <c r="V111" i="31"/>
  <c r="W111" i="31" s="1"/>
  <c r="X111" i="31" s="1"/>
  <c r="Y111" i="31" s="1"/>
  <c r="J112" i="31"/>
  <c r="K112" i="31" s="1"/>
  <c r="AT12" i="28"/>
  <c r="AR235" i="28"/>
  <c r="B235" i="28" s="1"/>
  <c r="AR684" i="27"/>
  <c r="AR234" i="28"/>
  <c r="B234" i="28" s="1"/>
  <c r="AT233" i="27"/>
  <c r="AR236" i="28"/>
  <c r="AR233" i="28"/>
  <c r="AR119" i="32"/>
  <c r="AN43" i="31"/>
  <c r="L34" i="51" s="1"/>
  <c r="AP38" i="31"/>
  <c r="AO42" i="31"/>
  <c r="AO44" i="31" s="1"/>
  <c r="AI473" i="27" l="1"/>
  <c r="AQ473" i="27"/>
  <c r="R473" i="27"/>
  <c r="W473" i="27"/>
  <c r="AD473" i="27"/>
  <c r="AO473" i="27"/>
  <c r="Z473" i="27"/>
  <c r="H473" i="27"/>
  <c r="AF473" i="27"/>
  <c r="P473" i="27"/>
  <c r="AA473" i="27"/>
  <c r="V473" i="27"/>
  <c r="U473" i="27"/>
  <c r="AB473" i="27"/>
  <c r="Y473" i="27"/>
  <c r="AC473" i="27"/>
  <c r="AR473" i="27"/>
  <c r="AH473" i="27"/>
  <c r="T473" i="27"/>
  <c r="G474" i="27"/>
  <c r="V106" i="31"/>
  <c r="W106" i="31" s="1"/>
  <c r="X106" i="31" s="1"/>
  <c r="Y106" i="31" s="1"/>
  <c r="H485" i="27"/>
  <c r="AB130" i="27"/>
  <c r="I19" i="38" s="1"/>
  <c r="G34" i="52"/>
  <c r="B236" i="28"/>
  <c r="B29" i="49" s="1"/>
  <c r="M26" i="49"/>
  <c r="B233" i="28"/>
  <c r="B26" i="49" s="1"/>
  <c r="M29" i="49"/>
  <c r="Z108" i="31"/>
  <c r="AA108" i="31" s="1"/>
  <c r="AB108" i="31" s="1"/>
  <c r="AC108" i="31" s="1"/>
  <c r="M28" i="49"/>
  <c r="M27" i="49"/>
  <c r="AR498" i="27"/>
  <c r="M90" i="41" s="1"/>
  <c r="M85" i="41"/>
  <c r="E625" i="27"/>
  <c r="F624" i="27" s="1"/>
  <c r="V132" i="31"/>
  <c r="W132" i="31" s="1"/>
  <c r="X132" i="31" s="1"/>
  <c r="Y132" i="31" s="1"/>
  <c r="E445" i="27"/>
  <c r="E488" i="27" s="1"/>
  <c r="E24" i="28" s="1"/>
  <c r="F440" i="27"/>
  <c r="H36" i="52"/>
  <c r="H38" i="52"/>
  <c r="AO134" i="32"/>
  <c r="M6" i="61"/>
  <c r="E78" i="41"/>
  <c r="L78" i="41"/>
  <c r="D78" i="41"/>
  <c r="F78" i="41"/>
  <c r="E95" i="27"/>
  <c r="AQ125" i="31"/>
  <c r="M53" i="52" s="1"/>
  <c r="M52" i="52"/>
  <c r="E597" i="27"/>
  <c r="F596" i="27" s="1"/>
  <c r="F597" i="27" s="1"/>
  <c r="E583" i="27"/>
  <c r="E581" i="27" s="1"/>
  <c r="AR63" i="31"/>
  <c r="B63" i="31" s="1"/>
  <c r="B242" i="31"/>
  <c r="AM125" i="31"/>
  <c r="L53" i="52" s="1"/>
  <c r="L51" i="52"/>
  <c r="G35" i="52"/>
  <c r="H55" i="52"/>
  <c r="M54" i="51"/>
  <c r="H465" i="27"/>
  <c r="G470" i="27"/>
  <c r="G471" i="27" s="1"/>
  <c r="G475" i="27" s="1"/>
  <c r="I33" i="52"/>
  <c r="G32" i="52"/>
  <c r="F638" i="27"/>
  <c r="B120" i="32"/>
  <c r="B6" i="61" s="1"/>
  <c r="H39" i="52"/>
  <c r="AF484" i="27"/>
  <c r="AF96" i="28" s="1"/>
  <c r="I16" i="46" s="1"/>
  <c r="N51" i="52"/>
  <c r="D391" i="23"/>
  <c r="P485" i="27"/>
  <c r="B407" i="27"/>
  <c r="Y434" i="27" s="1"/>
  <c r="AN485" i="27"/>
  <c r="X484" i="27"/>
  <c r="X96" i="28" s="1"/>
  <c r="G16" i="46" s="1"/>
  <c r="P484" i="27"/>
  <c r="P96" i="28" s="1"/>
  <c r="E16" i="46" s="1"/>
  <c r="L484" i="27"/>
  <c r="L96" i="28" s="1"/>
  <c r="D16" i="46" s="1"/>
  <c r="X485" i="27"/>
  <c r="AR499" i="27"/>
  <c r="AN484" i="27"/>
  <c r="AN96" i="28" s="1"/>
  <c r="K16" i="46" s="1"/>
  <c r="AB485" i="27"/>
  <c r="AJ485" i="27"/>
  <c r="AR485" i="27"/>
  <c r="T484" i="27"/>
  <c r="T96" i="28" s="1"/>
  <c r="F16" i="46" s="1"/>
  <c r="V133" i="31"/>
  <c r="AJ484" i="27"/>
  <c r="AJ96" i="28" s="1"/>
  <c r="J16" i="46" s="1"/>
  <c r="L485" i="27"/>
  <c r="T485" i="27"/>
  <c r="B439" i="27"/>
  <c r="AF485" i="27"/>
  <c r="AB484" i="27"/>
  <c r="AB96" i="28" s="1"/>
  <c r="H16" i="46" s="1"/>
  <c r="AR484" i="27"/>
  <c r="AR96" i="28" s="1"/>
  <c r="L16" i="46" s="1"/>
  <c r="E595" i="27"/>
  <c r="Z110" i="31"/>
  <c r="AA110" i="31" s="1"/>
  <c r="AB110" i="31" s="1"/>
  <c r="AC110" i="31" s="1"/>
  <c r="W128" i="31"/>
  <c r="S109" i="31"/>
  <c r="Q131" i="31"/>
  <c r="AD105" i="31"/>
  <c r="AE105" i="31" s="1"/>
  <c r="AF105" i="31" s="1"/>
  <c r="AG105" i="31" s="1"/>
  <c r="V107" i="31"/>
  <c r="W107" i="31" s="1"/>
  <c r="X107" i="31" s="1"/>
  <c r="Y107" i="31" s="1"/>
  <c r="V104" i="31"/>
  <c r="W104" i="31" s="1"/>
  <c r="X104" i="31" s="1"/>
  <c r="Y104" i="31" s="1"/>
  <c r="E569" i="27"/>
  <c r="S76" i="31"/>
  <c r="W125" i="31"/>
  <c r="H53" i="52" s="1"/>
  <c r="AT119" i="31"/>
  <c r="T32" i="31"/>
  <c r="S55" i="31"/>
  <c r="S125" i="31"/>
  <c r="G53" i="52" s="1"/>
  <c r="AT118" i="31"/>
  <c r="N20" i="45"/>
  <c r="B20" i="45"/>
  <c r="AT124" i="31"/>
  <c r="N52" i="52" s="1"/>
  <c r="AR670" i="27"/>
  <c r="F82" i="27"/>
  <c r="F96" i="27" s="1"/>
  <c r="E98" i="27"/>
  <c r="E91" i="27" s="1"/>
  <c r="AR59" i="28"/>
  <c r="AT482" i="27"/>
  <c r="N85" i="41" s="1"/>
  <c r="F471" i="27"/>
  <c r="F475" i="27" s="1"/>
  <c r="E471" i="27"/>
  <c r="AO119" i="32"/>
  <c r="AN123" i="32"/>
  <c r="L9" i="61" s="1"/>
  <c r="AM138" i="32"/>
  <c r="B6" i="45"/>
  <c r="G134" i="31"/>
  <c r="Z111" i="31"/>
  <c r="AA111" i="31" s="1"/>
  <c r="AB111" i="31" s="1"/>
  <c r="AC111" i="31" s="1"/>
  <c r="Z127" i="31"/>
  <c r="AA127" i="31" s="1"/>
  <c r="AB127" i="31" s="1"/>
  <c r="AC127" i="31" s="1"/>
  <c r="C391" i="23"/>
  <c r="AT132" i="27"/>
  <c r="N20" i="38" s="1"/>
  <c r="AT252" i="28"/>
  <c r="B252" i="28" s="1"/>
  <c r="D330" i="23"/>
  <c r="AT120" i="32"/>
  <c r="N6" i="61" s="1"/>
  <c r="C299" i="23"/>
  <c r="B9" i="44"/>
  <c r="AP232" i="28"/>
  <c r="AP256" i="28" s="1"/>
  <c r="AP17" i="32"/>
  <c r="D299" i="23"/>
  <c r="N9" i="44"/>
  <c r="AM256" i="28"/>
  <c r="AO256" i="28"/>
  <c r="AT17" i="28"/>
  <c r="L112" i="31"/>
  <c r="E40" i="52" s="1"/>
  <c r="AT233" i="28"/>
  <c r="N26" i="49" s="1"/>
  <c r="AR217" i="28"/>
  <c r="B217" i="28" s="1"/>
  <c r="AT684" i="27"/>
  <c r="AT236" i="28"/>
  <c r="N29" i="49" s="1"/>
  <c r="B27" i="49"/>
  <c r="AT234" i="28"/>
  <c r="N27" i="49" s="1"/>
  <c r="B28" i="49"/>
  <c r="AT235" i="28"/>
  <c r="N28" i="49" s="1"/>
  <c r="AO43" i="31"/>
  <c r="AQ38" i="31"/>
  <c r="AP42" i="31"/>
  <c r="AP44" i="31" s="1"/>
  <c r="AT473" i="27" l="1"/>
  <c r="N78" i="41" s="1"/>
  <c r="Z132" i="31"/>
  <c r="AA132" i="31" s="1"/>
  <c r="M78" i="41"/>
  <c r="I78" i="41"/>
  <c r="H78" i="41"/>
  <c r="Z106" i="31"/>
  <c r="AA106" i="31" s="1"/>
  <c r="AB106" i="31" s="1"/>
  <c r="AC106" i="31" s="1"/>
  <c r="J78" i="41"/>
  <c r="F582" i="27"/>
  <c r="F583" i="27" s="1"/>
  <c r="F581" i="27" s="1"/>
  <c r="E623" i="27"/>
  <c r="K78" i="41"/>
  <c r="G78" i="41"/>
  <c r="H34" i="52"/>
  <c r="AD108" i="31"/>
  <c r="AE108" i="31" s="1"/>
  <c r="AF108" i="31" s="1"/>
  <c r="AG108" i="31" s="1"/>
  <c r="I36" i="52"/>
  <c r="AR37" i="31"/>
  <c r="AT37" i="31" s="1"/>
  <c r="N28" i="51" s="1"/>
  <c r="B59" i="28"/>
  <c r="B16" i="45" s="1"/>
  <c r="M16" i="45"/>
  <c r="AT499" i="27"/>
  <c r="N91" i="41" s="1"/>
  <c r="M91" i="41"/>
  <c r="F639" i="27"/>
  <c r="I465" i="27"/>
  <c r="H470" i="27"/>
  <c r="H471" i="27" s="1"/>
  <c r="D76" i="41" s="1"/>
  <c r="H474" i="27"/>
  <c r="D79" i="41" s="1"/>
  <c r="J33" i="52"/>
  <c r="G440" i="27"/>
  <c r="I34" i="52"/>
  <c r="M10" i="49"/>
  <c r="AT119" i="32"/>
  <c r="N5" i="61" s="1"/>
  <c r="M5" i="61"/>
  <c r="E567" i="27"/>
  <c r="H32" i="52"/>
  <c r="I39" i="52"/>
  <c r="E446" i="27"/>
  <c r="I38" i="52"/>
  <c r="H35" i="52"/>
  <c r="H60" i="52"/>
  <c r="I55" i="52"/>
  <c r="AK448" i="27"/>
  <c r="AM434" i="27"/>
  <c r="AQ434" i="27"/>
  <c r="AO434" i="27"/>
  <c r="O434" i="27"/>
  <c r="N434" i="27"/>
  <c r="G434" i="27"/>
  <c r="I434" i="27"/>
  <c r="AB434" i="27"/>
  <c r="J434" i="27"/>
  <c r="AD434" i="27"/>
  <c r="U434" i="27"/>
  <c r="AG434" i="27"/>
  <c r="AA434" i="27"/>
  <c r="AC434" i="27"/>
  <c r="W434" i="27"/>
  <c r="X434" i="27"/>
  <c r="T434" i="27"/>
  <c r="AP434" i="27"/>
  <c r="AE434" i="27"/>
  <c r="E434" i="27"/>
  <c r="E450" i="27" s="1"/>
  <c r="L434" i="27"/>
  <c r="Q434" i="27"/>
  <c r="P434" i="27"/>
  <c r="AI434" i="27"/>
  <c r="H434" i="27"/>
  <c r="S434" i="27"/>
  <c r="R434" i="27"/>
  <c r="AN434" i="27"/>
  <c r="AK434" i="27"/>
  <c r="V434" i="27"/>
  <c r="AR434" i="27"/>
  <c r="AF434" i="27"/>
  <c r="M434" i="27"/>
  <c r="Z434" i="27"/>
  <c r="AJ434" i="27"/>
  <c r="K434" i="27"/>
  <c r="AH434" i="27"/>
  <c r="F434" i="27"/>
  <c r="F445" i="27" s="1"/>
  <c r="AL434" i="27"/>
  <c r="K448" i="27"/>
  <c r="K491" i="27" s="1"/>
  <c r="K671" i="27" s="1"/>
  <c r="E475" i="27"/>
  <c r="AT670" i="27"/>
  <c r="AE448" i="27"/>
  <c r="AE491" i="27" s="1"/>
  <c r="AE671" i="27" s="1"/>
  <c r="R448" i="27"/>
  <c r="R491" i="27" s="1"/>
  <c r="R671" i="27" s="1"/>
  <c r="AH448" i="27"/>
  <c r="AH491" i="27" s="1"/>
  <c r="AH671" i="27" s="1"/>
  <c r="V448" i="27"/>
  <c r="V491" i="27" s="1"/>
  <c r="V671" i="27" s="1"/>
  <c r="N448" i="27"/>
  <c r="N491" i="27" s="1"/>
  <c r="N671" i="27" s="1"/>
  <c r="AF448" i="27"/>
  <c r="AF491" i="27" s="1"/>
  <c r="AF671" i="27" s="1"/>
  <c r="H448" i="27"/>
  <c r="H491" i="27" s="1"/>
  <c r="H671" i="27" s="1"/>
  <c r="I448" i="27"/>
  <c r="W133" i="31"/>
  <c r="U448" i="27"/>
  <c r="AM448" i="27"/>
  <c r="AM491" i="27" s="1"/>
  <c r="AM671" i="27" s="1"/>
  <c r="AO448" i="27"/>
  <c r="AL448" i="27"/>
  <c r="AL491" i="27" s="1"/>
  <c r="AL671" i="27" s="1"/>
  <c r="AG448" i="27"/>
  <c r="AQ448" i="27"/>
  <c r="AQ491" i="27" s="1"/>
  <c r="AQ671" i="27" s="1"/>
  <c r="Z448" i="27"/>
  <c r="Z491" i="27" s="1"/>
  <c r="Z671" i="27" s="1"/>
  <c r="AP448" i="27"/>
  <c r="AP491" i="27" s="1"/>
  <c r="AP671" i="27" s="1"/>
  <c r="W448" i="27"/>
  <c r="W491" i="27" s="1"/>
  <c r="W671" i="27" s="1"/>
  <c r="E448" i="27"/>
  <c r="Y448" i="27"/>
  <c r="X448" i="27"/>
  <c r="X491" i="27" s="1"/>
  <c r="X671" i="27" s="1"/>
  <c r="J448" i="27"/>
  <c r="J491" i="27" s="1"/>
  <c r="J671" i="27" s="1"/>
  <c r="AD448" i="27"/>
  <c r="AD491" i="27" s="1"/>
  <c r="AD671" i="27" s="1"/>
  <c r="M448" i="27"/>
  <c r="AN448" i="27"/>
  <c r="AN491" i="27" s="1"/>
  <c r="AN671" i="27" s="1"/>
  <c r="AA448" i="27"/>
  <c r="AA491" i="27" s="1"/>
  <c r="AA671" i="27" s="1"/>
  <c r="AR448" i="27"/>
  <c r="AR491" i="27" s="1"/>
  <c r="AR671" i="27" s="1"/>
  <c r="P448" i="27"/>
  <c r="P491" i="27" s="1"/>
  <c r="P671" i="27" s="1"/>
  <c r="AC448" i="27"/>
  <c r="T448" i="27"/>
  <c r="T491" i="27" s="1"/>
  <c r="T671" i="27" s="1"/>
  <c r="AI448" i="27"/>
  <c r="AI491" i="27" s="1"/>
  <c r="AI671" i="27" s="1"/>
  <c r="AJ448" i="27"/>
  <c r="AJ491" i="27" s="1"/>
  <c r="AJ671" i="27" s="1"/>
  <c r="Q448" i="27"/>
  <c r="F448" i="27"/>
  <c r="F491" i="27" s="1"/>
  <c r="F671" i="27" s="1"/>
  <c r="G448" i="27"/>
  <c r="G491" i="27" s="1"/>
  <c r="G671" i="27" s="1"/>
  <c r="AB448" i="27"/>
  <c r="AB491" i="27" s="1"/>
  <c r="AB671" i="27" s="1"/>
  <c r="O448" i="27"/>
  <c r="O491" i="27" s="1"/>
  <c r="O671" i="27" s="1"/>
  <c r="L448" i="27"/>
  <c r="L491" i="27" s="1"/>
  <c r="L671" i="27" s="1"/>
  <c r="S448" i="27"/>
  <c r="S491" i="27" s="1"/>
  <c r="S671" i="27" s="1"/>
  <c r="G582" i="27"/>
  <c r="G583" i="27" s="1"/>
  <c r="AD110" i="31"/>
  <c r="AE110" i="31" s="1"/>
  <c r="X128" i="31"/>
  <c r="H56" i="52" s="1"/>
  <c r="E489" i="27"/>
  <c r="E94" i="28" s="1"/>
  <c r="Z104" i="31"/>
  <c r="AA104" i="31" s="1"/>
  <c r="AB104" i="31" s="1"/>
  <c r="AC104" i="31" s="1"/>
  <c r="R131" i="31"/>
  <c r="Z107" i="31"/>
  <c r="AA107" i="31" s="1"/>
  <c r="AB107" i="31" s="1"/>
  <c r="AC107" i="31" s="1"/>
  <c r="AH105" i="31"/>
  <c r="AI105" i="31" s="1"/>
  <c r="AJ105" i="31" s="1"/>
  <c r="AK105" i="31" s="1"/>
  <c r="T109" i="31"/>
  <c r="G37" i="52" s="1"/>
  <c r="F625" i="27"/>
  <c r="F623" i="27" s="1"/>
  <c r="F568" i="27"/>
  <c r="AT125" i="31"/>
  <c r="N53" i="52" s="1"/>
  <c r="N47" i="52"/>
  <c r="F130" i="31"/>
  <c r="S81" i="31"/>
  <c r="T76" i="31"/>
  <c r="G6" i="52" s="1"/>
  <c r="N46" i="52"/>
  <c r="F129" i="31"/>
  <c r="G25" i="51"/>
  <c r="U32" i="31"/>
  <c r="T55" i="31"/>
  <c r="G46" i="51" s="1"/>
  <c r="F595" i="27"/>
  <c r="G596" i="27" s="1"/>
  <c r="F135" i="31"/>
  <c r="AT500" i="27"/>
  <c r="AT501" i="27"/>
  <c r="N92" i="41" s="1"/>
  <c r="AT498" i="27"/>
  <c r="N90" i="41" s="1"/>
  <c r="AR522" i="27"/>
  <c r="F93" i="27"/>
  <c r="F88" i="27"/>
  <c r="AR65" i="28"/>
  <c r="AT59" i="28"/>
  <c r="N16" i="45" s="1"/>
  <c r="B473" i="27"/>
  <c r="AN138" i="32"/>
  <c r="AO123" i="32"/>
  <c r="AD127" i="31"/>
  <c r="AE127" i="31" s="1"/>
  <c r="AF127" i="31" s="1"/>
  <c r="AG127" i="31" s="1"/>
  <c r="AD111" i="31"/>
  <c r="AE111" i="31" s="1"/>
  <c r="AF111" i="31" s="1"/>
  <c r="AG111" i="31" s="1"/>
  <c r="H134" i="31"/>
  <c r="D62" i="52" s="1"/>
  <c r="AT130" i="27"/>
  <c r="N19" i="38" s="1"/>
  <c r="D304" i="23"/>
  <c r="N14" i="44"/>
  <c r="AR17" i="32"/>
  <c r="B17" i="32" s="1"/>
  <c r="C304" i="23"/>
  <c r="B14" i="44"/>
  <c r="M112" i="31"/>
  <c r="AT217" i="28"/>
  <c r="N10" i="49" s="1"/>
  <c r="B10" i="49"/>
  <c r="AR232" i="28"/>
  <c r="B232" i="28" s="1"/>
  <c r="AQ42" i="31"/>
  <c r="AQ44" i="31" s="1"/>
  <c r="AP43" i="31"/>
  <c r="AD106" i="31" l="1"/>
  <c r="AR38" i="31"/>
  <c r="M29" i="51" s="1"/>
  <c r="AH108" i="31"/>
  <c r="AI108" i="31" s="1"/>
  <c r="AJ108" i="31" s="1"/>
  <c r="AK108" i="31" s="1"/>
  <c r="D75" i="41"/>
  <c r="J36" i="52"/>
  <c r="E495" i="27"/>
  <c r="F569" i="27"/>
  <c r="G568" i="27" s="1"/>
  <c r="G569" i="27" s="1"/>
  <c r="Q491" i="27"/>
  <c r="Q671" i="27" s="1"/>
  <c r="G56" i="41"/>
  <c r="AC491" i="27"/>
  <c r="AC671" i="27" s="1"/>
  <c r="J56" i="41"/>
  <c r="E491" i="27"/>
  <c r="E671" i="27" s="1"/>
  <c r="E674" i="27" s="1"/>
  <c r="D56" i="41"/>
  <c r="E449" i="27"/>
  <c r="E492" i="27" s="1"/>
  <c r="E680" i="27" s="1"/>
  <c r="E677" i="27" s="1"/>
  <c r="E251" i="27"/>
  <c r="I35" i="52"/>
  <c r="J55" i="52"/>
  <c r="M25" i="49"/>
  <c r="F637" i="27"/>
  <c r="G638" i="27" s="1"/>
  <c r="I32" i="52"/>
  <c r="M11" i="58"/>
  <c r="B65" i="28"/>
  <c r="M22" i="45"/>
  <c r="G129" i="31"/>
  <c r="H129" i="31" s="1"/>
  <c r="I129" i="31" s="1"/>
  <c r="M491" i="27"/>
  <c r="M671" i="27" s="1"/>
  <c r="F56" i="41"/>
  <c r="Y491" i="27"/>
  <c r="Y671" i="27" s="1"/>
  <c r="I56" i="41"/>
  <c r="AG491" i="27"/>
  <c r="AG671" i="27" s="1"/>
  <c r="K56" i="41"/>
  <c r="AO491" i="27"/>
  <c r="AO671" i="27" s="1"/>
  <c r="M56" i="41"/>
  <c r="U491" i="27"/>
  <c r="U671" i="27" s="1"/>
  <c r="H56" i="41"/>
  <c r="I491" i="27"/>
  <c r="I671" i="27" s="1"/>
  <c r="E56" i="41"/>
  <c r="F488" i="27"/>
  <c r="F24" i="28" s="1"/>
  <c r="AK491" i="27"/>
  <c r="AK671" i="27" s="1"/>
  <c r="L56" i="41"/>
  <c r="K33" i="52"/>
  <c r="K36" i="52"/>
  <c r="G445" i="27"/>
  <c r="G488" i="27" s="1"/>
  <c r="G24" i="28" s="1"/>
  <c r="H440" i="27"/>
  <c r="J465" i="27"/>
  <c r="I470" i="27"/>
  <c r="I471" i="27" s="1"/>
  <c r="I475" i="27" s="1"/>
  <c r="I474" i="27"/>
  <c r="AR41" i="31"/>
  <c r="M28" i="51"/>
  <c r="J39" i="52"/>
  <c r="F446" i="27"/>
  <c r="F449" i="27" s="1"/>
  <c r="F492" i="27" s="1"/>
  <c r="E97" i="28"/>
  <c r="H475" i="27"/>
  <c r="D80" i="41" s="1"/>
  <c r="X133" i="31"/>
  <c r="H61" i="52" s="1"/>
  <c r="AT448" i="27"/>
  <c r="B448" i="27" s="1"/>
  <c r="Y128" i="31"/>
  <c r="Z128" i="31" s="1"/>
  <c r="AA128" i="31" s="1"/>
  <c r="AB128" i="31" s="1"/>
  <c r="AC128" i="31" s="1"/>
  <c r="AL105" i="31"/>
  <c r="AM105" i="31" s="1"/>
  <c r="AN105" i="31" s="1"/>
  <c r="AO105" i="31" s="1"/>
  <c r="S131" i="31"/>
  <c r="U109" i="31"/>
  <c r="AD107" i="31"/>
  <c r="AE107" i="31" s="1"/>
  <c r="AF107" i="31" s="1"/>
  <c r="AG107" i="31" s="1"/>
  <c r="AB132" i="31"/>
  <c r="I60" i="52" s="1"/>
  <c r="AD104" i="31"/>
  <c r="AE104" i="31" s="1"/>
  <c r="AF104" i="31" s="1"/>
  <c r="AG104" i="31" s="1"/>
  <c r="AF110" i="31"/>
  <c r="J38" i="52" s="1"/>
  <c r="G624" i="27"/>
  <c r="F136" i="31"/>
  <c r="V32" i="31"/>
  <c r="U55" i="31"/>
  <c r="U76" i="31"/>
  <c r="T81" i="31"/>
  <c r="T148" i="27" s="1"/>
  <c r="S148" i="27"/>
  <c r="G130" i="31"/>
  <c r="G597" i="27"/>
  <c r="G581" i="27"/>
  <c r="G135" i="31"/>
  <c r="H135" i="31" s="1"/>
  <c r="I135" i="31" s="1"/>
  <c r="H582" i="27"/>
  <c r="D24" i="43" s="1"/>
  <c r="B22" i="45"/>
  <c r="D340" i="23"/>
  <c r="AR356" i="28"/>
  <c r="AT356" i="28" s="1"/>
  <c r="AR276" i="28"/>
  <c r="AR314" i="28"/>
  <c r="AT314" i="28" s="1"/>
  <c r="AT65" i="28"/>
  <c r="D346" i="23" s="1"/>
  <c r="F89" i="27"/>
  <c r="F94" i="27"/>
  <c r="C340" i="23"/>
  <c r="I134" i="31"/>
  <c r="AP123" i="32"/>
  <c r="AO138" i="32"/>
  <c r="AH111" i="31"/>
  <c r="AI111" i="31" s="1"/>
  <c r="AJ111" i="31" s="1"/>
  <c r="AK111" i="31" s="1"/>
  <c r="AH127" i="31"/>
  <c r="AI127" i="31" s="1"/>
  <c r="AJ127" i="31" s="1"/>
  <c r="AK127" i="31" s="1"/>
  <c r="N112" i="31"/>
  <c r="O112" i="31" s="1"/>
  <c r="P112" i="31" s="1"/>
  <c r="Q112" i="31" s="1"/>
  <c r="AT189" i="31"/>
  <c r="M17" i="55" s="1"/>
  <c r="AR256" i="28"/>
  <c r="AT232" i="28"/>
  <c r="AQ43" i="31"/>
  <c r="AR42" i="31"/>
  <c r="M33" i="51" s="1"/>
  <c r="AL108" i="31" l="1"/>
  <c r="AM108" i="31" s="1"/>
  <c r="AN108" i="31" s="1"/>
  <c r="AO108" i="31" s="1"/>
  <c r="AE106" i="31"/>
  <c r="F251" i="27"/>
  <c r="F254" i="27" s="1"/>
  <c r="F253" i="27" s="1"/>
  <c r="AC674" i="27"/>
  <c r="AK674" i="27"/>
  <c r="AM674" i="27"/>
  <c r="N674" i="27"/>
  <c r="J129" i="31"/>
  <c r="K129" i="31" s="1"/>
  <c r="AG674" i="27"/>
  <c r="W674" i="27"/>
  <c r="H674" i="27"/>
  <c r="AT671" i="27"/>
  <c r="AQ674" i="27"/>
  <c r="AJ674" i="27"/>
  <c r="AE674" i="27"/>
  <c r="AA674" i="27"/>
  <c r="Q674" i="27"/>
  <c r="J674" i="27"/>
  <c r="L674" i="27"/>
  <c r="AO674" i="27"/>
  <c r="Y674" i="27"/>
  <c r="U674" i="27"/>
  <c r="S674" i="27"/>
  <c r="M674" i="27"/>
  <c r="G674" i="27"/>
  <c r="F674" i="27"/>
  <c r="I674" i="27"/>
  <c r="F567" i="27"/>
  <c r="AT491" i="27"/>
  <c r="AR674" i="27"/>
  <c r="AP674" i="27"/>
  <c r="AN674" i="27"/>
  <c r="AL674" i="27"/>
  <c r="AI674" i="27"/>
  <c r="AH674" i="27"/>
  <c r="AF674" i="27"/>
  <c r="AD674" i="27"/>
  <c r="AB674" i="27"/>
  <c r="Z674" i="27"/>
  <c r="X674" i="27"/>
  <c r="V674" i="27"/>
  <c r="T674" i="27"/>
  <c r="R674" i="27"/>
  <c r="P674" i="27"/>
  <c r="O674" i="27"/>
  <c r="K674" i="27"/>
  <c r="E20" i="28"/>
  <c r="E678" i="27"/>
  <c r="E679" i="27" s="1"/>
  <c r="E216" i="28" s="1"/>
  <c r="H596" i="27"/>
  <c r="D35" i="43" s="1"/>
  <c r="I56" i="52"/>
  <c r="M32" i="51"/>
  <c r="AT41" i="31"/>
  <c r="N32" i="51" s="1"/>
  <c r="K465" i="27"/>
  <c r="J470" i="27"/>
  <c r="J471" i="27" s="1"/>
  <c r="J475" i="27" s="1"/>
  <c r="J474" i="27"/>
  <c r="L33" i="52"/>
  <c r="D57" i="52"/>
  <c r="K55" i="52"/>
  <c r="G639" i="27"/>
  <c r="H638" i="27" s="1"/>
  <c r="J35" i="52"/>
  <c r="D63" i="52"/>
  <c r="K39" i="52"/>
  <c r="J134" i="31"/>
  <c r="K134" i="31" s="1"/>
  <c r="AT276" i="28"/>
  <c r="N9" i="50" s="1"/>
  <c r="M9" i="50"/>
  <c r="F143" i="31"/>
  <c r="F145" i="31" s="1"/>
  <c r="I440" i="27"/>
  <c r="J32" i="52"/>
  <c r="L36" i="52"/>
  <c r="E254" i="27"/>
  <c r="G11" i="52"/>
  <c r="F40" i="52"/>
  <c r="F489" i="27"/>
  <c r="F94" i="28" s="1"/>
  <c r="F97" i="28" s="1"/>
  <c r="F450" i="27"/>
  <c r="G446" i="27"/>
  <c r="G251" i="27" s="1"/>
  <c r="F14" i="28"/>
  <c r="F680" i="27"/>
  <c r="F677" i="27" s="1"/>
  <c r="Y133" i="31"/>
  <c r="N56" i="41"/>
  <c r="G136" i="31"/>
  <c r="G143" i="31" s="1"/>
  <c r="G145" i="31" s="1"/>
  <c r="AD128" i="31"/>
  <c r="AE128" i="31" s="1"/>
  <c r="AG110" i="31"/>
  <c r="AP108" i="31"/>
  <c r="AQ108" i="31" s="1"/>
  <c r="AR108" i="31" s="1"/>
  <c r="AT108" i="31" s="1"/>
  <c r="N36" i="52" s="1"/>
  <c r="AH107" i="31"/>
  <c r="AI107" i="31" s="1"/>
  <c r="AJ107" i="31" s="1"/>
  <c r="AK107" i="31" s="1"/>
  <c r="V109" i="31"/>
  <c r="W109" i="31" s="1"/>
  <c r="X109" i="31" s="1"/>
  <c r="Y109" i="31" s="1"/>
  <c r="T131" i="31"/>
  <c r="U131" i="31" s="1"/>
  <c r="AP105" i="31"/>
  <c r="AQ105" i="31" s="1"/>
  <c r="AR105" i="31" s="1"/>
  <c r="AT105" i="31" s="1"/>
  <c r="N33" i="52" s="1"/>
  <c r="AH104" i="31"/>
  <c r="AI104" i="31" s="1"/>
  <c r="AJ104" i="31" s="1"/>
  <c r="AK104" i="31" s="1"/>
  <c r="AC132" i="31"/>
  <c r="G625" i="27"/>
  <c r="U81" i="31"/>
  <c r="V76" i="31"/>
  <c r="H130" i="31"/>
  <c r="H136" i="31" s="1"/>
  <c r="W32" i="31"/>
  <c r="V55" i="31"/>
  <c r="G567" i="27"/>
  <c r="G595" i="27"/>
  <c r="E380" i="27"/>
  <c r="H568" i="27"/>
  <c r="D13" i="43" s="1"/>
  <c r="H583" i="27"/>
  <c r="D25" i="43" s="1"/>
  <c r="C346" i="23"/>
  <c r="N22" i="45"/>
  <c r="F87" i="27"/>
  <c r="F95" i="27"/>
  <c r="G88" i="27"/>
  <c r="AQ123" i="32"/>
  <c r="AP138" i="32"/>
  <c r="R112" i="31"/>
  <c r="S112" i="31" s="1"/>
  <c r="T112" i="31" s="1"/>
  <c r="AL127" i="31"/>
  <c r="AM127" i="31" s="1"/>
  <c r="AN127" i="31" s="1"/>
  <c r="AO127" i="31" s="1"/>
  <c r="AL111" i="31"/>
  <c r="AM111" i="31" s="1"/>
  <c r="AN111" i="31" s="1"/>
  <c r="AO111" i="31" s="1"/>
  <c r="AR44" i="31"/>
  <c r="M35" i="51" s="1"/>
  <c r="J135" i="31"/>
  <c r="C392" i="23"/>
  <c r="B25" i="49"/>
  <c r="D392" i="23"/>
  <c r="N25" i="49"/>
  <c r="AT256" i="28"/>
  <c r="E86" i="28"/>
  <c r="E198" i="28" s="1"/>
  <c r="AR43" i="31"/>
  <c r="M34" i="51" s="1"/>
  <c r="AF106" i="31" l="1"/>
  <c r="J34" i="52" s="1"/>
  <c r="H597" i="27"/>
  <c r="H595" i="27" s="1"/>
  <c r="D34" i="43" s="1"/>
  <c r="D64" i="52"/>
  <c r="H624" i="27"/>
  <c r="D57" i="43" s="1"/>
  <c r="Z109" i="31"/>
  <c r="AA109" i="31" s="1"/>
  <c r="AB109" i="31" s="1"/>
  <c r="E16" i="32"/>
  <c r="F20" i="28"/>
  <c r="F678" i="27"/>
  <c r="J440" i="27"/>
  <c r="M33" i="52"/>
  <c r="K35" i="52"/>
  <c r="G146" i="31"/>
  <c r="H639" i="27"/>
  <c r="H637" i="27" s="1"/>
  <c r="D67" i="43" s="1"/>
  <c r="M36" i="52"/>
  <c r="L55" i="52"/>
  <c r="H146" i="31"/>
  <c r="H227" i="31" s="1"/>
  <c r="H238" i="31" s="1"/>
  <c r="AH110" i="31"/>
  <c r="AI110" i="31" s="1"/>
  <c r="AJ110" i="31" s="1"/>
  <c r="AK110" i="31" s="1"/>
  <c r="Z133" i="31"/>
  <c r="AA133" i="31" s="1"/>
  <c r="AB133" i="31" s="1"/>
  <c r="AC133" i="31" s="1"/>
  <c r="F495" i="27"/>
  <c r="E310" i="27"/>
  <c r="E253" i="27"/>
  <c r="H445" i="27"/>
  <c r="D53" i="41" s="1"/>
  <c r="L39" i="52"/>
  <c r="D68" i="43"/>
  <c r="G637" i="27"/>
  <c r="L465" i="27"/>
  <c r="K470" i="27"/>
  <c r="K474" i="27"/>
  <c r="H37" i="52"/>
  <c r="K32" i="52"/>
  <c r="D36" i="43"/>
  <c r="G40" i="52"/>
  <c r="D58" i="52"/>
  <c r="G59" i="52"/>
  <c r="G450" i="27"/>
  <c r="G495" i="27" s="1"/>
  <c r="G449" i="27"/>
  <c r="G492" i="27" s="1"/>
  <c r="G489" i="27"/>
  <c r="G94" i="28" s="1"/>
  <c r="G97" i="28" s="1"/>
  <c r="G14" i="28"/>
  <c r="E227" i="28"/>
  <c r="F679" i="27"/>
  <c r="F216" i="28" s="1"/>
  <c r="F16" i="32" s="1"/>
  <c r="G680" i="27"/>
  <c r="G677" i="27" s="1"/>
  <c r="AF128" i="31"/>
  <c r="AG128" i="31" s="1"/>
  <c r="H143" i="31"/>
  <c r="C3" i="53" s="1"/>
  <c r="AD132" i="31"/>
  <c r="AE132" i="31" s="1"/>
  <c r="AF132" i="31" s="1"/>
  <c r="AG132" i="31" s="1"/>
  <c r="AL104" i="31"/>
  <c r="AM104" i="31" s="1"/>
  <c r="AN104" i="31" s="1"/>
  <c r="AO104" i="31" s="1"/>
  <c r="V131" i="31"/>
  <c r="AL107" i="31"/>
  <c r="AM107" i="31" s="1"/>
  <c r="AN107" i="31" s="1"/>
  <c r="AO107" i="31" s="1"/>
  <c r="G623" i="27"/>
  <c r="X32" i="31"/>
  <c r="W55" i="31"/>
  <c r="I130" i="31"/>
  <c r="V81" i="31"/>
  <c r="V148" i="27" s="1"/>
  <c r="W76" i="31"/>
  <c r="L129" i="31"/>
  <c r="E57" i="52" s="1"/>
  <c r="U148" i="27"/>
  <c r="H569" i="27"/>
  <c r="D14" i="43" s="1"/>
  <c r="H581" i="27"/>
  <c r="D23" i="43" s="1"/>
  <c r="I582" i="27"/>
  <c r="U112" i="31"/>
  <c r="G93" i="27"/>
  <c r="G94" i="27"/>
  <c r="G89" i="27"/>
  <c r="G82" i="27"/>
  <c r="G96" i="27" s="1"/>
  <c r="F98" i="27"/>
  <c r="F100" i="27" s="1"/>
  <c r="AQ138" i="32"/>
  <c r="AR123" i="32"/>
  <c r="M9" i="61" s="1"/>
  <c r="G254" i="27"/>
  <c r="G310" i="27" s="1"/>
  <c r="G312" i="27" s="1"/>
  <c r="G13" i="28" s="1"/>
  <c r="K135" i="31"/>
  <c r="L135" i="31" s="1"/>
  <c r="M135" i="31" s="1"/>
  <c r="AP111" i="31"/>
  <c r="AQ111" i="31" s="1"/>
  <c r="AR111" i="31" s="1"/>
  <c r="AT111" i="31" s="1"/>
  <c r="N39" i="52" s="1"/>
  <c r="AP127" i="31"/>
  <c r="AQ127" i="31" s="1"/>
  <c r="AR127" i="31" s="1"/>
  <c r="L134" i="31"/>
  <c r="E62" i="52" s="1"/>
  <c r="F310" i="27"/>
  <c r="F312" i="27" s="1"/>
  <c r="F13" i="28" s="1"/>
  <c r="F311" i="27"/>
  <c r="E87" i="28"/>
  <c r="F86" i="28"/>
  <c r="F198" i="28" s="1"/>
  <c r="AC109" i="31" l="1"/>
  <c r="AG106" i="31"/>
  <c r="AH106" i="31" s="1"/>
  <c r="AI106" i="31" s="1"/>
  <c r="AJ106" i="31" s="1"/>
  <c r="AK106" i="31" s="1"/>
  <c r="I596" i="27"/>
  <c r="I597" i="27" s="1"/>
  <c r="J596" i="27" s="1"/>
  <c r="J597" i="27" s="1"/>
  <c r="J595" i="27" s="1"/>
  <c r="H625" i="27"/>
  <c r="H623" i="27" s="1"/>
  <c r="D56" i="43" s="1"/>
  <c r="AD133" i="31"/>
  <c r="AE133" i="31" s="1"/>
  <c r="AF133" i="31" s="1"/>
  <c r="AG133" i="31" s="1"/>
  <c r="D69" i="43"/>
  <c r="K38" i="52"/>
  <c r="K471" i="27"/>
  <c r="K475" i="27" s="1"/>
  <c r="J60" i="52"/>
  <c r="C6" i="53"/>
  <c r="G227" i="31"/>
  <c r="L32" i="52"/>
  <c r="E63" i="52"/>
  <c r="V112" i="31"/>
  <c r="W112" i="31" s="1"/>
  <c r="X112" i="31" s="1"/>
  <c r="Y112" i="31" s="1"/>
  <c r="J130" i="31"/>
  <c r="J136" i="31" s="1"/>
  <c r="AH128" i="31"/>
  <c r="AI128" i="31" s="1"/>
  <c r="AJ128" i="31" s="1"/>
  <c r="AK128" i="31" s="1"/>
  <c r="G20" i="28"/>
  <c r="G678" i="27"/>
  <c r="G679" i="27" s="1"/>
  <c r="G216" i="28" s="1"/>
  <c r="E87" i="32"/>
  <c r="M465" i="27"/>
  <c r="L470" i="27"/>
  <c r="L471" i="27" s="1"/>
  <c r="E76" i="41" s="1"/>
  <c r="L474" i="27"/>
  <c r="E79" i="41" s="1"/>
  <c r="J56" i="52"/>
  <c r="E311" i="27"/>
  <c r="E669" i="27" s="1"/>
  <c r="E312" i="27"/>
  <c r="E13" i="28" s="1"/>
  <c r="E313" i="27"/>
  <c r="E49" i="28" s="1"/>
  <c r="I61" i="52"/>
  <c r="L35" i="52"/>
  <c r="M39" i="52"/>
  <c r="I638" i="27"/>
  <c r="K440" i="27"/>
  <c r="I37" i="52"/>
  <c r="M55" i="52"/>
  <c r="H446" i="27"/>
  <c r="H251" i="27" s="1"/>
  <c r="C11" i="40" s="1"/>
  <c r="H488" i="27"/>
  <c r="H24" i="28" s="1"/>
  <c r="D21" i="44" s="1"/>
  <c r="H145" i="31"/>
  <c r="F227" i="28"/>
  <c r="F87" i="32" s="1"/>
  <c r="F313" i="27"/>
  <c r="F49" i="28" s="1"/>
  <c r="H567" i="27"/>
  <c r="AH132" i="31"/>
  <c r="AI132" i="31" s="1"/>
  <c r="AJ132" i="31" s="1"/>
  <c r="AK132" i="31" s="1"/>
  <c r="AL110" i="31"/>
  <c r="AM110" i="31" s="1"/>
  <c r="AN110" i="31" s="1"/>
  <c r="AO110" i="31" s="1"/>
  <c r="AP107" i="31"/>
  <c r="AQ107" i="31" s="1"/>
  <c r="AR107" i="31" s="1"/>
  <c r="AT107" i="31" s="1"/>
  <c r="N35" i="52" s="1"/>
  <c r="AD109" i="31"/>
  <c r="AE109" i="31" s="1"/>
  <c r="AF109" i="31" s="1"/>
  <c r="AG109" i="31" s="1"/>
  <c r="W131" i="31"/>
  <c r="X131" i="31" s="1"/>
  <c r="Y131" i="31" s="1"/>
  <c r="AP104" i="31"/>
  <c r="AQ104" i="31" s="1"/>
  <c r="AR104" i="31" s="1"/>
  <c r="AT104" i="31" s="1"/>
  <c r="N32" i="52" s="1"/>
  <c r="W81" i="31"/>
  <c r="X76" i="31"/>
  <c r="H6" i="52" s="1"/>
  <c r="H25" i="51"/>
  <c r="Y32" i="31"/>
  <c r="X55" i="31"/>
  <c r="H46" i="51" s="1"/>
  <c r="M129" i="31"/>
  <c r="I136" i="31"/>
  <c r="I583" i="27"/>
  <c r="G95" i="27"/>
  <c r="G87" i="27"/>
  <c r="H88" i="27" s="1"/>
  <c r="D18" i="37" s="1"/>
  <c r="F91" i="27"/>
  <c r="G253" i="27"/>
  <c r="G311" i="27" s="1"/>
  <c r="G669" i="27" s="1"/>
  <c r="AR138" i="32"/>
  <c r="N135" i="31"/>
  <c r="O135" i="31" s="1"/>
  <c r="P135" i="31" s="1"/>
  <c r="Q135" i="31" s="1"/>
  <c r="M134" i="31"/>
  <c r="F309" i="27"/>
  <c r="F324" i="27" s="1"/>
  <c r="F669" i="27"/>
  <c r="G86" i="28"/>
  <c r="G198" i="28" s="1"/>
  <c r="F87" i="28"/>
  <c r="F10" i="28"/>
  <c r="K34" i="52" l="1"/>
  <c r="AL106" i="31"/>
  <c r="AM106" i="31" s="1"/>
  <c r="AN106" i="31" s="1"/>
  <c r="AO106" i="31" s="1"/>
  <c r="I624" i="27"/>
  <c r="I625" i="27" s="1"/>
  <c r="D58" i="43"/>
  <c r="K130" i="31"/>
  <c r="K136" i="31" s="1"/>
  <c r="K143" i="31" s="1"/>
  <c r="K145" i="31" s="1"/>
  <c r="Z112" i="31"/>
  <c r="AA112" i="31" s="1"/>
  <c r="AB112" i="31" s="1"/>
  <c r="AC112" i="31" s="1"/>
  <c r="AH133" i="31"/>
  <c r="AI133" i="31" s="1"/>
  <c r="AJ133" i="31" s="1"/>
  <c r="AK133" i="31" s="1"/>
  <c r="L475" i="27"/>
  <c r="E80" i="41" s="1"/>
  <c r="J61" i="52"/>
  <c r="I595" i="27"/>
  <c r="E309" i="27"/>
  <c r="E324" i="27" s="1"/>
  <c r="I566" i="27"/>
  <c r="D12" i="43"/>
  <c r="I146" i="31"/>
  <c r="I227" i="31" s="1"/>
  <c r="C5" i="53"/>
  <c r="H449" i="27"/>
  <c r="D57" i="41" s="1"/>
  <c r="D54" i="41"/>
  <c r="I445" i="27"/>
  <c r="I488" i="27" s="1"/>
  <c r="I24" i="28" s="1"/>
  <c r="E10" i="28"/>
  <c r="N465" i="27"/>
  <c r="M470" i="27"/>
  <c r="M474" i="27"/>
  <c r="M32" i="52"/>
  <c r="H40" i="52"/>
  <c r="K60" i="52"/>
  <c r="I143" i="31"/>
  <c r="I145" i="31" s="1"/>
  <c r="N129" i="31"/>
  <c r="O129" i="31" s="1"/>
  <c r="P129" i="31" s="1"/>
  <c r="Q129" i="31" s="1"/>
  <c r="AL132" i="31"/>
  <c r="AM132" i="31" s="1"/>
  <c r="AN132" i="31" s="1"/>
  <c r="AO132" i="31" s="1"/>
  <c r="L440" i="27"/>
  <c r="I639" i="27"/>
  <c r="K56" i="52"/>
  <c r="L38" i="52"/>
  <c r="J37" i="52"/>
  <c r="F63" i="52"/>
  <c r="D7" i="57"/>
  <c r="G238" i="31"/>
  <c r="D18" i="57" s="1"/>
  <c r="E75" i="41"/>
  <c r="M35" i="52"/>
  <c r="H59" i="52"/>
  <c r="H450" i="27"/>
  <c r="H489" i="27"/>
  <c r="H94" i="28" s="1"/>
  <c r="C14" i="46" s="1"/>
  <c r="H14" i="28"/>
  <c r="D11" i="44" s="1"/>
  <c r="K596" i="27"/>
  <c r="K597" i="27" s="1"/>
  <c r="G313" i="27"/>
  <c r="G49" i="28" s="1"/>
  <c r="G227" i="28"/>
  <c r="G16" i="32"/>
  <c r="AL128" i="31"/>
  <c r="AM128" i="31" s="1"/>
  <c r="AP110" i="31"/>
  <c r="AQ110" i="31" s="1"/>
  <c r="AR110" i="31" s="1"/>
  <c r="AT110" i="31" s="1"/>
  <c r="N38" i="52" s="1"/>
  <c r="AH109" i="31"/>
  <c r="AI109" i="31" s="1"/>
  <c r="AJ109" i="31" s="1"/>
  <c r="AK109" i="31" s="1"/>
  <c r="Z131" i="31"/>
  <c r="AA131" i="31" s="1"/>
  <c r="AB131" i="31" s="1"/>
  <c r="AC131" i="31" s="1"/>
  <c r="F380" i="27"/>
  <c r="J143" i="31"/>
  <c r="J145" i="31" s="1"/>
  <c r="Z32" i="31"/>
  <c r="Y55" i="31"/>
  <c r="X81" i="31"/>
  <c r="X148" i="27" s="1"/>
  <c r="Y76" i="31"/>
  <c r="W148" i="27"/>
  <c r="I581" i="27"/>
  <c r="I568" i="27"/>
  <c r="J582" i="27"/>
  <c r="G98" i="27"/>
  <c r="G100" i="27" s="1"/>
  <c r="H82" i="27"/>
  <c r="H96" i="27" s="1"/>
  <c r="H93" i="27"/>
  <c r="H89" i="27"/>
  <c r="D19" i="37" s="1"/>
  <c r="H94" i="27"/>
  <c r="I446" i="27"/>
  <c r="J445" i="27" s="1"/>
  <c r="G309" i="27"/>
  <c r="G324" i="27" s="1"/>
  <c r="B138" i="32"/>
  <c r="R135" i="31"/>
  <c r="S135" i="31" s="1"/>
  <c r="AD112" i="31"/>
  <c r="AE112" i="31" s="1"/>
  <c r="AF112" i="31" s="1"/>
  <c r="AG112" i="31" s="1"/>
  <c r="N134" i="31"/>
  <c r="O134" i="31" s="1"/>
  <c r="M471" i="27"/>
  <c r="F178" i="28"/>
  <c r="F179" i="28" s="1"/>
  <c r="H86" i="28"/>
  <c r="C6" i="46" s="1"/>
  <c r="G380" i="27"/>
  <c r="G87" i="28"/>
  <c r="G10" i="28"/>
  <c r="H87" i="27" l="1"/>
  <c r="D17" i="37" s="1"/>
  <c r="I40" i="52"/>
  <c r="K61" i="52"/>
  <c r="L34" i="52"/>
  <c r="L130" i="31"/>
  <c r="E58" i="52" s="1"/>
  <c r="AP106" i="31"/>
  <c r="AQ106" i="31" s="1"/>
  <c r="AR106" i="31" s="1"/>
  <c r="AT106" i="31" s="1"/>
  <c r="N34" i="52" s="1"/>
  <c r="AL133" i="31"/>
  <c r="AM133" i="31" s="1"/>
  <c r="AN133" i="31" s="1"/>
  <c r="AO133" i="31" s="1"/>
  <c r="G87" i="32"/>
  <c r="H492" i="27"/>
  <c r="H680" i="27" s="1"/>
  <c r="H677" i="27" s="1"/>
  <c r="R129" i="31"/>
  <c r="S129" i="31" s="1"/>
  <c r="L60" i="52"/>
  <c r="K146" i="31"/>
  <c r="K227" i="31" s="1"/>
  <c r="K238" i="31" s="1"/>
  <c r="L146" i="31"/>
  <c r="L227" i="31" s="1"/>
  <c r="L238" i="31" s="1"/>
  <c r="H495" i="27"/>
  <c r="D87" i="41" s="1"/>
  <c r="D58" i="41"/>
  <c r="M440" i="27"/>
  <c r="K37" i="52"/>
  <c r="J146" i="31"/>
  <c r="J227" i="31" s="1"/>
  <c r="E178" i="28"/>
  <c r="I59" i="52"/>
  <c r="H11" i="52"/>
  <c r="AP132" i="31"/>
  <c r="AQ132" i="31" s="1"/>
  <c r="AR132" i="31" s="1"/>
  <c r="AT132" i="31" s="1"/>
  <c r="N60" i="52" s="1"/>
  <c r="J638" i="27"/>
  <c r="I637" i="27"/>
  <c r="J624" i="27"/>
  <c r="I623" i="27"/>
  <c r="M38" i="52"/>
  <c r="F57" i="52"/>
  <c r="J40" i="52"/>
  <c r="O465" i="27"/>
  <c r="N470" i="27"/>
  <c r="N471" i="27" s="1"/>
  <c r="N475" i="27" s="1"/>
  <c r="N474" i="27"/>
  <c r="M475" i="27"/>
  <c r="I251" i="27"/>
  <c r="I449" i="27"/>
  <c r="I492" i="27" s="1"/>
  <c r="AN128" i="31"/>
  <c r="L56" i="52" s="1"/>
  <c r="AL109" i="31"/>
  <c r="AM109" i="31" s="1"/>
  <c r="AN109" i="31" s="1"/>
  <c r="AO109" i="31" s="1"/>
  <c r="AD131" i="31"/>
  <c r="AE131" i="31" s="1"/>
  <c r="AF131" i="31" s="1"/>
  <c r="AG131" i="31" s="1"/>
  <c r="Y81" i="31"/>
  <c r="Z76" i="31"/>
  <c r="AA32" i="31"/>
  <c r="Z55" i="31"/>
  <c r="I450" i="27"/>
  <c r="K595" i="27"/>
  <c r="L596" i="27" s="1"/>
  <c r="E35" i="43" s="1"/>
  <c r="I569" i="27"/>
  <c r="J583" i="27"/>
  <c r="I93" i="27"/>
  <c r="H95" i="27"/>
  <c r="G91" i="27"/>
  <c r="I88" i="27"/>
  <c r="H98" i="27"/>
  <c r="I82" i="27"/>
  <c r="E13" i="37" s="1"/>
  <c r="I489" i="27"/>
  <c r="I94" i="28" s="1"/>
  <c r="J488" i="27"/>
  <c r="J24" i="28" s="1"/>
  <c r="I14" i="28"/>
  <c r="H97" i="28"/>
  <c r="C17" i="46" s="1"/>
  <c r="O139" i="32"/>
  <c r="AP139" i="32"/>
  <c r="T139" i="32"/>
  <c r="W139" i="32"/>
  <c r="AK139" i="32"/>
  <c r="AG139" i="32"/>
  <c r="L139" i="32"/>
  <c r="J139" i="32"/>
  <c r="N139" i="32"/>
  <c r="AC139" i="32"/>
  <c r="S139" i="32"/>
  <c r="AH139" i="32"/>
  <c r="P139" i="32"/>
  <c r="I139" i="32"/>
  <c r="AO139" i="32"/>
  <c r="AN139" i="32"/>
  <c r="M139" i="32"/>
  <c r="G139" i="32"/>
  <c r="K139" i="32"/>
  <c r="E139" i="32"/>
  <c r="AJ139" i="32"/>
  <c r="H139" i="32"/>
  <c r="F139" i="32"/>
  <c r="AR139" i="32"/>
  <c r="AD139" i="32"/>
  <c r="AM139" i="32"/>
  <c r="Y139" i="32"/>
  <c r="Q139" i="32"/>
  <c r="AL139" i="32"/>
  <c r="AB139" i="32"/>
  <c r="X139" i="32"/>
  <c r="B137" i="32"/>
  <c r="B21" i="61" s="1"/>
  <c r="AA139" i="32"/>
  <c r="AI139" i="32"/>
  <c r="AF139" i="32"/>
  <c r="U139" i="32"/>
  <c r="AE139" i="32"/>
  <c r="R139" i="32"/>
  <c r="Z139" i="32"/>
  <c r="AQ139" i="32"/>
  <c r="V139" i="32"/>
  <c r="P134" i="31"/>
  <c r="F62" i="52" s="1"/>
  <c r="AH112" i="31"/>
  <c r="AI112" i="31" s="1"/>
  <c r="AJ112" i="31" s="1"/>
  <c r="AK112" i="31" s="1"/>
  <c r="I238" i="31"/>
  <c r="H198" i="28"/>
  <c r="T135" i="31"/>
  <c r="G63" i="52" s="1"/>
  <c r="H87" i="28"/>
  <c r="C7" i="46" s="1"/>
  <c r="H380" i="27"/>
  <c r="G178" i="28"/>
  <c r="G179" i="28" s="1"/>
  <c r="I86" i="28"/>
  <c r="I198" i="28" s="1"/>
  <c r="L61" i="52" l="1"/>
  <c r="L136" i="31"/>
  <c r="E64" i="52" s="1"/>
  <c r="M34" i="52"/>
  <c r="M130" i="31"/>
  <c r="N130" i="31" s="1"/>
  <c r="AP133" i="31"/>
  <c r="AQ133" i="31" s="1"/>
  <c r="AR133" i="31" s="1"/>
  <c r="AT133" i="31" s="1"/>
  <c r="N61" i="52" s="1"/>
  <c r="D6" i="53"/>
  <c r="J238" i="31"/>
  <c r="E7" i="57"/>
  <c r="E18" i="57"/>
  <c r="I495" i="27"/>
  <c r="AP109" i="31"/>
  <c r="AQ109" i="31" s="1"/>
  <c r="AR109" i="31" s="1"/>
  <c r="AT109" i="31" s="1"/>
  <c r="N37" i="52" s="1"/>
  <c r="H20" i="28"/>
  <c r="D17" i="44" s="1"/>
  <c r="H678" i="27"/>
  <c r="H679" i="27" s="1"/>
  <c r="H216" i="28" s="1"/>
  <c r="D9" i="49" s="1"/>
  <c r="J625" i="27"/>
  <c r="J639" i="27"/>
  <c r="K638" i="27" s="1"/>
  <c r="M60" i="52"/>
  <c r="L37" i="52"/>
  <c r="E179" i="28"/>
  <c r="P465" i="27"/>
  <c r="O470" i="27"/>
  <c r="O471" i="27" s="1"/>
  <c r="O475" i="27" s="1"/>
  <c r="O474" i="27"/>
  <c r="N440" i="27"/>
  <c r="J59" i="52"/>
  <c r="K40" i="52"/>
  <c r="I97" i="28"/>
  <c r="I680" i="27"/>
  <c r="I677" i="27" s="1"/>
  <c r="AO128" i="31"/>
  <c r="AP128" i="31" s="1"/>
  <c r="AH131" i="31"/>
  <c r="AI131" i="31" s="1"/>
  <c r="AJ131" i="31" s="1"/>
  <c r="AK131" i="31" s="1"/>
  <c r="T129" i="31"/>
  <c r="U129" i="31" s="1"/>
  <c r="AB32" i="31"/>
  <c r="AA55" i="31"/>
  <c r="Y148" i="27"/>
  <c r="Z81" i="31"/>
  <c r="Z148" i="27" s="1"/>
  <c r="AA76" i="31"/>
  <c r="L143" i="31"/>
  <c r="D3" i="53" s="1"/>
  <c r="J581" i="27"/>
  <c r="L597" i="27"/>
  <c r="I567" i="27"/>
  <c r="J566" i="27" s="1"/>
  <c r="K582" i="27"/>
  <c r="H100" i="27"/>
  <c r="I96" i="27"/>
  <c r="I89" i="27"/>
  <c r="I94" i="27"/>
  <c r="H91" i="27"/>
  <c r="J446" i="27"/>
  <c r="K445" i="27" s="1"/>
  <c r="H254" i="27"/>
  <c r="C13" i="40" s="1"/>
  <c r="Q134" i="31"/>
  <c r="AL112" i="31"/>
  <c r="AM112" i="31" s="1"/>
  <c r="AN112" i="31" s="1"/>
  <c r="AO112" i="31" s="1"/>
  <c r="I254" i="27"/>
  <c r="U135" i="31"/>
  <c r="I87" i="28"/>
  <c r="I380" i="27"/>
  <c r="J86" i="28"/>
  <c r="J198" i="28" s="1"/>
  <c r="M61" i="52" l="1"/>
  <c r="M136" i="31"/>
  <c r="M143" i="31" s="1"/>
  <c r="M145" i="31" s="1"/>
  <c r="O130" i="31"/>
  <c r="O136" i="31" s="1"/>
  <c r="N136" i="31"/>
  <c r="J637" i="27"/>
  <c r="I87" i="27"/>
  <c r="J82" i="27" s="1"/>
  <c r="J96" i="27" s="1"/>
  <c r="M596" i="27"/>
  <c r="M597" i="27" s="1"/>
  <c r="E36" i="43"/>
  <c r="I20" i="28"/>
  <c r="I678" i="27"/>
  <c r="I679" i="27" s="1"/>
  <c r="I216" i="28" s="1"/>
  <c r="O440" i="27"/>
  <c r="Q465" i="27"/>
  <c r="P470" i="27"/>
  <c r="P471" i="27" s="1"/>
  <c r="F76" i="41" s="1"/>
  <c r="P474" i="27"/>
  <c r="F79" i="41" s="1"/>
  <c r="K59" i="52"/>
  <c r="M37" i="52"/>
  <c r="G57" i="52"/>
  <c r="L40" i="52"/>
  <c r="K639" i="27"/>
  <c r="K637" i="27" s="1"/>
  <c r="J623" i="27"/>
  <c r="K624" i="27" s="1"/>
  <c r="J251" i="27"/>
  <c r="J449" i="27"/>
  <c r="J492" i="27" s="1"/>
  <c r="AQ128" i="31"/>
  <c r="AR128" i="31" s="1"/>
  <c r="AT128" i="31" s="1"/>
  <c r="N56" i="52" s="1"/>
  <c r="AL131" i="31"/>
  <c r="AM131" i="31" s="1"/>
  <c r="AN131" i="31" s="1"/>
  <c r="AO131" i="31" s="1"/>
  <c r="V129" i="31"/>
  <c r="W129" i="31" s="1"/>
  <c r="X129" i="31" s="1"/>
  <c r="Y129" i="31" s="1"/>
  <c r="O143" i="31"/>
  <c r="O145" i="31" s="1"/>
  <c r="L145" i="31"/>
  <c r="AA81" i="31"/>
  <c r="AA148" i="27" s="1"/>
  <c r="AB76" i="31"/>
  <c r="I6" i="52" s="1"/>
  <c r="I25" i="51"/>
  <c r="AC32" i="31"/>
  <c r="AB55" i="31"/>
  <c r="I46" i="51" s="1"/>
  <c r="L595" i="27"/>
  <c r="E34" i="43" s="1"/>
  <c r="K583" i="27"/>
  <c r="I95" i="27"/>
  <c r="J93" i="27"/>
  <c r="J88" i="27"/>
  <c r="J450" i="27"/>
  <c r="K488" i="27"/>
  <c r="K24" i="28" s="1"/>
  <c r="J489" i="27"/>
  <c r="J94" i="28" s="1"/>
  <c r="J14" i="28"/>
  <c r="H310" i="27"/>
  <c r="H312" i="27" s="1"/>
  <c r="H13" i="28" s="1"/>
  <c r="D10" i="44" s="1"/>
  <c r="H253" i="27"/>
  <c r="C12" i="40" s="1"/>
  <c r="AP112" i="31"/>
  <c r="AQ112" i="31" s="1"/>
  <c r="AR112" i="31" s="1"/>
  <c r="AT112" i="31" s="1"/>
  <c r="N40" i="52" s="1"/>
  <c r="R134" i="31"/>
  <c r="H227" i="28"/>
  <c r="D20" i="49" s="1"/>
  <c r="H16" i="32"/>
  <c r="D10" i="58" s="1"/>
  <c r="I253" i="27"/>
  <c r="I310" i="27"/>
  <c r="I312" i="27" s="1"/>
  <c r="I13" i="28" s="1"/>
  <c r="V135" i="31"/>
  <c r="K86" i="28"/>
  <c r="K198" i="28" s="1"/>
  <c r="J87" i="28"/>
  <c r="J380" i="27"/>
  <c r="I98" i="27" l="1"/>
  <c r="I100" i="27" s="1"/>
  <c r="N143" i="31"/>
  <c r="N145" i="31" s="1"/>
  <c r="O146" i="31" s="1"/>
  <c r="O227" i="31" s="1"/>
  <c r="O238" i="31" s="1"/>
  <c r="P130" i="31"/>
  <c r="P475" i="27"/>
  <c r="F80" i="41" s="1"/>
  <c r="F75" i="41"/>
  <c r="J495" i="27"/>
  <c r="N596" i="27"/>
  <c r="N597" i="27" s="1"/>
  <c r="N595" i="27" s="1"/>
  <c r="M146" i="31"/>
  <c r="D5" i="53"/>
  <c r="P146" i="31"/>
  <c r="P227" i="31" s="1"/>
  <c r="P238" i="31" s="1"/>
  <c r="P440" i="27"/>
  <c r="M56" i="52"/>
  <c r="N146" i="31"/>
  <c r="N227" i="31" s="1"/>
  <c r="N238" i="31" s="1"/>
  <c r="K625" i="27"/>
  <c r="L624" i="27" s="1"/>
  <c r="H57" i="52"/>
  <c r="R465" i="27"/>
  <c r="Q470" i="27"/>
  <c r="Q471" i="27" s="1"/>
  <c r="Q475" i="27" s="1"/>
  <c r="Q474" i="27"/>
  <c r="L59" i="52"/>
  <c r="M40" i="52"/>
  <c r="L638" i="27"/>
  <c r="I227" i="28"/>
  <c r="I16" i="32"/>
  <c r="J97" i="28"/>
  <c r="J680" i="27"/>
  <c r="J677" i="27" s="1"/>
  <c r="AP131" i="31"/>
  <c r="AQ131" i="31" s="1"/>
  <c r="AR131" i="31" s="1"/>
  <c r="AT131" i="31" s="1"/>
  <c r="N59" i="52" s="1"/>
  <c r="AD32" i="31"/>
  <c r="AC55" i="31"/>
  <c r="AC76" i="31"/>
  <c r="AB81" i="31"/>
  <c r="AB148" i="27" s="1"/>
  <c r="Z129" i="31"/>
  <c r="AA129" i="31" s="1"/>
  <c r="AB129" i="31" s="1"/>
  <c r="AC129" i="31" s="1"/>
  <c r="K446" i="27"/>
  <c r="L445" i="27" s="1"/>
  <c r="E53" i="41" s="1"/>
  <c r="K581" i="27"/>
  <c r="M595" i="27"/>
  <c r="J568" i="27"/>
  <c r="L582" i="27"/>
  <c r="E24" i="43" s="1"/>
  <c r="I91" i="27"/>
  <c r="J89" i="27"/>
  <c r="J94" i="27"/>
  <c r="H311" i="27"/>
  <c r="H313" i="27" s="1"/>
  <c r="S134" i="31"/>
  <c r="H87" i="32"/>
  <c r="D8" i="60" s="1"/>
  <c r="J254" i="27"/>
  <c r="I311" i="27"/>
  <c r="I313" i="27" s="1"/>
  <c r="W135" i="31"/>
  <c r="L86" i="28"/>
  <c r="D6" i="46" s="1"/>
  <c r="K87" i="28"/>
  <c r="K380" i="27"/>
  <c r="Q130" i="31" l="1"/>
  <c r="R130" i="31" s="1"/>
  <c r="F58" i="52"/>
  <c r="P136" i="31"/>
  <c r="I87" i="32"/>
  <c r="S465" i="27"/>
  <c r="R470" i="27"/>
  <c r="R471" i="27" s="1"/>
  <c r="R475" i="27" s="1"/>
  <c r="R474" i="27"/>
  <c r="L625" i="27"/>
  <c r="L623" i="27" s="1"/>
  <c r="E56" i="43" s="1"/>
  <c r="I11" i="52"/>
  <c r="J20" i="28"/>
  <c r="J678" i="27"/>
  <c r="J679" i="27" s="1"/>
  <c r="J216" i="28" s="1"/>
  <c r="J227" i="28" s="1"/>
  <c r="J87" i="32" s="1"/>
  <c r="L639" i="27"/>
  <c r="E69" i="43" s="1"/>
  <c r="E68" i="43"/>
  <c r="E57" i="43"/>
  <c r="K623" i="27"/>
  <c r="M59" i="52"/>
  <c r="Q440" i="27"/>
  <c r="I57" i="52"/>
  <c r="E6" i="53"/>
  <c r="K251" i="27"/>
  <c r="K449" i="27"/>
  <c r="K492" i="27" s="1"/>
  <c r="K14" i="28"/>
  <c r="M227" i="31"/>
  <c r="F7" i="57" s="1"/>
  <c r="AC81" i="31"/>
  <c r="AD76" i="31"/>
  <c r="AD129" i="31"/>
  <c r="AE129" i="31" s="1"/>
  <c r="AF129" i="31" s="1"/>
  <c r="AG129" i="31" s="1"/>
  <c r="AE32" i="31"/>
  <c r="AD55" i="31"/>
  <c r="K489" i="27"/>
  <c r="K94" i="28" s="1"/>
  <c r="L446" i="27"/>
  <c r="K450" i="27"/>
  <c r="O596" i="27"/>
  <c r="L583" i="27"/>
  <c r="E25" i="43" s="1"/>
  <c r="H309" i="27"/>
  <c r="C47" i="40" s="1"/>
  <c r="J569" i="27"/>
  <c r="J95" i="27"/>
  <c r="J87" i="27"/>
  <c r="H49" i="28"/>
  <c r="D7" i="45" s="1"/>
  <c r="H669" i="27"/>
  <c r="T134" i="31"/>
  <c r="G62" i="52" s="1"/>
  <c r="I669" i="27"/>
  <c r="I309" i="27"/>
  <c r="L198" i="28"/>
  <c r="J253" i="27"/>
  <c r="J310" i="27"/>
  <c r="J312" i="27" s="1"/>
  <c r="J13" i="28" s="1"/>
  <c r="X135" i="31"/>
  <c r="H63" i="52" s="1"/>
  <c r="L380" i="27"/>
  <c r="L87" i="28"/>
  <c r="D7" i="46" s="1"/>
  <c r="M86" i="28"/>
  <c r="M198" i="28" s="1"/>
  <c r="S130" i="31" l="1"/>
  <c r="R136" i="31"/>
  <c r="F64" i="52"/>
  <c r="P143" i="31"/>
  <c r="Q136" i="31"/>
  <c r="Q143" i="31" s="1"/>
  <c r="Q145" i="31" s="1"/>
  <c r="R146" i="31" s="1"/>
  <c r="R227" i="31" s="1"/>
  <c r="R238" i="31" s="1"/>
  <c r="E58" i="43"/>
  <c r="M638" i="27"/>
  <c r="M639" i="27" s="1"/>
  <c r="L637" i="27"/>
  <c r="E67" i="43" s="1"/>
  <c r="M624" i="27"/>
  <c r="O597" i="27"/>
  <c r="P596" i="27" s="1"/>
  <c r="P597" i="27" s="1"/>
  <c r="E54" i="41"/>
  <c r="M445" i="27"/>
  <c r="J16" i="32"/>
  <c r="R440" i="27"/>
  <c r="M625" i="27"/>
  <c r="N624" i="27" s="1"/>
  <c r="K495" i="27"/>
  <c r="J57" i="52"/>
  <c r="T465" i="27"/>
  <c r="S470" i="27"/>
  <c r="S471" i="27" s="1"/>
  <c r="S475" i="27" s="1"/>
  <c r="S474" i="27"/>
  <c r="K97" i="28"/>
  <c r="K680" i="27"/>
  <c r="K677" i="27" s="1"/>
  <c r="L251" i="27"/>
  <c r="D11" i="40" s="1"/>
  <c r="L449" i="27"/>
  <c r="E57" i="41" s="1"/>
  <c r="AF32" i="31"/>
  <c r="AE55" i="31"/>
  <c r="AC148" i="27"/>
  <c r="M238" i="31"/>
  <c r="F18" i="57" s="1"/>
  <c r="AH129" i="31"/>
  <c r="AI129" i="31" s="1"/>
  <c r="AJ129" i="31" s="1"/>
  <c r="AK129" i="31" s="1"/>
  <c r="AD81" i="31"/>
  <c r="AD148" i="27" s="1"/>
  <c r="AE76" i="31"/>
  <c r="L488" i="27"/>
  <c r="L24" i="28" s="1"/>
  <c r="E21" i="44" s="1"/>
  <c r="H324" i="27"/>
  <c r="C50" i="40" s="1"/>
  <c r="L581" i="27"/>
  <c r="J567" i="27"/>
  <c r="K566" i="27" s="1"/>
  <c r="J98" i="27"/>
  <c r="J100" i="27" s="1"/>
  <c r="K82" i="27"/>
  <c r="K96" i="27" s="1"/>
  <c r="H10" i="28"/>
  <c r="D7" i="44" s="1"/>
  <c r="U134" i="31"/>
  <c r="L14" i="28"/>
  <c r="E11" i="44" s="1"/>
  <c r="L450" i="27"/>
  <c r="L495" i="27" s="1"/>
  <c r="L489" i="27"/>
  <c r="L94" i="28" s="1"/>
  <c r="D14" i="46" s="1"/>
  <c r="I324" i="27"/>
  <c r="I10" i="28"/>
  <c r="I49" i="28"/>
  <c r="J311" i="27"/>
  <c r="J313" i="27" s="1"/>
  <c r="K254" i="27"/>
  <c r="Y135" i="31"/>
  <c r="N86" i="28"/>
  <c r="N198" i="28" s="1"/>
  <c r="M380" i="27"/>
  <c r="M87" i="28"/>
  <c r="R143" i="31" l="1"/>
  <c r="R145" i="31" s="1"/>
  <c r="S146" i="31" s="1"/>
  <c r="S227" i="31" s="1"/>
  <c r="S238" i="31" s="1"/>
  <c r="E3" i="53"/>
  <c r="P145" i="31"/>
  <c r="T130" i="31"/>
  <c r="S136" i="31"/>
  <c r="S143" i="31" s="1"/>
  <c r="S145" i="31" s="1"/>
  <c r="T146" i="31" s="1"/>
  <c r="T227" i="31" s="1"/>
  <c r="T238" i="31" s="1"/>
  <c r="M623" i="27"/>
  <c r="N625" i="27"/>
  <c r="N623" i="27" s="1"/>
  <c r="M580" i="27"/>
  <c r="E23" i="43"/>
  <c r="K20" i="28"/>
  <c r="K678" i="27"/>
  <c r="K679" i="27" s="1"/>
  <c r="K216" i="28" s="1"/>
  <c r="K57" i="52"/>
  <c r="E87" i="41"/>
  <c r="S440" i="27"/>
  <c r="O595" i="27"/>
  <c r="F36" i="43"/>
  <c r="U465" i="27"/>
  <c r="T470" i="27"/>
  <c r="G75" i="41" s="1"/>
  <c r="T474" i="27"/>
  <c r="G79" i="41" s="1"/>
  <c r="N638" i="27"/>
  <c r="M637" i="27"/>
  <c r="E58" i="41"/>
  <c r="F35" i="43"/>
  <c r="AE81" i="31"/>
  <c r="AE148" i="27" s="1"/>
  <c r="AF76" i="31"/>
  <c r="J6" i="52" s="1"/>
  <c r="AL129" i="31"/>
  <c r="AM129" i="31" s="1"/>
  <c r="AN129" i="31" s="1"/>
  <c r="AO129" i="31" s="1"/>
  <c r="J25" i="51"/>
  <c r="AG32" i="31"/>
  <c r="AF55" i="31"/>
  <c r="J46" i="51" s="1"/>
  <c r="P595" i="27"/>
  <c r="J91" i="27"/>
  <c r="K93" i="27"/>
  <c r="K88" i="27"/>
  <c r="H178" i="28"/>
  <c r="D25" i="48" s="1"/>
  <c r="V134" i="31"/>
  <c r="J669" i="27"/>
  <c r="I178" i="28"/>
  <c r="M446" i="27"/>
  <c r="N445" i="27" s="1"/>
  <c r="M488" i="27"/>
  <c r="M24" i="28" s="1"/>
  <c r="K253" i="27"/>
  <c r="K310" i="27"/>
  <c r="K312" i="27" s="1"/>
  <c r="K13" i="28" s="1"/>
  <c r="J309" i="27"/>
  <c r="L492" i="27"/>
  <c r="Z135" i="31"/>
  <c r="N87" i="28"/>
  <c r="N380" i="27"/>
  <c r="O86" i="28"/>
  <c r="O198" i="28" s="1"/>
  <c r="E5" i="53" l="1"/>
  <c r="Q146" i="31"/>
  <c r="U130" i="31"/>
  <c r="V130" i="31" s="1"/>
  <c r="G58" i="52"/>
  <c r="T136" i="31"/>
  <c r="T471" i="27"/>
  <c r="G76" i="41" s="1"/>
  <c r="O624" i="27"/>
  <c r="O625" i="27" s="1"/>
  <c r="N639" i="27"/>
  <c r="O638" i="27" s="1"/>
  <c r="O639" i="27" s="1"/>
  <c r="Q594" i="27"/>
  <c r="Q596" i="27" s="1"/>
  <c r="F34" i="43"/>
  <c r="K16" i="32"/>
  <c r="V465" i="27"/>
  <c r="U474" i="27"/>
  <c r="T440" i="27"/>
  <c r="L57" i="52"/>
  <c r="K227" i="28"/>
  <c r="L680" i="27"/>
  <c r="L677" i="27" s="1"/>
  <c r="M251" i="27"/>
  <c r="M449" i="27"/>
  <c r="M492" i="27" s="1"/>
  <c r="H179" i="28"/>
  <c r="D26" i="48" s="1"/>
  <c r="AP129" i="31"/>
  <c r="AQ129" i="31" s="1"/>
  <c r="AR129" i="31" s="1"/>
  <c r="AT129" i="31" s="1"/>
  <c r="N57" i="52" s="1"/>
  <c r="AG76" i="31"/>
  <c r="AF81" i="31"/>
  <c r="J11" i="52" s="1"/>
  <c r="AH32" i="31"/>
  <c r="AG55" i="31"/>
  <c r="M582" i="27"/>
  <c r="K568" i="27"/>
  <c r="K94" i="27"/>
  <c r="K89" i="27"/>
  <c r="W134" i="31"/>
  <c r="K311" i="27"/>
  <c r="K309" i="27" s="1"/>
  <c r="K324" i="27" s="1"/>
  <c r="M14" i="28"/>
  <c r="M450" i="27"/>
  <c r="M489" i="27"/>
  <c r="M94" i="28" s="1"/>
  <c r="L97" i="28"/>
  <c r="D17" i="46" s="1"/>
  <c r="I179" i="28"/>
  <c r="J324" i="27"/>
  <c r="J10" i="28"/>
  <c r="J49" i="28"/>
  <c r="AA135" i="31"/>
  <c r="P86" i="28"/>
  <c r="E6" i="46" s="1"/>
  <c r="O380" i="27"/>
  <c r="O87" i="28"/>
  <c r="W130" i="31" l="1"/>
  <c r="X130" i="31" s="1"/>
  <c r="Y130" i="31" s="1"/>
  <c r="Z130" i="31" s="1"/>
  <c r="V136" i="31"/>
  <c r="G64" i="52"/>
  <c r="T143" i="31"/>
  <c r="F6" i="53"/>
  <c r="Q227" i="31"/>
  <c r="U136" i="31"/>
  <c r="U143" i="31" s="1"/>
  <c r="U145" i="31" s="1"/>
  <c r="V146" i="31" s="1"/>
  <c r="V227" i="31" s="1"/>
  <c r="V238" i="31" s="1"/>
  <c r="T475" i="27"/>
  <c r="G80" i="41" s="1"/>
  <c r="U470" i="27"/>
  <c r="U471" i="27" s="1"/>
  <c r="U475" i="27" s="1"/>
  <c r="M495" i="27"/>
  <c r="K87" i="32"/>
  <c r="N637" i="27"/>
  <c r="L20" i="28"/>
  <c r="E17" i="44" s="1"/>
  <c r="L678" i="27"/>
  <c r="L679" i="27" s="1"/>
  <c r="L216" i="28" s="1"/>
  <c r="E9" i="49" s="1"/>
  <c r="U440" i="27"/>
  <c r="W465" i="27"/>
  <c r="V474" i="27"/>
  <c r="O637" i="27"/>
  <c r="P638" i="27" s="1"/>
  <c r="M57" i="52"/>
  <c r="M680" i="27"/>
  <c r="M677" i="27" s="1"/>
  <c r="K313" i="27"/>
  <c r="K49" i="28" s="1"/>
  <c r="AI32" i="31"/>
  <c r="AH55" i="31"/>
  <c r="AH76" i="31"/>
  <c r="AG81" i="31"/>
  <c r="AF148" i="27"/>
  <c r="O623" i="27"/>
  <c r="Q597" i="27"/>
  <c r="M583" i="27"/>
  <c r="K569" i="27"/>
  <c r="K95" i="27"/>
  <c r="K87" i="27"/>
  <c r="L82" i="27" s="1"/>
  <c r="L96" i="27" s="1"/>
  <c r="X134" i="31"/>
  <c r="H62" i="52" s="1"/>
  <c r="N446" i="27"/>
  <c r="O445" i="27" s="1"/>
  <c r="N488" i="27"/>
  <c r="N24" i="28" s="1"/>
  <c r="K669" i="27"/>
  <c r="P198" i="28"/>
  <c r="J178" i="28"/>
  <c r="L254" i="27"/>
  <c r="D13" i="40" s="1"/>
  <c r="M97" i="28"/>
  <c r="AB135" i="31"/>
  <c r="I63" i="52" s="1"/>
  <c r="Q86" i="28"/>
  <c r="Q198" i="28" s="1"/>
  <c r="P87" i="28"/>
  <c r="E7" i="46" s="1"/>
  <c r="P380" i="27"/>
  <c r="V470" i="27" l="1"/>
  <c r="W136" i="31"/>
  <c r="W143" i="31" s="1"/>
  <c r="W145" i="31" s="1"/>
  <c r="V143" i="31"/>
  <c r="V145" i="31" s="1"/>
  <c r="W146" i="31" s="1"/>
  <c r="H58" i="52"/>
  <c r="AA130" i="31"/>
  <c r="F3" i="53"/>
  <c r="T145" i="31"/>
  <c r="G7" i="57"/>
  <c r="Q238" i="31"/>
  <c r="G18" i="57" s="1"/>
  <c r="V471" i="27"/>
  <c r="V475" i="27" s="1"/>
  <c r="V440" i="27"/>
  <c r="M20" i="28"/>
  <c r="M678" i="27"/>
  <c r="M679" i="27" s="1"/>
  <c r="M216" i="28" s="1"/>
  <c r="P639" i="27"/>
  <c r="F69" i="43" s="1"/>
  <c r="X465" i="27"/>
  <c r="W470" i="27"/>
  <c r="W474" i="27"/>
  <c r="F68" i="43"/>
  <c r="N251" i="27"/>
  <c r="N449" i="27"/>
  <c r="N492" i="27" s="1"/>
  <c r="AG148" i="27"/>
  <c r="AI76" i="31"/>
  <c r="AH81" i="31"/>
  <c r="AH148" i="27" s="1"/>
  <c r="AJ32" i="31"/>
  <c r="AI55" i="31"/>
  <c r="M581" i="27"/>
  <c r="N580" i="27" s="1"/>
  <c r="Q595" i="27"/>
  <c r="R594" i="27" s="1"/>
  <c r="P624" i="27"/>
  <c r="F57" i="43" s="1"/>
  <c r="K567" i="27"/>
  <c r="L566" i="27" s="1"/>
  <c r="E11" i="43" s="1"/>
  <c r="K98" i="27"/>
  <c r="K100" i="27" s="1"/>
  <c r="L93" i="27"/>
  <c r="L88" i="27"/>
  <c r="E18" i="37" s="1"/>
  <c r="Y134" i="31"/>
  <c r="X136" i="31"/>
  <c r="H64" i="52" s="1"/>
  <c r="W227" i="31"/>
  <c r="W238" i="31" s="1"/>
  <c r="M254" i="27"/>
  <c r="L310" i="27"/>
  <c r="L312" i="27" s="1"/>
  <c r="L13" i="28" s="1"/>
  <c r="E10" i="44" s="1"/>
  <c r="L253" i="27"/>
  <c r="D12" i="40" s="1"/>
  <c r="J179" i="28"/>
  <c r="K10" i="28"/>
  <c r="L16" i="32"/>
  <c r="E10" i="58" s="1"/>
  <c r="L227" i="28"/>
  <c r="E20" i="49" s="1"/>
  <c r="N14" i="28"/>
  <c r="N450" i="27"/>
  <c r="N489" i="27"/>
  <c r="N94" i="28" s="1"/>
  <c r="AC135" i="31"/>
  <c r="Q87" i="28"/>
  <c r="Q380" i="27"/>
  <c r="R86" i="28"/>
  <c r="R198" i="28" s="1"/>
  <c r="AB130" i="31" l="1"/>
  <c r="AC130" i="31" s="1"/>
  <c r="U146" i="31"/>
  <c r="U227" i="31" s="1"/>
  <c r="U238" i="31" s="1"/>
  <c r="F5" i="53"/>
  <c r="P637" i="27"/>
  <c r="N495" i="27"/>
  <c r="W471" i="27"/>
  <c r="W475" i="27" s="1"/>
  <c r="X146" i="31"/>
  <c r="Y465" i="27"/>
  <c r="X474" i="27"/>
  <c r="H79" i="41" s="1"/>
  <c r="W440" i="27"/>
  <c r="Q636" i="27"/>
  <c r="F67" i="43"/>
  <c r="N680" i="27"/>
  <c r="N677" i="27" s="1"/>
  <c r="K25" i="51"/>
  <c r="AK32" i="31"/>
  <c r="AJ55" i="31"/>
  <c r="K46" i="51" s="1"/>
  <c r="AJ76" i="31"/>
  <c r="K6" i="52" s="1"/>
  <c r="AI81" i="31"/>
  <c r="P625" i="27"/>
  <c r="F58" i="43" s="1"/>
  <c r="R596" i="27"/>
  <c r="N582" i="27"/>
  <c r="K91" i="27"/>
  <c r="L94" i="27"/>
  <c r="L89" i="27"/>
  <c r="E19" i="37" s="1"/>
  <c r="Z134" i="31"/>
  <c r="Y136" i="31"/>
  <c r="X143" i="31"/>
  <c r="G3" i="53" s="1"/>
  <c r="M16" i="32"/>
  <c r="M227" i="28"/>
  <c r="O446" i="27"/>
  <c r="P445" i="27" s="1"/>
  <c r="F53" i="41" s="1"/>
  <c r="O488" i="27"/>
  <c r="O24" i="28" s="1"/>
  <c r="K178" i="28"/>
  <c r="N97" i="28"/>
  <c r="L87" i="32"/>
  <c r="E8" i="60" s="1"/>
  <c r="L311" i="27"/>
  <c r="L313" i="27" s="1"/>
  <c r="M310" i="27"/>
  <c r="M312" i="27" s="1"/>
  <c r="M13" i="28" s="1"/>
  <c r="M253" i="27"/>
  <c r="AD135" i="31"/>
  <c r="S86" i="28"/>
  <c r="S198" i="28" s="1"/>
  <c r="R380" i="27"/>
  <c r="R87" i="28"/>
  <c r="G6" i="53" l="1"/>
  <c r="I58" i="52"/>
  <c r="AD130" i="31"/>
  <c r="X470" i="27"/>
  <c r="H75" i="41" s="1"/>
  <c r="Z465" i="27"/>
  <c r="Y474" i="27"/>
  <c r="X227" i="31"/>
  <c r="N20" i="28"/>
  <c r="N678" i="27"/>
  <c r="N679" i="27" s="1"/>
  <c r="N216" i="28" s="1"/>
  <c r="N16" i="32" s="1"/>
  <c r="X440" i="27"/>
  <c r="O251" i="27"/>
  <c r="O449" i="27"/>
  <c r="O492" i="27" s="1"/>
  <c r="AJ81" i="31"/>
  <c r="AJ148" i="27" s="1"/>
  <c r="AK76" i="31"/>
  <c r="AK55" i="31"/>
  <c r="AL32" i="31"/>
  <c r="AI148" i="27"/>
  <c r="N583" i="27"/>
  <c r="R597" i="27"/>
  <c r="P623" i="27"/>
  <c r="L568" i="27"/>
  <c r="E13" i="43" s="1"/>
  <c r="L95" i="27"/>
  <c r="L87" i="27"/>
  <c r="E17" i="37" s="1"/>
  <c r="Y143" i="31"/>
  <c r="Y145" i="31" s="1"/>
  <c r="AA134" i="31"/>
  <c r="Z136" i="31"/>
  <c r="X145" i="31"/>
  <c r="M311" i="27"/>
  <c r="M313" i="27" s="1"/>
  <c r="L669" i="27"/>
  <c r="N254" i="27"/>
  <c r="K179" i="28"/>
  <c r="M87" i="32"/>
  <c r="L309" i="27"/>
  <c r="D47" i="40" s="1"/>
  <c r="O14" i="28"/>
  <c r="O450" i="27"/>
  <c r="O489" i="27"/>
  <c r="O94" i="28" s="1"/>
  <c r="AE135" i="31"/>
  <c r="S87" i="28"/>
  <c r="S380" i="27"/>
  <c r="T86" i="28"/>
  <c r="F6" i="46" s="1"/>
  <c r="AE130" i="31" l="1"/>
  <c r="X471" i="27"/>
  <c r="Y470" i="27" s="1"/>
  <c r="Y471" i="27" s="1"/>
  <c r="Y475" i="27" s="1"/>
  <c r="Z146" i="31"/>
  <c r="Z227" i="31" s="1"/>
  <c r="Z238" i="31" s="1"/>
  <c r="Q622" i="27"/>
  <c r="F56" i="43"/>
  <c r="N227" i="28"/>
  <c r="AA465" i="27"/>
  <c r="Z470" i="27"/>
  <c r="Z471" i="27" s="1"/>
  <c r="Z475" i="27" s="1"/>
  <c r="Z474" i="27"/>
  <c r="X475" i="27"/>
  <c r="H80" i="41" s="1"/>
  <c r="O495" i="27"/>
  <c r="Y146" i="31"/>
  <c r="G5" i="53"/>
  <c r="Y440" i="27"/>
  <c r="X238" i="31"/>
  <c r="H7" i="57"/>
  <c r="K11" i="52"/>
  <c r="O680" i="27"/>
  <c r="O677" i="27" s="1"/>
  <c r="AM32" i="31"/>
  <c r="AL55" i="31"/>
  <c r="AK81" i="31"/>
  <c r="AL76" i="31"/>
  <c r="R595" i="27"/>
  <c r="S594" i="27" s="1"/>
  <c r="N581" i="27"/>
  <c r="O580" i="27" s="1"/>
  <c r="L569" i="27"/>
  <c r="E14" i="43" s="1"/>
  <c r="L98" i="27"/>
  <c r="L91" i="27" s="1"/>
  <c r="M82" i="27"/>
  <c r="F13" i="37" s="1"/>
  <c r="M93" i="27"/>
  <c r="M88" i="27"/>
  <c r="Z143" i="31"/>
  <c r="Z145" i="31" s="1"/>
  <c r="AB134" i="31"/>
  <c r="I62" i="52" s="1"/>
  <c r="AA136" i="31"/>
  <c r="AA143" i="31" s="1"/>
  <c r="AA145" i="31" s="1"/>
  <c r="AB146" i="31" s="1"/>
  <c r="M309" i="27"/>
  <c r="T198" i="28"/>
  <c r="O97" i="28"/>
  <c r="P446" i="27"/>
  <c r="P488" i="27"/>
  <c r="P24" i="28" s="1"/>
  <c r="F21" i="44" s="1"/>
  <c r="L10" i="28"/>
  <c r="E7" i="44" s="1"/>
  <c r="N253" i="27"/>
  <c r="N310" i="27"/>
  <c r="N312" i="27" s="1"/>
  <c r="N13" i="28" s="1"/>
  <c r="M669" i="27"/>
  <c r="L324" i="27"/>
  <c r="D50" i="40" s="1"/>
  <c r="M49" i="28"/>
  <c r="L49" i="28"/>
  <c r="E7" i="45" s="1"/>
  <c r="AF135" i="31"/>
  <c r="J63" i="52" s="1"/>
  <c r="T380" i="27"/>
  <c r="T87" i="28"/>
  <c r="F7" i="46" s="1"/>
  <c r="U86" i="28"/>
  <c r="U198" i="28" s="1"/>
  <c r="AF130" i="31" l="1"/>
  <c r="H76" i="41"/>
  <c r="M324" i="27"/>
  <c r="AA146" i="31"/>
  <c r="AA227" i="31" s="1"/>
  <c r="AA238" i="31" s="1"/>
  <c r="O20" i="28"/>
  <c r="O678" i="27"/>
  <c r="O679" i="27" s="1"/>
  <c r="O216" i="28" s="1"/>
  <c r="H18" i="57"/>
  <c r="H6" i="53"/>
  <c r="AB465" i="27"/>
  <c r="AA470" i="27"/>
  <c r="AA474" i="27"/>
  <c r="F54" i="41"/>
  <c r="Q445" i="27"/>
  <c r="AK148" i="27"/>
  <c r="Z440" i="27"/>
  <c r="N87" i="32"/>
  <c r="P251" i="27"/>
  <c r="E11" i="40" s="1"/>
  <c r="P449" i="27"/>
  <c r="F57" i="41" s="1"/>
  <c r="AL81" i="31"/>
  <c r="AL148" i="27" s="1"/>
  <c r="AM76" i="31"/>
  <c r="AN32" i="31"/>
  <c r="AM55" i="31"/>
  <c r="O582" i="27"/>
  <c r="S596" i="27"/>
  <c r="Q624" i="27"/>
  <c r="L567" i="27"/>
  <c r="M96" i="27"/>
  <c r="L100" i="27"/>
  <c r="M89" i="27"/>
  <c r="M94" i="27"/>
  <c r="M87" i="27"/>
  <c r="AB227" i="31"/>
  <c r="AB238" i="31" s="1"/>
  <c r="AC134" i="31"/>
  <c r="AB136" i="31"/>
  <c r="I64" i="52" s="1"/>
  <c r="Y227" i="31"/>
  <c r="N311" i="27"/>
  <c r="N313" i="27" s="1"/>
  <c r="M10" i="28"/>
  <c r="L178" i="28"/>
  <c r="E25" i="48" s="1"/>
  <c r="P14" i="28"/>
  <c r="F11" i="44" s="1"/>
  <c r="P450" i="27"/>
  <c r="P489" i="27"/>
  <c r="P94" i="28" s="1"/>
  <c r="E14" i="46" s="1"/>
  <c r="O254" i="27"/>
  <c r="AG135" i="31"/>
  <c r="V86" i="28"/>
  <c r="V198" i="28" s="1"/>
  <c r="U380" i="27"/>
  <c r="U87" i="28"/>
  <c r="AG130" i="31" l="1"/>
  <c r="J58" i="52"/>
  <c r="P495" i="27"/>
  <c r="F87" i="41" s="1"/>
  <c r="F58" i="41"/>
  <c r="M566" i="27"/>
  <c r="E12" i="43"/>
  <c r="O16" i="32"/>
  <c r="AA440" i="27"/>
  <c r="AC465" i="27"/>
  <c r="AB474" i="27"/>
  <c r="I79" i="41" s="1"/>
  <c r="I7" i="57"/>
  <c r="AA471" i="27"/>
  <c r="AA475" i="27" s="1"/>
  <c r="O227" i="28"/>
  <c r="AM81" i="31"/>
  <c r="AM148" i="27" s="1"/>
  <c r="AN76" i="31"/>
  <c r="L6" i="52" s="1"/>
  <c r="L25" i="51"/>
  <c r="AO32" i="31"/>
  <c r="AN55" i="31"/>
  <c r="L46" i="51" s="1"/>
  <c r="O583" i="27"/>
  <c r="Q625" i="27"/>
  <c r="S597" i="27"/>
  <c r="M95" i="27"/>
  <c r="N82" i="27"/>
  <c r="N96" i="27" s="1"/>
  <c r="M98" i="27"/>
  <c r="AB143" i="31"/>
  <c r="Y238" i="31"/>
  <c r="AD134" i="31"/>
  <c r="AC136" i="31"/>
  <c r="P492" i="27"/>
  <c r="N669" i="27"/>
  <c r="O87" i="32"/>
  <c r="O310" i="27"/>
  <c r="O312" i="27" s="1"/>
  <c r="O13" i="28" s="1"/>
  <c r="O253" i="27"/>
  <c r="Q446" i="27"/>
  <c r="R445" i="27" s="1"/>
  <c r="Q488" i="27"/>
  <c r="Q24" i="28" s="1"/>
  <c r="L179" i="28"/>
  <c r="E26" i="48" s="1"/>
  <c r="M178" i="28"/>
  <c r="N309" i="27"/>
  <c r="AH135" i="31"/>
  <c r="W86" i="28"/>
  <c r="W198" i="28" s="1"/>
  <c r="V87" i="28"/>
  <c r="V380" i="27"/>
  <c r="AH130" i="31" l="1"/>
  <c r="I18" i="57"/>
  <c r="AB470" i="27"/>
  <c r="AB440" i="27"/>
  <c r="AB145" i="31"/>
  <c r="H3" i="53"/>
  <c r="AD465" i="27"/>
  <c r="AC474" i="27"/>
  <c r="P680" i="27"/>
  <c r="P677" i="27" s="1"/>
  <c r="Q251" i="27"/>
  <c r="Q449" i="27"/>
  <c r="Q492" i="27" s="1"/>
  <c r="AP32" i="31"/>
  <c r="AO55" i="31"/>
  <c r="AN81" i="31"/>
  <c r="L11" i="52" s="1"/>
  <c r="AO76" i="31"/>
  <c r="Q623" i="27"/>
  <c r="R622" i="27" s="1"/>
  <c r="S595" i="27"/>
  <c r="T594" i="27" s="1"/>
  <c r="G33" i="43" s="1"/>
  <c r="O581" i="27"/>
  <c r="P580" i="27" s="1"/>
  <c r="F22" i="43" s="1"/>
  <c r="M100" i="27"/>
  <c r="M568" i="27"/>
  <c r="M91" i="27"/>
  <c r="N93" i="27"/>
  <c r="N88" i="27"/>
  <c r="AC143" i="31"/>
  <c r="AC145" i="31" s="1"/>
  <c r="AE134" i="31"/>
  <c r="AD136" i="31"/>
  <c r="AD143" i="31" s="1"/>
  <c r="AD145" i="31" s="1"/>
  <c r="N324" i="27"/>
  <c r="M179" i="28"/>
  <c r="Q14" i="28"/>
  <c r="Q450" i="27"/>
  <c r="Q489" i="27"/>
  <c r="Q94" i="28" s="1"/>
  <c r="O311" i="27"/>
  <c r="O309" i="27" s="1"/>
  <c r="O324" i="27" s="1"/>
  <c r="N10" i="28"/>
  <c r="N49" i="28"/>
  <c r="P97" i="28"/>
  <c r="E17" i="46" s="1"/>
  <c r="AI135" i="31"/>
  <c r="W87" i="28"/>
  <c r="W380" i="27"/>
  <c r="X86" i="28"/>
  <c r="G6" i="46" s="1"/>
  <c r="AI130" i="31" l="1"/>
  <c r="AJ130" i="31" s="1"/>
  <c r="K58" i="52" s="1"/>
  <c r="AE146" i="31"/>
  <c r="AE227" i="31" s="1"/>
  <c r="AE238" i="31" s="1"/>
  <c r="Q495" i="27"/>
  <c r="P20" i="28"/>
  <c r="F17" i="44" s="1"/>
  <c r="P678" i="27"/>
  <c r="P679" i="27" s="1"/>
  <c r="P216" i="28" s="1"/>
  <c r="F9" i="49" s="1"/>
  <c r="AC440" i="27"/>
  <c r="AB471" i="27"/>
  <c r="I75" i="41"/>
  <c r="AD146" i="31"/>
  <c r="AD227" i="31" s="1"/>
  <c r="AD238" i="31" s="1"/>
  <c r="AE465" i="27"/>
  <c r="AD474" i="27"/>
  <c r="AC146" i="31"/>
  <c r="AC227" i="31" s="1"/>
  <c r="H5" i="53"/>
  <c r="Q680" i="27"/>
  <c r="Q677" i="27" s="1"/>
  <c r="O313" i="27"/>
  <c r="O49" i="28" s="1"/>
  <c r="AN148" i="27"/>
  <c r="AP76" i="31"/>
  <c r="AO81" i="31"/>
  <c r="AQ32" i="31"/>
  <c r="AP55" i="31"/>
  <c r="P582" i="27"/>
  <c r="F24" i="43" s="1"/>
  <c r="T596" i="27"/>
  <c r="G35" i="43" s="1"/>
  <c r="R624" i="27"/>
  <c r="M569" i="27"/>
  <c r="N94" i="27"/>
  <c r="N89" i="27"/>
  <c r="AF134" i="31"/>
  <c r="J62" i="52" s="1"/>
  <c r="AE136" i="31"/>
  <c r="AE143" i="31" s="1"/>
  <c r="AE145" i="31" s="1"/>
  <c r="P254" i="27"/>
  <c r="E13" i="40" s="1"/>
  <c r="Q97" i="28"/>
  <c r="X198" i="28"/>
  <c r="N178" i="28"/>
  <c r="O669" i="27"/>
  <c r="R446" i="27"/>
  <c r="S445" i="27" s="1"/>
  <c r="R488" i="27"/>
  <c r="R24" i="28" s="1"/>
  <c r="AJ135" i="31"/>
  <c r="K63" i="52" s="1"/>
  <c r="Y86" i="28"/>
  <c r="Y198" i="28" s="1"/>
  <c r="X380" i="27"/>
  <c r="X87" i="28"/>
  <c r="G7" i="46" s="1"/>
  <c r="AK130" i="31" l="1"/>
  <c r="AL130" i="31" s="1"/>
  <c r="AM130" i="31" s="1"/>
  <c r="AN130" i="31" s="1"/>
  <c r="AO130" i="31" s="1"/>
  <c r="AF146" i="31"/>
  <c r="AF227" i="31" s="1"/>
  <c r="AF465" i="27"/>
  <c r="AE474" i="27"/>
  <c r="AD440" i="27"/>
  <c r="Q20" i="28"/>
  <c r="Q678" i="27"/>
  <c r="Q679" i="27" s="1"/>
  <c r="Q216" i="28" s="1"/>
  <c r="I6" i="53"/>
  <c r="I76" i="41"/>
  <c r="AB475" i="27"/>
  <c r="I80" i="41" s="1"/>
  <c r="AC470" i="27"/>
  <c r="R251" i="27"/>
  <c r="R449" i="27"/>
  <c r="R492" i="27" s="1"/>
  <c r="AO148" i="27"/>
  <c r="AR32" i="31"/>
  <c r="AQ55" i="31"/>
  <c r="AQ76" i="31"/>
  <c r="AP81" i="31"/>
  <c r="AP148" i="27" s="1"/>
  <c r="R625" i="27"/>
  <c r="T597" i="27"/>
  <c r="G36" i="43" s="1"/>
  <c r="P583" i="27"/>
  <c r="F25" i="43" s="1"/>
  <c r="M567" i="27"/>
  <c r="N566" i="27" s="1"/>
  <c r="N95" i="27"/>
  <c r="N87" i="27"/>
  <c r="N98" i="27" s="1"/>
  <c r="AG134" i="31"/>
  <c r="AF136" i="31"/>
  <c r="J64" i="52" s="1"/>
  <c r="AC238" i="31"/>
  <c r="P16" i="32"/>
  <c r="F10" i="58" s="1"/>
  <c r="P227" i="28"/>
  <c r="F20" i="49" s="1"/>
  <c r="Q254" i="27"/>
  <c r="P253" i="27"/>
  <c r="E12" i="40" s="1"/>
  <c r="P310" i="27"/>
  <c r="P312" i="27" s="1"/>
  <c r="P13" i="28" s="1"/>
  <c r="F10" i="44" s="1"/>
  <c r="R14" i="28"/>
  <c r="R450" i="27"/>
  <c r="R489" i="27"/>
  <c r="R94" i="28" s="1"/>
  <c r="N179" i="28"/>
  <c r="O10" i="28"/>
  <c r="AK135" i="31"/>
  <c r="Y380" i="27"/>
  <c r="Y87" i="28"/>
  <c r="Z86" i="28"/>
  <c r="Z198" i="28" s="1"/>
  <c r="L58" i="52" l="1"/>
  <c r="AP130" i="31"/>
  <c r="AQ130" i="31" s="1"/>
  <c r="AR130" i="31" s="1"/>
  <c r="AT130" i="31" s="1"/>
  <c r="N58" i="52" s="1"/>
  <c r="AF238" i="31"/>
  <c r="J7" i="57"/>
  <c r="R495" i="27"/>
  <c r="AE440" i="27"/>
  <c r="AG465" i="27"/>
  <c r="AF474" i="27"/>
  <c r="J79" i="41" s="1"/>
  <c r="J18" i="57"/>
  <c r="AC471" i="27"/>
  <c r="R680" i="27"/>
  <c r="R677" i="27" s="1"/>
  <c r="AR76" i="31"/>
  <c r="M6" i="52" s="1"/>
  <c r="AQ81" i="31"/>
  <c r="AQ148" i="27" s="1"/>
  <c r="M25" i="51"/>
  <c r="AR55" i="31"/>
  <c r="M46" i="51" s="1"/>
  <c r="R623" i="27"/>
  <c r="S622" i="27" s="1"/>
  <c r="P581" i="27"/>
  <c r="T595" i="27"/>
  <c r="N100" i="27"/>
  <c r="O82" i="27"/>
  <c r="O96" i="27" s="1"/>
  <c r="N91" i="27"/>
  <c r="O93" i="27"/>
  <c r="O88" i="27"/>
  <c r="AF143" i="31"/>
  <c r="I3" i="53" s="1"/>
  <c r="AH134" i="31"/>
  <c r="AG136" i="31"/>
  <c r="S446" i="27"/>
  <c r="T445" i="27" s="1"/>
  <c r="G53" i="41" s="1"/>
  <c r="S488" i="27"/>
  <c r="S24" i="28" s="1"/>
  <c r="P311" i="27"/>
  <c r="P309" i="27" s="1"/>
  <c r="E47" i="40" s="1"/>
  <c r="Q253" i="27"/>
  <c r="Q310" i="27"/>
  <c r="Q312" i="27" s="1"/>
  <c r="Q13" i="28" s="1"/>
  <c r="O178" i="28"/>
  <c r="R97" i="28"/>
  <c r="Q227" i="28"/>
  <c r="Q16" i="32"/>
  <c r="P87" i="32"/>
  <c r="F8" i="60" s="1"/>
  <c r="AL135" i="31"/>
  <c r="Z87" i="28"/>
  <c r="Z380" i="27"/>
  <c r="AA86" i="28"/>
  <c r="AA198" i="28" s="1"/>
  <c r="M58" i="52" l="1"/>
  <c r="U594" i="27"/>
  <c r="G34" i="43"/>
  <c r="AH465" i="27"/>
  <c r="AG474" i="27"/>
  <c r="Q580" i="27"/>
  <c r="F23" i="43"/>
  <c r="R20" i="28"/>
  <c r="R678" i="27"/>
  <c r="R679" i="27" s="1"/>
  <c r="R216" i="28" s="1"/>
  <c r="AC475" i="27"/>
  <c r="AD470" i="27"/>
  <c r="AF440" i="27"/>
  <c r="P313" i="27"/>
  <c r="S251" i="27"/>
  <c r="S449" i="27"/>
  <c r="S492" i="27" s="1"/>
  <c r="AR81" i="31"/>
  <c r="AR148" i="27" s="1"/>
  <c r="S624" i="27"/>
  <c r="N568" i="27"/>
  <c r="O94" i="27"/>
  <c r="O89" i="27"/>
  <c r="AF145" i="31"/>
  <c r="AG143" i="31"/>
  <c r="AG145" i="31" s="1"/>
  <c r="AI134" i="31"/>
  <c r="AH136" i="31"/>
  <c r="Q87" i="32"/>
  <c r="R254" i="27"/>
  <c r="O179" i="28"/>
  <c r="P669" i="27"/>
  <c r="S14" i="28"/>
  <c r="S450" i="27"/>
  <c r="S489" i="27"/>
  <c r="S94" i="28" s="1"/>
  <c r="P324" i="27"/>
  <c r="E50" i="40" s="1"/>
  <c r="Q311" i="27"/>
  <c r="Q313" i="27" s="1"/>
  <c r="AM135" i="31"/>
  <c r="AB86" i="28"/>
  <c r="H6" i="46" s="1"/>
  <c r="AA380" i="27"/>
  <c r="AA87" i="28"/>
  <c r="S495" i="27" l="1"/>
  <c r="AH146" i="31"/>
  <c r="M11" i="52"/>
  <c r="AI465" i="27"/>
  <c r="AH474" i="27"/>
  <c r="AG146" i="31"/>
  <c r="I5" i="53"/>
  <c r="R16" i="32"/>
  <c r="AG440" i="27"/>
  <c r="AD471" i="27"/>
  <c r="R227" i="28"/>
  <c r="S680" i="27"/>
  <c r="S677" i="27" s="1"/>
  <c r="S625" i="27"/>
  <c r="Q582" i="27"/>
  <c r="U596" i="27"/>
  <c r="N569" i="27"/>
  <c r="O95" i="27"/>
  <c r="O87" i="27"/>
  <c r="P82" i="27" s="1"/>
  <c r="P96" i="27" s="1"/>
  <c r="P49" i="28"/>
  <c r="F7" i="45" s="1"/>
  <c r="AH227" i="31"/>
  <c r="AH238" i="31" s="1"/>
  <c r="AJ134" i="31"/>
  <c r="K62" i="52" s="1"/>
  <c r="AI136" i="31"/>
  <c r="AH143" i="31"/>
  <c r="AH145" i="31" s="1"/>
  <c r="Q669" i="27"/>
  <c r="T446" i="27"/>
  <c r="T488" i="27"/>
  <c r="T24" i="28" s="1"/>
  <c r="G21" i="44" s="1"/>
  <c r="AB198" i="28"/>
  <c r="P10" i="28"/>
  <c r="F7" i="44" s="1"/>
  <c r="S97" i="28"/>
  <c r="Q309" i="27"/>
  <c r="R253" i="27"/>
  <c r="R310" i="27"/>
  <c r="R312" i="27" s="1"/>
  <c r="R13" i="28" s="1"/>
  <c r="AN135" i="31"/>
  <c r="L63" i="52" s="1"/>
  <c r="AB380" i="27"/>
  <c r="AB87" i="28"/>
  <c r="H7" i="46" s="1"/>
  <c r="AC86" i="28"/>
  <c r="AC198" i="28" s="1"/>
  <c r="AT127" i="31"/>
  <c r="N55" i="52" s="1"/>
  <c r="S20" i="28" l="1"/>
  <c r="S678" i="27"/>
  <c r="AE470" i="27"/>
  <c r="AD475" i="27"/>
  <c r="G54" i="41"/>
  <c r="U445" i="27"/>
  <c r="AI146" i="31"/>
  <c r="AI227" i="31" s="1"/>
  <c r="AI238" i="31" s="1"/>
  <c r="R87" i="32"/>
  <c r="AH440" i="27"/>
  <c r="AJ465" i="27"/>
  <c r="AI474" i="27"/>
  <c r="S679" i="27"/>
  <c r="S216" i="28" s="1"/>
  <c r="S227" i="28" s="1"/>
  <c r="T251" i="27"/>
  <c r="F11" i="40" s="1"/>
  <c r="T449" i="27"/>
  <c r="G57" i="41" s="1"/>
  <c r="U597" i="27"/>
  <c r="Q583" i="27"/>
  <c r="S623" i="27"/>
  <c r="T622" i="27" s="1"/>
  <c r="G55" i="43" s="1"/>
  <c r="N567" i="27"/>
  <c r="O566" i="27" s="1"/>
  <c r="O98" i="27"/>
  <c r="O100" i="27" s="1"/>
  <c r="P93" i="27"/>
  <c r="P88" i="27"/>
  <c r="F18" i="37" s="1"/>
  <c r="AK134" i="31"/>
  <c r="AJ136" i="31"/>
  <c r="K64" i="52" s="1"/>
  <c r="AG227" i="31"/>
  <c r="AI143" i="31"/>
  <c r="AI145" i="31" s="1"/>
  <c r="S254" i="27"/>
  <c r="Q10" i="28"/>
  <c r="T14" i="28"/>
  <c r="G11" i="44" s="1"/>
  <c r="T450" i="27"/>
  <c r="T489" i="27"/>
  <c r="T94" i="28" s="1"/>
  <c r="F14" i="46" s="1"/>
  <c r="R311" i="27"/>
  <c r="R313" i="27" s="1"/>
  <c r="Q324" i="27"/>
  <c r="P178" i="28"/>
  <c r="F25" i="48" s="1"/>
  <c r="Q49" i="28"/>
  <c r="AO135" i="31"/>
  <c r="AD86" i="28"/>
  <c r="AD198" i="28" s="1"/>
  <c r="AC380" i="27"/>
  <c r="AC87" i="28"/>
  <c r="AJ146" i="31" l="1"/>
  <c r="J6" i="53" s="1"/>
  <c r="AK465" i="27"/>
  <c r="AJ474" i="27"/>
  <c r="K79" i="41" s="1"/>
  <c r="AI440" i="27"/>
  <c r="AE471" i="27"/>
  <c r="T495" i="27"/>
  <c r="G87" i="41" s="1"/>
  <c r="G58" i="41"/>
  <c r="S16" i="32"/>
  <c r="T624" i="27"/>
  <c r="G57" i="43" s="1"/>
  <c r="Q581" i="27"/>
  <c r="R580" i="27" s="1"/>
  <c r="U595" i="27"/>
  <c r="V594" i="27" s="1"/>
  <c r="O91" i="27"/>
  <c r="P89" i="27"/>
  <c r="F19" i="37" s="1"/>
  <c r="P94" i="27"/>
  <c r="P87" i="27"/>
  <c r="F17" i="37" s="1"/>
  <c r="AG238" i="31"/>
  <c r="AL134" i="31"/>
  <c r="AK136" i="31"/>
  <c r="AJ143" i="31"/>
  <c r="J3" i="53" s="1"/>
  <c r="P179" i="28"/>
  <c r="F26" i="48" s="1"/>
  <c r="R669" i="27"/>
  <c r="U446" i="27"/>
  <c r="V445" i="27" s="1"/>
  <c r="U488" i="27"/>
  <c r="U24" i="28" s="1"/>
  <c r="T492" i="27"/>
  <c r="Q178" i="28"/>
  <c r="S87" i="32"/>
  <c r="S253" i="27"/>
  <c r="S310" i="27"/>
  <c r="S312" i="27" s="1"/>
  <c r="S13" i="28" s="1"/>
  <c r="R309" i="27"/>
  <c r="AP135" i="31"/>
  <c r="AD380" i="27"/>
  <c r="AD87" i="28"/>
  <c r="AE86" i="28"/>
  <c r="AE198" i="28" s="1"/>
  <c r="AJ227" i="31" l="1"/>
  <c r="AE475" i="27"/>
  <c r="AF470" i="27"/>
  <c r="AJ440" i="27"/>
  <c r="AL465" i="27"/>
  <c r="AK474" i="27"/>
  <c r="T680" i="27"/>
  <c r="T677" i="27" s="1"/>
  <c r="U251" i="27"/>
  <c r="U449" i="27"/>
  <c r="U492" i="27" s="1"/>
  <c r="T625" i="27"/>
  <c r="G58" i="43" s="1"/>
  <c r="V596" i="27"/>
  <c r="R582" i="27"/>
  <c r="O568" i="27"/>
  <c r="P95" i="27"/>
  <c r="P98" i="27"/>
  <c r="Q82" i="27"/>
  <c r="G13" i="37" s="1"/>
  <c r="AJ145" i="31"/>
  <c r="AK143" i="31"/>
  <c r="AK145" i="31" s="1"/>
  <c r="AM134" i="31"/>
  <c r="AL136" i="31"/>
  <c r="T97" i="28"/>
  <c r="F17" i="46" s="1"/>
  <c r="R324" i="27"/>
  <c r="R10" i="28"/>
  <c r="U14" i="28"/>
  <c r="U450" i="27"/>
  <c r="U489" i="27"/>
  <c r="U94" i="28" s="1"/>
  <c r="S311" i="27"/>
  <c r="S313" i="27" s="1"/>
  <c r="R49" i="28"/>
  <c r="AQ135" i="31"/>
  <c r="AF86" i="28"/>
  <c r="I6" i="46" s="1"/>
  <c r="AE87" i="28"/>
  <c r="AE380" i="27"/>
  <c r="U495" i="27" l="1"/>
  <c r="AK146" i="31"/>
  <c r="J5" i="53"/>
  <c r="T20" i="28"/>
  <c r="G17" i="44" s="1"/>
  <c r="T678" i="27"/>
  <c r="T679" i="27" s="1"/>
  <c r="T216" i="28" s="1"/>
  <c r="G9" i="49" s="1"/>
  <c r="AK440" i="27"/>
  <c r="AF471" i="27"/>
  <c r="J75" i="41"/>
  <c r="AL146" i="31"/>
  <c r="AL227" i="31" s="1"/>
  <c r="AL238" i="31" s="1"/>
  <c r="AM465" i="27"/>
  <c r="AL474" i="27"/>
  <c r="AJ238" i="31"/>
  <c r="K18" i="57" s="1"/>
  <c r="K7" i="57"/>
  <c r="U680" i="27"/>
  <c r="U677" i="27" s="1"/>
  <c r="T623" i="27"/>
  <c r="R583" i="27"/>
  <c r="V597" i="27"/>
  <c r="O569" i="27"/>
  <c r="Q96" i="27"/>
  <c r="P100" i="27"/>
  <c r="P91" i="27"/>
  <c r="Q93" i="27"/>
  <c r="Q88" i="27"/>
  <c r="AN134" i="31"/>
  <c r="L62" i="52" s="1"/>
  <c r="AM136" i="31"/>
  <c r="AL143" i="31"/>
  <c r="AL145" i="31" s="1"/>
  <c r="S49" i="28"/>
  <c r="U97" i="28"/>
  <c r="R178" i="28"/>
  <c r="AF198" i="28"/>
  <c r="S669" i="27"/>
  <c r="V446" i="27"/>
  <c r="W445" i="27" s="1"/>
  <c r="V488" i="27"/>
  <c r="V24" i="28" s="1"/>
  <c r="S309" i="27"/>
  <c r="T254" i="27"/>
  <c r="F13" i="40" s="1"/>
  <c r="AR135" i="31"/>
  <c r="AT135" i="31" s="1"/>
  <c r="N63" i="52" s="1"/>
  <c r="AF380" i="27"/>
  <c r="AF87" i="28"/>
  <c r="I7" i="46" s="1"/>
  <c r="AG86" i="28"/>
  <c r="AG198" i="28" s="1"/>
  <c r="AM146" i="31" l="1"/>
  <c r="AM227" i="31" s="1"/>
  <c r="AM238" i="31" s="1"/>
  <c r="U20" i="28"/>
  <c r="U678" i="27"/>
  <c r="AL440" i="27"/>
  <c r="M63" i="52"/>
  <c r="U622" i="27"/>
  <c r="G56" i="43"/>
  <c r="AN465" i="27"/>
  <c r="AM474" i="27"/>
  <c r="AF475" i="27"/>
  <c r="J80" i="41" s="1"/>
  <c r="J76" i="41"/>
  <c r="AG470" i="27"/>
  <c r="U679" i="27"/>
  <c r="U216" i="28" s="1"/>
  <c r="V251" i="27"/>
  <c r="V449" i="27"/>
  <c r="V492" i="27" s="1"/>
  <c r="V595" i="27"/>
  <c r="W594" i="27" s="1"/>
  <c r="R581" i="27"/>
  <c r="S580" i="27" s="1"/>
  <c r="O567" i="27"/>
  <c r="P566" i="27" s="1"/>
  <c r="F11" i="43" s="1"/>
  <c r="Q94" i="27"/>
  <c r="Q89" i="27"/>
  <c r="AM143" i="31"/>
  <c r="AM145" i="31" s="1"/>
  <c r="AN146" i="31" s="1"/>
  <c r="K6" i="53" s="1"/>
  <c r="AK227" i="31"/>
  <c r="AO134" i="31"/>
  <c r="AN136" i="31"/>
  <c r="L64" i="52" s="1"/>
  <c r="T310" i="27"/>
  <c r="T312" i="27" s="1"/>
  <c r="T13" i="28" s="1"/>
  <c r="G10" i="44" s="1"/>
  <c r="T253" i="27"/>
  <c r="F12" i="40" s="1"/>
  <c r="V14" i="28"/>
  <c r="V450" i="27"/>
  <c r="V489" i="27"/>
  <c r="V94" i="28" s="1"/>
  <c r="T227" i="28"/>
  <c r="G20" i="49" s="1"/>
  <c r="T16" i="32"/>
  <c r="G10" i="58" s="1"/>
  <c r="S324" i="27"/>
  <c r="R179" i="28"/>
  <c r="S10" i="28"/>
  <c r="U254" i="27"/>
  <c r="AG87" i="28"/>
  <c r="AG380" i="27"/>
  <c r="AH86" i="28"/>
  <c r="AH198" i="28" s="1"/>
  <c r="V495" i="27" l="1"/>
  <c r="AG471" i="27"/>
  <c r="AO465" i="27"/>
  <c r="AN474" i="27"/>
  <c r="L79" i="41" s="1"/>
  <c r="AM440" i="27"/>
  <c r="V680" i="27"/>
  <c r="V677" i="27" s="1"/>
  <c r="U624" i="27"/>
  <c r="S582" i="27"/>
  <c r="W596" i="27"/>
  <c r="Q95" i="27"/>
  <c r="Q87" i="27"/>
  <c r="Q98" i="27" s="1"/>
  <c r="AN143" i="31"/>
  <c r="K3" i="53" s="1"/>
  <c r="AP134" i="31"/>
  <c r="AO136" i="31"/>
  <c r="AK238" i="31"/>
  <c r="AO143" i="31"/>
  <c r="AO145" i="31" s="1"/>
  <c r="U253" i="27"/>
  <c r="U310" i="27"/>
  <c r="U312" i="27" s="1"/>
  <c r="U13" i="28" s="1"/>
  <c r="S178" i="28"/>
  <c r="U227" i="28"/>
  <c r="U16" i="32"/>
  <c r="V97" i="28"/>
  <c r="T311" i="27"/>
  <c r="T309" i="27" s="1"/>
  <c r="F47" i="40" s="1"/>
  <c r="T87" i="32"/>
  <c r="G8" i="60" s="1"/>
  <c r="W446" i="27"/>
  <c r="X445" i="27" s="1"/>
  <c r="H53" i="41" s="1"/>
  <c r="W488" i="27"/>
  <c r="W24" i="28" s="1"/>
  <c r="AH87" i="28"/>
  <c r="AH380" i="27"/>
  <c r="AI86" i="28"/>
  <c r="AI198" i="28" s="1"/>
  <c r="AP146" i="31" l="1"/>
  <c r="AP227" i="31" s="1"/>
  <c r="AP238" i="31" s="1"/>
  <c r="V20" i="28"/>
  <c r="V678" i="27"/>
  <c r="V679" i="27" s="1"/>
  <c r="V216" i="28" s="1"/>
  <c r="AP465" i="27"/>
  <c r="AO474" i="27"/>
  <c r="AN440" i="27"/>
  <c r="AH470" i="27"/>
  <c r="AG475" i="27"/>
  <c r="T313" i="27"/>
  <c r="T49" i="28" s="1"/>
  <c r="G7" i="45" s="1"/>
  <c r="W251" i="27"/>
  <c r="W449" i="27"/>
  <c r="W492" i="27" s="1"/>
  <c r="U625" i="27"/>
  <c r="W597" i="27"/>
  <c r="S583" i="27"/>
  <c r="P568" i="27"/>
  <c r="F13" i="43" s="1"/>
  <c r="Q100" i="27"/>
  <c r="R82" i="27"/>
  <c r="R96" i="27" s="1"/>
  <c r="Q91" i="27"/>
  <c r="R93" i="27"/>
  <c r="R88" i="27"/>
  <c r="AQ134" i="31"/>
  <c r="AP136" i="31"/>
  <c r="AP143" i="31" s="1"/>
  <c r="AP145" i="31" s="1"/>
  <c r="AN227" i="31"/>
  <c r="L7" i="57" s="1"/>
  <c r="AN145" i="31"/>
  <c r="W14" i="28"/>
  <c r="W450" i="27"/>
  <c r="W489" i="27"/>
  <c r="W94" i="28" s="1"/>
  <c r="T669" i="27"/>
  <c r="T324" i="27"/>
  <c r="F50" i="40" s="1"/>
  <c r="V254" i="27"/>
  <c r="U87" i="32"/>
  <c r="S179" i="28"/>
  <c r="U311" i="27"/>
  <c r="U313" i="27" s="1"/>
  <c r="AJ86" i="28"/>
  <c r="J6" i="46" s="1"/>
  <c r="AI380" i="27"/>
  <c r="AI87" i="28"/>
  <c r="W495" i="27" l="1"/>
  <c r="AQ146" i="31"/>
  <c r="AQ227" i="31" s="1"/>
  <c r="AQ238" i="31" s="1"/>
  <c r="V227" i="28"/>
  <c r="AH471" i="27"/>
  <c r="AO146" i="31"/>
  <c r="K5" i="53"/>
  <c r="AO440" i="27"/>
  <c r="AQ465" i="27"/>
  <c r="AP474" i="27"/>
  <c r="V16" i="32"/>
  <c r="W680" i="27"/>
  <c r="W677" i="27" s="1"/>
  <c r="U623" i="27"/>
  <c r="V622" i="27" s="1"/>
  <c r="S581" i="27"/>
  <c r="T580" i="27" s="1"/>
  <c r="G22" i="43" s="1"/>
  <c r="W595" i="27"/>
  <c r="X594" i="27" s="1"/>
  <c r="H33" i="43" s="1"/>
  <c r="P569" i="27"/>
  <c r="F14" i="43" s="1"/>
  <c r="R89" i="27"/>
  <c r="R94" i="27"/>
  <c r="AN238" i="31"/>
  <c r="L18" i="57" s="1"/>
  <c r="AR134" i="31"/>
  <c r="M62" i="52" s="1"/>
  <c r="AQ136" i="31"/>
  <c r="U49" i="28"/>
  <c r="X446" i="27"/>
  <c r="X488" i="27"/>
  <c r="X24" i="28" s="1"/>
  <c r="AJ198" i="28"/>
  <c r="U669" i="27"/>
  <c r="V253" i="27"/>
  <c r="V310" i="27"/>
  <c r="V312" i="27" s="1"/>
  <c r="V13" i="28" s="1"/>
  <c r="U309" i="27"/>
  <c r="W97" i="28"/>
  <c r="T10" i="28"/>
  <c r="G7" i="44" s="1"/>
  <c r="AK86" i="28"/>
  <c r="AK198" i="28" s="1"/>
  <c r="AJ87" i="28"/>
  <c r="J7" i="46" s="1"/>
  <c r="AJ380" i="27"/>
  <c r="H21" i="44" l="1"/>
  <c r="R87" i="27"/>
  <c r="S82" i="27" s="1"/>
  <c r="S96" i="27" s="1"/>
  <c r="AP440" i="27"/>
  <c r="AH475" i="27"/>
  <c r="AI470" i="27"/>
  <c r="V87" i="32"/>
  <c r="H54" i="41"/>
  <c r="Y445" i="27"/>
  <c r="W20" i="28"/>
  <c r="W678" i="27"/>
  <c r="W679" i="27" s="1"/>
  <c r="W216" i="28" s="1"/>
  <c r="AR465" i="27"/>
  <c r="AQ474" i="27"/>
  <c r="X251" i="27"/>
  <c r="G11" i="40" s="1"/>
  <c r="X449" i="27"/>
  <c r="H57" i="41" s="1"/>
  <c r="P567" i="27"/>
  <c r="X596" i="27"/>
  <c r="H35" i="43" s="1"/>
  <c r="T582" i="27"/>
  <c r="G24" i="43" s="1"/>
  <c r="V624" i="27"/>
  <c r="R95" i="27"/>
  <c r="R98" i="27"/>
  <c r="AQ143" i="31"/>
  <c r="AQ145" i="31" s="1"/>
  <c r="AT134" i="31"/>
  <c r="N62" i="52" s="1"/>
  <c r="AR136" i="31"/>
  <c r="M64" i="52" s="1"/>
  <c r="AO227" i="31"/>
  <c r="T178" i="28"/>
  <c r="G25" i="48" s="1"/>
  <c r="U324" i="27"/>
  <c r="X14" i="28"/>
  <c r="X450" i="27"/>
  <c r="X489" i="27"/>
  <c r="X94" i="28" s="1"/>
  <c r="G14" i="46" s="1"/>
  <c r="U10" i="28"/>
  <c r="W254" i="27"/>
  <c r="V311" i="27"/>
  <c r="V309" i="27" s="1"/>
  <c r="AK87" i="28"/>
  <c r="AK380" i="27"/>
  <c r="AL86" i="28"/>
  <c r="AL198" i="28" s="1"/>
  <c r="X495" i="27" l="1"/>
  <c r="H87" i="41" s="1"/>
  <c r="H58" i="41"/>
  <c r="Q566" i="27"/>
  <c r="Q568" i="27" s="1"/>
  <c r="F12" i="43"/>
  <c r="AR474" i="27"/>
  <c r="M79" i="41" s="1"/>
  <c r="H11" i="44"/>
  <c r="AR146" i="31"/>
  <c r="L6" i="53" s="1"/>
  <c r="W227" i="28"/>
  <c r="AI471" i="27"/>
  <c r="AQ440" i="27"/>
  <c r="W16" i="32"/>
  <c r="V313" i="27"/>
  <c r="V625" i="27"/>
  <c r="T583" i="27"/>
  <c r="G25" i="43" s="1"/>
  <c r="X597" i="27"/>
  <c r="H36" i="43" s="1"/>
  <c r="R100" i="27"/>
  <c r="R91" i="27"/>
  <c r="S93" i="27"/>
  <c r="S88" i="27"/>
  <c r="AO238" i="31"/>
  <c r="AR143" i="31"/>
  <c r="L3" i="53" s="1"/>
  <c r="AT136" i="31"/>
  <c r="N64" i="52" s="1"/>
  <c r="V324" i="27"/>
  <c r="W87" i="32"/>
  <c r="X492" i="27"/>
  <c r="V669" i="27"/>
  <c r="W310" i="27"/>
  <c r="W312" i="27" s="1"/>
  <c r="W13" i="28" s="1"/>
  <c r="W253" i="27"/>
  <c r="U178" i="28"/>
  <c r="Y446" i="27"/>
  <c r="Z445" i="27" s="1"/>
  <c r="Y488" i="27"/>
  <c r="Y24" i="28" s="1"/>
  <c r="T179" i="28"/>
  <c r="AM86" i="28"/>
  <c r="AM198" i="28" s="1"/>
  <c r="AL87" i="28"/>
  <c r="AL380" i="27"/>
  <c r="AR440" i="27" l="1"/>
  <c r="AI475" i="27"/>
  <c r="AJ470" i="27"/>
  <c r="X680" i="27"/>
  <c r="X677" i="27" s="1"/>
  <c r="Y251" i="27"/>
  <c r="Y449" i="27"/>
  <c r="Y492" i="27" s="1"/>
  <c r="X595" i="27"/>
  <c r="T581" i="27"/>
  <c r="V623" i="27"/>
  <c r="W622" i="27" s="1"/>
  <c r="Q569" i="27"/>
  <c r="S89" i="27"/>
  <c r="S94" i="27"/>
  <c r="AR227" i="31"/>
  <c r="AT146" i="31"/>
  <c r="M6" i="53" s="1"/>
  <c r="AR145" i="31"/>
  <c r="L5" i="53" s="1"/>
  <c r="Y14" i="28"/>
  <c r="Y450" i="27"/>
  <c r="Y489" i="27"/>
  <c r="Y94" i="28" s="1"/>
  <c r="X97" i="28"/>
  <c r="G17" i="46" s="1"/>
  <c r="W311" i="27"/>
  <c r="W309" i="27" s="1"/>
  <c r="V49" i="28"/>
  <c r="V10" i="28"/>
  <c r="AN86" i="28"/>
  <c r="K6" i="46" s="1"/>
  <c r="AM87" i="28"/>
  <c r="AM380" i="27"/>
  <c r="Y594" i="27" l="1"/>
  <c r="H34" i="43"/>
  <c r="Y495" i="27"/>
  <c r="B227" i="31"/>
  <c r="B7" i="57" s="1"/>
  <c r="M7" i="57"/>
  <c r="S87" i="27"/>
  <c r="S98" i="27" s="1"/>
  <c r="U580" i="27"/>
  <c r="G23" i="43"/>
  <c r="X20" i="28"/>
  <c r="X678" i="27"/>
  <c r="X679" i="27" s="1"/>
  <c r="X216" i="28" s="1"/>
  <c r="AJ471" i="27"/>
  <c r="K75" i="41"/>
  <c r="Y680" i="27"/>
  <c r="Y677" i="27" s="1"/>
  <c r="W313" i="27"/>
  <c r="W49" i="28" s="1"/>
  <c r="Q567" i="27"/>
  <c r="R566" i="27" s="1"/>
  <c r="W624" i="27"/>
  <c r="S95" i="27"/>
  <c r="AT145" i="31"/>
  <c r="M5" i="53" s="1"/>
  <c r="AT227" i="31"/>
  <c r="N7" i="57" s="1"/>
  <c r="AR238" i="31"/>
  <c r="W669" i="27"/>
  <c r="X254" i="27"/>
  <c r="G13" i="40" s="1"/>
  <c r="AN198" i="28"/>
  <c r="W324" i="27"/>
  <c r="V178" i="28"/>
  <c r="Y97" i="28"/>
  <c r="Z446" i="27"/>
  <c r="AA445" i="27" s="1"/>
  <c r="Z488" i="27"/>
  <c r="Z24" i="28" s="1"/>
  <c r="AO86" i="28"/>
  <c r="AO198" i="28" s="1"/>
  <c r="AN380" i="27"/>
  <c r="AN87" i="28"/>
  <c r="K7" i="46" s="1"/>
  <c r="T82" i="27" l="1"/>
  <c r="T96" i="27" s="1"/>
  <c r="H9" i="49"/>
  <c r="B238" i="31"/>
  <c r="B18" i="57" s="1"/>
  <c r="M18" i="57"/>
  <c r="H17" i="44"/>
  <c r="Y20" i="28"/>
  <c r="Y678" i="27"/>
  <c r="Y679" i="27" s="1"/>
  <c r="Y216" i="28" s="1"/>
  <c r="K76" i="41"/>
  <c r="AJ475" i="27"/>
  <c r="K80" i="41" s="1"/>
  <c r="AK470" i="27"/>
  <c r="Z251" i="27"/>
  <c r="Z449" i="27"/>
  <c r="Z492" i="27" s="1"/>
  <c r="Y596" i="27"/>
  <c r="U582" i="27"/>
  <c r="W625" i="27"/>
  <c r="R568" i="27"/>
  <c r="S100" i="27"/>
  <c r="S91" i="27"/>
  <c r="T93" i="27"/>
  <c r="T88" i="27"/>
  <c r="G18" i="37" s="1"/>
  <c r="AT238" i="31"/>
  <c r="N18" i="57" s="1"/>
  <c r="Z14" i="28"/>
  <c r="Z450" i="27"/>
  <c r="Z489" i="27"/>
  <c r="Z94" i="28" s="1"/>
  <c r="Y254" i="27"/>
  <c r="X310" i="27"/>
  <c r="X312" i="27" s="1"/>
  <c r="X13" i="28" s="1"/>
  <c r="X253" i="27"/>
  <c r="G12" i="40" s="1"/>
  <c r="X227" i="28"/>
  <c r="X16" i="32"/>
  <c r="V179" i="28"/>
  <c r="W10" i="28"/>
  <c r="AO87" i="28"/>
  <c r="AO380" i="27"/>
  <c r="AP86" i="28"/>
  <c r="AP198" i="28" s="1"/>
  <c r="Y16" i="32" l="1"/>
  <c r="H20" i="49"/>
  <c r="H10" i="44"/>
  <c r="H10" i="58"/>
  <c r="Z495" i="27"/>
  <c r="AK471" i="27"/>
  <c r="Z680" i="27"/>
  <c r="Z677" i="27" s="1"/>
  <c r="W623" i="27"/>
  <c r="X622" i="27" s="1"/>
  <c r="H55" i="43" s="1"/>
  <c r="Y597" i="27"/>
  <c r="U583" i="27"/>
  <c r="R569" i="27"/>
  <c r="T94" i="27"/>
  <c r="T89" i="27"/>
  <c r="G19" i="37" s="1"/>
  <c r="Y227" i="28"/>
  <c r="Y310" i="27"/>
  <c r="Y312" i="27" s="1"/>
  <c r="Y13" i="28" s="1"/>
  <c r="Y253" i="27"/>
  <c r="Z97" i="28"/>
  <c r="W178" i="28"/>
  <c r="X87" i="32"/>
  <c r="H8" i="60" s="1"/>
  <c r="X311" i="27"/>
  <c r="X313" i="27" s="1"/>
  <c r="AA446" i="27"/>
  <c r="AB445" i="27" s="1"/>
  <c r="I53" i="41" s="1"/>
  <c r="AA488" i="27"/>
  <c r="AA24" i="28" s="1"/>
  <c r="AQ86" i="28"/>
  <c r="AQ198" i="28" s="1"/>
  <c r="AP87" i="28"/>
  <c r="AP380" i="27"/>
  <c r="AK475" i="27" l="1"/>
  <c r="AL470" i="27"/>
  <c r="Y87" i="32"/>
  <c r="Z20" i="28"/>
  <c r="Z678" i="27"/>
  <c r="Z679" i="27" s="1"/>
  <c r="Z216" i="28" s="1"/>
  <c r="AA251" i="27"/>
  <c r="AA449" i="27"/>
  <c r="AA492" i="27" s="1"/>
  <c r="U581" i="27"/>
  <c r="V580" i="27" s="1"/>
  <c r="Y595" i="27"/>
  <c r="Z594" i="27" s="1"/>
  <c r="R567" i="27"/>
  <c r="S566" i="27" s="1"/>
  <c r="X624" i="27"/>
  <c r="H57" i="43" s="1"/>
  <c r="T95" i="27"/>
  <c r="T87" i="27"/>
  <c r="G17" i="37" s="1"/>
  <c r="X49" i="28"/>
  <c r="AR86" i="28"/>
  <c r="L6" i="46" s="1"/>
  <c r="AA14" i="28"/>
  <c r="AA450" i="27"/>
  <c r="AA489" i="27"/>
  <c r="AA94" i="28" s="1"/>
  <c r="X669" i="27"/>
  <c r="W179" i="28"/>
  <c r="Z254" i="27"/>
  <c r="Y311" i="27"/>
  <c r="Y313" i="27" s="1"/>
  <c r="X309" i="27"/>
  <c r="G47" i="40" s="1"/>
  <c r="AQ87" i="28"/>
  <c r="AQ380" i="27"/>
  <c r="AA495" i="27" l="1"/>
  <c r="Z16" i="32"/>
  <c r="AL471" i="27"/>
  <c r="H7" i="45"/>
  <c r="Z227" i="28"/>
  <c r="AA680" i="27"/>
  <c r="AA677" i="27" s="1"/>
  <c r="X625" i="27"/>
  <c r="H58" i="43" s="1"/>
  <c r="Z596" i="27"/>
  <c r="V582" i="27"/>
  <c r="S568" i="27"/>
  <c r="T98" i="27"/>
  <c r="T91" i="27" s="1"/>
  <c r="U82" i="27"/>
  <c r="H13" i="37" s="1"/>
  <c r="U93" i="27"/>
  <c r="U88" i="27"/>
  <c r="AR380" i="27"/>
  <c r="AR87" i="28"/>
  <c r="L7" i="46" s="1"/>
  <c r="AR198" i="28"/>
  <c r="B198" i="28" s="1"/>
  <c r="C378" i="23"/>
  <c r="X324" i="27"/>
  <c r="G50" i="40" s="1"/>
  <c r="X10" i="28"/>
  <c r="Y669" i="27"/>
  <c r="Z310" i="27"/>
  <c r="Z312" i="27" s="1"/>
  <c r="Z13" i="28" s="1"/>
  <c r="Z253" i="27"/>
  <c r="AA97" i="28"/>
  <c r="Y309" i="27"/>
  <c r="AB446" i="27"/>
  <c r="AB488" i="27"/>
  <c r="AB24" i="28" s="1"/>
  <c r="I21" i="44" s="1"/>
  <c r="I54" i="41" l="1"/>
  <c r="AC445" i="27"/>
  <c r="H7" i="44"/>
  <c r="Z87" i="32"/>
  <c r="AA20" i="28"/>
  <c r="AA678" i="27"/>
  <c r="AA679" i="27" s="1"/>
  <c r="AA216" i="28" s="1"/>
  <c r="AL475" i="27"/>
  <c r="AM470" i="27"/>
  <c r="AB251" i="27"/>
  <c r="H11" i="40" s="1"/>
  <c r="AB449" i="27"/>
  <c r="I57" i="41" s="1"/>
  <c r="V583" i="27"/>
  <c r="X623" i="27"/>
  <c r="Z597" i="27"/>
  <c r="S569" i="27"/>
  <c r="U96" i="27"/>
  <c r="T100" i="27"/>
  <c r="U89" i="27"/>
  <c r="U94" i="27"/>
  <c r="U87" i="27"/>
  <c r="C379" i="23"/>
  <c r="Y324" i="27"/>
  <c r="Y10" i="28"/>
  <c r="AA254" i="27"/>
  <c r="Z311" i="27"/>
  <c r="Z309" i="27" s="1"/>
  <c r="Z324" i="27" s="1"/>
  <c r="Y49" i="28"/>
  <c r="AB14" i="28"/>
  <c r="I11" i="44" s="1"/>
  <c r="AB450" i="27"/>
  <c r="AB489" i="27"/>
  <c r="AB94" i="28" s="1"/>
  <c r="H14" i="46" s="1"/>
  <c r="X178" i="28"/>
  <c r="H25" i="48" s="1"/>
  <c r="Y622" i="27" l="1"/>
  <c r="H56" i="43"/>
  <c r="AA227" i="28"/>
  <c r="AA87" i="32" s="1"/>
  <c r="AM471" i="27"/>
  <c r="AB495" i="27"/>
  <c r="I87" i="41" s="1"/>
  <c r="I58" i="41"/>
  <c r="AA16" i="32"/>
  <c r="Z313" i="27"/>
  <c r="Z49" i="28" s="1"/>
  <c r="V581" i="27"/>
  <c r="W580" i="27" s="1"/>
  <c r="S567" i="27"/>
  <c r="Z595" i="27"/>
  <c r="AA594" i="27" s="1"/>
  <c r="U95" i="27"/>
  <c r="V82" i="27"/>
  <c r="V96" i="27" s="1"/>
  <c r="U98" i="27"/>
  <c r="X179" i="28"/>
  <c r="AC446" i="27"/>
  <c r="AD445" i="27" s="1"/>
  <c r="AC488" i="27"/>
  <c r="AC24" i="28" s="1"/>
  <c r="AB492" i="27"/>
  <c r="Z669" i="27"/>
  <c r="AA253" i="27"/>
  <c r="AA310" i="27"/>
  <c r="AA312" i="27" s="1"/>
  <c r="AA13" i="28" s="1"/>
  <c r="Y178" i="28"/>
  <c r="AM475" i="27" l="1"/>
  <c r="AN470" i="27"/>
  <c r="AB680" i="27"/>
  <c r="AB677" i="27" s="1"/>
  <c r="AC251" i="27"/>
  <c r="AC449" i="27"/>
  <c r="AC492" i="27" s="1"/>
  <c r="T566" i="27"/>
  <c r="G11" i="43" s="1"/>
  <c r="AA596" i="27"/>
  <c r="W582" i="27"/>
  <c r="Y624" i="27"/>
  <c r="U100" i="27"/>
  <c r="U91" i="27"/>
  <c r="V93" i="27"/>
  <c r="V88" i="27"/>
  <c r="Y179" i="28"/>
  <c r="AA311" i="27"/>
  <c r="AA313" i="27" s="1"/>
  <c r="Z10" i="28"/>
  <c r="AC14" i="28"/>
  <c r="AC450" i="27"/>
  <c r="AC489" i="27"/>
  <c r="AC94" i="28" s="1"/>
  <c r="AB97" i="28"/>
  <c r="H17" i="46" s="1"/>
  <c r="AC495" i="27" l="1"/>
  <c r="AN471" i="27"/>
  <c r="L75" i="41"/>
  <c r="AB20" i="28"/>
  <c r="I17" i="44" s="1"/>
  <c r="AB678" i="27"/>
  <c r="AB679" i="27" s="1"/>
  <c r="AB216" i="28" s="1"/>
  <c r="I9" i="49" s="1"/>
  <c r="AC680" i="27"/>
  <c r="AC677" i="27" s="1"/>
  <c r="T568" i="27"/>
  <c r="G13" i="43" s="1"/>
  <c r="Y625" i="27"/>
  <c r="W583" i="27"/>
  <c r="AA597" i="27"/>
  <c r="V89" i="27"/>
  <c r="V94" i="27"/>
  <c r="V87" i="27"/>
  <c r="AD446" i="27"/>
  <c r="AE445" i="27" s="1"/>
  <c r="AD488" i="27"/>
  <c r="AD24" i="28" s="1"/>
  <c r="Z178" i="28"/>
  <c r="AA49" i="28"/>
  <c r="AA669" i="27"/>
  <c r="AB254" i="27"/>
  <c r="H13" i="40" s="1"/>
  <c r="AC97" i="28"/>
  <c r="AA309" i="27"/>
  <c r="AC20" i="28" l="1"/>
  <c r="AC678" i="27"/>
  <c r="L76" i="41"/>
  <c r="AN475" i="27"/>
  <c r="L80" i="41" s="1"/>
  <c r="AO470" i="27"/>
  <c r="AC679" i="27"/>
  <c r="AC216" i="28" s="1"/>
  <c r="AD251" i="27"/>
  <c r="AD449" i="27"/>
  <c r="AD492" i="27" s="1"/>
  <c r="T569" i="27"/>
  <c r="G14" i="43" s="1"/>
  <c r="Y623" i="27"/>
  <c r="Z622" i="27" s="1"/>
  <c r="T567" i="27"/>
  <c r="AA595" i="27"/>
  <c r="AB594" i="27" s="1"/>
  <c r="I33" i="43" s="1"/>
  <c r="W581" i="27"/>
  <c r="X580" i="27" s="1"/>
  <c r="H22" i="43" s="1"/>
  <c r="V95" i="27"/>
  <c r="V98" i="27"/>
  <c r="W82" i="27"/>
  <c r="W96" i="27" s="1"/>
  <c r="AB227" i="28"/>
  <c r="I20" i="49" s="1"/>
  <c r="AB16" i="32"/>
  <c r="I10" i="58" s="1"/>
  <c r="AA324" i="27"/>
  <c r="AC254" i="27"/>
  <c r="AB253" i="27"/>
  <c r="H12" i="40" s="1"/>
  <c r="AB310" i="27"/>
  <c r="AB312" i="27" s="1"/>
  <c r="AB13" i="28" s="1"/>
  <c r="I10" i="44" s="1"/>
  <c r="AA10" i="28"/>
  <c r="Z179" i="28"/>
  <c r="AD14" i="28"/>
  <c r="AD450" i="27"/>
  <c r="AD489" i="27"/>
  <c r="AD94" i="28" s="1"/>
  <c r="AO471" i="27" l="1"/>
  <c r="AD495" i="27"/>
  <c r="U566" i="27"/>
  <c r="U568" i="27" s="1"/>
  <c r="G12" i="43"/>
  <c r="AD680" i="27"/>
  <c r="AD677" i="27" s="1"/>
  <c r="X582" i="27"/>
  <c r="H24" i="43" s="1"/>
  <c r="AB596" i="27"/>
  <c r="I35" i="43" s="1"/>
  <c r="Z624" i="27"/>
  <c r="V100" i="27"/>
  <c r="V91" i="27"/>
  <c r="W93" i="27"/>
  <c r="W88" i="27"/>
  <c r="AC253" i="27"/>
  <c r="AC310" i="27"/>
  <c r="AC312" i="27" s="1"/>
  <c r="AC13" i="28" s="1"/>
  <c r="AB87" i="32"/>
  <c r="I8" i="60" s="1"/>
  <c r="AD97" i="28"/>
  <c r="AE446" i="27"/>
  <c r="AF445" i="27" s="1"/>
  <c r="J53" i="41" s="1"/>
  <c r="AE488" i="27"/>
  <c r="AE24" i="28" s="1"/>
  <c r="AA178" i="28"/>
  <c r="AB311" i="27"/>
  <c r="AB313" i="27" s="1"/>
  <c r="AC227" i="28"/>
  <c r="AC16" i="32"/>
  <c r="AO475" i="27" l="1"/>
  <c r="AP470" i="27"/>
  <c r="AD20" i="28"/>
  <c r="AD678" i="27"/>
  <c r="AD679" i="27" s="1"/>
  <c r="AD216" i="28" s="1"/>
  <c r="AE251" i="27"/>
  <c r="AE449" i="27"/>
  <c r="AE492" i="27" s="1"/>
  <c r="AB597" i="27"/>
  <c r="I36" i="43" s="1"/>
  <c r="Z625" i="27"/>
  <c r="X583" i="27"/>
  <c r="H25" i="43" s="1"/>
  <c r="U569" i="27"/>
  <c r="W94" i="27"/>
  <c r="W89" i="27"/>
  <c r="AB669" i="27"/>
  <c r="AA179" i="28"/>
  <c r="AE14" i="28"/>
  <c r="AE450" i="27"/>
  <c r="AE489" i="27"/>
  <c r="AE94" i="28" s="1"/>
  <c r="AD254" i="27"/>
  <c r="AC311" i="27"/>
  <c r="AC309" i="27" s="1"/>
  <c r="AB309" i="27"/>
  <c r="H47" i="40" s="1"/>
  <c r="AC87" i="32"/>
  <c r="AE495" i="27" l="1"/>
  <c r="AD227" i="28"/>
  <c r="AP471" i="27"/>
  <c r="AD16" i="32"/>
  <c r="AE680" i="27"/>
  <c r="AE677" i="27" s="1"/>
  <c r="AC313" i="27"/>
  <c r="AC49" i="28" s="1"/>
  <c r="AB595" i="27"/>
  <c r="X581" i="27"/>
  <c r="Z623" i="27"/>
  <c r="AA622" i="27" s="1"/>
  <c r="U567" i="27"/>
  <c r="V566" i="27" s="1"/>
  <c r="W87" i="27"/>
  <c r="W95" i="27"/>
  <c r="AC324" i="27"/>
  <c r="AE97" i="28"/>
  <c r="AF446" i="27"/>
  <c r="AF488" i="27"/>
  <c r="AF24" i="28" s="1"/>
  <c r="J21" i="44" s="1"/>
  <c r="AB49" i="28"/>
  <c r="I7" i="45" s="1"/>
  <c r="AB10" i="28"/>
  <c r="I7" i="44" s="1"/>
  <c r="AB324" i="27"/>
  <c r="H50" i="40" s="1"/>
  <c r="AC669" i="27"/>
  <c r="AD253" i="27"/>
  <c r="AD310" i="27"/>
  <c r="AD312" i="27" s="1"/>
  <c r="AD13" i="28" s="1"/>
  <c r="J54" i="41" l="1"/>
  <c r="AG445" i="27"/>
  <c r="AC594" i="27"/>
  <c r="I34" i="43"/>
  <c r="AE20" i="28"/>
  <c r="AE678" i="27"/>
  <c r="Y580" i="27"/>
  <c r="H23" i="43"/>
  <c r="AQ470" i="27"/>
  <c r="AP475" i="27"/>
  <c r="AD87" i="32"/>
  <c r="AE679" i="27"/>
  <c r="AE216" i="28" s="1"/>
  <c r="AF251" i="27"/>
  <c r="I11" i="40" s="1"/>
  <c r="AF449" i="27"/>
  <c r="J57" i="41" s="1"/>
  <c r="AA624" i="27"/>
  <c r="X82" i="27"/>
  <c r="X96" i="27" s="1"/>
  <c r="W98" i="27"/>
  <c r="W100" i="27" s="1"/>
  <c r="AF14" i="28"/>
  <c r="J11" i="44" s="1"/>
  <c r="AF450" i="27"/>
  <c r="AF489" i="27"/>
  <c r="AF94" i="28" s="1"/>
  <c r="I14" i="46" s="1"/>
  <c r="AE254" i="27"/>
  <c r="AD311" i="27"/>
  <c r="AD313" i="27" s="1"/>
  <c r="AB178" i="28"/>
  <c r="I25" i="48" s="1"/>
  <c r="AC10" i="28"/>
  <c r="AF495" i="27" l="1"/>
  <c r="J87" i="41" s="1"/>
  <c r="J58" i="41"/>
  <c r="AQ471" i="27"/>
  <c r="AE227" i="28"/>
  <c r="AE87" i="32" s="1"/>
  <c r="AE16" i="32"/>
  <c r="AA625" i="27"/>
  <c r="AC596" i="27"/>
  <c r="Y582" i="27"/>
  <c r="V568" i="27"/>
  <c r="W91" i="27"/>
  <c r="X93" i="27"/>
  <c r="X88" i="27"/>
  <c r="H18" i="37" s="1"/>
  <c r="AD669" i="27"/>
  <c r="AF492" i="27"/>
  <c r="AG446" i="27"/>
  <c r="AH445" i="27" s="1"/>
  <c r="AG488" i="27"/>
  <c r="AG24" i="28" s="1"/>
  <c r="AD309" i="27"/>
  <c r="AC178" i="28"/>
  <c r="AB179" i="28"/>
  <c r="I26" i="48" s="1"/>
  <c r="AE253" i="27"/>
  <c r="AE310" i="27"/>
  <c r="AE312" i="27" s="1"/>
  <c r="AE13" i="28" s="1"/>
  <c r="AQ475" i="27" l="1"/>
  <c r="AR470" i="27"/>
  <c r="AF680" i="27"/>
  <c r="AF677" i="27" s="1"/>
  <c r="AG251" i="27"/>
  <c r="AG449" i="27"/>
  <c r="AG492" i="27" s="1"/>
  <c r="AC597" i="27"/>
  <c r="Y583" i="27"/>
  <c r="AA623" i="27"/>
  <c r="AB622" i="27" s="1"/>
  <c r="I55" i="43" s="1"/>
  <c r="V569" i="27"/>
  <c r="X94" i="27"/>
  <c r="X89" i="27"/>
  <c r="H19" i="37" s="1"/>
  <c r="AE311" i="27"/>
  <c r="AE309" i="27" s="1"/>
  <c r="AE324" i="27" s="1"/>
  <c r="AG14" i="28"/>
  <c r="AG450" i="27"/>
  <c r="AG489" i="27"/>
  <c r="AG94" i="28" s="1"/>
  <c r="AD49" i="28"/>
  <c r="AD10" i="28"/>
  <c r="AF97" i="28"/>
  <c r="I17" i="46" s="1"/>
  <c r="AC179" i="28"/>
  <c r="AD324" i="27"/>
  <c r="AF20" i="28" l="1"/>
  <c r="J17" i="44" s="1"/>
  <c r="AF678" i="27"/>
  <c r="AF679" i="27" s="1"/>
  <c r="AF216" i="28" s="1"/>
  <c r="J9" i="49" s="1"/>
  <c r="AG495" i="27"/>
  <c r="AR471" i="27"/>
  <c r="AT470" i="27"/>
  <c r="N75" i="41" s="1"/>
  <c r="M75" i="41"/>
  <c r="AG680" i="27"/>
  <c r="AG677" i="27" s="1"/>
  <c r="AE313" i="27"/>
  <c r="AE49" i="28" s="1"/>
  <c r="Y581" i="27"/>
  <c r="Z580" i="27" s="1"/>
  <c r="AC595" i="27"/>
  <c r="AD594" i="27" s="1"/>
  <c r="AB624" i="27"/>
  <c r="I57" i="43" s="1"/>
  <c r="V567" i="27"/>
  <c r="W566" i="27" s="1"/>
  <c r="X87" i="27"/>
  <c r="H17" i="37" s="1"/>
  <c r="X95" i="27"/>
  <c r="AG97" i="28"/>
  <c r="AH446" i="27"/>
  <c r="AI445" i="27" s="1"/>
  <c r="AH488" i="27"/>
  <c r="AH24" i="28" s="1"/>
  <c r="AE669" i="27"/>
  <c r="AF254" i="27"/>
  <c r="I13" i="40" s="1"/>
  <c r="AD178" i="28"/>
  <c r="AG20" i="28" l="1"/>
  <c r="AG678" i="27"/>
  <c r="AG679" i="27" s="1"/>
  <c r="AG216" i="28" s="1"/>
  <c r="M76" i="41"/>
  <c r="AR475" i="27"/>
  <c r="M80" i="41" s="1"/>
  <c r="AH251" i="27"/>
  <c r="AH449" i="27"/>
  <c r="AH492" i="27" s="1"/>
  <c r="AB625" i="27"/>
  <c r="I58" i="43" s="1"/>
  <c r="AD596" i="27"/>
  <c r="Z582" i="27"/>
  <c r="X98" i="27"/>
  <c r="Y82" i="27"/>
  <c r="I13" i="37" s="1"/>
  <c r="AD179" i="28"/>
  <c r="AF253" i="27"/>
  <c r="I12" i="40" s="1"/>
  <c r="AF310" i="27"/>
  <c r="AF312" i="27" s="1"/>
  <c r="AF13" i="28" s="1"/>
  <c r="J10" i="44" s="1"/>
  <c r="AE10" i="28"/>
  <c r="AH14" i="28"/>
  <c r="AH450" i="27"/>
  <c r="AH489" i="27"/>
  <c r="AH94" i="28" s="1"/>
  <c r="AG254" i="27"/>
  <c r="AF16" i="32"/>
  <c r="J10" i="58" s="1"/>
  <c r="AF227" i="28"/>
  <c r="J20" i="49" s="1"/>
  <c r="AH495" i="27" l="1"/>
  <c r="AG16" i="32"/>
  <c r="AH680" i="27"/>
  <c r="AH677" i="27" s="1"/>
  <c r="Z583" i="27"/>
  <c r="AD597" i="27"/>
  <c r="AB623" i="27"/>
  <c r="W568" i="27"/>
  <c r="Y96" i="27"/>
  <c r="X100" i="27"/>
  <c r="X91" i="27"/>
  <c r="Y93" i="27"/>
  <c r="Y88" i="27"/>
  <c r="AG227" i="28"/>
  <c r="AF87" i="32"/>
  <c r="J8" i="60" s="1"/>
  <c r="AF311" i="27"/>
  <c r="AF313" i="27" s="1"/>
  <c r="AG310" i="27"/>
  <c r="AG312" i="27" s="1"/>
  <c r="AG13" i="28" s="1"/>
  <c r="AG253" i="27"/>
  <c r="AH97" i="28"/>
  <c r="AI446" i="27"/>
  <c r="AJ445" i="27" s="1"/>
  <c r="K53" i="41" s="1"/>
  <c r="AI488" i="27"/>
  <c r="AI24" i="28" s="1"/>
  <c r="AE178" i="28"/>
  <c r="AC622" i="27" l="1"/>
  <c r="I56" i="43"/>
  <c r="AG87" i="32"/>
  <c r="AH20" i="28"/>
  <c r="AH678" i="27"/>
  <c r="AH679" i="27" s="1"/>
  <c r="AH216" i="28" s="1"/>
  <c r="AI251" i="27"/>
  <c r="AI449" i="27"/>
  <c r="AI492" i="27" s="1"/>
  <c r="AD595" i="27"/>
  <c r="AE594" i="27" s="1"/>
  <c r="Z581" i="27"/>
  <c r="AA580" i="27" s="1"/>
  <c r="W569" i="27"/>
  <c r="Y89" i="27"/>
  <c r="Y94" i="27"/>
  <c r="Y87" i="27"/>
  <c r="AF309" i="27"/>
  <c r="AE179" i="28"/>
  <c r="AI14" i="28"/>
  <c r="AI450" i="27"/>
  <c r="AI489" i="27"/>
  <c r="AI94" i="28" s="1"/>
  <c r="AH254" i="27"/>
  <c r="AF49" i="28"/>
  <c r="J7" i="45" s="1"/>
  <c r="AG311" i="27"/>
  <c r="AG309" i="27" s="1"/>
  <c r="AF669" i="27"/>
  <c r="AF324" i="27" l="1"/>
  <c r="I50" i="40" s="1"/>
  <c r="I47" i="40"/>
  <c r="AI495" i="27"/>
  <c r="AH16" i="32"/>
  <c r="AH227" i="28"/>
  <c r="AI680" i="27"/>
  <c r="AI677" i="27" s="1"/>
  <c r="AG313" i="27"/>
  <c r="AA582" i="27"/>
  <c r="AE596" i="27"/>
  <c r="AC624" i="27"/>
  <c r="W567" i="27"/>
  <c r="X566" i="27" s="1"/>
  <c r="H11" i="43" s="1"/>
  <c r="Y95" i="27"/>
  <c r="Y98" i="27"/>
  <c r="Z82" i="27"/>
  <c r="Z96" i="27" s="1"/>
  <c r="AG324" i="27"/>
  <c r="AH310" i="27"/>
  <c r="AH312" i="27" s="1"/>
  <c r="AH13" i="28" s="1"/>
  <c r="AH253" i="27"/>
  <c r="AI97" i="28"/>
  <c r="AF10" i="28"/>
  <c r="J7" i="44" s="1"/>
  <c r="AG669" i="27"/>
  <c r="AJ446" i="27"/>
  <c r="AJ488" i="27"/>
  <c r="AJ24" i="28" s="1"/>
  <c r="K21" i="44" s="1"/>
  <c r="AI20" i="28" l="1"/>
  <c r="AI678" i="27"/>
  <c r="AI679" i="27" s="1"/>
  <c r="AI216" i="28" s="1"/>
  <c r="K54" i="41"/>
  <c r="AK445" i="27"/>
  <c r="AH87" i="32"/>
  <c r="AJ251" i="27"/>
  <c r="J11" i="40" s="1"/>
  <c r="AJ449" i="27"/>
  <c r="K57" i="41" s="1"/>
  <c r="AC625" i="27"/>
  <c r="AE597" i="27"/>
  <c r="AA583" i="27"/>
  <c r="Y100" i="27"/>
  <c r="Y91" i="27"/>
  <c r="Z93" i="27"/>
  <c r="Z88" i="27"/>
  <c r="AJ14" i="28"/>
  <c r="K11" i="44" s="1"/>
  <c r="AJ450" i="27"/>
  <c r="AJ489" i="27"/>
  <c r="AJ94" i="28" s="1"/>
  <c r="J14" i="46" s="1"/>
  <c r="AI254" i="27"/>
  <c r="AH311" i="27"/>
  <c r="AH309" i="27" s="1"/>
  <c r="AG49" i="28"/>
  <c r="AG10" i="28"/>
  <c r="AF178" i="28"/>
  <c r="J25" i="48" s="1"/>
  <c r="AJ495" i="27" l="1"/>
  <c r="K87" i="41" s="1"/>
  <c r="K58" i="41"/>
  <c r="AI227" i="28"/>
  <c r="AI87" i="32" s="1"/>
  <c r="AI16" i="32"/>
  <c r="AH313" i="27"/>
  <c r="AH49" i="28" s="1"/>
  <c r="AA581" i="27"/>
  <c r="AB580" i="27" s="1"/>
  <c r="I22" i="43" s="1"/>
  <c r="AE595" i="27"/>
  <c r="AF594" i="27" s="1"/>
  <c r="J33" i="43" s="1"/>
  <c r="AC623" i="27"/>
  <c r="AD622" i="27" s="1"/>
  <c r="X568" i="27"/>
  <c r="H13" i="43" s="1"/>
  <c r="Z89" i="27"/>
  <c r="Z94" i="27"/>
  <c r="Z87" i="27"/>
  <c r="AH324" i="27"/>
  <c r="AF179" i="28"/>
  <c r="J26" i="48" s="1"/>
  <c r="AJ492" i="27"/>
  <c r="AG178" i="28"/>
  <c r="AH669" i="27"/>
  <c r="AI310" i="27"/>
  <c r="AI312" i="27" s="1"/>
  <c r="AI13" i="28" s="1"/>
  <c r="AI253" i="27"/>
  <c r="AK446" i="27"/>
  <c r="AL445" i="27" s="1"/>
  <c r="AK488" i="27"/>
  <c r="AK24" i="28" s="1"/>
  <c r="AJ680" i="27" l="1"/>
  <c r="AJ677" i="27" s="1"/>
  <c r="AK251" i="27"/>
  <c r="AK449" i="27"/>
  <c r="AK492" i="27" s="1"/>
  <c r="AD624" i="27"/>
  <c r="AF596" i="27"/>
  <c r="J35" i="43" s="1"/>
  <c r="AB582" i="27"/>
  <c r="I24" i="43" s="1"/>
  <c r="X569" i="27"/>
  <c r="H14" i="43" s="1"/>
  <c r="Z95" i="27"/>
  <c r="AA82" i="27"/>
  <c r="AA96" i="27" s="1"/>
  <c r="Z98" i="27"/>
  <c r="Z100" i="27" s="1"/>
  <c r="AG179" i="28"/>
  <c r="AH10" i="28"/>
  <c r="AK14" i="28"/>
  <c r="AK450" i="27"/>
  <c r="AK489" i="27"/>
  <c r="AK94" i="28" s="1"/>
  <c r="AI311" i="27"/>
  <c r="AI313" i="27" s="1"/>
  <c r="AJ97" i="28"/>
  <c r="J17" i="46" s="1"/>
  <c r="AK495" i="27" l="1"/>
  <c r="AJ20" i="28"/>
  <c r="K17" i="44" s="1"/>
  <c r="AJ678" i="27"/>
  <c r="AK680" i="27"/>
  <c r="AK677" i="27" s="1"/>
  <c r="AD625" i="27"/>
  <c r="AB583" i="27"/>
  <c r="I25" i="43" s="1"/>
  <c r="AF597" i="27"/>
  <c r="J36" i="43" s="1"/>
  <c r="X567" i="27"/>
  <c r="Z91" i="27"/>
  <c r="AA93" i="27"/>
  <c r="AA88" i="27"/>
  <c r="AI49" i="28"/>
  <c r="AJ679" i="27"/>
  <c r="AJ216" i="28" s="1"/>
  <c r="K9" i="49" s="1"/>
  <c r="AJ254" i="27"/>
  <c r="J13" i="40" s="1"/>
  <c r="AI669" i="27"/>
  <c r="AK97" i="28"/>
  <c r="AL446" i="27"/>
  <c r="AM445" i="27" s="1"/>
  <c r="AL488" i="27"/>
  <c r="AL24" i="28" s="1"/>
  <c r="AH178" i="28"/>
  <c r="AI309" i="27"/>
  <c r="Y566" i="27" l="1"/>
  <c r="H12" i="43"/>
  <c r="AK20" i="28"/>
  <c r="AK678" i="27"/>
  <c r="AK679" i="27" s="1"/>
  <c r="AK216" i="28" s="1"/>
  <c r="AL251" i="27"/>
  <c r="AL449" i="27"/>
  <c r="AL492" i="27" s="1"/>
  <c r="AF595" i="27"/>
  <c r="AB581" i="27"/>
  <c r="AD623" i="27"/>
  <c r="AE622" i="27" s="1"/>
  <c r="AA94" i="27"/>
  <c r="AA89" i="27"/>
  <c r="AH179" i="28"/>
  <c r="AJ16" i="32"/>
  <c r="K10" i="58" s="1"/>
  <c r="AJ227" i="28"/>
  <c r="K20" i="49" s="1"/>
  <c r="AI324" i="27"/>
  <c r="AI10" i="28"/>
  <c r="AL14" i="28"/>
  <c r="AL450" i="27"/>
  <c r="AL489" i="27"/>
  <c r="AL94" i="28" s="1"/>
  <c r="AK254" i="27"/>
  <c r="AJ310" i="27"/>
  <c r="AJ312" i="27" s="1"/>
  <c r="AJ13" i="28" s="1"/>
  <c r="K10" i="44" s="1"/>
  <c r="AJ253" i="27"/>
  <c r="J12" i="40" s="1"/>
  <c r="AG594" i="27" l="1"/>
  <c r="J34" i="43"/>
  <c r="AL495" i="27"/>
  <c r="AC580" i="27"/>
  <c r="I23" i="43"/>
  <c r="AK227" i="28"/>
  <c r="AK87" i="32" s="1"/>
  <c r="AL680" i="27"/>
  <c r="AL677" i="27" s="1"/>
  <c r="AE624" i="27"/>
  <c r="Y568" i="27"/>
  <c r="AA87" i="27"/>
  <c r="AB82" i="27" s="1"/>
  <c r="AB96" i="27" s="1"/>
  <c r="AA95" i="27"/>
  <c r="AK16" i="32"/>
  <c r="AJ311" i="27"/>
  <c r="AJ313" i="27" s="1"/>
  <c r="AK310" i="27"/>
  <c r="AK312" i="27" s="1"/>
  <c r="AK13" i="28" s="1"/>
  <c r="AK253" i="27"/>
  <c r="AL97" i="28"/>
  <c r="AM446" i="27"/>
  <c r="AN445" i="27" s="1"/>
  <c r="L53" i="41" s="1"/>
  <c r="AM488" i="27"/>
  <c r="AM24" i="28" s="1"/>
  <c r="AI178" i="28"/>
  <c r="AJ87" i="32"/>
  <c r="K8" i="60" s="1"/>
  <c r="AL20" i="28" l="1"/>
  <c r="AL678" i="27"/>
  <c r="AL679" i="27" s="1"/>
  <c r="AL216" i="28" s="1"/>
  <c r="AM251" i="27"/>
  <c r="AM449" i="27"/>
  <c r="AM492" i="27" s="1"/>
  <c r="AG596" i="27"/>
  <c r="AC582" i="27"/>
  <c r="AE625" i="27"/>
  <c r="Y569" i="27"/>
  <c r="AA98" i="27"/>
  <c r="AA100" i="27" s="1"/>
  <c r="AB93" i="27"/>
  <c r="AB88" i="27"/>
  <c r="I18" i="37" s="1"/>
  <c r="AI179" i="28"/>
  <c r="AM14" i="28"/>
  <c r="AM450" i="27"/>
  <c r="AM489" i="27"/>
  <c r="AM94" i="28" s="1"/>
  <c r="AK311" i="27"/>
  <c r="AK313" i="27" s="1"/>
  <c r="AJ669" i="27"/>
  <c r="AL254" i="27"/>
  <c r="AJ309" i="27"/>
  <c r="J47" i="40" s="1"/>
  <c r="AM495" i="27" l="1"/>
  <c r="AL227" i="28"/>
  <c r="AL16" i="32"/>
  <c r="AM680" i="27"/>
  <c r="AM677" i="27" s="1"/>
  <c r="AC583" i="27"/>
  <c r="AG597" i="27"/>
  <c r="AE623" i="27"/>
  <c r="AF622" i="27" s="1"/>
  <c r="J55" i="43" s="1"/>
  <c r="Y567" i="27"/>
  <c r="Z566" i="27" s="1"/>
  <c r="AA91" i="27"/>
  <c r="AB94" i="27"/>
  <c r="AB89" i="27"/>
  <c r="I19" i="37" s="1"/>
  <c r="AK309" i="27"/>
  <c r="AJ49" i="28"/>
  <c r="K7" i="45" s="1"/>
  <c r="AL87" i="32"/>
  <c r="AL253" i="27"/>
  <c r="AL310" i="27"/>
  <c r="AL312" i="27" s="1"/>
  <c r="AL13" i="28" s="1"/>
  <c r="AJ10" i="28"/>
  <c r="K7" i="44" s="1"/>
  <c r="AK669" i="27"/>
  <c r="AM97" i="28"/>
  <c r="AJ324" i="27"/>
  <c r="J50" i="40" s="1"/>
  <c r="AK49" i="28"/>
  <c r="AN446" i="27"/>
  <c r="AN488" i="27"/>
  <c r="AN24" i="28" s="1"/>
  <c r="L21" i="44" s="1"/>
  <c r="L54" i="41" l="1"/>
  <c r="AO445" i="27"/>
  <c r="AO446" i="27" s="1"/>
  <c r="AP445" i="27" s="1"/>
  <c r="AK324" i="27"/>
  <c r="AM20" i="28"/>
  <c r="AM678" i="27"/>
  <c r="AM679" i="27" s="1"/>
  <c r="AM216" i="28" s="1"/>
  <c r="AN251" i="27"/>
  <c r="K11" i="40" s="1"/>
  <c r="AN449" i="27"/>
  <c r="L57" i="41" s="1"/>
  <c r="AG595" i="27"/>
  <c r="AH594" i="27" s="1"/>
  <c r="AC581" i="27"/>
  <c r="AD580" i="27" s="1"/>
  <c r="AF624" i="27"/>
  <c r="J57" i="43" s="1"/>
  <c r="AB87" i="27"/>
  <c r="I17" i="37" s="1"/>
  <c r="AB95" i="27"/>
  <c r="AM254" i="27"/>
  <c r="AJ178" i="28"/>
  <c r="K25" i="48" s="1"/>
  <c r="AN14" i="28"/>
  <c r="L11" i="44" s="1"/>
  <c r="AN450" i="27"/>
  <c r="AN489" i="27"/>
  <c r="AN94" i="28" s="1"/>
  <c r="K14" i="46" s="1"/>
  <c r="AK10" i="28"/>
  <c r="AL311" i="27"/>
  <c r="AL313" i="27" s="1"/>
  <c r="AN495" i="27" l="1"/>
  <c r="L87" i="41" s="1"/>
  <c r="L58" i="41"/>
  <c r="AO251" i="27"/>
  <c r="AO449" i="27"/>
  <c r="AO492" i="27" s="1"/>
  <c r="AF625" i="27"/>
  <c r="J58" i="43" s="1"/>
  <c r="AD582" i="27"/>
  <c r="AH596" i="27"/>
  <c r="Z568" i="27"/>
  <c r="AB98" i="27"/>
  <c r="AB100" i="27" s="1"/>
  <c r="AC82" i="27"/>
  <c r="J13" i="37" s="1"/>
  <c r="AC93" i="27"/>
  <c r="AC88" i="27"/>
  <c r="AO14" i="28"/>
  <c r="AO450" i="27"/>
  <c r="AO489" i="27"/>
  <c r="AO94" i="28" s="1"/>
  <c r="AO488" i="27"/>
  <c r="AO24" i="28" s="1"/>
  <c r="AL669" i="27"/>
  <c r="AK178" i="28"/>
  <c r="AN492" i="27"/>
  <c r="AL309" i="27"/>
  <c r="AJ179" i="28"/>
  <c r="K26" i="48" s="1"/>
  <c r="AM310" i="27"/>
  <c r="AM312" i="27" s="1"/>
  <c r="AM13" i="28" s="1"/>
  <c r="AM253" i="27"/>
  <c r="AM16" i="32"/>
  <c r="AM227" i="28"/>
  <c r="AO495" i="27" l="1"/>
  <c r="AO680" i="27"/>
  <c r="AO677" i="27" s="1"/>
  <c r="AN680" i="27"/>
  <c r="AN677" i="27" s="1"/>
  <c r="AH597" i="27"/>
  <c r="AD583" i="27"/>
  <c r="AF623" i="27"/>
  <c r="Z569" i="27"/>
  <c r="AC96" i="27"/>
  <c r="AB91" i="27"/>
  <c r="AC89" i="27"/>
  <c r="AC94" i="27"/>
  <c r="AC87" i="27"/>
  <c r="AO97" i="28"/>
  <c r="AM311" i="27"/>
  <c r="AM309" i="27" s="1"/>
  <c r="AM324" i="27" s="1"/>
  <c r="AL324" i="27"/>
  <c r="AP446" i="27"/>
  <c r="AQ445" i="27" s="1"/>
  <c r="AP488" i="27"/>
  <c r="AP24" i="28" s="1"/>
  <c r="AM87" i="32"/>
  <c r="AL49" i="28"/>
  <c r="AN97" i="28"/>
  <c r="K17" i="46" s="1"/>
  <c r="AL10" i="28"/>
  <c r="AT9" i="28"/>
  <c r="AG622" i="27" l="1"/>
  <c r="J56" i="43"/>
  <c r="AO20" i="28"/>
  <c r="AO678" i="27"/>
  <c r="AN20" i="28"/>
  <c r="L17" i="44" s="1"/>
  <c r="AN678" i="27"/>
  <c r="AM313" i="27"/>
  <c r="AM49" i="28" s="1"/>
  <c r="AP251" i="27"/>
  <c r="AP449" i="27"/>
  <c r="AP492" i="27" s="1"/>
  <c r="Z567" i="27"/>
  <c r="AA566" i="27" s="1"/>
  <c r="AD581" i="27"/>
  <c r="AE580" i="27" s="1"/>
  <c r="AH595" i="27"/>
  <c r="AI594" i="27" s="1"/>
  <c r="AD82" i="27"/>
  <c r="AD96" i="27" s="1"/>
  <c r="AC98" i="27"/>
  <c r="AC95" i="27"/>
  <c r="C296" i="23"/>
  <c r="B6" i="44"/>
  <c r="AL178" i="28"/>
  <c r="AN254" i="27"/>
  <c r="K13" i="40" s="1"/>
  <c r="AP14" i="28"/>
  <c r="AP450" i="27"/>
  <c r="AP489" i="27"/>
  <c r="AP94" i="28" s="1"/>
  <c r="D296" i="23"/>
  <c r="N6" i="44"/>
  <c r="AO254" i="27"/>
  <c r="AM669" i="27"/>
  <c r="AT30" i="28"/>
  <c r="N27" i="44" s="1"/>
  <c r="B27" i="44"/>
  <c r="AP495" i="27" l="1"/>
  <c r="AP680" i="27"/>
  <c r="AP677" i="27" s="1"/>
  <c r="AA568" i="27"/>
  <c r="AA569" i="27" s="1"/>
  <c r="AI596" i="27"/>
  <c r="AE582" i="27"/>
  <c r="AG624" i="27"/>
  <c r="AC100" i="27"/>
  <c r="AC91" i="27"/>
  <c r="AD93" i="27"/>
  <c r="AD88" i="27"/>
  <c r="AO253" i="27"/>
  <c r="AO310" i="27"/>
  <c r="AO312" i="27" s="1"/>
  <c r="AO13" i="28" s="1"/>
  <c r="AQ446" i="27"/>
  <c r="AR445" i="27" s="1"/>
  <c r="M53" i="41" s="1"/>
  <c r="AQ488" i="27"/>
  <c r="AQ24" i="28" s="1"/>
  <c r="AM10" i="28"/>
  <c r="AN679" i="27"/>
  <c r="AN216" i="28" s="1"/>
  <c r="L9" i="49" s="1"/>
  <c r="AP97" i="28"/>
  <c r="AN310" i="27"/>
  <c r="AN312" i="27" s="1"/>
  <c r="AN13" i="28" s="1"/>
  <c r="L10" i="44" s="1"/>
  <c r="AN253" i="27"/>
  <c r="K12" i="40" s="1"/>
  <c r="AL179" i="28"/>
  <c r="AP20" i="28" l="1"/>
  <c r="AP678" i="27"/>
  <c r="AP679" i="27" s="1"/>
  <c r="AP216" i="28" s="1"/>
  <c r="AQ251" i="27"/>
  <c r="AQ449" i="27"/>
  <c r="AQ492" i="27" s="1"/>
  <c r="AG625" i="27"/>
  <c r="AI597" i="27"/>
  <c r="AE583" i="27"/>
  <c r="AA567" i="27"/>
  <c r="AB566" i="27" s="1"/>
  <c r="I11" i="43" s="1"/>
  <c r="AD89" i="27"/>
  <c r="AD94" i="27"/>
  <c r="AD87" i="27"/>
  <c r="AO679" i="27"/>
  <c r="AO216" i="28" s="1"/>
  <c r="AP254" i="27"/>
  <c r="AN16" i="32"/>
  <c r="L10" i="58" s="1"/>
  <c r="AN227" i="28"/>
  <c r="L20" i="49" s="1"/>
  <c r="AM178" i="28"/>
  <c r="AN311" i="27"/>
  <c r="AN313" i="27" s="1"/>
  <c r="AQ14" i="28"/>
  <c r="AQ450" i="27"/>
  <c r="AQ489" i="27"/>
  <c r="AQ94" i="28" s="1"/>
  <c r="AO311" i="27"/>
  <c r="AO313" i="27" s="1"/>
  <c r="AQ495" i="27" l="1"/>
  <c r="AO227" i="28"/>
  <c r="AO87" i="32" s="1"/>
  <c r="AQ680" i="27"/>
  <c r="AQ677" i="27" s="1"/>
  <c r="AG623" i="27"/>
  <c r="AH622" i="27" s="1"/>
  <c r="AE581" i="27"/>
  <c r="AF580" i="27" s="1"/>
  <c r="J22" i="43" s="1"/>
  <c r="AI595" i="27"/>
  <c r="AJ594" i="27" s="1"/>
  <c r="K33" i="43" s="1"/>
  <c r="AE82" i="27"/>
  <c r="AE96" i="27" s="1"/>
  <c r="AD98" i="27"/>
  <c r="AD95" i="27"/>
  <c r="AO16" i="32"/>
  <c r="AP227" i="28"/>
  <c r="AP87" i="32" s="1"/>
  <c r="AP16" i="32"/>
  <c r="AN49" i="28"/>
  <c r="L7" i="45" s="1"/>
  <c r="AO669" i="27"/>
  <c r="AQ97" i="28"/>
  <c r="AO309" i="27"/>
  <c r="AP310" i="27"/>
  <c r="AP312" i="27" s="1"/>
  <c r="AP13" i="28" s="1"/>
  <c r="AP253" i="27"/>
  <c r="AR446" i="27"/>
  <c r="M54" i="41" s="1"/>
  <c r="AR488" i="27"/>
  <c r="AR24" i="28" s="1"/>
  <c r="AT445" i="27"/>
  <c r="N53" i="41" s="1"/>
  <c r="AN669" i="27"/>
  <c r="AM179" i="28"/>
  <c r="AN87" i="32"/>
  <c r="L8" i="60" s="1"/>
  <c r="AN309" i="27"/>
  <c r="K47" i="40" s="1"/>
  <c r="B24" i="28" l="1"/>
  <c r="M21" i="44"/>
  <c r="AQ20" i="28"/>
  <c r="AQ678" i="27"/>
  <c r="AQ679" i="27" s="1"/>
  <c r="AQ216" i="28" s="1"/>
  <c r="AR251" i="27"/>
  <c r="L11" i="40" s="1"/>
  <c r="AR449" i="27"/>
  <c r="M57" i="41" s="1"/>
  <c r="AJ596" i="27"/>
  <c r="K35" i="43" s="1"/>
  <c r="AF582" i="27"/>
  <c r="J24" i="43" s="1"/>
  <c r="AH624" i="27"/>
  <c r="AB568" i="27"/>
  <c r="I13" i="43" s="1"/>
  <c r="AD100" i="27"/>
  <c r="AD91" i="27"/>
  <c r="AE93" i="27"/>
  <c r="AE88" i="27"/>
  <c r="AN324" i="27"/>
  <c r="K50" i="40" s="1"/>
  <c r="AO10" i="28"/>
  <c r="AT488" i="27"/>
  <c r="AO49" i="28"/>
  <c r="AQ254" i="27"/>
  <c r="AR14" i="28"/>
  <c r="AR450" i="27"/>
  <c r="AR489" i="27"/>
  <c r="AR94" i="28" s="1"/>
  <c r="L14" i="46" s="1"/>
  <c r="AN10" i="28"/>
  <c r="L7" i="44" s="1"/>
  <c r="AP311" i="27"/>
  <c r="AP313" i="27" s="1"/>
  <c r="AO324" i="27"/>
  <c r="B14" i="28" l="1"/>
  <c r="M11" i="44"/>
  <c r="AR495" i="27"/>
  <c r="M87" i="41" s="1"/>
  <c r="M58" i="41"/>
  <c r="AH625" i="27"/>
  <c r="AF583" i="27"/>
  <c r="J25" i="43" s="1"/>
  <c r="AJ597" i="27"/>
  <c r="K36" i="43" s="1"/>
  <c r="AB569" i="27"/>
  <c r="I14" i="43" s="1"/>
  <c r="AE94" i="27"/>
  <c r="AE89" i="27"/>
  <c r="AP49" i="28"/>
  <c r="AQ16" i="32"/>
  <c r="AQ227" i="28"/>
  <c r="AR492" i="27"/>
  <c r="AT450" i="27"/>
  <c r="AT14" i="28"/>
  <c r="AO178" i="28"/>
  <c r="AP669" i="27"/>
  <c r="AN178" i="28"/>
  <c r="L25" i="48" s="1"/>
  <c r="AQ310" i="27"/>
  <c r="AQ312" i="27" s="1"/>
  <c r="AQ13" i="28" s="1"/>
  <c r="AQ253" i="27"/>
  <c r="AP309" i="27"/>
  <c r="AT24" i="28"/>
  <c r="AR680" i="27" l="1"/>
  <c r="AR677" i="27" s="1"/>
  <c r="AB567" i="27"/>
  <c r="AH623" i="27"/>
  <c r="AI622" i="27" s="1"/>
  <c r="AJ595" i="27"/>
  <c r="AF581" i="27"/>
  <c r="AE87" i="27"/>
  <c r="AE95" i="27"/>
  <c r="D311" i="23"/>
  <c r="N21" i="44"/>
  <c r="AP324" i="27"/>
  <c r="AP10" i="28"/>
  <c r="AR97" i="28"/>
  <c r="L17" i="46" s="1"/>
  <c r="AN179" i="28"/>
  <c r="C301" i="23"/>
  <c r="B11" i="44"/>
  <c r="D301" i="23"/>
  <c r="N11" i="44"/>
  <c r="N58" i="41"/>
  <c r="B450" i="27"/>
  <c r="C311" i="23"/>
  <c r="B21" i="44"/>
  <c r="AQ311" i="27"/>
  <c r="AQ313" i="27" s="1"/>
  <c r="AT495" i="27"/>
  <c r="N87" i="41" s="1"/>
  <c r="AQ87" i="32"/>
  <c r="AG580" i="27" l="1"/>
  <c r="J23" i="43"/>
  <c r="AR20" i="28"/>
  <c r="AR678" i="27"/>
  <c r="AK594" i="27"/>
  <c r="K34" i="43"/>
  <c r="AC566" i="27"/>
  <c r="I12" i="43"/>
  <c r="AI624" i="27"/>
  <c r="AE98" i="27"/>
  <c r="AE100" i="27" s="1"/>
  <c r="AF82" i="27"/>
  <c r="AF96" i="27" s="1"/>
  <c r="AQ669" i="27"/>
  <c r="AR254" i="27"/>
  <c r="L13" i="40" s="1"/>
  <c r="AT251" i="27"/>
  <c r="M11" i="40" s="1"/>
  <c r="AQ309" i="27"/>
  <c r="AP178" i="28"/>
  <c r="B20" i="28" l="1"/>
  <c r="M17" i="44"/>
  <c r="AC568" i="27"/>
  <c r="AI625" i="27"/>
  <c r="AK596" i="27"/>
  <c r="AG582" i="27"/>
  <c r="AE91" i="27"/>
  <c r="AF93" i="27"/>
  <c r="AF88" i="27"/>
  <c r="J18" i="37" s="1"/>
  <c r="AQ324" i="27"/>
  <c r="AQ10" i="28"/>
  <c r="AR253" i="27"/>
  <c r="L12" i="40" s="1"/>
  <c r="AR310" i="27"/>
  <c r="AR312" i="27" s="1"/>
  <c r="AR13" i="28" s="1"/>
  <c r="AT254" i="27"/>
  <c r="M13" i="40" s="1"/>
  <c r="AP179" i="28"/>
  <c r="AT678" i="27"/>
  <c r="AT677" i="27"/>
  <c r="AQ49" i="28"/>
  <c r="B13" i="28" l="1"/>
  <c r="M10" i="44"/>
  <c r="AI623" i="27"/>
  <c r="AJ622" i="27" s="1"/>
  <c r="K55" i="43" s="1"/>
  <c r="AC569" i="27"/>
  <c r="AG583" i="27"/>
  <c r="AK597" i="27"/>
  <c r="AF94" i="27"/>
  <c r="AF89" i="27"/>
  <c r="J19" i="37" s="1"/>
  <c r="AR679" i="27"/>
  <c r="AT679" i="27" s="1"/>
  <c r="AT253" i="27"/>
  <c r="M12" i="40" s="1"/>
  <c r="AR311" i="27"/>
  <c r="AR313" i="27" s="1"/>
  <c r="AQ178" i="28"/>
  <c r="AT20" i="28"/>
  <c r="AT310" i="27"/>
  <c r="AC567" i="27" l="1"/>
  <c r="AD566" i="27" s="1"/>
  <c r="AD568" i="27" s="1"/>
  <c r="AR216" i="28"/>
  <c r="AK595" i="27"/>
  <c r="AL594" i="27" s="1"/>
  <c r="AG581" i="27"/>
  <c r="AH580" i="27" s="1"/>
  <c r="AJ624" i="27"/>
  <c r="K57" i="43" s="1"/>
  <c r="AF95" i="27"/>
  <c r="AF87" i="27"/>
  <c r="J17" i="37" s="1"/>
  <c r="AT313" i="27"/>
  <c r="AR49" i="28"/>
  <c r="AT312" i="27"/>
  <c r="C307" i="23"/>
  <c r="B17" i="44"/>
  <c r="D307" i="23"/>
  <c r="N17" i="44"/>
  <c r="AQ179" i="28"/>
  <c r="AR309" i="27"/>
  <c r="L47" i="40" s="1"/>
  <c r="AR669" i="27"/>
  <c r="AT669" i="27" s="1"/>
  <c r="AT311" i="27"/>
  <c r="B49" i="28" l="1"/>
  <c r="M7" i="45"/>
  <c r="AR16" i="32"/>
  <c r="AT16" i="32" s="1"/>
  <c r="N10" i="58" s="1"/>
  <c r="B216" i="28"/>
  <c r="B9" i="49" s="1"/>
  <c r="M9" i="49"/>
  <c r="AR227" i="28"/>
  <c r="AT216" i="28"/>
  <c r="N9" i="49" s="1"/>
  <c r="AJ625" i="27"/>
  <c r="K58" i="43" s="1"/>
  <c r="AH582" i="27"/>
  <c r="AL596" i="27"/>
  <c r="AD569" i="27"/>
  <c r="AF98" i="27"/>
  <c r="AF91" i="27" s="1"/>
  <c r="AG82" i="27"/>
  <c r="K13" i="37" s="1"/>
  <c r="AG93" i="27"/>
  <c r="AG88" i="27"/>
  <c r="AR324" i="27"/>
  <c r="L50" i="40" s="1"/>
  <c r="AT309" i="27"/>
  <c r="M47" i="40" s="1"/>
  <c r="AR10" i="28"/>
  <c r="AT13" i="28"/>
  <c r="AT49" i="28"/>
  <c r="AR87" i="32" l="1"/>
  <c r="B227" i="28"/>
  <c r="B20" i="49" s="1"/>
  <c r="M20" i="49"/>
  <c r="B10" i="28"/>
  <c r="M7" i="44"/>
  <c r="B16" i="32"/>
  <c r="B10" i="58" s="1"/>
  <c r="M10" i="58"/>
  <c r="AT227" i="28"/>
  <c r="N20" i="49" s="1"/>
  <c r="AL597" i="27"/>
  <c r="AH583" i="27"/>
  <c r="AJ623" i="27"/>
  <c r="AD567" i="27"/>
  <c r="AE566" i="27" s="1"/>
  <c r="AG96" i="27"/>
  <c r="AF100" i="27"/>
  <c r="AG89" i="27"/>
  <c r="AG87" i="27" s="1"/>
  <c r="AG94" i="27"/>
  <c r="AT87" i="32"/>
  <c r="N8" i="60" s="1"/>
  <c r="C331" i="23"/>
  <c r="B7" i="45"/>
  <c r="C300" i="23"/>
  <c r="B10" i="44"/>
  <c r="AT10" i="28"/>
  <c r="AR178" i="28"/>
  <c r="M25" i="48" s="1"/>
  <c r="D331" i="23"/>
  <c r="N7" i="45"/>
  <c r="D300" i="23"/>
  <c r="N10" i="44"/>
  <c r="AT324" i="27"/>
  <c r="M50" i="40" s="1"/>
  <c r="AK622" i="27" l="1"/>
  <c r="K56" i="43"/>
  <c r="B87" i="32"/>
  <c r="M8" i="60"/>
  <c r="AH581" i="27"/>
  <c r="AI580" i="27" s="1"/>
  <c r="AL595" i="27"/>
  <c r="AM594" i="27" s="1"/>
  <c r="AG95" i="27"/>
  <c r="AG98" i="27"/>
  <c r="AH82" i="27"/>
  <c r="AH96" i="27" s="1"/>
  <c r="AR179" i="28"/>
  <c r="B7" i="44"/>
  <c r="B178" i="28"/>
  <c r="B25" i="48" s="1"/>
  <c r="C297" i="23"/>
  <c r="D297" i="23"/>
  <c r="N7" i="44"/>
  <c r="AM596" i="27" l="1"/>
  <c r="AI582" i="27"/>
  <c r="AK624" i="27"/>
  <c r="AG100" i="27"/>
  <c r="AE568" i="27"/>
  <c r="AG91" i="27"/>
  <c r="AH93" i="27"/>
  <c r="AH88" i="27"/>
  <c r="AM597" i="27" l="1"/>
  <c r="AK625" i="27"/>
  <c r="AI583" i="27"/>
  <c r="AE569" i="27"/>
  <c r="AH89" i="27"/>
  <c r="AH94" i="27"/>
  <c r="AH87" i="27" l="1"/>
  <c r="AH98" i="27" s="1"/>
  <c r="AI581" i="27"/>
  <c r="AJ580" i="27" s="1"/>
  <c r="K22" i="43" s="1"/>
  <c r="AM595" i="27"/>
  <c r="AN594" i="27" s="1"/>
  <c r="L33" i="43" s="1"/>
  <c r="AK623" i="27"/>
  <c r="AL622" i="27" s="1"/>
  <c r="AE567" i="27"/>
  <c r="AF566" i="27" s="1"/>
  <c r="J11" i="43" s="1"/>
  <c r="AH95" i="27"/>
  <c r="E161" i="31"/>
  <c r="AI82" i="27" l="1"/>
  <c r="AI96" i="27" s="1"/>
  <c r="AH100" i="27"/>
  <c r="C9" i="54"/>
  <c r="F166" i="31"/>
  <c r="E166" i="31" s="1"/>
  <c r="C14" i="54" s="1"/>
  <c r="AL624" i="27"/>
  <c r="AN596" i="27"/>
  <c r="L35" i="43" s="1"/>
  <c r="AJ582" i="27"/>
  <c r="K24" i="43" s="1"/>
  <c r="AH91" i="27"/>
  <c r="AI93" i="27"/>
  <c r="AI88" i="27"/>
  <c r="AT161" i="31"/>
  <c r="M9" i="54" s="1"/>
  <c r="AN597" i="27" l="1"/>
  <c r="L36" i="43" s="1"/>
  <c r="AJ583" i="27"/>
  <c r="K25" i="43" s="1"/>
  <c r="AL625" i="27"/>
  <c r="AF568" i="27"/>
  <c r="J13" i="43" s="1"/>
  <c r="AI94" i="27"/>
  <c r="AI89" i="27"/>
  <c r="F228" i="31"/>
  <c r="AN595" i="27" l="1"/>
  <c r="AL623" i="27"/>
  <c r="AM622" i="27" s="1"/>
  <c r="AJ581" i="27"/>
  <c r="AF569" i="27"/>
  <c r="J14" i="43" s="1"/>
  <c r="AI95" i="27"/>
  <c r="AI87" i="27"/>
  <c r="E228" i="31"/>
  <c r="F242" i="31"/>
  <c r="F63" i="31" s="1"/>
  <c r="F17" i="32"/>
  <c r="AT166" i="31"/>
  <c r="M14" i="54" s="1"/>
  <c r="B8" i="57" l="1"/>
  <c r="D8" i="57"/>
  <c r="AK580" i="27"/>
  <c r="K23" i="43"/>
  <c r="AO594" i="27"/>
  <c r="L34" i="43"/>
  <c r="AM624" i="27"/>
  <c r="AF567" i="27"/>
  <c r="AJ82" i="27"/>
  <c r="AJ96" i="27" s="1"/>
  <c r="AI98" i="27"/>
  <c r="AI100" i="27" s="1"/>
  <c r="E242" i="31"/>
  <c r="D22" i="57" s="1"/>
  <c r="AT228" i="31"/>
  <c r="N8" i="57" s="1"/>
  <c r="E17" i="32"/>
  <c r="D11" i="58" s="1"/>
  <c r="AG566" i="27" l="1"/>
  <c r="J12" i="43"/>
  <c r="AO596" i="27"/>
  <c r="AM625" i="27"/>
  <c r="AK582" i="27"/>
  <c r="AJ93" i="27"/>
  <c r="AJ88" i="27"/>
  <c r="K18" i="37" s="1"/>
  <c r="AI91" i="27"/>
  <c r="B11" i="58"/>
  <c r="AT242" i="31"/>
  <c r="N22" i="57" s="1"/>
  <c r="E63" i="31"/>
  <c r="B22" i="57"/>
  <c r="AT17" i="32"/>
  <c r="N11" i="58" s="1"/>
  <c r="B54" i="51" l="1"/>
  <c r="D54" i="51"/>
  <c r="AG568" i="27"/>
  <c r="AK583" i="27"/>
  <c r="AM623" i="27"/>
  <c r="AN622" i="27" s="1"/>
  <c r="L55" i="43" s="1"/>
  <c r="AO597" i="27"/>
  <c r="AJ89" i="27"/>
  <c r="K19" i="37" s="1"/>
  <c r="AJ94" i="27"/>
  <c r="AJ87" i="27"/>
  <c r="K17" i="37" s="1"/>
  <c r="AT63" i="31"/>
  <c r="N54" i="51" s="1"/>
  <c r="AG569" i="27" l="1"/>
  <c r="AN624" i="27"/>
  <c r="L57" i="43" s="1"/>
  <c r="AO595" i="27"/>
  <c r="AP594" i="27" s="1"/>
  <c r="AK581" i="27"/>
  <c r="AL580" i="27" s="1"/>
  <c r="AG567" i="27"/>
  <c r="AH566" i="27" s="1"/>
  <c r="AJ95" i="27"/>
  <c r="AJ98" i="27"/>
  <c r="AK82" i="27"/>
  <c r="L13" i="37" s="1"/>
  <c r="AT548" i="27"/>
  <c r="AL582" i="27" l="1"/>
  <c r="AP596" i="27"/>
  <c r="AN625" i="27"/>
  <c r="L58" i="43" s="1"/>
  <c r="AK96" i="27"/>
  <c r="AJ100" i="27"/>
  <c r="AJ91" i="27"/>
  <c r="AK93" i="27"/>
  <c r="AK88" i="27"/>
  <c r="B548" i="27"/>
  <c r="AN623" i="27" l="1"/>
  <c r="AL583" i="27"/>
  <c r="AP597" i="27"/>
  <c r="AH568" i="27"/>
  <c r="AK94" i="27"/>
  <c r="AK89" i="27"/>
  <c r="AT359" i="28"/>
  <c r="AO622" i="27" l="1"/>
  <c r="L56" i="43"/>
  <c r="AP595" i="27"/>
  <c r="AQ594" i="27" s="1"/>
  <c r="AL581" i="27"/>
  <c r="AM580" i="27" s="1"/>
  <c r="AH569" i="27"/>
  <c r="AK95" i="27"/>
  <c r="AK87" i="27"/>
  <c r="AK98" i="27" s="1"/>
  <c r="AO624" i="27" l="1"/>
  <c r="AM582" i="27"/>
  <c r="AQ596" i="27"/>
  <c r="AH567" i="27"/>
  <c r="AI566" i="27" s="1"/>
  <c r="AK100" i="27"/>
  <c r="AL82" i="27"/>
  <c r="AL96" i="27" s="1"/>
  <c r="AK91" i="27"/>
  <c r="AL93" i="27"/>
  <c r="AL88" i="27"/>
  <c r="AQ597" i="27" l="1"/>
  <c r="AM583" i="27"/>
  <c r="AO625" i="27"/>
  <c r="AL94" i="27"/>
  <c r="AL89" i="27"/>
  <c r="AL87" i="27" l="1"/>
  <c r="AM82" i="27" s="1"/>
  <c r="AM96" i="27" s="1"/>
  <c r="AO623" i="27"/>
  <c r="AP622" i="27" s="1"/>
  <c r="AM581" i="27"/>
  <c r="AN580" i="27" s="1"/>
  <c r="L22" i="43" s="1"/>
  <c r="AQ595" i="27"/>
  <c r="AR594" i="27" s="1"/>
  <c r="M33" i="43" s="1"/>
  <c r="AI568" i="27"/>
  <c r="AL95" i="27"/>
  <c r="AL98" i="27" l="1"/>
  <c r="AL91" i="27" s="1"/>
  <c r="AR596" i="27"/>
  <c r="M35" i="43" s="1"/>
  <c r="AT594" i="27"/>
  <c r="AN582" i="27"/>
  <c r="L24" i="43" s="1"/>
  <c r="AP624" i="27"/>
  <c r="AI569" i="27"/>
  <c r="AL100" i="27"/>
  <c r="AM93" i="27"/>
  <c r="AM88" i="27"/>
  <c r="AP625" i="27" l="1"/>
  <c r="B594" i="27"/>
  <c r="B33" i="43" s="1"/>
  <c r="N33" i="43"/>
  <c r="AN583" i="27"/>
  <c r="L25" i="43" s="1"/>
  <c r="B31" i="43"/>
  <c r="AT596" i="27"/>
  <c r="AR597" i="27"/>
  <c r="M36" i="43" s="1"/>
  <c r="AI567" i="27"/>
  <c r="AJ566" i="27" s="1"/>
  <c r="K11" i="43" s="1"/>
  <c r="AM89" i="27"/>
  <c r="AM94" i="27"/>
  <c r="AM87" i="27"/>
  <c r="AT597" i="27" l="1"/>
  <c r="AP623" i="27"/>
  <c r="AQ622" i="27" s="1"/>
  <c r="AR595" i="27"/>
  <c r="M34" i="43" s="1"/>
  <c r="B596" i="27"/>
  <c r="B35" i="43" s="1"/>
  <c r="N35" i="43"/>
  <c r="AN581" i="27"/>
  <c r="AN93" i="27"/>
  <c r="AN82" i="27"/>
  <c r="AN96" i="27" s="1"/>
  <c r="AM98" i="27"/>
  <c r="AM95" i="27"/>
  <c r="AO580" i="27" l="1"/>
  <c r="L23" i="43"/>
  <c r="AQ624" i="27"/>
  <c r="B597" i="27"/>
  <c r="B36" i="43" s="1"/>
  <c r="N36" i="43"/>
  <c r="AJ568" i="27"/>
  <c r="K13" i="43" s="1"/>
  <c r="AM100" i="27"/>
  <c r="AN88" i="27"/>
  <c r="L18" i="37" s="1"/>
  <c r="AM91" i="27"/>
  <c r="AQ625" i="27" l="1"/>
  <c r="AO582" i="27"/>
  <c r="AJ569" i="27"/>
  <c r="K14" i="43" s="1"/>
  <c r="AN89" i="27"/>
  <c r="L19" i="37" s="1"/>
  <c r="AN94" i="27"/>
  <c r="AN87" i="27"/>
  <c r="L17" i="37" s="1"/>
  <c r="AO583" i="27" l="1"/>
  <c r="AQ623" i="27"/>
  <c r="AR622" i="27" s="1"/>
  <c r="M55" i="43" s="1"/>
  <c r="AJ567" i="27"/>
  <c r="AN95" i="27"/>
  <c r="AN98" i="27"/>
  <c r="AO82" i="27"/>
  <c r="M13" i="37" s="1"/>
  <c r="AK566" i="27" l="1"/>
  <c r="K12" i="43"/>
  <c r="AT622" i="27"/>
  <c r="AR624" i="27"/>
  <c r="M57" i="43" s="1"/>
  <c r="AO581" i="27"/>
  <c r="AP580" i="27" s="1"/>
  <c r="AO96" i="27"/>
  <c r="AN100" i="27"/>
  <c r="AO93" i="27"/>
  <c r="AO88" i="27"/>
  <c r="AN91" i="27"/>
  <c r="AF153" i="1"/>
  <c r="AG153" i="1"/>
  <c r="AJ153" i="1"/>
  <c r="AL153" i="1"/>
  <c r="AN153" i="1"/>
  <c r="AO153" i="1"/>
  <c r="AP153" i="1"/>
  <c r="AQ153" i="1"/>
  <c r="AR153" i="1"/>
  <c r="E153" i="1"/>
  <c r="M18" i="35" l="1"/>
  <c r="B53" i="43"/>
  <c r="AR625" i="27"/>
  <c r="AT624" i="27"/>
  <c r="AP582" i="27"/>
  <c r="B622" i="27"/>
  <c r="B55" i="43" s="1"/>
  <c r="N55" i="43"/>
  <c r="AK568" i="27"/>
  <c r="AO94" i="27"/>
  <c r="AO89" i="27"/>
  <c r="AD153" i="1"/>
  <c r="F153" i="1"/>
  <c r="AH153" i="1"/>
  <c r="K18" i="35" s="1"/>
  <c r="AM153" i="1"/>
  <c r="AK153" i="1"/>
  <c r="L18" i="35" s="1"/>
  <c r="AI153" i="1"/>
  <c r="AE153" i="1"/>
  <c r="AC153" i="1"/>
  <c r="J18" i="35" l="1"/>
  <c r="AR623" i="27"/>
  <c r="M56" i="43" s="1"/>
  <c r="M58" i="43"/>
  <c r="AP583" i="27"/>
  <c r="B624" i="27"/>
  <c r="B57" i="43" s="1"/>
  <c r="N57" i="43"/>
  <c r="AT625" i="27"/>
  <c r="AK569" i="27"/>
  <c r="AO95" i="27"/>
  <c r="AO87" i="27"/>
  <c r="AP82" i="27" s="1"/>
  <c r="AP96" i="27" s="1"/>
  <c r="B625" i="27" l="1"/>
  <c r="B58" i="43" s="1"/>
  <c r="N58" i="43"/>
  <c r="AP581" i="27"/>
  <c r="AQ580" i="27" s="1"/>
  <c r="AK567" i="27"/>
  <c r="AL566" i="27" s="1"/>
  <c r="AO98" i="27"/>
  <c r="AO100" i="27" s="1"/>
  <c r="AP93" i="27"/>
  <c r="AP88" i="27"/>
  <c r="AQ582" i="27" l="1"/>
  <c r="AO91" i="27"/>
  <c r="AP89" i="27"/>
  <c r="AP94" i="27"/>
  <c r="AP87" i="27"/>
  <c r="AQ583" i="27" l="1"/>
  <c r="AL568" i="27"/>
  <c r="AP95" i="27"/>
  <c r="AQ82" i="27"/>
  <c r="AQ96" i="27" s="1"/>
  <c r="AP98" i="27"/>
  <c r="AQ581" i="27" l="1"/>
  <c r="AR580" i="27" s="1"/>
  <c r="M22" i="43" s="1"/>
  <c r="AP100" i="27"/>
  <c r="AL569" i="27"/>
  <c r="AP91" i="27"/>
  <c r="AQ93" i="27"/>
  <c r="AQ88" i="27"/>
  <c r="AT580" i="27" l="1"/>
  <c r="AR582" i="27"/>
  <c r="M24" i="43" s="1"/>
  <c r="AL567" i="27"/>
  <c r="AM566" i="27" s="1"/>
  <c r="AQ89" i="27"/>
  <c r="AQ94" i="27"/>
  <c r="AQ87" i="27"/>
  <c r="B20" i="43" l="1"/>
  <c r="AR583" i="27"/>
  <c r="M25" i="43" s="1"/>
  <c r="AT582" i="27"/>
  <c r="AR581" i="27"/>
  <c r="M23" i="43" s="1"/>
  <c r="B580" i="27"/>
  <c r="B22" i="43" s="1"/>
  <c r="N22" i="43"/>
  <c r="AQ95" i="27"/>
  <c r="AQ98" i="27"/>
  <c r="AR82" i="27"/>
  <c r="AR96" i="27" s="1"/>
  <c r="B582" i="27" l="1"/>
  <c r="B24" i="43" s="1"/>
  <c r="N24" i="43"/>
  <c r="AT583" i="27"/>
  <c r="AM568" i="27"/>
  <c r="AQ100" i="27"/>
  <c r="AQ91" i="27"/>
  <c r="AR93" i="27"/>
  <c r="AT86" i="27"/>
  <c r="AR88" i="27"/>
  <c r="M18" i="37" s="1"/>
  <c r="B583" i="27" l="1"/>
  <c r="B25" i="43" s="1"/>
  <c r="N25" i="43"/>
  <c r="AM569" i="27"/>
  <c r="B86" i="27"/>
  <c r="N16" i="37"/>
  <c r="AR89" i="27"/>
  <c r="M19" i="37" s="1"/>
  <c r="AR94" i="27"/>
  <c r="AR87" i="27"/>
  <c r="M17" i="37" s="1"/>
  <c r="AT88" i="27"/>
  <c r="AT93" i="27"/>
  <c r="AM567" i="27" l="1"/>
  <c r="AN566" i="27" s="1"/>
  <c r="L11" i="43" s="1"/>
  <c r="B88" i="27"/>
  <c r="N18" i="37"/>
  <c r="AT94" i="27"/>
  <c r="B93" i="27"/>
  <c r="AR98" i="27"/>
  <c r="AR95" i="27"/>
  <c r="AT89" i="27"/>
  <c r="B89" i="27" l="1"/>
  <c r="N19" i="37"/>
  <c r="AR100" i="27"/>
  <c r="AR91" i="27"/>
  <c r="B94" i="27"/>
  <c r="AT95" i="27"/>
  <c r="AN568" i="27" l="1"/>
  <c r="L13" i="43" s="1"/>
  <c r="AT100" i="27"/>
  <c r="B95" i="27"/>
  <c r="AN569" i="27" l="1"/>
  <c r="L14" i="43" s="1"/>
  <c r="AN567" i="27" l="1"/>
  <c r="AO566" i="27" l="1"/>
  <c r="AO568" i="27" s="1"/>
  <c r="L12" i="43"/>
  <c r="AO569" i="27" l="1"/>
  <c r="AO567" i="27" l="1"/>
  <c r="AP566" i="27" s="1"/>
  <c r="AP568" i="27" l="1"/>
  <c r="AP569" i="27" l="1"/>
  <c r="AP567" i="27" l="1"/>
  <c r="AQ566" i="27" s="1"/>
  <c r="AQ568" i="27" l="1"/>
  <c r="AQ569" i="27" l="1"/>
  <c r="AQ567" i="27" s="1"/>
  <c r="AR566" i="27" s="1"/>
  <c r="M11" i="43" s="1"/>
  <c r="B9" i="43" l="1"/>
  <c r="AT566" i="27"/>
  <c r="AR568" i="27"/>
  <c r="M13" i="43" s="1"/>
  <c r="B566" i="27" l="1"/>
  <c r="B11" i="43" s="1"/>
  <c r="N11" i="43"/>
  <c r="AR569" i="27"/>
  <c r="M14" i="43" s="1"/>
  <c r="AT568" i="27"/>
  <c r="AR567" i="27" l="1"/>
  <c r="M12" i="43" s="1"/>
  <c r="B568" i="27"/>
  <c r="B13" i="43" s="1"/>
  <c r="N13" i="43"/>
  <c r="AT569" i="27"/>
  <c r="B569" i="27" l="1"/>
  <c r="B14" i="43" s="1"/>
  <c r="N14" i="43"/>
  <c r="G153" i="1" l="1"/>
  <c r="O153" i="1"/>
  <c r="Q153" i="1"/>
  <c r="V153" i="1"/>
  <c r="H153" i="1"/>
  <c r="I153" i="1"/>
  <c r="M153" i="1"/>
  <c r="T153" i="1"/>
  <c r="N153" i="1"/>
  <c r="L153" i="1"/>
  <c r="U153" i="1"/>
  <c r="Z153" i="1"/>
  <c r="K153" i="1"/>
  <c r="W153" i="1"/>
  <c r="P153" i="1"/>
  <c r="J153" i="1"/>
  <c r="E18" i="35" l="1"/>
  <c r="F18" i="35"/>
  <c r="D18" i="35"/>
  <c r="AB153" i="1"/>
  <c r="R153" i="1"/>
  <c r="X153" i="1"/>
  <c r="H18" i="35" s="1"/>
  <c r="AA153" i="1"/>
  <c r="S153" i="1"/>
  <c r="Y153" i="1"/>
  <c r="I18" i="35" s="1"/>
  <c r="G18" i="35" l="1"/>
  <c r="B235" i="1"/>
  <c r="B22" i="36" s="1"/>
  <c r="E85" i="31" l="1"/>
  <c r="F85" i="31"/>
  <c r="F149" i="27" s="1"/>
  <c r="F152" i="27" s="1"/>
  <c r="E149" i="27" l="1"/>
  <c r="E158" i="27" s="1"/>
  <c r="F150" i="27"/>
  <c r="F158" i="27"/>
  <c r="F8" i="28" s="1"/>
  <c r="F7" i="28" s="1"/>
  <c r="E86" i="31"/>
  <c r="F86" i="31"/>
  <c r="H85" i="31"/>
  <c r="H149" i="27" s="1"/>
  <c r="H152" i="27" s="1"/>
  <c r="G85" i="31"/>
  <c r="G149" i="27" s="1"/>
  <c r="G152" i="27" s="1"/>
  <c r="G87" i="31" l="1"/>
  <c r="G235" i="31" s="1"/>
  <c r="G88" i="31"/>
  <c r="D13" i="52"/>
  <c r="F87" i="31"/>
  <c r="F88" i="31"/>
  <c r="E152" i="27"/>
  <c r="D32" i="38"/>
  <c r="G150" i="27"/>
  <c r="H150" i="27"/>
  <c r="E87" i="31"/>
  <c r="H158" i="27"/>
  <c r="H8" i="28" s="1"/>
  <c r="H7" i="28" s="1"/>
  <c r="G158" i="27"/>
  <c r="G8" i="28" s="1"/>
  <c r="G7" i="28" s="1"/>
  <c r="F167" i="28"/>
  <c r="F161" i="28"/>
  <c r="F171" i="28"/>
  <c r="F162" i="28"/>
  <c r="F173" i="28"/>
  <c r="F172" i="28"/>
  <c r="F168" i="28"/>
  <c r="F166" i="28"/>
  <c r="F170" i="28"/>
  <c r="F163" i="28"/>
  <c r="F157" i="28"/>
  <c r="F165" i="28"/>
  <c r="F159" i="28"/>
  <c r="F169" i="28"/>
  <c r="F164" i="28"/>
  <c r="F160" i="28"/>
  <c r="F202" i="28"/>
  <c r="F158" i="28"/>
  <c r="F15" i="28"/>
  <c r="F180" i="28"/>
  <c r="F174" i="28"/>
  <c r="F159" i="27"/>
  <c r="F237" i="31"/>
  <c r="F236" i="31" s="1"/>
  <c r="H86" i="31"/>
  <c r="G86" i="31"/>
  <c r="I85" i="31"/>
  <c r="J85" i="31"/>
  <c r="J149" i="27" s="1"/>
  <c r="J152" i="27" s="1"/>
  <c r="H87" i="31" l="1"/>
  <c r="D15" i="52" s="1"/>
  <c r="H88" i="31"/>
  <c r="H237" i="31" s="1"/>
  <c r="H236" i="31" s="1"/>
  <c r="H61" i="31" s="1"/>
  <c r="E235" i="31"/>
  <c r="D34" i="38"/>
  <c r="E150" i="27"/>
  <c r="D33" i="38" s="1"/>
  <c r="D14" i="52"/>
  <c r="I88" i="31"/>
  <c r="I237" i="31" s="1"/>
  <c r="I87" i="31"/>
  <c r="D38" i="38"/>
  <c r="J150" i="27"/>
  <c r="E159" i="27"/>
  <c r="F235" i="31"/>
  <c r="I149" i="27"/>
  <c r="F175" i="28"/>
  <c r="F21" i="28"/>
  <c r="F183" i="28"/>
  <c r="G170" i="28"/>
  <c r="G171" i="28"/>
  <c r="G159" i="28"/>
  <c r="G162" i="28"/>
  <c r="G173" i="28"/>
  <c r="G165" i="28"/>
  <c r="G164" i="28"/>
  <c r="G168" i="28"/>
  <c r="G167" i="28"/>
  <c r="G161" i="28"/>
  <c r="G169" i="28"/>
  <c r="G157" i="28"/>
  <c r="G163" i="28"/>
  <c r="G166" i="28"/>
  <c r="G202" i="28"/>
  <c r="G160" i="28"/>
  <c r="G158" i="28"/>
  <c r="G15" i="28"/>
  <c r="G180" i="28"/>
  <c r="H162" i="28"/>
  <c r="H157" i="28"/>
  <c r="H159" i="28"/>
  <c r="H166" i="28"/>
  <c r="H167" i="28"/>
  <c r="H163" i="28"/>
  <c r="H164" i="28"/>
  <c r="H165" i="28"/>
  <c r="H161" i="28"/>
  <c r="H168" i="28"/>
  <c r="H169" i="28"/>
  <c r="H170" i="28"/>
  <c r="H171" i="28"/>
  <c r="H173" i="28"/>
  <c r="H202" i="28"/>
  <c r="H160" i="28"/>
  <c r="H158" i="28"/>
  <c r="H15" i="28"/>
  <c r="H180" i="28"/>
  <c r="J158" i="27"/>
  <c r="J8" i="28" s="1"/>
  <c r="J7" i="28" s="1"/>
  <c r="F666" i="27"/>
  <c r="F673" i="27" s="1"/>
  <c r="F196" i="28"/>
  <c r="F200" i="28" s="1"/>
  <c r="F160" i="27"/>
  <c r="F61" i="31"/>
  <c r="F226" i="31"/>
  <c r="E88" i="31"/>
  <c r="G226" i="31"/>
  <c r="G237" i="31"/>
  <c r="I86" i="31"/>
  <c r="J86" i="31"/>
  <c r="K85" i="31"/>
  <c r="K149" i="27" s="1"/>
  <c r="K152" i="27" s="1"/>
  <c r="AT75" i="31"/>
  <c r="N5" i="52" s="1"/>
  <c r="D16" i="52" l="1"/>
  <c r="H226" i="31"/>
  <c r="E160" i="27"/>
  <c r="J87" i="31"/>
  <c r="J235" i="31" s="1"/>
  <c r="J88" i="31"/>
  <c r="K87" i="31"/>
  <c r="K235" i="31" s="1"/>
  <c r="K88" i="31"/>
  <c r="I152" i="27"/>
  <c r="I150" i="27" s="1"/>
  <c r="E666" i="27"/>
  <c r="E673" i="27" s="1"/>
  <c r="K150" i="27"/>
  <c r="I235" i="31"/>
  <c r="I236" i="31"/>
  <c r="I158" i="27"/>
  <c r="F46" i="28"/>
  <c r="G160" i="27"/>
  <c r="G159" i="27"/>
  <c r="H159" i="27"/>
  <c r="H160" i="27"/>
  <c r="H21" i="28"/>
  <c r="H183" i="28"/>
  <c r="F184" i="28"/>
  <c r="F122" i="28"/>
  <c r="F25" i="28"/>
  <c r="F191" i="28"/>
  <c r="K158" i="27"/>
  <c r="K8" i="28" s="1"/>
  <c r="K7" i="28" s="1"/>
  <c r="J167" i="28"/>
  <c r="J157" i="28"/>
  <c r="J168" i="28"/>
  <c r="J169" i="28"/>
  <c r="J165" i="28"/>
  <c r="J162" i="28"/>
  <c r="J164" i="28"/>
  <c r="J202" i="28"/>
  <c r="J161" i="28"/>
  <c r="J163" i="28"/>
  <c r="J159" i="28"/>
  <c r="J171" i="28"/>
  <c r="J173" i="28"/>
  <c r="J166" i="28"/>
  <c r="J170" i="28"/>
  <c r="J160" i="28"/>
  <c r="J158" i="28"/>
  <c r="J15" i="28"/>
  <c r="J180" i="28"/>
  <c r="J159" i="27"/>
  <c r="G21" i="28"/>
  <c r="G183" i="28"/>
  <c r="E8" i="28"/>
  <c r="D5" i="44" s="1"/>
  <c r="I226" i="31"/>
  <c r="H235" i="31"/>
  <c r="D15" i="57" s="1"/>
  <c r="E237" i="31"/>
  <c r="D17" i="57" s="1"/>
  <c r="E226" i="31"/>
  <c r="D6" i="57" s="1"/>
  <c r="G236" i="31"/>
  <c r="K86" i="31"/>
  <c r="L85" i="31"/>
  <c r="L149" i="27" s="1"/>
  <c r="L152" i="27" s="1"/>
  <c r="M85" i="31"/>
  <c r="D39" i="38" l="1"/>
  <c r="D40" i="38"/>
  <c r="L87" i="31"/>
  <c r="E15" i="52" s="1"/>
  <c r="L88" i="31"/>
  <c r="E16" i="52" s="1"/>
  <c r="E13" i="52"/>
  <c r="E663" i="27"/>
  <c r="E664" i="27" s="1"/>
  <c r="E34" i="38"/>
  <c r="I8" i="28"/>
  <c r="E32" i="38"/>
  <c r="L150" i="27"/>
  <c r="E33" i="38" s="1"/>
  <c r="I61" i="31"/>
  <c r="J237" i="31"/>
  <c r="M149" i="27"/>
  <c r="I7" i="28"/>
  <c r="H46" i="28"/>
  <c r="G46" i="28"/>
  <c r="L158" i="27"/>
  <c r="E38" i="38" s="1"/>
  <c r="G122" i="28"/>
  <c r="G25" i="28"/>
  <c r="G191" i="28"/>
  <c r="G184" i="28"/>
  <c r="J666" i="27"/>
  <c r="J673" i="27" s="1"/>
  <c r="J196" i="28"/>
  <c r="J200" i="28" s="1"/>
  <c r="J21" i="28"/>
  <c r="J183" i="28"/>
  <c r="F123" i="28"/>
  <c r="F185" i="28"/>
  <c r="H25" i="28"/>
  <c r="H122" i="28"/>
  <c r="H191" i="28"/>
  <c r="H184" i="28"/>
  <c r="H666" i="27"/>
  <c r="H673" i="27" s="1"/>
  <c r="H196" i="28"/>
  <c r="H200" i="28" s="1"/>
  <c r="I159" i="27"/>
  <c r="G666" i="27"/>
  <c r="G673" i="27" s="1"/>
  <c r="G196" i="28"/>
  <c r="G200" i="28" s="1"/>
  <c r="K162" i="28"/>
  <c r="K167" i="28"/>
  <c r="K171" i="28"/>
  <c r="K159" i="28"/>
  <c r="K163" i="28"/>
  <c r="K168" i="28"/>
  <c r="K164" i="28"/>
  <c r="K169" i="28"/>
  <c r="K161" i="28"/>
  <c r="K165" i="28"/>
  <c r="K157" i="28"/>
  <c r="K173" i="28"/>
  <c r="K166" i="28"/>
  <c r="K170" i="28"/>
  <c r="K202" i="28"/>
  <c r="K160" i="28"/>
  <c r="K158" i="28"/>
  <c r="K15" i="28"/>
  <c r="K180" i="28"/>
  <c r="J160" i="27"/>
  <c r="E7" i="28"/>
  <c r="D4" i="44" s="1"/>
  <c r="E236" i="31"/>
  <c r="D16" i="57" s="1"/>
  <c r="J226" i="31"/>
  <c r="G61" i="31"/>
  <c r="L235" i="31"/>
  <c r="E15" i="57" s="1"/>
  <c r="K226" i="31"/>
  <c r="K237" i="31"/>
  <c r="M86" i="31"/>
  <c r="L86" i="31"/>
  <c r="N85" i="31"/>
  <c r="N149" i="27" s="1"/>
  <c r="N152" i="27" s="1"/>
  <c r="N88" i="31" l="1"/>
  <c r="N237" i="31" s="1"/>
  <c r="N236" i="31" s="1"/>
  <c r="N61" i="31" s="1"/>
  <c r="N87" i="31"/>
  <c r="E675" i="27"/>
  <c r="M88" i="31"/>
  <c r="M87" i="31"/>
  <c r="M235" i="31" s="1"/>
  <c r="M152" i="27"/>
  <c r="E14" i="52"/>
  <c r="N150" i="27"/>
  <c r="M158" i="27"/>
  <c r="M8" i="28" s="1"/>
  <c r="M150" i="27"/>
  <c r="E665" i="27"/>
  <c r="J236" i="31"/>
  <c r="E196" i="28"/>
  <c r="E200" i="28" s="1"/>
  <c r="I160" i="27"/>
  <c r="I163" i="28"/>
  <c r="I159" i="28"/>
  <c r="I171" i="28"/>
  <c r="I164" i="28"/>
  <c r="I167" i="28"/>
  <c r="I165" i="28"/>
  <c r="I166" i="28"/>
  <c r="I160" i="28"/>
  <c r="I15" i="28"/>
  <c r="I161" i="28"/>
  <c r="I169" i="28"/>
  <c r="I157" i="28"/>
  <c r="I170" i="28"/>
  <c r="I162" i="28"/>
  <c r="I173" i="28"/>
  <c r="I168" i="28"/>
  <c r="I202" i="28"/>
  <c r="I158" i="28"/>
  <c r="I180" i="28"/>
  <c r="J46" i="28"/>
  <c r="K159" i="27"/>
  <c r="K21" i="28"/>
  <c r="K183" i="28"/>
  <c r="H185" i="28"/>
  <c r="H123" i="28"/>
  <c r="J122" i="28"/>
  <c r="J25" i="28"/>
  <c r="J191" i="28"/>
  <c r="J184" i="28"/>
  <c r="G185" i="28"/>
  <c r="G123" i="28"/>
  <c r="N158" i="27"/>
  <c r="N8" i="28" s="1"/>
  <c r="N7" i="28" s="1"/>
  <c r="I666" i="27"/>
  <c r="I673" i="27" s="1"/>
  <c r="I196" i="28"/>
  <c r="L8" i="28"/>
  <c r="E5" i="44" s="1"/>
  <c r="G165" i="27"/>
  <c r="E46" i="28"/>
  <c r="D4" i="45" s="1"/>
  <c r="E173" i="28"/>
  <c r="D20" i="48" s="1"/>
  <c r="E159" i="28"/>
  <c r="D6" i="48" s="1"/>
  <c r="E157" i="28"/>
  <c r="D4" i="48" s="1"/>
  <c r="E165" i="28"/>
  <c r="D12" i="48" s="1"/>
  <c r="E161" i="28"/>
  <c r="D8" i="48" s="1"/>
  <c r="E169" i="28"/>
  <c r="D16" i="48" s="1"/>
  <c r="E164" i="28"/>
  <c r="D11" i="48" s="1"/>
  <c r="E170" i="28"/>
  <c r="D17" i="48" s="1"/>
  <c r="E160" i="28"/>
  <c r="D7" i="48" s="1"/>
  <c r="E171" i="28"/>
  <c r="D18" i="48" s="1"/>
  <c r="E172" i="28"/>
  <c r="E167" i="28"/>
  <c r="D14" i="48" s="1"/>
  <c r="E163" i="28"/>
  <c r="D10" i="48" s="1"/>
  <c r="E162" i="28"/>
  <c r="D9" i="48" s="1"/>
  <c r="E168" i="28"/>
  <c r="D15" i="48" s="1"/>
  <c r="E166" i="28"/>
  <c r="D13" i="48" s="1"/>
  <c r="E202" i="28"/>
  <c r="E158" i="28"/>
  <c r="D5" i="48" s="1"/>
  <c r="E15" i="28"/>
  <c r="D12" i="44" s="1"/>
  <c r="E180" i="28"/>
  <c r="D27" i="48" s="1"/>
  <c r="E174" i="28"/>
  <c r="H165" i="27"/>
  <c r="F165" i="27"/>
  <c r="E61" i="31"/>
  <c r="D52" i="51" s="1"/>
  <c r="K236" i="31"/>
  <c r="L226" i="31"/>
  <c r="E6" i="57" s="1"/>
  <c r="L237" i="31"/>
  <c r="L236" i="31" s="1"/>
  <c r="N86" i="31"/>
  <c r="O85" i="31"/>
  <c r="O149" i="27" s="1"/>
  <c r="O152" i="27" s="1"/>
  <c r="O87" i="31" l="1"/>
  <c r="O235" i="31" s="1"/>
  <c r="O88" i="31"/>
  <c r="F663" i="27"/>
  <c r="F664" i="27" s="1"/>
  <c r="I46" i="28"/>
  <c r="E16" i="57"/>
  <c r="E17" i="57"/>
  <c r="O150" i="27"/>
  <c r="J61" i="31"/>
  <c r="J165" i="27"/>
  <c r="I165" i="27"/>
  <c r="I183" i="28"/>
  <c r="I21" i="28"/>
  <c r="I200" i="28"/>
  <c r="M7" i="28"/>
  <c r="O158" i="27"/>
  <c r="L159" i="27"/>
  <c r="E39" i="38" s="1"/>
  <c r="L160" i="27"/>
  <c r="L7" i="28"/>
  <c r="E4" i="44" s="1"/>
  <c r="M159" i="27"/>
  <c r="K666" i="27"/>
  <c r="K673" i="27" s="1"/>
  <c r="K196" i="28"/>
  <c r="N165" i="28"/>
  <c r="N161" i="28"/>
  <c r="N173" i="28"/>
  <c r="N162" i="28"/>
  <c r="N171" i="28"/>
  <c r="N168" i="28"/>
  <c r="N166" i="28"/>
  <c r="N164" i="28"/>
  <c r="N163" i="28"/>
  <c r="N167" i="28"/>
  <c r="N159" i="28"/>
  <c r="N157" i="28"/>
  <c r="N169" i="28"/>
  <c r="N170" i="28"/>
  <c r="N160" i="28"/>
  <c r="N202" i="28"/>
  <c r="N158" i="28"/>
  <c r="N15" i="28"/>
  <c r="N180" i="28"/>
  <c r="N159" i="27"/>
  <c r="J185" i="28"/>
  <c r="J123" i="28"/>
  <c r="K184" i="28"/>
  <c r="K122" i="28"/>
  <c r="K25" i="28"/>
  <c r="K191" i="28"/>
  <c r="K160" i="27"/>
  <c r="E175" i="28"/>
  <c r="E21" i="28"/>
  <c r="D18" i="44" s="1"/>
  <c r="E183" i="28"/>
  <c r="D30" i="48" s="1"/>
  <c r="L61" i="31"/>
  <c r="K61" i="31"/>
  <c r="M226" i="31"/>
  <c r="M237" i="31"/>
  <c r="N226" i="31"/>
  <c r="N235" i="31"/>
  <c r="O86" i="31"/>
  <c r="P85" i="31"/>
  <c r="P149" i="27" s="1"/>
  <c r="P152" i="27" s="1"/>
  <c r="F34" i="38" s="1"/>
  <c r="E40" i="38" l="1"/>
  <c r="F675" i="27"/>
  <c r="P88" i="31"/>
  <c r="F16" i="52" s="1"/>
  <c r="P87" i="31"/>
  <c r="F15" i="52" s="1"/>
  <c r="E52" i="51"/>
  <c r="F32" i="38"/>
  <c r="F13" i="52"/>
  <c r="G663" i="27"/>
  <c r="G664" i="27" s="1"/>
  <c r="P150" i="27"/>
  <c r="F33" i="38" s="1"/>
  <c r="M236" i="31"/>
  <c r="M160" i="27"/>
  <c r="M46" i="28" s="1"/>
  <c r="I122" i="28"/>
  <c r="I191" i="28"/>
  <c r="I184" i="28"/>
  <c r="I25" i="28"/>
  <c r="M159" i="28"/>
  <c r="M163" i="28"/>
  <c r="M169" i="28"/>
  <c r="M166" i="28"/>
  <c r="M162" i="28"/>
  <c r="M167" i="28"/>
  <c r="M202" i="28"/>
  <c r="M158" i="28"/>
  <c r="M180" i="28"/>
  <c r="M165" i="28"/>
  <c r="M173" i="28"/>
  <c r="M157" i="28"/>
  <c r="M168" i="28"/>
  <c r="M170" i="28"/>
  <c r="M171" i="28"/>
  <c r="M161" i="28"/>
  <c r="M164" i="28"/>
  <c r="M160" i="28"/>
  <c r="M15" i="28"/>
  <c r="L46" i="28"/>
  <c r="P158" i="27"/>
  <c r="F38" i="38" s="1"/>
  <c r="K46" i="28"/>
  <c r="E4" i="45" s="1"/>
  <c r="K165" i="27"/>
  <c r="K123" i="28"/>
  <c r="K185" i="28"/>
  <c r="K200" i="28"/>
  <c r="M666" i="27"/>
  <c r="M673" i="27" s="1"/>
  <c r="M196" i="28"/>
  <c r="L165" i="28"/>
  <c r="E12" i="48" s="1"/>
  <c r="L162" i="28"/>
  <c r="E9" i="48" s="1"/>
  <c r="L161" i="28"/>
  <c r="E8" i="48" s="1"/>
  <c r="L157" i="28"/>
  <c r="E4" i="48" s="1"/>
  <c r="L164" i="28"/>
  <c r="E11" i="48" s="1"/>
  <c r="L166" i="28"/>
  <c r="E13" i="48" s="1"/>
  <c r="L170" i="28"/>
  <c r="E17" i="48" s="1"/>
  <c r="L163" i="28"/>
  <c r="E10" i="48" s="1"/>
  <c r="L173" i="28"/>
  <c r="E20" i="48" s="1"/>
  <c r="L167" i="28"/>
  <c r="E14" i="48" s="1"/>
  <c r="L159" i="28"/>
  <c r="E6" i="48" s="1"/>
  <c r="L171" i="28"/>
  <c r="E18" i="48" s="1"/>
  <c r="L168" i="28"/>
  <c r="E15" i="48" s="1"/>
  <c r="L169" i="28"/>
  <c r="E16" i="48" s="1"/>
  <c r="L202" i="28"/>
  <c r="L160" i="28"/>
  <c r="E7" i="48" s="1"/>
  <c r="L158" i="28"/>
  <c r="E5" i="48" s="1"/>
  <c r="L15" i="28"/>
  <c r="E12" i="44" s="1"/>
  <c r="L180" i="28"/>
  <c r="E27" i="48" s="1"/>
  <c r="L666" i="27"/>
  <c r="L673" i="27" s="1"/>
  <c r="L196" i="28"/>
  <c r="L200" i="28" s="1"/>
  <c r="L165" i="27"/>
  <c r="O8" i="28"/>
  <c r="O159" i="27"/>
  <c r="N666" i="27"/>
  <c r="N673" i="27" s="1"/>
  <c r="N196" i="28"/>
  <c r="N200" i="28" s="1"/>
  <c r="N183" i="28"/>
  <c r="N21" i="28"/>
  <c r="E122" i="28"/>
  <c r="D4" i="47" s="1"/>
  <c r="E191" i="28"/>
  <c r="D38" i="48" s="1"/>
  <c r="E184" i="28"/>
  <c r="D31" i="48" s="1"/>
  <c r="E25" i="28"/>
  <c r="D22" i="44" s="1"/>
  <c r="O226" i="31"/>
  <c r="O237" i="31"/>
  <c r="O236" i="31" s="1"/>
  <c r="P86" i="31"/>
  <c r="Q85" i="31"/>
  <c r="P235" i="31" l="1"/>
  <c r="F15" i="57" s="1"/>
  <c r="G675" i="27"/>
  <c r="Q88" i="31"/>
  <c r="Q87" i="31"/>
  <c r="Q235" i="31" s="1"/>
  <c r="M61" i="31"/>
  <c r="F14" i="52"/>
  <c r="M165" i="27"/>
  <c r="H663" i="27"/>
  <c r="H664" i="27" s="1"/>
  <c r="M200" i="28"/>
  <c r="M183" i="28"/>
  <c r="M21" i="28"/>
  <c r="I123" i="28"/>
  <c r="I185" i="28"/>
  <c r="Q149" i="27"/>
  <c r="O160" i="27"/>
  <c r="N160" i="27"/>
  <c r="O666" i="27"/>
  <c r="O673" i="27" s="1"/>
  <c r="L183" i="28"/>
  <c r="E30" i="48" s="1"/>
  <c r="L21" i="28"/>
  <c r="E18" i="44" s="1"/>
  <c r="N25" i="28"/>
  <c r="N122" i="28"/>
  <c r="N191" i="28"/>
  <c r="N184" i="28"/>
  <c r="O7" i="28"/>
  <c r="P8" i="28"/>
  <c r="P7" i="28" s="1"/>
  <c r="E123" i="28"/>
  <c r="D5" i="47" s="1"/>
  <c r="E185" i="28"/>
  <c r="D32" i="48" s="1"/>
  <c r="O61" i="31"/>
  <c r="P226" i="31"/>
  <c r="F6" i="57" s="1"/>
  <c r="P237" i="31"/>
  <c r="P236" i="31" s="1"/>
  <c r="F16" i="57" s="1"/>
  <c r="Q86" i="31"/>
  <c r="R85" i="31"/>
  <c r="R149" i="27" s="1"/>
  <c r="R152" i="27" s="1"/>
  <c r="R88" i="31" l="1"/>
  <c r="R87" i="31"/>
  <c r="F4" i="44"/>
  <c r="Q152" i="27"/>
  <c r="Q150" i="27" s="1"/>
  <c r="F17" i="57"/>
  <c r="H675" i="27"/>
  <c r="F5" i="44"/>
  <c r="R150" i="27"/>
  <c r="R235" i="31"/>
  <c r="Q158" i="27"/>
  <c r="P159" i="27"/>
  <c r="F39" i="38" s="1"/>
  <c r="M191" i="28"/>
  <c r="M25" i="28"/>
  <c r="M122" i="28"/>
  <c r="M184" i="28"/>
  <c r="O46" i="28"/>
  <c r="O165" i="27"/>
  <c r="O165" i="28"/>
  <c r="O162" i="28"/>
  <c r="O161" i="28"/>
  <c r="O163" i="28"/>
  <c r="O159" i="28"/>
  <c r="O168" i="28"/>
  <c r="O166" i="28"/>
  <c r="O170" i="28"/>
  <c r="O157" i="28"/>
  <c r="O171" i="28"/>
  <c r="O167" i="28"/>
  <c r="O173" i="28"/>
  <c r="O169" i="28"/>
  <c r="O164" i="28"/>
  <c r="O160" i="28"/>
  <c r="O202" i="28"/>
  <c r="O158" i="28"/>
  <c r="O15" i="28"/>
  <c r="O180" i="28"/>
  <c r="N185" i="28"/>
  <c r="N123" i="28"/>
  <c r="L25" i="28"/>
  <c r="E22" i="44" s="1"/>
  <c r="L191" i="28"/>
  <c r="E38" i="48" s="1"/>
  <c r="L184" i="28"/>
  <c r="E31" i="48" s="1"/>
  <c r="L122" i="28"/>
  <c r="E4" i="47" s="1"/>
  <c r="O196" i="28"/>
  <c r="N46" i="28"/>
  <c r="N165" i="27"/>
  <c r="R158" i="27"/>
  <c r="P167" i="28"/>
  <c r="P159" i="28"/>
  <c r="P173" i="28"/>
  <c r="P169" i="28"/>
  <c r="P164" i="28"/>
  <c r="P170" i="28"/>
  <c r="P165" i="28"/>
  <c r="P157" i="28"/>
  <c r="P161" i="28"/>
  <c r="P162" i="28"/>
  <c r="P171" i="28"/>
  <c r="P163" i="28"/>
  <c r="P168" i="28"/>
  <c r="P166" i="28"/>
  <c r="P202" i="28"/>
  <c r="P160" i="28"/>
  <c r="P158" i="28"/>
  <c r="P15" i="28"/>
  <c r="P180" i="28"/>
  <c r="P61" i="31"/>
  <c r="F52" i="51" s="1"/>
  <c r="Q226" i="31"/>
  <c r="Q237" i="31"/>
  <c r="R86" i="31"/>
  <c r="S85" i="31"/>
  <c r="S149" i="27" s="1"/>
  <c r="S152" i="27" s="1"/>
  <c r="F27" i="48" l="1"/>
  <c r="F5" i="48"/>
  <c r="F7" i="48"/>
  <c r="F16" i="48"/>
  <c r="F14" i="48"/>
  <c r="F4" i="48"/>
  <c r="F13" i="48"/>
  <c r="F6" i="48"/>
  <c r="F8" i="48"/>
  <c r="F12" i="48"/>
  <c r="Q8" i="28"/>
  <c r="Q7" i="28" s="1"/>
  <c r="I663" i="27"/>
  <c r="I664" i="27" s="1"/>
  <c r="S87" i="31"/>
  <c r="S235" i="31" s="1"/>
  <c r="S88" i="31"/>
  <c r="F12" i="44"/>
  <c r="F11" i="48"/>
  <c r="F20" i="48"/>
  <c r="F18" i="48"/>
  <c r="F17" i="48"/>
  <c r="F15" i="48"/>
  <c r="F10" i="48"/>
  <c r="F9" i="48"/>
  <c r="S150" i="27"/>
  <c r="P666" i="27"/>
  <c r="P673" i="27" s="1"/>
  <c r="Q236" i="31"/>
  <c r="P196" i="28"/>
  <c r="P200" i="28" s="1"/>
  <c r="M185" i="28"/>
  <c r="M123" i="28"/>
  <c r="P160" i="27"/>
  <c r="F40" i="38" s="1"/>
  <c r="P21" i="28"/>
  <c r="P183" i="28"/>
  <c r="Q159" i="27"/>
  <c r="O200" i="28"/>
  <c r="L185" i="28"/>
  <c r="E32" i="48" s="1"/>
  <c r="L123" i="28"/>
  <c r="E5" i="47" s="1"/>
  <c r="S158" i="27"/>
  <c r="R8" i="28"/>
  <c r="R7" i="28" s="1"/>
  <c r="O21" i="28"/>
  <c r="O183" i="28"/>
  <c r="R226" i="31"/>
  <c r="R237" i="31"/>
  <c r="R236" i="31" s="1"/>
  <c r="S86" i="31"/>
  <c r="T85" i="31"/>
  <c r="T149" i="27" s="1"/>
  <c r="T152" i="27" s="1"/>
  <c r="G34" i="38" s="1"/>
  <c r="F18" i="44" l="1"/>
  <c r="F30" i="48"/>
  <c r="I675" i="27"/>
  <c r="J663" i="27" s="1"/>
  <c r="J664" i="27" s="1"/>
  <c r="Q61" i="31"/>
  <c r="G13" i="52"/>
  <c r="T88" i="31"/>
  <c r="G16" i="52" s="1"/>
  <c r="T87" i="31"/>
  <c r="G15" i="52" s="1"/>
  <c r="G32" i="38"/>
  <c r="T150" i="27"/>
  <c r="G33" i="38" s="1"/>
  <c r="Q179" i="28"/>
  <c r="G26" i="48" s="1"/>
  <c r="Q202" i="28"/>
  <c r="Q166" i="28"/>
  <c r="Q163" i="28"/>
  <c r="Q159" i="28"/>
  <c r="Q158" i="28"/>
  <c r="Q162" i="28"/>
  <c r="Q167" i="28"/>
  <c r="Q169" i="28"/>
  <c r="Q165" i="28"/>
  <c r="Q15" i="28"/>
  <c r="Q160" i="28"/>
  <c r="Q168" i="28"/>
  <c r="Q157" i="28"/>
  <c r="Q171" i="28"/>
  <c r="Q170" i="28"/>
  <c r="Q164" i="28"/>
  <c r="Q173" i="28"/>
  <c r="Q161" i="28"/>
  <c r="Q160" i="27"/>
  <c r="O25" i="28"/>
  <c r="O122" i="28"/>
  <c r="O191" i="28"/>
  <c r="O184" i="28"/>
  <c r="S8" i="28"/>
  <c r="S159" i="27"/>
  <c r="P25" i="28"/>
  <c r="P191" i="28"/>
  <c r="P184" i="28"/>
  <c r="P122" i="28"/>
  <c r="P46" i="28"/>
  <c r="F4" i="45" s="1"/>
  <c r="P165" i="27"/>
  <c r="T158" i="27"/>
  <c r="G38" i="38" s="1"/>
  <c r="R159" i="27"/>
  <c r="R167" i="28"/>
  <c r="R173" i="28"/>
  <c r="R162" i="28"/>
  <c r="R157" i="28"/>
  <c r="R163" i="28"/>
  <c r="R168" i="28"/>
  <c r="R164" i="28"/>
  <c r="R165" i="28"/>
  <c r="R159" i="28"/>
  <c r="R161" i="28"/>
  <c r="R171" i="28"/>
  <c r="R169" i="28"/>
  <c r="R166" i="28"/>
  <c r="R170" i="28"/>
  <c r="R160" i="28"/>
  <c r="R202" i="28"/>
  <c r="R158" i="28"/>
  <c r="R15" i="28"/>
  <c r="R180" i="28"/>
  <c r="Q666" i="27"/>
  <c r="Q673" i="27" s="1"/>
  <c r="Q196" i="28"/>
  <c r="R61" i="31"/>
  <c r="S226" i="31"/>
  <c r="S237" i="31"/>
  <c r="S236" i="31" s="1"/>
  <c r="T86" i="31"/>
  <c r="G14" i="52" s="1"/>
  <c r="U85" i="31"/>
  <c r="T235" i="31" l="1"/>
  <c r="G15" i="57" s="1"/>
  <c r="F31" i="48"/>
  <c r="J675" i="27"/>
  <c r="F38" i="48"/>
  <c r="F22" i="44"/>
  <c r="Q21" i="28"/>
  <c r="Q184" i="28" s="1"/>
  <c r="U87" i="31"/>
  <c r="U88" i="31"/>
  <c r="F4" i="47"/>
  <c r="Q165" i="27"/>
  <c r="K663" i="27"/>
  <c r="K664" i="27" s="1"/>
  <c r="Q180" i="28"/>
  <c r="Q183" i="28"/>
  <c r="Q46" i="28"/>
  <c r="U149" i="27"/>
  <c r="S160" i="27"/>
  <c r="Q200" i="28"/>
  <c r="R183" i="28"/>
  <c r="R21" i="28"/>
  <c r="R160" i="27"/>
  <c r="P185" i="28"/>
  <c r="P123" i="28"/>
  <c r="S666" i="27"/>
  <c r="S673" i="27" s="1"/>
  <c r="Q25" i="28"/>
  <c r="R666" i="27"/>
  <c r="R673" i="27" s="1"/>
  <c r="R196" i="28"/>
  <c r="R200" i="28" s="1"/>
  <c r="T8" i="28"/>
  <c r="T7" i="28" s="1"/>
  <c r="T159" i="27"/>
  <c r="G39" i="38" s="1"/>
  <c r="S7" i="28"/>
  <c r="G4" i="44" s="1"/>
  <c r="O185" i="28"/>
  <c r="O123" i="28"/>
  <c r="S61" i="31"/>
  <c r="T226" i="31"/>
  <c r="G6" i="57" s="1"/>
  <c r="T237" i="31"/>
  <c r="T236" i="31" s="1"/>
  <c r="G16" i="57" s="1"/>
  <c r="U86" i="31"/>
  <c r="V85" i="31"/>
  <c r="V149" i="27" s="1"/>
  <c r="V152" i="27" s="1"/>
  <c r="F32" i="48" l="1"/>
  <c r="F5" i="47"/>
  <c r="Q122" i="28"/>
  <c r="G17" i="57"/>
  <c r="V87" i="31"/>
  <c r="V235" i="31" s="1"/>
  <c r="V88" i="31"/>
  <c r="U235" i="31"/>
  <c r="Q191" i="28"/>
  <c r="K675" i="27"/>
  <c r="G5" i="44"/>
  <c r="U152" i="27"/>
  <c r="V150" i="27"/>
  <c r="U150" i="27"/>
  <c r="U158" i="27"/>
  <c r="S196" i="28"/>
  <c r="S200" i="28" s="1"/>
  <c r="S46" i="28"/>
  <c r="V158" i="27"/>
  <c r="T666" i="27"/>
  <c r="T673" i="27" s="1"/>
  <c r="T196" i="28"/>
  <c r="T200" i="28" s="1"/>
  <c r="T167" i="28"/>
  <c r="T173" i="28"/>
  <c r="T163" i="28"/>
  <c r="T157" i="28"/>
  <c r="T171" i="28"/>
  <c r="T169" i="28"/>
  <c r="T164" i="28"/>
  <c r="T162" i="28"/>
  <c r="T165" i="28"/>
  <c r="T159" i="28"/>
  <c r="T161" i="28"/>
  <c r="T168" i="28"/>
  <c r="T166" i="28"/>
  <c r="T170" i="28"/>
  <c r="T202" i="28"/>
  <c r="T160" i="28"/>
  <c r="T158" i="28"/>
  <c r="T15" i="28"/>
  <c r="T180" i="28"/>
  <c r="R46" i="28"/>
  <c r="R165" i="27"/>
  <c r="R191" i="28"/>
  <c r="R184" i="28"/>
  <c r="R25" i="28"/>
  <c r="R122" i="28"/>
  <c r="S165" i="28"/>
  <c r="S159" i="28"/>
  <c r="S157" i="28"/>
  <c r="G4" i="48" s="1"/>
  <c r="S163" i="28"/>
  <c r="G10" i="48" s="1"/>
  <c r="S173" i="28"/>
  <c r="S169" i="28"/>
  <c r="S166" i="28"/>
  <c r="S162" i="28"/>
  <c r="S167" i="28"/>
  <c r="S161" i="28"/>
  <c r="S171" i="28"/>
  <c r="S168" i="28"/>
  <c r="S164" i="28"/>
  <c r="S170" i="28"/>
  <c r="S202" i="28"/>
  <c r="S160" i="28"/>
  <c r="S158" i="28"/>
  <c r="S15" i="28"/>
  <c r="S180" i="28"/>
  <c r="Q123" i="28"/>
  <c r="Q185" i="28"/>
  <c r="S165" i="27"/>
  <c r="T61" i="31"/>
  <c r="G52" i="51" s="1"/>
  <c r="U226" i="31"/>
  <c r="U237" i="31"/>
  <c r="V86" i="31"/>
  <c r="W85" i="31"/>
  <c r="W149" i="27" s="1"/>
  <c r="W152" i="27" s="1"/>
  <c r="G20" i="48" l="1"/>
  <c r="G8" i="48"/>
  <c r="G27" i="48"/>
  <c r="G5" i="48"/>
  <c r="G11" i="48"/>
  <c r="G18" i="48"/>
  <c r="G14" i="48"/>
  <c r="G13" i="48"/>
  <c r="G12" i="48"/>
  <c r="G12" i="44"/>
  <c r="G7" i="48"/>
  <c r="G17" i="48"/>
  <c r="G15" i="48"/>
  <c r="G9" i="48"/>
  <c r="G16" i="48"/>
  <c r="G6" i="48"/>
  <c r="W87" i="31"/>
  <c r="W88" i="31"/>
  <c r="U8" i="28"/>
  <c r="U7" i="28" s="1"/>
  <c r="L663" i="27"/>
  <c r="L664" i="27" s="1"/>
  <c r="W150" i="27"/>
  <c r="U236" i="31"/>
  <c r="U159" i="27"/>
  <c r="W158" i="27"/>
  <c r="W8" i="28" s="1"/>
  <c r="W7" i="28" s="1"/>
  <c r="S21" i="28"/>
  <c r="S183" i="28"/>
  <c r="T160" i="27"/>
  <c r="G40" i="38" s="1"/>
  <c r="R123" i="28"/>
  <c r="R185" i="28"/>
  <c r="T183" i="28"/>
  <c r="T21" i="28"/>
  <c r="V8" i="28"/>
  <c r="V7" i="28" s="1"/>
  <c r="V159" i="27"/>
  <c r="V226" i="31"/>
  <c r="V237" i="31"/>
  <c r="V236" i="31" s="1"/>
  <c r="W86" i="31"/>
  <c r="X85" i="31"/>
  <c r="X149" i="27" s="1"/>
  <c r="X152" i="27" s="1"/>
  <c r="H34" i="38" s="1"/>
  <c r="L675" i="27" l="1"/>
  <c r="M663" i="27" s="1"/>
  <c r="M664" i="27" s="1"/>
  <c r="X88" i="31"/>
  <c r="H16" i="52" s="1"/>
  <c r="X87" i="31"/>
  <c r="H15" i="52" s="1"/>
  <c r="G18" i="44"/>
  <c r="U179" i="28"/>
  <c r="H26" i="48" s="1"/>
  <c r="W235" i="31"/>
  <c r="G30" i="48"/>
  <c r="U666" i="27"/>
  <c r="U673" i="27" s="1"/>
  <c r="H13" i="52"/>
  <c r="H32" i="38"/>
  <c r="U61" i="31"/>
  <c r="X150" i="27"/>
  <c r="H33" i="38" s="1"/>
  <c r="U196" i="28"/>
  <c r="U173" i="28"/>
  <c r="U161" i="28"/>
  <c r="U170" i="28"/>
  <c r="U15" i="28"/>
  <c r="U157" i="28"/>
  <c r="U169" i="28"/>
  <c r="U168" i="28"/>
  <c r="U162" i="28"/>
  <c r="U167" i="28"/>
  <c r="U166" i="28"/>
  <c r="U160" i="28"/>
  <c r="U158" i="28"/>
  <c r="U165" i="28"/>
  <c r="U163" i="28"/>
  <c r="U164" i="28"/>
  <c r="U171" i="28"/>
  <c r="U159" i="28"/>
  <c r="U202" i="28"/>
  <c r="U160" i="27"/>
  <c r="X158" i="27"/>
  <c r="H38" i="38" s="1"/>
  <c r="V160" i="27"/>
  <c r="V666" i="27"/>
  <c r="V673" i="27" s="1"/>
  <c r="V196" i="28"/>
  <c r="V200" i="28" s="1"/>
  <c r="V157" i="28"/>
  <c r="V161" i="28"/>
  <c r="V163" i="28"/>
  <c r="V162" i="28"/>
  <c r="V168" i="28"/>
  <c r="V164" i="28"/>
  <c r="V170" i="28"/>
  <c r="V167" i="28"/>
  <c r="V165" i="28"/>
  <c r="V159" i="28"/>
  <c r="V171" i="28"/>
  <c r="V173" i="28"/>
  <c r="V169" i="28"/>
  <c r="V166" i="28"/>
  <c r="V202" i="28"/>
  <c r="V160" i="28"/>
  <c r="V158" i="28"/>
  <c r="V15" i="28"/>
  <c r="V180" i="28"/>
  <c r="T184" i="28"/>
  <c r="T122" i="28"/>
  <c r="T25" i="28"/>
  <c r="T191" i="28"/>
  <c r="T46" i="28"/>
  <c r="G4" i="45" s="1"/>
  <c r="T165" i="27"/>
  <c r="S122" i="28"/>
  <c r="S191" i="28"/>
  <c r="G38" i="48" s="1"/>
  <c r="S184" i="28"/>
  <c r="G31" i="48" s="1"/>
  <c r="S25" i="28"/>
  <c r="W167" i="28"/>
  <c r="W171" i="28"/>
  <c r="W163" i="28"/>
  <c r="W161" i="28"/>
  <c r="W169" i="28"/>
  <c r="W159" i="28"/>
  <c r="W164" i="28"/>
  <c r="W170" i="28"/>
  <c r="W165" i="28"/>
  <c r="W173" i="28"/>
  <c r="W162" i="28"/>
  <c r="W157" i="28"/>
  <c r="W168" i="28"/>
  <c r="W166" i="28"/>
  <c r="W202" i="28"/>
  <c r="W160" i="28"/>
  <c r="W158" i="28"/>
  <c r="W15" i="28"/>
  <c r="W180" i="28"/>
  <c r="V61" i="31"/>
  <c r="W226" i="31"/>
  <c r="W237" i="31"/>
  <c r="X86" i="31"/>
  <c r="Y85" i="31"/>
  <c r="U180" i="28" l="1"/>
  <c r="G22" i="44"/>
  <c r="X235" i="31"/>
  <c r="M675" i="27"/>
  <c r="Y88" i="31"/>
  <c r="Y87" i="31"/>
  <c r="H15" i="57"/>
  <c r="N663" i="27"/>
  <c r="N664" i="27" s="1"/>
  <c r="W236" i="31"/>
  <c r="G4" i="47"/>
  <c r="U46" i="28"/>
  <c r="U200" i="28"/>
  <c r="H14" i="52"/>
  <c r="Y149" i="27"/>
  <c r="U165" i="27"/>
  <c r="U21" i="28"/>
  <c r="U183" i="28"/>
  <c r="V46" i="28"/>
  <c r="S123" i="28"/>
  <c r="S185" i="28"/>
  <c r="T185" i="28"/>
  <c r="T123" i="28"/>
  <c r="V21" i="28"/>
  <c r="V183" i="28"/>
  <c r="V165" i="27"/>
  <c r="W159" i="27"/>
  <c r="W160" i="27"/>
  <c r="W21" i="28"/>
  <c r="W183" i="28"/>
  <c r="X8" i="28"/>
  <c r="W61" i="31"/>
  <c r="Y235" i="31"/>
  <c r="X226" i="31"/>
  <c r="H6" i="57" s="1"/>
  <c r="X237" i="31"/>
  <c r="X236" i="31" s="1"/>
  <c r="Y86" i="31"/>
  <c r="Z85" i="31"/>
  <c r="Z149" i="27" s="1"/>
  <c r="Z152" i="27" s="1"/>
  <c r="G5" i="47" l="1"/>
  <c r="N675" i="27"/>
  <c r="H16" i="57"/>
  <c r="Z87" i="31"/>
  <c r="Z88" i="31"/>
  <c r="H5" i="44"/>
  <c r="G32" i="48"/>
  <c r="Y152" i="27"/>
  <c r="H17" i="57"/>
  <c r="O663" i="27"/>
  <c r="O664" i="27" s="1"/>
  <c r="Z150" i="27"/>
  <c r="Y150" i="27"/>
  <c r="Y158" i="27"/>
  <c r="Z235" i="31"/>
  <c r="U25" i="28"/>
  <c r="U122" i="28"/>
  <c r="U184" i="28"/>
  <c r="U191" i="28"/>
  <c r="X7" i="28"/>
  <c r="W46" i="28"/>
  <c r="Z158" i="27"/>
  <c r="W25" i="28"/>
  <c r="W122" i="28"/>
  <c r="W191" i="28"/>
  <c r="W184" i="28"/>
  <c r="W666" i="27"/>
  <c r="W673" i="27" s="1"/>
  <c r="W196" i="28"/>
  <c r="W165" i="27"/>
  <c r="V122" i="28"/>
  <c r="V191" i="28"/>
  <c r="V184" i="28"/>
  <c r="V25" i="28"/>
  <c r="X159" i="27"/>
  <c r="H39" i="38" s="1"/>
  <c r="X160" i="27"/>
  <c r="H40" i="38" s="1"/>
  <c r="X61" i="31"/>
  <c r="H52" i="51" s="1"/>
  <c r="Y226" i="31"/>
  <c r="Y237" i="31"/>
  <c r="Z86" i="31"/>
  <c r="AA85" i="31"/>
  <c r="AA149" i="27" s="1"/>
  <c r="AA152" i="27" s="1"/>
  <c r="O675" i="27" l="1"/>
  <c r="P663" i="27" s="1"/>
  <c r="P664" i="27" s="1"/>
  <c r="H4" i="44"/>
  <c r="Y8" i="28"/>
  <c r="AA88" i="31"/>
  <c r="AA87" i="31"/>
  <c r="AA150" i="27"/>
  <c r="Y236" i="31"/>
  <c r="X160" i="28"/>
  <c r="X157" i="28"/>
  <c r="X169" i="28"/>
  <c r="X162" i="28"/>
  <c r="X15" i="28"/>
  <c r="X170" i="28"/>
  <c r="X165" i="28"/>
  <c r="X166" i="28"/>
  <c r="X163" i="28"/>
  <c r="X180" i="28"/>
  <c r="H27" i="48" s="1"/>
  <c r="X158" i="28"/>
  <c r="X202" i="28"/>
  <c r="X164" i="28"/>
  <c r="X173" i="28"/>
  <c r="X171" i="28"/>
  <c r="X167" i="28"/>
  <c r="X168" i="28"/>
  <c r="X161" i="28"/>
  <c r="X159" i="28"/>
  <c r="Y7" i="28"/>
  <c r="W200" i="28"/>
  <c r="U123" i="28"/>
  <c r="U185" i="28"/>
  <c r="X46" i="28"/>
  <c r="V185" i="28"/>
  <c r="V123" i="28"/>
  <c r="W185" i="28"/>
  <c r="W123" i="28"/>
  <c r="AA158" i="27"/>
  <c r="X666" i="27"/>
  <c r="X673" i="27" s="1"/>
  <c r="X196" i="28"/>
  <c r="X200" i="28" s="1"/>
  <c r="X165" i="27"/>
  <c r="Z8" i="28"/>
  <c r="Z7" i="28" s="1"/>
  <c r="AA235" i="31"/>
  <c r="Z226" i="31"/>
  <c r="Z237" i="31"/>
  <c r="Z236" i="31" s="1"/>
  <c r="AA86" i="31"/>
  <c r="AB85" i="31"/>
  <c r="AB149" i="27" s="1"/>
  <c r="AB152" i="27" s="1"/>
  <c r="I34" i="38" s="1"/>
  <c r="Y173" i="28" l="1"/>
  <c r="H8" i="48"/>
  <c r="H14" i="48"/>
  <c r="H20" i="48"/>
  <c r="H13" i="48"/>
  <c r="H17" i="48"/>
  <c r="H9" i="48"/>
  <c r="H4" i="48"/>
  <c r="Y61" i="31"/>
  <c r="I13" i="52"/>
  <c r="H4" i="45"/>
  <c r="P675" i="27"/>
  <c r="AB88" i="31"/>
  <c r="I16" i="52" s="1"/>
  <c r="AB87" i="31"/>
  <c r="AB235" i="31" s="1"/>
  <c r="I15" i="57" s="1"/>
  <c r="H6" i="48"/>
  <c r="H15" i="48"/>
  <c r="H18" i="48"/>
  <c r="H11" i="48"/>
  <c r="H5" i="48"/>
  <c r="H10" i="48"/>
  <c r="H12" i="48"/>
  <c r="H12" i="44"/>
  <c r="H16" i="48"/>
  <c r="H7" i="48"/>
  <c r="I32" i="38"/>
  <c r="AB150" i="27"/>
  <c r="I33" i="38" s="1"/>
  <c r="Y159" i="27"/>
  <c r="Y163" i="28"/>
  <c r="Y15" i="28"/>
  <c r="Y167" i="28"/>
  <c r="Y170" i="28"/>
  <c r="Y166" i="28"/>
  <c r="X21" i="28"/>
  <c r="Y160" i="28"/>
  <c r="Y169" i="28"/>
  <c r="Y171" i="28"/>
  <c r="Y159" i="28"/>
  <c r="Y162" i="28"/>
  <c r="Y180" i="28"/>
  <c r="Y158" i="28"/>
  <c r="Y202" i="28"/>
  <c r="Y164" i="28"/>
  <c r="Y168" i="28"/>
  <c r="Y161" i="28"/>
  <c r="Y165" i="28"/>
  <c r="Y157" i="28"/>
  <c r="X183" i="28"/>
  <c r="H30" i="48" s="1"/>
  <c r="Y160" i="27"/>
  <c r="Z159" i="27"/>
  <c r="Z160" i="27"/>
  <c r="Z162" i="28"/>
  <c r="Z165" i="28"/>
  <c r="Z161" i="28"/>
  <c r="Z171" i="28"/>
  <c r="Z159" i="28"/>
  <c r="Z169" i="28"/>
  <c r="Z166" i="28"/>
  <c r="Z170" i="28"/>
  <c r="Z157" i="28"/>
  <c r="Z173" i="28"/>
  <c r="Z167" i="28"/>
  <c r="Z163" i="28"/>
  <c r="Z168" i="28"/>
  <c r="Z164" i="28"/>
  <c r="Z202" i="28"/>
  <c r="Z160" i="28"/>
  <c r="Z158" i="28"/>
  <c r="Z15" i="28"/>
  <c r="Z180" i="28"/>
  <c r="AA8" i="28"/>
  <c r="AA7" i="28" s="1"/>
  <c r="AA159" i="27"/>
  <c r="AB158" i="27"/>
  <c r="I38" i="38" s="1"/>
  <c r="Z61" i="31"/>
  <c r="AA226" i="31"/>
  <c r="AA237" i="31"/>
  <c r="AA236" i="31" s="1"/>
  <c r="AB86" i="31"/>
  <c r="AC85" i="31"/>
  <c r="I15" i="52" l="1"/>
  <c r="AC88" i="31"/>
  <c r="AC87" i="31"/>
  <c r="AC235" i="31" s="1"/>
  <c r="Y196" i="28"/>
  <c r="Q663" i="27"/>
  <c r="Q664" i="27" s="1"/>
  <c r="H18" i="44"/>
  <c r="Y183" i="28"/>
  <c r="Y46" i="28"/>
  <c r="I14" i="52"/>
  <c r="Y21" i="28"/>
  <c r="Y191" i="28" s="1"/>
  <c r="Y666" i="27"/>
  <c r="Y673" i="27" s="1"/>
  <c r="AC149" i="27"/>
  <c r="X191" i="28"/>
  <c r="X184" i="28"/>
  <c r="H31" i="48" s="1"/>
  <c r="X122" i="28"/>
  <c r="H4" i="47" s="1"/>
  <c r="X25" i="28"/>
  <c r="Y165" i="27"/>
  <c r="Y200" i="28"/>
  <c r="AA160" i="27"/>
  <c r="AA165" i="27" s="1"/>
  <c r="Z46" i="28"/>
  <c r="Z21" i="28"/>
  <c r="Z183" i="28"/>
  <c r="AB8" i="28"/>
  <c r="AB7" i="28" s="1"/>
  <c r="I4" i="44" s="1"/>
  <c r="AA666" i="27"/>
  <c r="AA673" i="27" s="1"/>
  <c r="AA196" i="28"/>
  <c r="AA200" i="28" s="1"/>
  <c r="AA167" i="28"/>
  <c r="AA159" i="28"/>
  <c r="AA162" i="28"/>
  <c r="AA165" i="28"/>
  <c r="AA171" i="28"/>
  <c r="AA168" i="28"/>
  <c r="AA166" i="28"/>
  <c r="AA170" i="28"/>
  <c r="AA173" i="28"/>
  <c r="AA157" i="28"/>
  <c r="AA163" i="28"/>
  <c r="AA161" i="28"/>
  <c r="AA169" i="28"/>
  <c r="AA164" i="28"/>
  <c r="AA202" i="28"/>
  <c r="AA160" i="28"/>
  <c r="AA158" i="28"/>
  <c r="AA15" i="28"/>
  <c r="AA180" i="28"/>
  <c r="Z666" i="27"/>
  <c r="Z673" i="27" s="1"/>
  <c r="Z196" i="28"/>
  <c r="Z200" i="28" s="1"/>
  <c r="Z165" i="27"/>
  <c r="AA61" i="31"/>
  <c r="AB226" i="31"/>
  <c r="I6" i="57" s="1"/>
  <c r="AB237" i="31"/>
  <c r="AB236" i="31" s="1"/>
  <c r="I16" i="57" s="1"/>
  <c r="AC86" i="31"/>
  <c r="AD85" i="31"/>
  <c r="AD149" i="27" s="1"/>
  <c r="AD152" i="27" s="1"/>
  <c r="H22" i="44" l="1"/>
  <c r="AC152" i="27"/>
  <c r="AC150" i="27" s="1"/>
  <c r="Y184" i="28"/>
  <c r="I17" i="57"/>
  <c r="Q675" i="27"/>
  <c r="AD88" i="31"/>
  <c r="AD87" i="31"/>
  <c r="AD235" i="31" s="1"/>
  <c r="H38" i="48"/>
  <c r="I5" i="44"/>
  <c r="Y25" i="28"/>
  <c r="Y185" i="28" s="1"/>
  <c r="Y122" i="28"/>
  <c r="AD150" i="27"/>
  <c r="AC158" i="27"/>
  <c r="X123" i="28"/>
  <c r="H5" i="47" s="1"/>
  <c r="X185" i="28"/>
  <c r="H32" i="48" s="1"/>
  <c r="AA46" i="28"/>
  <c r="AD158" i="27"/>
  <c r="Z122" i="28"/>
  <c r="Z25" i="28"/>
  <c r="Z191" i="28"/>
  <c r="Z184" i="28"/>
  <c r="AA21" i="28"/>
  <c r="AA183" i="28"/>
  <c r="AB159" i="27"/>
  <c r="I39" i="38" s="1"/>
  <c r="AB160" i="27"/>
  <c r="I40" i="38" s="1"/>
  <c r="AB167" i="28"/>
  <c r="I14" i="48" s="1"/>
  <c r="AB162" i="28"/>
  <c r="I9" i="48" s="1"/>
  <c r="AB165" i="28"/>
  <c r="I12" i="48" s="1"/>
  <c r="AB161" i="28"/>
  <c r="I8" i="48" s="1"/>
  <c r="AB169" i="28"/>
  <c r="I16" i="48" s="1"/>
  <c r="AB166" i="28"/>
  <c r="I13" i="48" s="1"/>
  <c r="AB159" i="28"/>
  <c r="I6" i="48" s="1"/>
  <c r="AB157" i="28"/>
  <c r="I4" i="48" s="1"/>
  <c r="AB173" i="28"/>
  <c r="I20" i="48" s="1"/>
  <c r="AB163" i="28"/>
  <c r="I10" i="48" s="1"/>
  <c r="AB171" i="28"/>
  <c r="I18" i="48" s="1"/>
  <c r="AB168" i="28"/>
  <c r="I15" i="48" s="1"/>
  <c r="AB164" i="28"/>
  <c r="I11" i="48" s="1"/>
  <c r="AB170" i="28"/>
  <c r="I17" i="48" s="1"/>
  <c r="AB202" i="28"/>
  <c r="AB160" i="28"/>
  <c r="I7" i="48" s="1"/>
  <c r="AB158" i="28"/>
  <c r="I5" i="48" s="1"/>
  <c r="AB15" i="28"/>
  <c r="I12" i="44" s="1"/>
  <c r="AB180" i="28"/>
  <c r="I27" i="48" s="1"/>
  <c r="AB61" i="31"/>
  <c r="I52" i="51" s="1"/>
  <c r="AC226" i="31"/>
  <c r="AC237" i="31"/>
  <c r="AD86" i="31"/>
  <c r="AE85" i="31"/>
  <c r="AE149" i="27" s="1"/>
  <c r="AE152" i="27" s="1"/>
  <c r="AC8" i="28" l="1"/>
  <c r="AC7" i="28" s="1"/>
  <c r="Y123" i="28"/>
  <c r="AE87" i="31"/>
  <c r="AE235" i="31" s="1"/>
  <c r="AE88" i="31"/>
  <c r="R663" i="27"/>
  <c r="R664" i="27" s="1"/>
  <c r="AE150" i="27"/>
  <c r="AC236" i="31"/>
  <c r="AB46" i="28"/>
  <c r="I4" i="45" s="1"/>
  <c r="AC159" i="27"/>
  <c r="AB183" i="28"/>
  <c r="I30" i="48" s="1"/>
  <c r="AB21" i="28"/>
  <c r="I18" i="44" s="1"/>
  <c r="AA184" i="28"/>
  <c r="AA122" i="28"/>
  <c r="AA25" i="28"/>
  <c r="AA191" i="28"/>
  <c r="AE158" i="27"/>
  <c r="AB666" i="27"/>
  <c r="AB673" i="27" s="1"/>
  <c r="AB196" i="28"/>
  <c r="AB165" i="27"/>
  <c r="Z185" i="28"/>
  <c r="Z123" i="28"/>
  <c r="AD8" i="28"/>
  <c r="AD7" i="28" s="1"/>
  <c r="AD226" i="31"/>
  <c r="AD237" i="31"/>
  <c r="AD236" i="31" s="1"/>
  <c r="AE86" i="31"/>
  <c r="AF85" i="31"/>
  <c r="AF149" i="27" s="1"/>
  <c r="AF152" i="27" s="1"/>
  <c r="J34" i="38" s="1"/>
  <c r="R675" i="27" l="1"/>
  <c r="S663" i="27" s="1"/>
  <c r="S664" i="27" s="1"/>
  <c r="AF87" i="31"/>
  <c r="AF235" i="31" s="1"/>
  <c r="J15" i="57" s="1"/>
  <c r="AF88" i="31"/>
  <c r="J16" i="52" s="1"/>
  <c r="AC61" i="31"/>
  <c r="AC163" i="28"/>
  <c r="J13" i="52"/>
  <c r="J32" i="38"/>
  <c r="J15" i="52"/>
  <c r="AF150" i="27"/>
  <c r="J33" i="38" s="1"/>
  <c r="AC202" i="28"/>
  <c r="AC180" i="28"/>
  <c r="AC165" i="28"/>
  <c r="AC169" i="28"/>
  <c r="AC158" i="28"/>
  <c r="AC164" i="28"/>
  <c r="AC167" i="28"/>
  <c r="AC171" i="28"/>
  <c r="AC159" i="28"/>
  <c r="AC15" i="28"/>
  <c r="AC160" i="28"/>
  <c r="AC170" i="28"/>
  <c r="AC162" i="28"/>
  <c r="AC157" i="28"/>
  <c r="AC173" i="28"/>
  <c r="AC166" i="28"/>
  <c r="AC168" i="28"/>
  <c r="AC161" i="28"/>
  <c r="AC160" i="27"/>
  <c r="AC46" i="28" s="1"/>
  <c r="AB200" i="28"/>
  <c r="AD159" i="27"/>
  <c r="AD160" i="27"/>
  <c r="AD163" i="28"/>
  <c r="AD171" i="28"/>
  <c r="AD168" i="28"/>
  <c r="AD161" i="28"/>
  <c r="AD165" i="28"/>
  <c r="AD164" i="28"/>
  <c r="AD162" i="28"/>
  <c r="AD159" i="28"/>
  <c r="AD173" i="28"/>
  <c r="AD167" i="28"/>
  <c r="AD157" i="28"/>
  <c r="AD169" i="28"/>
  <c r="AD166" i="28"/>
  <c r="AD170" i="28"/>
  <c r="AD160" i="28"/>
  <c r="AD202" i="28"/>
  <c r="AD158" i="28"/>
  <c r="AD15" i="28"/>
  <c r="AD180" i="28"/>
  <c r="AE8" i="28"/>
  <c r="AE7" i="28" s="1"/>
  <c r="AE159" i="27"/>
  <c r="AA123" i="28"/>
  <c r="AA185" i="28"/>
  <c r="AF158" i="27"/>
  <c r="J38" i="38" s="1"/>
  <c r="AB122" i="28"/>
  <c r="I4" i="47" s="1"/>
  <c r="AB191" i="28"/>
  <c r="AB184" i="28"/>
  <c r="I31" i="48" s="1"/>
  <c r="AB25" i="28"/>
  <c r="AC666" i="27"/>
  <c r="AC673" i="27" s="1"/>
  <c r="AC196" i="28"/>
  <c r="AD61" i="31"/>
  <c r="AE226" i="31"/>
  <c r="AE237" i="31"/>
  <c r="AE236" i="31" s="1"/>
  <c r="AF86" i="31"/>
  <c r="J14" i="52" s="1"/>
  <c r="AG85" i="31"/>
  <c r="AC165" i="27" l="1"/>
  <c r="S675" i="27"/>
  <c r="AG88" i="31"/>
  <c r="AG87" i="31"/>
  <c r="AG235" i="31" s="1"/>
  <c r="AC21" i="28"/>
  <c r="AC122" i="28" s="1"/>
  <c r="I22" i="44"/>
  <c r="I38" i="48"/>
  <c r="AC183" i="28"/>
  <c r="AG149" i="27"/>
  <c r="AC200" i="28"/>
  <c r="AE160" i="27"/>
  <c r="AE165" i="27" s="1"/>
  <c r="AD46" i="28"/>
  <c r="AF8" i="28"/>
  <c r="AF7" i="28" s="1"/>
  <c r="J4" i="44" s="1"/>
  <c r="AD21" i="28"/>
  <c r="AD183" i="28"/>
  <c r="AB123" i="28"/>
  <c r="I5" i="47" s="1"/>
  <c r="AB185" i="28"/>
  <c r="I32" i="48" s="1"/>
  <c r="AE666" i="27"/>
  <c r="AE673" i="27" s="1"/>
  <c r="AE196" i="28"/>
  <c r="AE200" i="28" s="1"/>
  <c r="AE161" i="28"/>
  <c r="AE157" i="28"/>
  <c r="AE165" i="28"/>
  <c r="AE171" i="28"/>
  <c r="AE169" i="28"/>
  <c r="AE166" i="28"/>
  <c r="AE167" i="28"/>
  <c r="AE173" i="28"/>
  <c r="AE162" i="28"/>
  <c r="AE159" i="28"/>
  <c r="AE163" i="28"/>
  <c r="AE168" i="28"/>
  <c r="AE164" i="28"/>
  <c r="AE170" i="28"/>
  <c r="AE202" i="28"/>
  <c r="AE160" i="28"/>
  <c r="AE158" i="28"/>
  <c r="AE15" i="28"/>
  <c r="AE180" i="28"/>
  <c r="AD666" i="27"/>
  <c r="AD673" i="27" s="1"/>
  <c r="AD196" i="28"/>
  <c r="AD200" i="28" s="1"/>
  <c r="AD165" i="27"/>
  <c r="AE61" i="31"/>
  <c r="AF226" i="31"/>
  <c r="J6" i="57" s="1"/>
  <c r="AF237" i="31"/>
  <c r="AF236" i="31" s="1"/>
  <c r="J16" i="57" s="1"/>
  <c r="AG86" i="31"/>
  <c r="AH85" i="31"/>
  <c r="AH149" i="27" s="1"/>
  <c r="AH152" i="27" s="1"/>
  <c r="AC191" i="28" l="1"/>
  <c r="AG152" i="27"/>
  <c r="AG150" i="27" s="1"/>
  <c r="J5" i="44"/>
  <c r="J17" i="57"/>
  <c r="AH87" i="31"/>
  <c r="AH88" i="31"/>
  <c r="AC25" i="28"/>
  <c r="AC123" i="28" s="1"/>
  <c r="AC184" i="28"/>
  <c r="T663" i="27"/>
  <c r="T664" i="27" s="1"/>
  <c r="AH150" i="27"/>
  <c r="AG158" i="27"/>
  <c r="AE46" i="28"/>
  <c r="AC185" i="28"/>
  <c r="AD25" i="28"/>
  <c r="AD184" i="28"/>
  <c r="AD191" i="28"/>
  <c r="AD122" i="28"/>
  <c r="AF159" i="28"/>
  <c r="J6" i="48" s="1"/>
  <c r="AF167" i="28"/>
  <c r="J14" i="48" s="1"/>
  <c r="AF171" i="28"/>
  <c r="J18" i="48" s="1"/>
  <c r="AF157" i="28"/>
  <c r="J4" i="48" s="1"/>
  <c r="AF173" i="28"/>
  <c r="J20" i="48" s="1"/>
  <c r="AF169" i="28"/>
  <c r="J16" i="48" s="1"/>
  <c r="AF166" i="28"/>
  <c r="J13" i="48" s="1"/>
  <c r="AF168" i="28"/>
  <c r="J15" i="48" s="1"/>
  <c r="AF165" i="28"/>
  <c r="J12" i="48" s="1"/>
  <c r="AF162" i="28"/>
  <c r="J9" i="48" s="1"/>
  <c r="AF163" i="28"/>
  <c r="J10" i="48" s="1"/>
  <c r="AF161" i="28"/>
  <c r="J8" i="48" s="1"/>
  <c r="AF164" i="28"/>
  <c r="J11" i="48" s="1"/>
  <c r="AF170" i="28"/>
  <c r="J17" i="48" s="1"/>
  <c r="AF202" i="28"/>
  <c r="AF160" i="28"/>
  <c r="J7" i="48" s="1"/>
  <c r="AF158" i="28"/>
  <c r="J5" i="48" s="1"/>
  <c r="AF15" i="28"/>
  <c r="J12" i="44" s="1"/>
  <c r="AF180" i="28"/>
  <c r="J27" i="48" s="1"/>
  <c r="AH158" i="27"/>
  <c r="AE21" i="28"/>
  <c r="AE183" i="28"/>
  <c r="AF160" i="27"/>
  <c r="J40" i="38" s="1"/>
  <c r="AF159" i="27"/>
  <c r="J39" i="38" s="1"/>
  <c r="AF61" i="31"/>
  <c r="J52" i="51" s="1"/>
  <c r="AG226" i="31"/>
  <c r="AG237" i="31"/>
  <c r="AH86" i="31"/>
  <c r="AI85" i="31"/>
  <c r="AI149" i="27" s="1"/>
  <c r="AI152" i="27" s="1"/>
  <c r="T675" i="27" l="1"/>
  <c r="AG8" i="28"/>
  <c r="AG7" i="28" s="1"/>
  <c r="AI87" i="31"/>
  <c r="AI235" i="31" s="1"/>
  <c r="AI88" i="31"/>
  <c r="U663" i="27"/>
  <c r="U664" i="27" s="1"/>
  <c r="AI150" i="27"/>
  <c r="AG236" i="31"/>
  <c r="AH235" i="31"/>
  <c r="AF46" i="28"/>
  <c r="J4" i="45" s="1"/>
  <c r="AI158" i="27"/>
  <c r="AF666" i="27"/>
  <c r="AF673" i="27" s="1"/>
  <c r="AF196" i="28"/>
  <c r="AF165" i="27"/>
  <c r="AD123" i="28"/>
  <c r="AD185" i="28"/>
  <c r="AG159" i="27"/>
  <c r="AE122" i="28"/>
  <c r="AE25" i="28"/>
  <c r="AE184" i="28"/>
  <c r="AE191" i="28"/>
  <c r="AH8" i="28"/>
  <c r="AH7" i="28" s="1"/>
  <c r="AH159" i="27"/>
  <c r="AF21" i="28"/>
  <c r="J18" i="44" s="1"/>
  <c r="AF183" i="28"/>
  <c r="J30" i="48" s="1"/>
  <c r="AH226" i="31"/>
  <c r="AH237" i="31"/>
  <c r="AH236" i="31" s="1"/>
  <c r="AI86" i="31"/>
  <c r="AJ85" i="31"/>
  <c r="AJ149" i="27" s="1"/>
  <c r="AJ152" i="27" s="1"/>
  <c r="K34" i="38" s="1"/>
  <c r="AJ88" i="31" l="1"/>
  <c r="K16" i="52" s="1"/>
  <c r="AJ87" i="31"/>
  <c r="AJ235" i="31" s="1"/>
  <c r="K15" i="57" s="1"/>
  <c r="AG161" i="28"/>
  <c r="AG61" i="31"/>
  <c r="U675" i="27"/>
  <c r="K15" i="52"/>
  <c r="K32" i="38"/>
  <c r="K13" i="52"/>
  <c r="AJ150" i="27"/>
  <c r="K33" i="38" s="1"/>
  <c r="AG202" i="28"/>
  <c r="AG167" i="28"/>
  <c r="AG180" i="28"/>
  <c r="AG173" i="28"/>
  <c r="AG168" i="28"/>
  <c r="AG158" i="28"/>
  <c r="AG164" i="28"/>
  <c r="AG163" i="28"/>
  <c r="AG162" i="28"/>
  <c r="AG15" i="28"/>
  <c r="AG183" i="28" s="1"/>
  <c r="AG160" i="28"/>
  <c r="AG170" i="28"/>
  <c r="AG169" i="28"/>
  <c r="AG171" i="28"/>
  <c r="AG165" i="28"/>
  <c r="AG166" i="28"/>
  <c r="AG157" i="28"/>
  <c r="AG159" i="28"/>
  <c r="AG160" i="27"/>
  <c r="AG165" i="27" s="1"/>
  <c r="AF200" i="28"/>
  <c r="AJ158" i="27"/>
  <c r="K38" i="38" s="1"/>
  <c r="AH666" i="27"/>
  <c r="AH673" i="27" s="1"/>
  <c r="AH196" i="28"/>
  <c r="AH200" i="28" s="1"/>
  <c r="AH162" i="28"/>
  <c r="AH159" i="28"/>
  <c r="AH171" i="28"/>
  <c r="AH163" i="28"/>
  <c r="AH168" i="28"/>
  <c r="AH169" i="28"/>
  <c r="AH166" i="28"/>
  <c r="AH165" i="28"/>
  <c r="AH173" i="28"/>
  <c r="AH161" i="28"/>
  <c r="AH167" i="28"/>
  <c r="AH157" i="28"/>
  <c r="AH164" i="28"/>
  <c r="AH170" i="28"/>
  <c r="AH160" i="28"/>
  <c r="AH202" i="28"/>
  <c r="AH158" i="28"/>
  <c r="AH15" i="28"/>
  <c r="AH180" i="28"/>
  <c r="AI8" i="28"/>
  <c r="AI7" i="28" s="1"/>
  <c r="AF25" i="28"/>
  <c r="J22" i="44" s="1"/>
  <c r="AF122" i="28"/>
  <c r="J4" i="47" s="1"/>
  <c r="AF184" i="28"/>
  <c r="J31" i="48" s="1"/>
  <c r="AF191" i="28"/>
  <c r="J38" i="48" s="1"/>
  <c r="AE185" i="28"/>
  <c r="AE123" i="28"/>
  <c r="AG666" i="27"/>
  <c r="AG673" i="27" s="1"/>
  <c r="AG196" i="28"/>
  <c r="AH160" i="27"/>
  <c r="AH61" i="31"/>
  <c r="AI226" i="31"/>
  <c r="AI237" i="31"/>
  <c r="AI236" i="31" s="1"/>
  <c r="AJ86" i="31"/>
  <c r="AK85" i="31"/>
  <c r="AK87" i="31" l="1"/>
  <c r="AK235" i="31" s="1"/>
  <c r="AK88" i="31"/>
  <c r="AG46" i="28"/>
  <c r="K14" i="52"/>
  <c r="V663" i="27"/>
  <c r="V664" i="27" s="1"/>
  <c r="AG21" i="28"/>
  <c r="AG191" i="28" s="1"/>
  <c r="AK149" i="27"/>
  <c r="AG200" i="28"/>
  <c r="AH46" i="28"/>
  <c r="AF123" i="28"/>
  <c r="J5" i="47" s="1"/>
  <c r="AF185" i="28"/>
  <c r="J32" i="48" s="1"/>
  <c r="AH165" i="27"/>
  <c r="AI159" i="27"/>
  <c r="AI160" i="27"/>
  <c r="AI171" i="28"/>
  <c r="AI163" i="28"/>
  <c r="AI157" i="28"/>
  <c r="AI162" i="28"/>
  <c r="AI159" i="28"/>
  <c r="AI169" i="28"/>
  <c r="AI166" i="28"/>
  <c r="AI167" i="28"/>
  <c r="AI173" i="28"/>
  <c r="AI165" i="28"/>
  <c r="AI161" i="28"/>
  <c r="AI168" i="28"/>
  <c r="AI164" i="28"/>
  <c r="AI170" i="28"/>
  <c r="AI202" i="28"/>
  <c r="AI160" i="28"/>
  <c r="AI158" i="28"/>
  <c r="AI15" i="28"/>
  <c r="AI180" i="28"/>
  <c r="AH183" i="28"/>
  <c r="AH21" i="28"/>
  <c r="AJ8" i="28"/>
  <c r="AJ7" i="28" s="1"/>
  <c r="K4" i="44" s="1"/>
  <c r="AI61" i="31"/>
  <c r="AJ226" i="31"/>
  <c r="K6" i="57" s="1"/>
  <c r="AJ237" i="31"/>
  <c r="AJ236" i="31" s="1"/>
  <c r="K16" i="57" s="1"/>
  <c r="AK86" i="31"/>
  <c r="AL85" i="31"/>
  <c r="AL149" i="27" s="1"/>
  <c r="AL152" i="27" s="1"/>
  <c r="AG122" i="28" l="1"/>
  <c r="AG184" i="28"/>
  <c r="AG25" i="28"/>
  <c r="AG185" i="28" s="1"/>
  <c r="K17" i="57"/>
  <c r="AL88" i="31"/>
  <c r="AL87" i="31"/>
  <c r="AL235" i="31" s="1"/>
  <c r="AK152" i="27"/>
  <c r="AK150" i="27" s="1"/>
  <c r="K5" i="44"/>
  <c r="V675" i="27"/>
  <c r="AL150" i="27"/>
  <c r="AK158" i="27"/>
  <c r="AI46" i="28"/>
  <c r="AG123" i="28"/>
  <c r="AH25" i="28"/>
  <c r="AH191" i="28"/>
  <c r="AH122" i="28"/>
  <c r="AH184" i="28"/>
  <c r="AI21" i="28"/>
  <c r="AI183" i="28"/>
  <c r="AL158" i="27"/>
  <c r="AJ165" i="28"/>
  <c r="K12" i="48" s="1"/>
  <c r="AJ163" i="28"/>
  <c r="K10" i="48" s="1"/>
  <c r="AJ157" i="28"/>
  <c r="K4" i="48" s="1"/>
  <c r="AJ168" i="28"/>
  <c r="K15" i="48" s="1"/>
  <c r="AJ159" i="28"/>
  <c r="K6" i="48" s="1"/>
  <c r="AJ169" i="28"/>
  <c r="K16" i="48" s="1"/>
  <c r="AJ166" i="28"/>
  <c r="K13" i="48" s="1"/>
  <c r="AJ171" i="28"/>
  <c r="K18" i="48" s="1"/>
  <c r="AJ161" i="28"/>
  <c r="K8" i="48" s="1"/>
  <c r="AJ167" i="28"/>
  <c r="K14" i="48" s="1"/>
  <c r="AJ162" i="28"/>
  <c r="K9" i="48" s="1"/>
  <c r="AJ173" i="28"/>
  <c r="K20" i="48" s="1"/>
  <c r="AJ164" i="28"/>
  <c r="K11" i="48" s="1"/>
  <c r="AJ170" i="28"/>
  <c r="K17" i="48" s="1"/>
  <c r="AJ202" i="28"/>
  <c r="AJ160" i="28"/>
  <c r="K7" i="48" s="1"/>
  <c r="AJ158" i="28"/>
  <c r="K5" i="48" s="1"/>
  <c r="AJ15" i="28"/>
  <c r="K12" i="44" s="1"/>
  <c r="AJ180" i="28"/>
  <c r="K27" i="48" s="1"/>
  <c r="AI666" i="27"/>
  <c r="AI673" i="27" s="1"/>
  <c r="AI196" i="28"/>
  <c r="AI165" i="27"/>
  <c r="AJ160" i="27"/>
  <c r="K40" i="38" s="1"/>
  <c r="AJ159" i="27"/>
  <c r="K39" i="38" s="1"/>
  <c r="AJ61" i="31"/>
  <c r="K52" i="51" s="1"/>
  <c r="AK226" i="31"/>
  <c r="AK237" i="31"/>
  <c r="AL86" i="31"/>
  <c r="AM85" i="31"/>
  <c r="AM149" i="27" s="1"/>
  <c r="AM152" i="27" s="1"/>
  <c r="AM88" i="31" l="1"/>
  <c r="AM87" i="31"/>
  <c r="AK8" i="28"/>
  <c r="W663" i="27"/>
  <c r="W664" i="27" s="1"/>
  <c r="AM150" i="27"/>
  <c r="AK236" i="31"/>
  <c r="AK7" i="28"/>
  <c r="AI200" i="28"/>
  <c r="AJ46" i="28"/>
  <c r="K4" i="45" s="1"/>
  <c r="AM158" i="27"/>
  <c r="AJ666" i="27"/>
  <c r="AJ673" i="27" s="1"/>
  <c r="AJ196" i="28"/>
  <c r="AJ200" i="28" s="1"/>
  <c r="AJ165" i="27"/>
  <c r="AJ183" i="28"/>
  <c r="K30" i="48" s="1"/>
  <c r="AJ21" i="28"/>
  <c r="K18" i="44" s="1"/>
  <c r="AL8" i="28"/>
  <c r="AL7" i="28" s="1"/>
  <c r="AH123" i="28"/>
  <c r="AH185" i="28"/>
  <c r="AK159" i="27"/>
  <c r="AI184" i="28"/>
  <c r="AI191" i="28"/>
  <c r="AI122" i="28"/>
  <c r="AI25" i="28"/>
  <c r="AM235" i="31"/>
  <c r="AL226" i="31"/>
  <c r="AL237" i="31"/>
  <c r="AL236" i="31" s="1"/>
  <c r="AM86" i="31"/>
  <c r="AN85" i="31"/>
  <c r="AN149" i="27" s="1"/>
  <c r="AN152" i="27" s="1"/>
  <c r="L34" i="38" s="1"/>
  <c r="W675" i="27" l="1"/>
  <c r="X663" i="27" s="1"/>
  <c r="X664" i="27" s="1"/>
  <c r="AK61" i="31"/>
  <c r="L32" i="38"/>
  <c r="AN88" i="31"/>
  <c r="L16" i="52" s="1"/>
  <c r="AN87" i="31"/>
  <c r="L15" i="52" s="1"/>
  <c r="AK161" i="28"/>
  <c r="L13" i="52"/>
  <c r="AN150" i="27"/>
  <c r="L33" i="38" s="1"/>
  <c r="AK170" i="28"/>
  <c r="AK164" i="28"/>
  <c r="AK15" i="28"/>
  <c r="AK173" i="28"/>
  <c r="AK171" i="28"/>
  <c r="AK160" i="28"/>
  <c r="AK157" i="28"/>
  <c r="AK167" i="28"/>
  <c r="AK159" i="28"/>
  <c r="AK179" i="28"/>
  <c r="L26" i="48" s="1"/>
  <c r="AK158" i="28"/>
  <c r="AK202" i="28"/>
  <c r="AK166" i="28"/>
  <c r="AK168" i="28"/>
  <c r="AK162" i="28"/>
  <c r="AK165" i="28"/>
  <c r="AK169" i="28"/>
  <c r="AK163" i="28"/>
  <c r="AK160" i="27"/>
  <c r="AN158" i="27"/>
  <c r="L38" i="38" s="1"/>
  <c r="AI185" i="28"/>
  <c r="AI123" i="28"/>
  <c r="AJ122" i="28"/>
  <c r="K4" i="47" s="1"/>
  <c r="AJ184" i="28"/>
  <c r="K31" i="48" s="1"/>
  <c r="AJ191" i="28"/>
  <c r="K38" i="48" s="1"/>
  <c r="AJ25" i="28"/>
  <c r="K22" i="44" s="1"/>
  <c r="AK666" i="27"/>
  <c r="AK673" i="27" s="1"/>
  <c r="AK196" i="28"/>
  <c r="AL159" i="27"/>
  <c r="AL160" i="27"/>
  <c r="AL173" i="28"/>
  <c r="AL159" i="28"/>
  <c r="AL157" i="28"/>
  <c r="AL163" i="28"/>
  <c r="AL165" i="28"/>
  <c r="AL164" i="28"/>
  <c r="AL161" i="28"/>
  <c r="AL168" i="28"/>
  <c r="AL167" i="28"/>
  <c r="AL162" i="28"/>
  <c r="AL171" i="28"/>
  <c r="AL169" i="28"/>
  <c r="AL166" i="28"/>
  <c r="AL170" i="28"/>
  <c r="AL202" i="28"/>
  <c r="AL160" i="28"/>
  <c r="AL158" i="28"/>
  <c r="AL15" i="28"/>
  <c r="AL180" i="28"/>
  <c r="AM8" i="28"/>
  <c r="AM7" i="28" s="1"/>
  <c r="AL61" i="31"/>
  <c r="AM226" i="31"/>
  <c r="AM237" i="31"/>
  <c r="AM236" i="31" s="1"/>
  <c r="AN86" i="31"/>
  <c r="AO85" i="31"/>
  <c r="AN235" i="31" l="1"/>
  <c r="L15" i="57" s="1"/>
  <c r="X675" i="27"/>
  <c r="AO87" i="31"/>
  <c r="AO235" i="31" s="1"/>
  <c r="AO88" i="31"/>
  <c r="L14" i="52"/>
  <c r="AK46" i="28"/>
  <c r="AK21" i="28"/>
  <c r="AK122" i="28" s="1"/>
  <c r="Y663" i="27"/>
  <c r="Y664" i="27" s="1"/>
  <c r="AK183" i="28"/>
  <c r="AK180" i="28"/>
  <c r="AK165" i="27"/>
  <c r="AO149" i="27"/>
  <c r="AK200" i="28"/>
  <c r="AL46" i="28"/>
  <c r="AJ123" i="28"/>
  <c r="K5" i="47" s="1"/>
  <c r="AJ185" i="28"/>
  <c r="K32" i="48" s="1"/>
  <c r="AN8" i="28"/>
  <c r="AN7" i="28" s="1"/>
  <c r="L4" i="44" s="1"/>
  <c r="AL21" i="28"/>
  <c r="AL183" i="28"/>
  <c r="AM159" i="28"/>
  <c r="AM163" i="28"/>
  <c r="AM165" i="28"/>
  <c r="AM157" i="28"/>
  <c r="AM169" i="28"/>
  <c r="AM164" i="28"/>
  <c r="AM167" i="28"/>
  <c r="AM161" i="28"/>
  <c r="AM168" i="28"/>
  <c r="AM162" i="28"/>
  <c r="AM171" i="28"/>
  <c r="AM173" i="28"/>
  <c r="AM166" i="28"/>
  <c r="AM170" i="28"/>
  <c r="AM202" i="28"/>
  <c r="AM160" i="28"/>
  <c r="AM158" i="28"/>
  <c r="AM15" i="28"/>
  <c r="AM180" i="28"/>
  <c r="AL666" i="27"/>
  <c r="AL673" i="27" s="1"/>
  <c r="AL196" i="28"/>
  <c r="AL200" i="28" s="1"/>
  <c r="AM160" i="27"/>
  <c r="AM159" i="27"/>
  <c r="AK191" i="28"/>
  <c r="AL165" i="27"/>
  <c r="AM61" i="31"/>
  <c r="AN226" i="31"/>
  <c r="L6" i="57" s="1"/>
  <c r="AN237" i="31"/>
  <c r="AN236" i="31" s="1"/>
  <c r="L16" i="57" s="1"/>
  <c r="AO86" i="31"/>
  <c r="AP85" i="31"/>
  <c r="AP149" i="27" s="1"/>
  <c r="AP152" i="27" s="1"/>
  <c r="AK25" i="28" l="1"/>
  <c r="AK185" i="28" s="1"/>
  <c r="AK184" i="28"/>
  <c r="AP87" i="31"/>
  <c r="AP88" i="31"/>
  <c r="AO152" i="27"/>
  <c r="L17" i="57"/>
  <c r="Y675" i="27"/>
  <c r="L5" i="44"/>
  <c r="AO150" i="27"/>
  <c r="AP150" i="27"/>
  <c r="AP235" i="31"/>
  <c r="AO158" i="27"/>
  <c r="AM46" i="28"/>
  <c r="AP158" i="27"/>
  <c r="AN159" i="27"/>
  <c r="L39" i="38" s="1"/>
  <c r="AN160" i="27"/>
  <c r="L40" i="38" s="1"/>
  <c r="AN167" i="28"/>
  <c r="L14" i="48" s="1"/>
  <c r="AN168" i="28"/>
  <c r="L15" i="48" s="1"/>
  <c r="AN163" i="28"/>
  <c r="L10" i="48" s="1"/>
  <c r="AN165" i="28"/>
  <c r="L12" i="48" s="1"/>
  <c r="AN161" i="28"/>
  <c r="L8" i="48" s="1"/>
  <c r="AN173" i="28"/>
  <c r="L20" i="48" s="1"/>
  <c r="AN164" i="28"/>
  <c r="L11" i="48" s="1"/>
  <c r="AN171" i="28"/>
  <c r="L18" i="48" s="1"/>
  <c r="AN159" i="28"/>
  <c r="L6" i="48" s="1"/>
  <c r="AN162" i="28"/>
  <c r="L9" i="48" s="1"/>
  <c r="AN157" i="28"/>
  <c r="L4" i="48" s="1"/>
  <c r="AN169" i="28"/>
  <c r="L16" i="48" s="1"/>
  <c r="AN166" i="28"/>
  <c r="L13" i="48" s="1"/>
  <c r="AN170" i="28"/>
  <c r="L17" i="48" s="1"/>
  <c r="AN202" i="28"/>
  <c r="AN160" i="28"/>
  <c r="L7" i="48" s="1"/>
  <c r="AN158" i="28"/>
  <c r="L5" i="48" s="1"/>
  <c r="AN15" i="28"/>
  <c r="L12" i="44" s="1"/>
  <c r="AN180" i="28"/>
  <c r="L27" i="48" s="1"/>
  <c r="AM666" i="27"/>
  <c r="AM673" i="27" s="1"/>
  <c r="AM196" i="28"/>
  <c r="AM200" i="28" s="1"/>
  <c r="AM165" i="27"/>
  <c r="AM21" i="28"/>
  <c r="AM183" i="28"/>
  <c r="AL25" i="28"/>
  <c r="AL184" i="28"/>
  <c r="AL191" i="28"/>
  <c r="AL122" i="28"/>
  <c r="AN61" i="31"/>
  <c r="L52" i="51" s="1"/>
  <c r="AO226" i="31"/>
  <c r="AO237" i="31"/>
  <c r="AP86" i="31"/>
  <c r="AQ85" i="31"/>
  <c r="AQ149" i="27" s="1"/>
  <c r="AQ152" i="27" s="1"/>
  <c r="AK123" i="28" l="1"/>
  <c r="AQ88" i="31"/>
  <c r="AQ87" i="31"/>
  <c r="AQ235" i="31" s="1"/>
  <c r="Z663" i="27"/>
  <c r="Z664" i="27" s="1"/>
  <c r="AO8" i="28"/>
  <c r="AO7" i="28" s="1"/>
  <c r="AQ150" i="27"/>
  <c r="AO236" i="31"/>
  <c r="AN46" i="28"/>
  <c r="L4" i="45" s="1"/>
  <c r="AN165" i="27"/>
  <c r="AQ158" i="27"/>
  <c r="AM191" i="28"/>
  <c r="AM122" i="28"/>
  <c r="AM25" i="28"/>
  <c r="AM184" i="28"/>
  <c r="AN666" i="27"/>
  <c r="AN673" i="27" s="1"/>
  <c r="AN196" i="28"/>
  <c r="AN200" i="28" s="1"/>
  <c r="AO159" i="27"/>
  <c r="AL123" i="28"/>
  <c r="AL185" i="28"/>
  <c r="AN183" i="28"/>
  <c r="L30" i="48" s="1"/>
  <c r="AN21" i="28"/>
  <c r="L18" i="44" s="1"/>
  <c r="AP8" i="28"/>
  <c r="AP7" i="28" s="1"/>
  <c r="AP226" i="31"/>
  <c r="AP237" i="31"/>
  <c r="AP236" i="31" s="1"/>
  <c r="AQ86" i="31"/>
  <c r="AR85" i="31"/>
  <c r="M13" i="52" s="1"/>
  <c r="AT81" i="31"/>
  <c r="N11" i="52" s="1"/>
  <c r="AR88" i="31" l="1"/>
  <c r="M16" i="52" s="1"/>
  <c r="AR87" i="31"/>
  <c r="M15" i="52" s="1"/>
  <c r="AO61" i="31"/>
  <c r="Z675" i="27"/>
  <c r="AO165" i="28"/>
  <c r="AO157" i="28"/>
  <c r="AO160" i="28"/>
  <c r="AO167" i="28"/>
  <c r="AO169" i="28"/>
  <c r="AO171" i="28"/>
  <c r="AO15" i="28"/>
  <c r="AO183" i="28" s="1"/>
  <c r="AO170" i="28"/>
  <c r="AO166" i="28"/>
  <c r="AO161" i="28"/>
  <c r="AO179" i="28"/>
  <c r="M26" i="48" s="1"/>
  <c r="AO158" i="28"/>
  <c r="AO202" i="28"/>
  <c r="AO164" i="28"/>
  <c r="AO163" i="28"/>
  <c r="AO173" i="28"/>
  <c r="AO159" i="28"/>
  <c r="AO168" i="28"/>
  <c r="AO162" i="28"/>
  <c r="AO160" i="27"/>
  <c r="AP159" i="27"/>
  <c r="AP160" i="27"/>
  <c r="AP162" i="28"/>
  <c r="AP171" i="28"/>
  <c r="AP165" i="28"/>
  <c r="AP173" i="28"/>
  <c r="AP163" i="28"/>
  <c r="AP169" i="28"/>
  <c r="AP164" i="28"/>
  <c r="AP159" i="28"/>
  <c r="AP167" i="28"/>
  <c r="AP157" i="28"/>
  <c r="AP161" i="28"/>
  <c r="AP168" i="28"/>
  <c r="AP166" i="28"/>
  <c r="AP170" i="28"/>
  <c r="AP202" i="28"/>
  <c r="AP160" i="28"/>
  <c r="AP158" i="28"/>
  <c r="AP15" i="28"/>
  <c r="AP180" i="28"/>
  <c r="AM123" i="28"/>
  <c r="AM185" i="28"/>
  <c r="AQ8" i="28"/>
  <c r="AQ7" i="28" s="1"/>
  <c r="AR149" i="27"/>
  <c r="AT148" i="27"/>
  <c r="AN184" i="28"/>
  <c r="L31" i="48" s="1"/>
  <c r="AN191" i="28"/>
  <c r="L38" i="48" s="1"/>
  <c r="AN122" i="28"/>
  <c r="L4" i="47" s="1"/>
  <c r="AN25" i="28"/>
  <c r="L22" i="44" s="1"/>
  <c r="AO666" i="27"/>
  <c r="AO673" i="27" s="1"/>
  <c r="AO196" i="28"/>
  <c r="AP61" i="31"/>
  <c r="AQ226" i="31"/>
  <c r="AQ237" i="31"/>
  <c r="AQ236" i="31" s="1"/>
  <c r="AT87" i="31"/>
  <c r="N15" i="52" s="1"/>
  <c r="AT85" i="31"/>
  <c r="N13" i="52" s="1"/>
  <c r="AR86" i="31"/>
  <c r="AT86" i="31" s="1"/>
  <c r="N14" i="52" s="1"/>
  <c r="AR235" i="31" l="1"/>
  <c r="B235" i="31" s="1"/>
  <c r="B15" i="57" s="1"/>
  <c r="AO21" i="28"/>
  <c r="AO191" i="28" s="1"/>
  <c r="AA663" i="27"/>
  <c r="AA664" i="27" s="1"/>
  <c r="M14" i="52"/>
  <c r="M15" i="57"/>
  <c r="AR152" i="27"/>
  <c r="M34" i="38" s="1"/>
  <c r="M32" i="38"/>
  <c r="AO46" i="28"/>
  <c r="AO165" i="27"/>
  <c r="AR150" i="27"/>
  <c r="M33" i="38" s="1"/>
  <c r="AO180" i="28"/>
  <c r="AO200" i="28"/>
  <c r="AP46" i="28"/>
  <c r="AP183" i="28"/>
  <c r="AP21" i="28"/>
  <c r="AQ160" i="27"/>
  <c r="AQ159" i="27"/>
  <c r="AN123" i="28"/>
  <c r="L5" i="47" s="1"/>
  <c r="AN185" i="28"/>
  <c r="L32" i="48" s="1"/>
  <c r="AR158" i="27"/>
  <c r="M38" i="38" s="1"/>
  <c r="AT149" i="27"/>
  <c r="N32" i="38" s="1"/>
  <c r="AQ171" i="28"/>
  <c r="AQ173" i="28"/>
  <c r="AQ165" i="28"/>
  <c r="AQ168" i="28"/>
  <c r="AQ157" i="28"/>
  <c r="AQ164" i="28"/>
  <c r="AQ167" i="28"/>
  <c r="AQ161" i="28"/>
  <c r="AQ159" i="28"/>
  <c r="AQ163" i="28"/>
  <c r="AQ162" i="28"/>
  <c r="AQ169" i="28"/>
  <c r="AQ166" i="28"/>
  <c r="AQ170" i="28"/>
  <c r="AQ202" i="28"/>
  <c r="AQ160" i="28"/>
  <c r="AQ158" i="28"/>
  <c r="AQ15" i="28"/>
  <c r="AQ180" i="28"/>
  <c r="AP666" i="27"/>
  <c r="AP673" i="27" s="1"/>
  <c r="AP196" i="28"/>
  <c r="AP200" i="28" s="1"/>
  <c r="AP165" i="27"/>
  <c r="AQ61" i="31"/>
  <c r="AT88" i="31"/>
  <c r="N16" i="52" s="1"/>
  <c r="AR237" i="31"/>
  <c r="AR226" i="31"/>
  <c r="B226" i="31" s="1"/>
  <c r="AT235" i="31" l="1"/>
  <c r="N15" i="57" s="1"/>
  <c r="AO184" i="28"/>
  <c r="AO25" i="28"/>
  <c r="AO123" i="28" s="1"/>
  <c r="AO122" i="28"/>
  <c r="B237" i="31"/>
  <c r="B17" i="57" s="1"/>
  <c r="M17" i="57"/>
  <c r="AA675" i="27"/>
  <c r="M6" i="57"/>
  <c r="AQ46" i="28"/>
  <c r="AQ21" i="28"/>
  <c r="AQ183" i="28"/>
  <c r="AQ666" i="27"/>
  <c r="AQ673" i="27" s="1"/>
  <c r="AQ196" i="28"/>
  <c r="AQ200" i="28" s="1"/>
  <c r="AQ165" i="27"/>
  <c r="AO185" i="28"/>
  <c r="AR8" i="28"/>
  <c r="AT158" i="27"/>
  <c r="N38" i="38" s="1"/>
  <c r="AP122" i="28"/>
  <c r="AP184" i="28"/>
  <c r="AP191" i="28"/>
  <c r="AP25" i="28"/>
  <c r="AR236" i="31"/>
  <c r="AT237" i="31"/>
  <c r="N17" i="57" s="1"/>
  <c r="AT226" i="31"/>
  <c r="N6" i="57" s="1"/>
  <c r="B6" i="57"/>
  <c r="AB663" i="27" l="1"/>
  <c r="AB664" i="27" s="1"/>
  <c r="B236" i="31"/>
  <c r="B16" i="57" s="1"/>
  <c r="M16" i="57"/>
  <c r="B8" i="28"/>
  <c r="M5" i="44"/>
  <c r="AP185" i="28"/>
  <c r="AP123" i="28"/>
  <c r="AR159" i="27"/>
  <c r="M39" i="38" s="1"/>
  <c r="AT152" i="27"/>
  <c r="N34" i="38" s="1"/>
  <c r="AT164" i="27"/>
  <c r="AQ122" i="28"/>
  <c r="AQ184" i="28"/>
  <c r="AQ191" i="28"/>
  <c r="AQ25" i="28"/>
  <c r="AR7" i="28"/>
  <c r="AT8" i="28"/>
  <c r="AT236" i="31"/>
  <c r="N16" i="57" s="1"/>
  <c r="AR61" i="31"/>
  <c r="AB675" i="27" l="1"/>
  <c r="B61" i="31"/>
  <c r="B52" i="51" s="1"/>
  <c r="M52" i="51"/>
  <c r="B7" i="28"/>
  <c r="B4" i="44" s="1"/>
  <c r="M4" i="44"/>
  <c r="AT61" i="31"/>
  <c r="N52" i="51" s="1"/>
  <c r="D295" i="23"/>
  <c r="N5" i="44"/>
  <c r="C295" i="23"/>
  <c r="B5" i="44"/>
  <c r="AQ185" i="28"/>
  <c r="AQ123" i="28"/>
  <c r="AR160" i="27"/>
  <c r="M40" i="38" s="1"/>
  <c r="AT150" i="27"/>
  <c r="N33" i="38" s="1"/>
  <c r="AR666" i="27"/>
  <c r="AR673" i="27" s="1"/>
  <c r="AR196" i="28"/>
  <c r="B196" i="28" s="1"/>
  <c r="AT159" i="27"/>
  <c r="N39" i="38" s="1"/>
  <c r="AR162" i="28"/>
  <c r="AR167" i="28"/>
  <c r="AR171" i="28"/>
  <c r="AR157" i="28"/>
  <c r="AR169" i="28"/>
  <c r="AR166" i="28"/>
  <c r="AR161" i="28"/>
  <c r="AR165" i="28"/>
  <c r="AR173" i="28"/>
  <c r="AR159" i="28"/>
  <c r="AR163" i="28"/>
  <c r="AR164" i="28"/>
  <c r="AR168" i="28"/>
  <c r="AR170" i="28"/>
  <c r="AR202" i="28"/>
  <c r="B202" i="28" s="1"/>
  <c r="AR160" i="28"/>
  <c r="AR158" i="28"/>
  <c r="AR15" i="28"/>
  <c r="AR180" i="28"/>
  <c r="M27" i="48" s="1"/>
  <c r="AT7" i="28"/>
  <c r="B158" i="28" l="1"/>
  <c r="B5" i="48" s="1"/>
  <c r="M5" i="48"/>
  <c r="AC663" i="27"/>
  <c r="AC664" i="27" s="1"/>
  <c r="B168" i="28"/>
  <c r="B15" i="48" s="1"/>
  <c r="M15" i="48"/>
  <c r="B163" i="28"/>
  <c r="B10" i="48" s="1"/>
  <c r="M10" i="48"/>
  <c r="B173" i="28"/>
  <c r="B20" i="48" s="1"/>
  <c r="M20" i="48"/>
  <c r="B161" i="28"/>
  <c r="B8" i="48" s="1"/>
  <c r="M8" i="48"/>
  <c r="B169" i="28"/>
  <c r="B16" i="48" s="1"/>
  <c r="M16" i="48"/>
  <c r="B171" i="28"/>
  <c r="B18" i="48" s="1"/>
  <c r="M18" i="48"/>
  <c r="B162" i="28"/>
  <c r="B9" i="48" s="1"/>
  <c r="M9" i="48"/>
  <c r="B15" i="28"/>
  <c r="B183" i="28" s="1"/>
  <c r="M12" i="44"/>
  <c r="B160" i="28"/>
  <c r="B7" i="48" s="1"/>
  <c r="M7" i="48"/>
  <c r="B170" i="28"/>
  <c r="B17" i="48" s="1"/>
  <c r="M17" i="48"/>
  <c r="B164" i="28"/>
  <c r="B11" i="48" s="1"/>
  <c r="M11" i="48"/>
  <c r="B159" i="28"/>
  <c r="B6" i="48" s="1"/>
  <c r="M6" i="48"/>
  <c r="B165" i="28"/>
  <c r="B12" i="48" s="1"/>
  <c r="M12" i="48"/>
  <c r="B166" i="28"/>
  <c r="B13" i="48" s="1"/>
  <c r="M13" i="48"/>
  <c r="B157" i="28"/>
  <c r="B4" i="48" s="1"/>
  <c r="M4" i="48"/>
  <c r="B167" i="28"/>
  <c r="B14" i="48" s="1"/>
  <c r="M14" i="48"/>
  <c r="D294" i="23"/>
  <c r="N4" i="44"/>
  <c r="C294" i="23"/>
  <c r="B179" i="28"/>
  <c r="AR165" i="27"/>
  <c r="AT666" i="27"/>
  <c r="AR46" i="28"/>
  <c r="AT160" i="27"/>
  <c r="N40" i="38" s="1"/>
  <c r="AR21" i="28"/>
  <c r="AR183" i="28"/>
  <c r="M30" i="48" s="1"/>
  <c r="AT15" i="28"/>
  <c r="AR200" i="28"/>
  <c r="B200" i="28" s="1"/>
  <c r="AC675" i="27" l="1"/>
  <c r="AD663" i="27" s="1"/>
  <c r="AD664" i="27" s="1"/>
  <c r="B21" i="28"/>
  <c r="B184" i="28" s="1"/>
  <c r="M18" i="44"/>
  <c r="B46" i="28"/>
  <c r="M4" i="45"/>
  <c r="C377" i="23"/>
  <c r="C302" i="23"/>
  <c r="B12" i="44"/>
  <c r="C360" i="23"/>
  <c r="B26" i="48"/>
  <c r="D302" i="23"/>
  <c r="N12" i="44"/>
  <c r="AT165" i="27"/>
  <c r="C383" i="23"/>
  <c r="B180" i="28"/>
  <c r="AR25" i="28"/>
  <c r="AR184" i="28"/>
  <c r="M31" i="48" s="1"/>
  <c r="AR191" i="28"/>
  <c r="AR122" i="28"/>
  <c r="M4" i="47" s="1"/>
  <c r="AT21" i="28"/>
  <c r="AT46" i="28"/>
  <c r="AT672" i="27"/>
  <c r="AT673" i="27"/>
  <c r="AD675" i="27" l="1"/>
  <c r="AE663" i="27" s="1"/>
  <c r="AE664" i="27" s="1"/>
  <c r="B191" i="28"/>
  <c r="M38" i="48"/>
  <c r="B25" i="28"/>
  <c r="B185" i="28" s="1"/>
  <c r="M22" i="44"/>
  <c r="C328" i="23"/>
  <c r="B4" i="45"/>
  <c r="D308" i="23"/>
  <c r="N18" i="44"/>
  <c r="D328" i="23"/>
  <c r="N4" i="45"/>
  <c r="C308" i="23"/>
  <c r="B18" i="44"/>
  <c r="C361" i="23"/>
  <c r="B27" i="48"/>
  <c r="C381" i="23"/>
  <c r="C364" i="23"/>
  <c r="B30" i="48"/>
  <c r="AR185" i="28"/>
  <c r="M32" i="48" s="1"/>
  <c r="AR123" i="28"/>
  <c r="M5" i="47" s="1"/>
  <c r="AT25" i="28"/>
  <c r="E89" i="28"/>
  <c r="AE675" i="27" l="1"/>
  <c r="AF663" i="27" s="1"/>
  <c r="AF664" i="27" s="1"/>
  <c r="C312" i="23"/>
  <c r="B22" i="44"/>
  <c r="D312" i="23"/>
  <c r="N22" i="44"/>
  <c r="C365" i="23"/>
  <c r="B31" i="48"/>
  <c r="C372" i="23"/>
  <c r="B38" i="48"/>
  <c r="AF675" i="27" l="1"/>
  <c r="AG663" i="27" s="1"/>
  <c r="AG664" i="27" s="1"/>
  <c r="C366" i="23"/>
  <c r="B32" i="48"/>
  <c r="E214" i="28"/>
  <c r="F89" i="28"/>
  <c r="F665" i="27"/>
  <c r="AG675" i="27" l="1"/>
  <c r="E223" i="28"/>
  <c r="G89" i="28"/>
  <c r="F214" i="28"/>
  <c r="AH663" i="27" l="1"/>
  <c r="AH664" i="27" s="1"/>
  <c r="G665" i="27"/>
  <c r="F223" i="28"/>
  <c r="H89" i="28"/>
  <c r="C9" i="46" s="1"/>
  <c r="AH675" i="27" l="1"/>
  <c r="G214" i="28"/>
  <c r="I89" i="28"/>
  <c r="H665" i="27"/>
  <c r="AI663" i="27" l="1"/>
  <c r="AI664" i="27" s="1"/>
  <c r="G223" i="28"/>
  <c r="J89" i="28"/>
  <c r="I665" i="27"/>
  <c r="H214" i="28"/>
  <c r="D7" i="49" s="1"/>
  <c r="AI675" i="27" l="1"/>
  <c r="J665" i="27"/>
  <c r="H223" i="28"/>
  <c r="D16" i="49" s="1"/>
  <c r="I214" i="28"/>
  <c r="AJ663" i="27" l="1"/>
  <c r="AJ664" i="27" s="1"/>
  <c r="J214" i="28"/>
  <c r="J223" i="28" s="1"/>
  <c r="K665" i="27"/>
  <c r="K89" i="28"/>
  <c r="I223" i="28"/>
  <c r="AJ675" i="27" l="1"/>
  <c r="K214" i="28"/>
  <c r="L89" i="28"/>
  <c r="D9" i="46" s="1"/>
  <c r="AK663" i="27" l="1"/>
  <c r="AK664" i="27" s="1"/>
  <c r="K223" i="28"/>
  <c r="L665" i="27"/>
  <c r="M89" i="28"/>
  <c r="AK675" i="27" l="1"/>
  <c r="AL663" i="27" s="1"/>
  <c r="AL664" i="27" s="1"/>
  <c r="L214" i="28"/>
  <c r="E7" i="49" s="1"/>
  <c r="M665" i="27"/>
  <c r="N89" i="28"/>
  <c r="L223" i="28" l="1"/>
  <c r="E16" i="49" s="1"/>
  <c r="AL675" i="27"/>
  <c r="M214" i="28"/>
  <c r="N665" i="27"/>
  <c r="M223" i="28" l="1"/>
  <c r="AM663" i="27"/>
  <c r="AM664" i="27" s="1"/>
  <c r="N214" i="28"/>
  <c r="N223" i="28" s="1"/>
  <c r="O665" i="27"/>
  <c r="O89" i="28"/>
  <c r="AM675" i="27" l="1"/>
  <c r="O214" i="28"/>
  <c r="AN663" i="27" l="1"/>
  <c r="AN664" i="27" s="1"/>
  <c r="P665" i="27"/>
  <c r="O223" i="28"/>
  <c r="P89" i="28"/>
  <c r="E9" i="46" s="1"/>
  <c r="AN675" i="27" l="1"/>
  <c r="P214" i="28"/>
  <c r="F7" i="49" s="1"/>
  <c r="Q89" i="28"/>
  <c r="AO663" i="27" l="1"/>
  <c r="AO664" i="27" s="1"/>
  <c r="P223" i="28"/>
  <c r="F16" i="49" s="1"/>
  <c r="Q665" i="27"/>
  <c r="R89" i="28"/>
  <c r="AO675" i="27" l="1"/>
  <c r="Q214" i="28"/>
  <c r="S89" i="28"/>
  <c r="R665" i="27"/>
  <c r="Q223" i="28" l="1"/>
  <c r="AP663" i="27"/>
  <c r="AP664" i="27" s="1"/>
  <c r="S665" i="27"/>
  <c r="T89" i="28"/>
  <c r="F9" i="46" s="1"/>
  <c r="R214" i="28"/>
  <c r="AP675" i="27" l="1"/>
  <c r="AQ663" i="27" s="1"/>
  <c r="AQ664" i="27" s="1"/>
  <c r="S214" i="28"/>
  <c r="T665" i="27"/>
  <c r="U89" i="28"/>
  <c r="R223" i="28"/>
  <c r="S223" i="28" l="1"/>
  <c r="AQ675" i="27"/>
  <c r="T214" i="28"/>
  <c r="G7" i="49" s="1"/>
  <c r="U665" i="27"/>
  <c r="V89" i="28"/>
  <c r="AR663" i="27" l="1"/>
  <c r="AR664" i="27" s="1"/>
  <c r="T223" i="28"/>
  <c r="G16" i="49" s="1"/>
  <c r="V665" i="27"/>
  <c r="U214" i="28"/>
  <c r="W89" i="28"/>
  <c r="AR675" i="27" l="1"/>
  <c r="V214" i="28"/>
  <c r="V223" i="28" s="1"/>
  <c r="X89" i="28"/>
  <c r="G9" i="46" s="1"/>
  <c r="U223" i="28"/>
  <c r="W665" i="27"/>
  <c r="W214" i="28" l="1"/>
  <c r="X665" i="27"/>
  <c r="Y89" i="28"/>
  <c r="Z89" i="28" l="1"/>
  <c r="X214" i="28"/>
  <c r="H7" i="49" s="1"/>
  <c r="Y665" i="27"/>
  <c r="W223" i="28"/>
  <c r="Z665" i="27" l="1"/>
  <c r="Y214" i="28"/>
  <c r="X223" i="28"/>
  <c r="H16" i="49" l="1"/>
  <c r="AA89" i="28"/>
  <c r="AA665" i="27"/>
  <c r="Y223" i="28"/>
  <c r="Z214" i="28"/>
  <c r="Z223" i="28" l="1"/>
  <c r="AA214" i="28"/>
  <c r="AB89" i="28"/>
  <c r="H9" i="46" s="1"/>
  <c r="AB665" i="27" l="1"/>
  <c r="AA223" i="28"/>
  <c r="AB214" i="28" l="1"/>
  <c r="I7" i="49" s="1"/>
  <c r="AC665" i="27"/>
  <c r="AC89" i="28"/>
  <c r="AB223" i="28" l="1"/>
  <c r="I16" i="49" s="1"/>
  <c r="AC214" i="28"/>
  <c r="AD89" i="28"/>
  <c r="AE89" i="28" l="1"/>
  <c r="AD665" i="27"/>
  <c r="AC223" i="28"/>
  <c r="AE665" i="27" l="1"/>
  <c r="AD214" i="28"/>
  <c r="AF89" i="28"/>
  <c r="I9" i="46" s="1"/>
  <c r="AF665" i="27" l="1"/>
  <c r="AG89" i="28"/>
  <c r="AD223" i="28"/>
  <c r="AE214" i="28"/>
  <c r="AF214" i="28" l="1"/>
  <c r="J7" i="49" s="1"/>
  <c r="AG665" i="27"/>
  <c r="AE223" i="28"/>
  <c r="AH89" i="28"/>
  <c r="AF223" i="28" l="1"/>
  <c r="J16" i="49" s="1"/>
  <c r="AG214" i="28"/>
  <c r="AH665" i="27"/>
  <c r="AG223" i="28" l="1"/>
  <c r="AI665" i="27"/>
  <c r="AH214" i="28"/>
  <c r="AI89" i="28"/>
  <c r="AI214" i="28" l="1"/>
  <c r="AI223" i="28" s="1"/>
  <c r="AJ89" i="28"/>
  <c r="J9" i="46" s="1"/>
  <c r="AH223" i="28"/>
  <c r="AJ665" i="27" l="1"/>
  <c r="AK89" i="28"/>
  <c r="AJ214" i="28" l="1"/>
  <c r="K7" i="49" s="1"/>
  <c r="AK665" i="27"/>
  <c r="AL89" i="28"/>
  <c r="AJ223" i="28" l="1"/>
  <c r="K16" i="49" s="1"/>
  <c r="AK214" i="28"/>
  <c r="AL665" i="27"/>
  <c r="AK223" i="28" l="1"/>
  <c r="AM665" i="27"/>
  <c r="AM89" i="28"/>
  <c r="AL214" i="28"/>
  <c r="AM214" i="28" l="1"/>
  <c r="AN89" i="28"/>
  <c r="K9" i="46" s="1"/>
  <c r="AL223" i="28"/>
  <c r="AM223" i="28" l="1"/>
  <c r="AN665" i="27"/>
  <c r="AN214" i="28" l="1"/>
  <c r="L7" i="49" s="1"/>
  <c r="AO89" i="28"/>
  <c r="AO665" i="27"/>
  <c r="AP89" i="28" l="1"/>
  <c r="AN223" i="28"/>
  <c r="L16" i="49" s="1"/>
  <c r="AO214" i="28"/>
  <c r="AP665" i="27" l="1"/>
  <c r="AQ89" i="28"/>
  <c r="AO223" i="28"/>
  <c r="AP214" i="28" l="1"/>
  <c r="AQ665" i="27"/>
  <c r="AR89" i="28"/>
  <c r="L9" i="46" s="1"/>
  <c r="AT675" i="27"/>
  <c r="AT663" i="27"/>
  <c r="AP223" i="28" l="1"/>
  <c r="AQ214" i="28"/>
  <c r="AR665" i="27"/>
  <c r="AQ223" i="28" l="1"/>
  <c r="AR214" i="28"/>
  <c r="AT665" i="27"/>
  <c r="B214" i="28" l="1"/>
  <c r="B7" i="49" s="1"/>
  <c r="M7" i="49"/>
  <c r="AR223" i="28"/>
  <c r="AT214" i="28"/>
  <c r="N7" i="49" s="1"/>
  <c r="B223" i="28" l="1"/>
  <c r="B16" i="49" s="1"/>
  <c r="M16" i="49"/>
  <c r="AT223" i="28"/>
  <c r="N16" i="49" s="1"/>
  <c r="E225" i="31" l="1"/>
  <c r="E14" i="32" l="1"/>
  <c r="E234" i="31"/>
  <c r="E230" i="31"/>
  <c r="E52" i="32" l="1"/>
  <c r="E232" i="31"/>
  <c r="F526" i="27" l="1"/>
  <c r="E60" i="31"/>
  <c r="E64" i="31" l="1"/>
  <c r="F525" i="27" l="1"/>
  <c r="E67" i="32"/>
  <c r="E32" i="32" l="1"/>
  <c r="E68" i="28"/>
  <c r="E241" i="28"/>
  <c r="F528" i="27"/>
  <c r="E315" i="28" l="1"/>
  <c r="E275" i="28"/>
  <c r="E112" i="28" l="1"/>
  <c r="B36" i="32" l="1"/>
  <c r="F103" i="31" l="1"/>
  <c r="E113" i="31"/>
  <c r="E175" i="31" s="1"/>
  <c r="F113" i="31" l="1"/>
  <c r="G103" i="31"/>
  <c r="F175" i="31" l="1"/>
  <c r="G113" i="31"/>
  <c r="G175" i="31" s="1"/>
  <c r="H103" i="31"/>
  <c r="H113" i="31" s="1"/>
  <c r="H175" i="31" s="1"/>
  <c r="D41" i="52" l="1"/>
  <c r="C3" i="55"/>
  <c r="D31" i="52"/>
  <c r="F53" i="31"/>
  <c r="F179" i="31"/>
  <c r="F178" i="31"/>
  <c r="F176" i="31"/>
  <c r="F177" i="31"/>
  <c r="F181" i="31"/>
  <c r="F180" i="31"/>
  <c r="F54" i="31"/>
  <c r="G181" i="31"/>
  <c r="G188" i="31" s="1"/>
  <c r="G180" i="31"/>
  <c r="G187" i="31" s="1"/>
  <c r="G179" i="31"/>
  <c r="G186" i="31" s="1"/>
  <c r="G178" i="31"/>
  <c r="G185" i="31" s="1"/>
  <c r="G177" i="31"/>
  <c r="G184" i="31" s="1"/>
  <c r="G176" i="31"/>
  <c r="G183" i="31" s="1"/>
  <c r="H180" i="31"/>
  <c r="H187" i="31" s="1"/>
  <c r="H178" i="31"/>
  <c r="H185" i="31" s="1"/>
  <c r="H177" i="31"/>
  <c r="H184" i="31" s="1"/>
  <c r="H176" i="31"/>
  <c r="H183" i="31" s="1"/>
  <c r="H181" i="31"/>
  <c r="H188" i="31" s="1"/>
  <c r="H179" i="31"/>
  <c r="H186" i="31" s="1"/>
  <c r="G54" i="31"/>
  <c r="G53" i="31"/>
  <c r="I103" i="31"/>
  <c r="C8" i="55" l="1"/>
  <c r="C5" i="55"/>
  <c r="C6" i="55"/>
  <c r="C9" i="55"/>
  <c r="C4" i="55"/>
  <c r="C7" i="55"/>
  <c r="F188" i="31"/>
  <c r="F183" i="31"/>
  <c r="F186" i="31"/>
  <c r="F187" i="31"/>
  <c r="F184" i="31"/>
  <c r="F185" i="31"/>
  <c r="H182" i="31"/>
  <c r="H52" i="31" s="1"/>
  <c r="G182" i="31"/>
  <c r="G52" i="31" s="1"/>
  <c r="J103" i="31"/>
  <c r="J113" i="31" s="1"/>
  <c r="J175" i="31" s="1"/>
  <c r="I113" i="31"/>
  <c r="H54" i="31"/>
  <c r="H53" i="31"/>
  <c r="F200" i="31" l="1"/>
  <c r="F182" i="31"/>
  <c r="F52" i="31" s="1"/>
  <c r="F197" i="31"/>
  <c r="F202" i="31"/>
  <c r="I175" i="31"/>
  <c r="F199" i="31"/>
  <c r="F198" i="31"/>
  <c r="F201" i="31"/>
  <c r="J181" i="31"/>
  <c r="J188" i="31" s="1"/>
  <c r="J179" i="31"/>
  <c r="J186" i="31" s="1"/>
  <c r="J177" i="31"/>
  <c r="J184" i="31" s="1"/>
  <c r="J176" i="31"/>
  <c r="J183" i="31" s="1"/>
  <c r="J180" i="31"/>
  <c r="J187" i="31" s="1"/>
  <c r="J178" i="31"/>
  <c r="J185" i="31" s="1"/>
  <c r="K103" i="31"/>
  <c r="L103" i="31" s="1"/>
  <c r="J53" i="31"/>
  <c r="J54" i="31"/>
  <c r="E31" i="52" l="1"/>
  <c r="I180" i="31"/>
  <c r="I178" i="31"/>
  <c r="I53" i="31"/>
  <c r="I176" i="31"/>
  <c r="G208" i="31"/>
  <c r="G205" i="31"/>
  <c r="G206" i="31"/>
  <c r="G209" i="31"/>
  <c r="I54" i="31"/>
  <c r="I177" i="31"/>
  <c r="I179" i="31"/>
  <c r="I181" i="31"/>
  <c r="G204" i="31"/>
  <c r="G207" i="31"/>
  <c r="J182" i="31"/>
  <c r="J52" i="31" s="1"/>
  <c r="L113" i="31"/>
  <c r="L175" i="31" s="1"/>
  <c r="K113" i="31"/>
  <c r="M103" i="31"/>
  <c r="G198" i="31" l="1"/>
  <c r="H205" i="31" s="1"/>
  <c r="H198" i="31" s="1"/>
  <c r="C26" i="55" s="1"/>
  <c r="I183" i="31"/>
  <c r="I185" i="31"/>
  <c r="E41" i="52"/>
  <c r="G199" i="31"/>
  <c r="H206" i="31" s="1"/>
  <c r="H199" i="31" s="1"/>
  <c r="C27" i="55" s="1"/>
  <c r="G201" i="31"/>
  <c r="H208" i="31" s="1"/>
  <c r="H201" i="31" s="1"/>
  <c r="C29" i="55" s="1"/>
  <c r="I187" i="31"/>
  <c r="K175" i="31"/>
  <c r="D3" i="55" s="1"/>
  <c r="G203" i="31"/>
  <c r="I186" i="31"/>
  <c r="I206" i="31"/>
  <c r="M113" i="31"/>
  <c r="G200" i="31"/>
  <c r="H207" i="31" s="1"/>
  <c r="H200" i="31" s="1"/>
  <c r="C28" i="55" s="1"/>
  <c r="G197" i="31"/>
  <c r="I188" i="31"/>
  <c r="I184" i="31"/>
  <c r="G202" i="31"/>
  <c r="L180" i="31"/>
  <c r="L187" i="31" s="1"/>
  <c r="L178" i="31"/>
  <c r="L185" i="31" s="1"/>
  <c r="L177" i="31"/>
  <c r="L184" i="31" s="1"/>
  <c r="L176" i="31"/>
  <c r="L183" i="31" s="1"/>
  <c r="L181" i="31"/>
  <c r="L188" i="31" s="1"/>
  <c r="L179" i="31"/>
  <c r="L186" i="31" s="1"/>
  <c r="L54" i="31"/>
  <c r="L53" i="31"/>
  <c r="N103" i="31"/>
  <c r="N113" i="31" s="1"/>
  <c r="N175" i="31" s="1"/>
  <c r="I205" i="31" l="1"/>
  <c r="I198" i="31" s="1"/>
  <c r="J205" i="31" s="1"/>
  <c r="J198" i="31" s="1"/>
  <c r="K205" i="31" s="1"/>
  <c r="C34" i="55"/>
  <c r="I199" i="31"/>
  <c r="C33" i="55"/>
  <c r="C36" i="55"/>
  <c r="C35" i="55"/>
  <c r="K53" i="31"/>
  <c r="E44" i="51" s="1"/>
  <c r="K178" i="31"/>
  <c r="K176" i="31"/>
  <c r="K180" i="31"/>
  <c r="K54" i="31"/>
  <c r="E45" i="51" s="1"/>
  <c r="K177" i="31"/>
  <c r="K179" i="31"/>
  <c r="K181" i="31"/>
  <c r="J206" i="31"/>
  <c r="J199" i="31" s="1"/>
  <c r="K206" i="31" s="1"/>
  <c r="I208" i="31"/>
  <c r="H209" i="31"/>
  <c r="C37" i="55" s="1"/>
  <c r="I182" i="31"/>
  <c r="I207" i="31"/>
  <c r="M175" i="31"/>
  <c r="H204" i="31"/>
  <c r="C32" i="55" s="1"/>
  <c r="N181" i="31"/>
  <c r="N188" i="31" s="1"/>
  <c r="N179" i="31"/>
  <c r="N186" i="31" s="1"/>
  <c r="N177" i="31"/>
  <c r="N184" i="31" s="1"/>
  <c r="N176" i="31"/>
  <c r="N183" i="31" s="1"/>
  <c r="N180" i="31"/>
  <c r="N187" i="31" s="1"/>
  <c r="N178" i="31"/>
  <c r="N185" i="31" s="1"/>
  <c r="L182" i="31"/>
  <c r="L52" i="31" s="1"/>
  <c r="O103" i="31"/>
  <c r="O113" i="31" s="1"/>
  <c r="O175" i="31" s="1"/>
  <c r="M54" i="31"/>
  <c r="K186" i="31" l="1"/>
  <c r="D14" i="55" s="1"/>
  <c r="D7" i="55"/>
  <c r="K183" i="31"/>
  <c r="D11" i="55" s="1"/>
  <c r="D4" i="55"/>
  <c r="I52" i="31"/>
  <c r="K188" i="31"/>
  <c r="D16" i="55" s="1"/>
  <c r="D9" i="55"/>
  <c r="K184" i="31"/>
  <c r="D12" i="55" s="1"/>
  <c r="D5" i="55"/>
  <c r="K187" i="31"/>
  <c r="D15" i="55" s="1"/>
  <c r="D8" i="55"/>
  <c r="K185" i="31"/>
  <c r="D13" i="55" s="1"/>
  <c r="D6" i="55"/>
  <c r="M53" i="31"/>
  <c r="H202" i="31"/>
  <c r="H203" i="31"/>
  <c r="C31" i="55" s="1"/>
  <c r="I201" i="31"/>
  <c r="J208" i="31" s="1"/>
  <c r="J201" i="31" s="1"/>
  <c r="K208" i="31" s="1"/>
  <c r="H197" i="31"/>
  <c r="C25" i="55" s="1"/>
  <c r="M181" i="31"/>
  <c r="M179" i="31"/>
  <c r="M177" i="31"/>
  <c r="M180" i="31"/>
  <c r="M178" i="31"/>
  <c r="M176" i="31"/>
  <c r="I200" i="31"/>
  <c r="O181" i="31"/>
  <c r="O188" i="31" s="1"/>
  <c r="O180" i="31"/>
  <c r="O187" i="31" s="1"/>
  <c r="O179" i="31"/>
  <c r="O186" i="31" s="1"/>
  <c r="O178" i="31"/>
  <c r="O185" i="31" s="1"/>
  <c r="O177" i="31"/>
  <c r="O184" i="31" s="1"/>
  <c r="O176" i="31"/>
  <c r="O183" i="31" s="1"/>
  <c r="N182" i="31"/>
  <c r="N52" i="31" s="1"/>
  <c r="P103" i="31"/>
  <c r="F31" i="52" s="1"/>
  <c r="N53" i="31"/>
  <c r="N54" i="31"/>
  <c r="K198" i="31" l="1"/>
  <c r="L205" i="31" s="1"/>
  <c r="L198" i="31" s="1"/>
  <c r="D26" i="55" s="1"/>
  <c r="K201" i="31"/>
  <c r="L208" i="31" s="1"/>
  <c r="L201" i="31" s="1"/>
  <c r="D29" i="55" s="1"/>
  <c r="K199" i="31"/>
  <c r="L206" i="31" s="1"/>
  <c r="D34" i="55" s="1"/>
  <c r="K182" i="31"/>
  <c r="D10" i="55" s="1"/>
  <c r="I209" i="31"/>
  <c r="I202" i="31" s="1"/>
  <c r="J209" i="31" s="1"/>
  <c r="J202" i="31" s="1"/>
  <c r="C30" i="55"/>
  <c r="D33" i="55"/>
  <c r="M205" i="31"/>
  <c r="M183" i="31"/>
  <c r="M187" i="31"/>
  <c r="M186" i="31"/>
  <c r="P113" i="31"/>
  <c r="F41" i="52" s="1"/>
  <c r="J207" i="31"/>
  <c r="M185" i="31"/>
  <c r="M184" i="31"/>
  <c r="M188" i="31"/>
  <c r="I204" i="31"/>
  <c r="O182" i="31"/>
  <c r="O52" i="31" s="1"/>
  <c r="O54" i="31"/>
  <c r="O53" i="31"/>
  <c r="Q103" i="31"/>
  <c r="M208" i="31" l="1"/>
  <c r="M201" i="31" s="1"/>
  <c r="N208" i="31" s="1"/>
  <c r="D36" i="55"/>
  <c r="L199" i="31"/>
  <c r="D27" i="55" s="1"/>
  <c r="K52" i="31"/>
  <c r="E43" i="51" s="1"/>
  <c r="I197" i="31"/>
  <c r="J204" i="31" s="1"/>
  <c r="J203" i="31" s="1"/>
  <c r="J200" i="31"/>
  <c r="K207" i="31" s="1"/>
  <c r="K200" i="31" s="1"/>
  <c r="L207" i="31" s="1"/>
  <c r="L200" i="31" s="1"/>
  <c r="D28" i="55" s="1"/>
  <c r="M206" i="31"/>
  <c r="K209" i="31"/>
  <c r="Q113" i="31"/>
  <c r="I203" i="31"/>
  <c r="M198" i="31"/>
  <c r="N205" i="31" s="1"/>
  <c r="P175" i="31"/>
  <c r="E3" i="55" s="1"/>
  <c r="M182" i="31"/>
  <c r="R103" i="31"/>
  <c r="R113" i="31" s="1"/>
  <c r="R175" i="31" s="1"/>
  <c r="M207" i="31" l="1"/>
  <c r="D35" i="55"/>
  <c r="M52" i="31"/>
  <c r="M199" i="31"/>
  <c r="N206" i="31" s="1"/>
  <c r="N199" i="31" s="1"/>
  <c r="O206" i="31" s="1"/>
  <c r="P53" i="31"/>
  <c r="F44" i="51" s="1"/>
  <c r="P54" i="31"/>
  <c r="F45" i="51" s="1"/>
  <c r="N201" i="31"/>
  <c r="O208" i="31" s="1"/>
  <c r="O201" i="31" s="1"/>
  <c r="N198" i="31"/>
  <c r="O205" i="31" s="1"/>
  <c r="O198" i="31" s="1"/>
  <c r="P205" i="31" s="1"/>
  <c r="Q175" i="31"/>
  <c r="P180" i="31"/>
  <c r="E8" i="55" s="1"/>
  <c r="P177" i="31"/>
  <c r="E5" i="55" s="1"/>
  <c r="P181" i="31"/>
  <c r="E9" i="55" s="1"/>
  <c r="P178" i="31"/>
  <c r="E6" i="55" s="1"/>
  <c r="P176" i="31"/>
  <c r="E4" i="55" s="1"/>
  <c r="P179" i="31"/>
  <c r="E7" i="55" s="1"/>
  <c r="J197" i="31"/>
  <c r="M200" i="31"/>
  <c r="N207" i="31" s="1"/>
  <c r="N200" i="31" s="1"/>
  <c r="O207" i="31" s="1"/>
  <c r="O200" i="31" s="1"/>
  <c r="K202" i="31"/>
  <c r="R181" i="31"/>
  <c r="R188" i="31" s="1"/>
  <c r="R179" i="31"/>
  <c r="R186" i="31" s="1"/>
  <c r="R177" i="31"/>
  <c r="R184" i="31" s="1"/>
  <c r="R176" i="31"/>
  <c r="R183" i="31" s="1"/>
  <c r="R180" i="31"/>
  <c r="R187" i="31" s="1"/>
  <c r="R178" i="31"/>
  <c r="R185" i="31" s="1"/>
  <c r="S103" i="31"/>
  <c r="S113" i="31" s="1"/>
  <c r="E33" i="55" l="1"/>
  <c r="Q54" i="31"/>
  <c r="P183" i="31"/>
  <c r="E11" i="55" s="1"/>
  <c r="P188" i="31"/>
  <c r="E16" i="55" s="1"/>
  <c r="P187" i="31"/>
  <c r="E15" i="55" s="1"/>
  <c r="Q181" i="31"/>
  <c r="Q179" i="31"/>
  <c r="Q177" i="31"/>
  <c r="Q180" i="31"/>
  <c r="Q178" i="31"/>
  <c r="Q176" i="31"/>
  <c r="Q53" i="31"/>
  <c r="O199" i="31"/>
  <c r="P206" i="31" s="1"/>
  <c r="E34" i="55" s="1"/>
  <c r="L209" i="31"/>
  <c r="D37" i="55" s="1"/>
  <c r="K204" i="31"/>
  <c r="P186" i="31"/>
  <c r="E14" i="55" s="1"/>
  <c r="P185" i="31"/>
  <c r="E13" i="55" s="1"/>
  <c r="P184" i="31"/>
  <c r="E12" i="55" s="1"/>
  <c r="R182" i="31"/>
  <c r="R52" i="31" s="1"/>
  <c r="P207" i="31"/>
  <c r="P208" i="31"/>
  <c r="E36" i="55" s="1"/>
  <c r="R53" i="31"/>
  <c r="R54" i="31"/>
  <c r="S175" i="31"/>
  <c r="T103" i="31"/>
  <c r="G31" i="52" s="1"/>
  <c r="P200" i="31" l="1"/>
  <c r="E28" i="55" s="1"/>
  <c r="E35" i="55"/>
  <c r="P201" i="31"/>
  <c r="E29" i="55" s="1"/>
  <c r="P199" i="31"/>
  <c r="E27" i="55" s="1"/>
  <c r="L202" i="31"/>
  <c r="T113" i="31"/>
  <c r="G41" i="52" s="1"/>
  <c r="K203" i="31"/>
  <c r="Q183" i="31"/>
  <c r="Q187" i="31"/>
  <c r="Q186" i="31"/>
  <c r="P182" i="31"/>
  <c r="E10" i="55" s="1"/>
  <c r="K197" i="31"/>
  <c r="Q185" i="31"/>
  <c r="Q184" i="31"/>
  <c r="Q188" i="31"/>
  <c r="P198" i="31"/>
  <c r="E26" i="55" s="1"/>
  <c r="S181" i="31"/>
  <c r="S188" i="31" s="1"/>
  <c r="S180" i="31"/>
  <c r="S187" i="31" s="1"/>
  <c r="S179" i="31"/>
  <c r="S186" i="31" s="1"/>
  <c r="S178" i="31"/>
  <c r="S185" i="31" s="1"/>
  <c r="S177" i="31"/>
  <c r="S184" i="31" s="1"/>
  <c r="S176" i="31"/>
  <c r="S183" i="31" s="1"/>
  <c r="Q207" i="31"/>
  <c r="S54" i="31"/>
  <c r="S53" i="31"/>
  <c r="U103" i="31"/>
  <c r="M209" i="31" l="1"/>
  <c r="M202" i="31" s="1"/>
  <c r="N209" i="31" s="1"/>
  <c r="N202" i="31" s="1"/>
  <c r="O209" i="31" s="1"/>
  <c r="O202" i="31" s="1"/>
  <c r="P209" i="31" s="1"/>
  <c r="P202" i="31" s="1"/>
  <c r="E30" i="55" s="1"/>
  <c r="D30" i="55"/>
  <c r="P52" i="31"/>
  <c r="F43" i="51" s="1"/>
  <c r="Q208" i="31"/>
  <c r="Q206" i="31"/>
  <c r="U113" i="31"/>
  <c r="Q205" i="31"/>
  <c r="T175" i="31"/>
  <c r="F3" i="55" s="1"/>
  <c r="Q200" i="31"/>
  <c r="R207" i="31" s="1"/>
  <c r="R200" i="31" s="1"/>
  <c r="L204" i="31"/>
  <c r="D32" i="55" s="1"/>
  <c r="Q182" i="31"/>
  <c r="S182" i="31"/>
  <c r="S52" i="31" s="1"/>
  <c r="V103" i="31"/>
  <c r="V113" i="31" s="1"/>
  <c r="Q52" i="31" l="1"/>
  <c r="Q199" i="31"/>
  <c r="R206" i="31" s="1"/>
  <c r="R199" i="31" s="1"/>
  <c r="S206" i="31" s="1"/>
  <c r="E37" i="55"/>
  <c r="U175" i="31"/>
  <c r="U180" i="31" s="1"/>
  <c r="Q201" i="31"/>
  <c r="R208" i="31" s="1"/>
  <c r="R201" i="31" s="1"/>
  <c r="S208" i="31" s="1"/>
  <c r="T178" i="31"/>
  <c r="F6" i="55" s="1"/>
  <c r="T54" i="31"/>
  <c r="G45" i="51" s="1"/>
  <c r="T179" i="31"/>
  <c r="F7" i="55" s="1"/>
  <c r="T176" i="31"/>
  <c r="F4" i="55" s="1"/>
  <c r="Q209" i="31"/>
  <c r="L203" i="31"/>
  <c r="D31" i="55" s="1"/>
  <c r="Q198" i="31"/>
  <c r="R205" i="31" s="1"/>
  <c r="R198" i="31" s="1"/>
  <c r="S205" i="31" s="1"/>
  <c r="S198" i="31" s="1"/>
  <c r="T205" i="31" s="1"/>
  <c r="T53" i="31"/>
  <c r="G44" i="51" s="1"/>
  <c r="T181" i="31"/>
  <c r="F9" i="55" s="1"/>
  <c r="T177" i="31"/>
  <c r="F5" i="55" s="1"/>
  <c r="T180" i="31"/>
  <c r="F8" i="55" s="1"/>
  <c r="L197" i="31"/>
  <c r="D25" i="55" s="1"/>
  <c r="S207" i="31"/>
  <c r="S200" i="31" s="1"/>
  <c r="W103" i="31"/>
  <c r="W113" i="31" s="1"/>
  <c r="V175" i="31"/>
  <c r="U177" i="31" l="1"/>
  <c r="U181" i="31"/>
  <c r="U54" i="31"/>
  <c r="U179" i="31"/>
  <c r="U186" i="31" s="1"/>
  <c r="U53" i="31"/>
  <c r="U176" i="31"/>
  <c r="U183" i="31" s="1"/>
  <c r="U178" i="31"/>
  <c r="F33" i="55"/>
  <c r="T185" i="31"/>
  <c r="F13" i="55" s="1"/>
  <c r="T186" i="31"/>
  <c r="F14" i="55" s="1"/>
  <c r="T183" i="31"/>
  <c r="F11" i="55" s="1"/>
  <c r="S201" i="31"/>
  <c r="T208" i="31" s="1"/>
  <c r="F36" i="55" s="1"/>
  <c r="U185" i="31"/>
  <c r="U187" i="31"/>
  <c r="M204" i="31"/>
  <c r="T184" i="31"/>
  <c r="F12" i="55" s="1"/>
  <c r="Q202" i="31"/>
  <c r="R209" i="31" s="1"/>
  <c r="R202" i="31" s="1"/>
  <c r="S199" i="31"/>
  <c r="T206" i="31" s="1"/>
  <c r="F34" i="55" s="1"/>
  <c r="U184" i="31"/>
  <c r="U188" i="31"/>
  <c r="T187" i="31"/>
  <c r="F15" i="55" s="1"/>
  <c r="T188" i="31"/>
  <c r="F16" i="55" s="1"/>
  <c r="V181" i="31"/>
  <c r="V188" i="31" s="1"/>
  <c r="V179" i="31"/>
  <c r="V186" i="31" s="1"/>
  <c r="V177" i="31"/>
  <c r="V184" i="31" s="1"/>
  <c r="V176" i="31"/>
  <c r="V183" i="31" s="1"/>
  <c r="V180" i="31"/>
  <c r="V187" i="31" s="1"/>
  <c r="V178" i="31"/>
  <c r="V185" i="31" s="1"/>
  <c r="T207" i="31"/>
  <c r="F35" i="55" s="1"/>
  <c r="V53" i="31"/>
  <c r="V54" i="31"/>
  <c r="W175" i="31"/>
  <c r="X103" i="31"/>
  <c r="H31" i="52" s="1"/>
  <c r="M197" i="31" l="1"/>
  <c r="T200" i="31"/>
  <c r="F28" i="55" s="1"/>
  <c r="T199" i="31"/>
  <c r="F27" i="55" s="1"/>
  <c r="T201" i="31"/>
  <c r="F29" i="55" s="1"/>
  <c r="N204" i="31"/>
  <c r="N203" i="31" s="1"/>
  <c r="X113" i="31"/>
  <c r="H41" i="52" s="1"/>
  <c r="U182" i="31"/>
  <c r="S209" i="31"/>
  <c r="S202" i="31" s="1"/>
  <c r="T182" i="31"/>
  <c r="F10" i="55" s="1"/>
  <c r="M203" i="31"/>
  <c r="T198" i="31"/>
  <c r="F26" i="55" s="1"/>
  <c r="W181" i="31"/>
  <c r="W188" i="31" s="1"/>
  <c r="W180" i="31"/>
  <c r="W187" i="31" s="1"/>
  <c r="W179" i="31"/>
  <c r="W186" i="31" s="1"/>
  <c r="W178" i="31"/>
  <c r="W185" i="31" s="1"/>
  <c r="W177" i="31"/>
  <c r="W184" i="31" s="1"/>
  <c r="W176" i="31"/>
  <c r="W183" i="31" s="1"/>
  <c r="V182" i="31"/>
  <c r="V52" i="31" s="1"/>
  <c r="W54" i="31"/>
  <c r="W53" i="31"/>
  <c r="Y103" i="31"/>
  <c r="U207" i="31" l="1"/>
  <c r="U200" i="31" s="1"/>
  <c r="V207" i="31" s="1"/>
  <c r="V200" i="31" s="1"/>
  <c r="U52" i="31"/>
  <c r="T52" i="31"/>
  <c r="G43" i="51" s="1"/>
  <c r="U206" i="31"/>
  <c r="U208" i="31"/>
  <c r="N197" i="31"/>
  <c r="O204" i="31" s="1"/>
  <c r="Y113" i="31"/>
  <c r="T209" i="31"/>
  <c r="T202" i="31" s="1"/>
  <c r="F30" i="55" s="1"/>
  <c r="X175" i="31"/>
  <c r="G3" i="55" s="1"/>
  <c r="U205" i="31"/>
  <c r="W182" i="31"/>
  <c r="W52" i="31" s="1"/>
  <c r="Z103" i="31"/>
  <c r="Z113" i="31" s="1"/>
  <c r="U199" i="31" l="1"/>
  <c r="V206" i="31" s="1"/>
  <c r="V199" i="31" s="1"/>
  <c r="W206" i="31" s="1"/>
  <c r="W199" i="31" s="1"/>
  <c r="Y175" i="31"/>
  <c r="Y181" i="31" s="1"/>
  <c r="U201" i="31"/>
  <c r="V208" i="31" s="1"/>
  <c r="V201" i="31" s="1"/>
  <c r="W208" i="31" s="1"/>
  <c r="W201" i="31" s="1"/>
  <c r="F37" i="55"/>
  <c r="X178" i="31"/>
  <c r="G6" i="55" s="1"/>
  <c r="X53" i="31"/>
  <c r="H44" i="51" s="1"/>
  <c r="X179" i="31"/>
  <c r="X176" i="31"/>
  <c r="U198" i="31"/>
  <c r="V205" i="31" s="1"/>
  <c r="V198" i="31" s="1"/>
  <c r="W205" i="31" s="1"/>
  <c r="W198" i="31" s="1"/>
  <c r="X205" i="31" s="1"/>
  <c r="O203" i="31"/>
  <c r="U209" i="31"/>
  <c r="X54" i="31"/>
  <c r="H45" i="51" s="1"/>
  <c r="X181" i="31"/>
  <c r="G9" i="55" s="1"/>
  <c r="X177" i="31"/>
  <c r="G5" i="55" s="1"/>
  <c r="X180" i="31"/>
  <c r="G8" i="55" s="1"/>
  <c r="O197" i="31"/>
  <c r="W207" i="31"/>
  <c r="Z175" i="31"/>
  <c r="AA103" i="31"/>
  <c r="Y178" i="31" l="1"/>
  <c r="Y185" i="31" s="1"/>
  <c r="Y54" i="31"/>
  <c r="Y176" i="31"/>
  <c r="Y183" i="31" s="1"/>
  <c r="Y180" i="31"/>
  <c r="Y187" i="31" s="1"/>
  <c r="Y53" i="31"/>
  <c r="Y177" i="31"/>
  <c r="Y179" i="31"/>
  <c r="Y186" i="31" s="1"/>
  <c r="AA113" i="31"/>
  <c r="AA175" i="31" s="1"/>
  <c r="U202" i="31"/>
  <c r="V209" i="31" s="1"/>
  <c r="V202" i="31" s="1"/>
  <c r="X186" i="31"/>
  <c r="G14" i="55" s="1"/>
  <c r="G7" i="55"/>
  <c r="X183" i="31"/>
  <c r="G11" i="55" s="1"/>
  <c r="G4" i="55"/>
  <c r="G33" i="55"/>
  <c r="X185" i="31"/>
  <c r="G13" i="55" s="1"/>
  <c r="Y184" i="31"/>
  <c r="Y188" i="31"/>
  <c r="P204" i="31"/>
  <c r="E32" i="55" s="1"/>
  <c r="X187" i="31"/>
  <c r="G15" i="55" s="1"/>
  <c r="X188" i="31"/>
  <c r="G16" i="55" s="1"/>
  <c r="W200" i="31"/>
  <c r="X207" i="31" s="1"/>
  <c r="X200" i="31" s="1"/>
  <c r="G28" i="55" s="1"/>
  <c r="X184" i="31"/>
  <c r="Z181" i="31"/>
  <c r="Z188" i="31" s="1"/>
  <c r="Z179" i="31"/>
  <c r="Z186" i="31" s="1"/>
  <c r="Z177" i="31"/>
  <c r="Z184" i="31" s="1"/>
  <c r="Z176" i="31"/>
  <c r="Z183" i="31" s="1"/>
  <c r="Z180" i="31"/>
  <c r="Z187" i="31" s="1"/>
  <c r="Z178" i="31"/>
  <c r="Z185" i="31" s="1"/>
  <c r="X208" i="31"/>
  <c r="G36" i="55" s="1"/>
  <c r="X206" i="31"/>
  <c r="G34" i="55" s="1"/>
  <c r="Z54" i="31"/>
  <c r="Z53" i="31"/>
  <c r="AB103" i="31"/>
  <c r="AB113" i="31" s="1"/>
  <c r="X198" i="31" l="1"/>
  <c r="G26" i="55" s="1"/>
  <c r="G12" i="55"/>
  <c r="I41" i="52"/>
  <c r="I31" i="52"/>
  <c r="G35" i="55"/>
  <c r="X199" i="31"/>
  <c r="G27" i="55" s="1"/>
  <c r="X201" i="31"/>
  <c r="G29" i="55" s="1"/>
  <c r="Y182" i="31"/>
  <c r="Y205" i="31"/>
  <c r="W209" i="31"/>
  <c r="P203" i="31"/>
  <c r="E31" i="55" s="1"/>
  <c r="X182" i="31"/>
  <c r="G10" i="55" s="1"/>
  <c r="P197" i="31"/>
  <c r="E25" i="55" s="1"/>
  <c r="AA181" i="31"/>
  <c r="AA188" i="31" s="1"/>
  <c r="AA180" i="31"/>
  <c r="AA187" i="31" s="1"/>
  <c r="AA179" i="31"/>
  <c r="AA178" i="31"/>
  <c r="AA177" i="31"/>
  <c r="AA184" i="31" s="1"/>
  <c r="AA176" i="31"/>
  <c r="Z182" i="31"/>
  <c r="Z52" i="31" s="1"/>
  <c r="Y207" i="31"/>
  <c r="AC103" i="31"/>
  <c r="AB175" i="31"/>
  <c r="H3" i="55" s="1"/>
  <c r="AA54" i="31"/>
  <c r="AA53" i="31"/>
  <c r="Y52" i="31" l="1"/>
  <c r="Y198" i="31"/>
  <c r="Z205" i="31" s="1"/>
  <c r="Z198" i="31" s="1"/>
  <c r="AA205" i="31" s="1"/>
  <c r="X52" i="31"/>
  <c r="Y206" i="31"/>
  <c r="Y208" i="31"/>
  <c r="AC113" i="31"/>
  <c r="Y200" i="31"/>
  <c r="Z207" i="31" s="1"/>
  <c r="AA186" i="31"/>
  <c r="Q204" i="31"/>
  <c r="AA183" i="31"/>
  <c r="AA185" i="31"/>
  <c r="W202" i="31"/>
  <c r="AB180" i="31"/>
  <c r="AB187" i="31" s="1"/>
  <c r="H15" i="55" s="1"/>
  <c r="AB178" i="31"/>
  <c r="AB185" i="31" s="1"/>
  <c r="AB176" i="31"/>
  <c r="AB183" i="31" s="1"/>
  <c r="AB181" i="31"/>
  <c r="AB188" i="31" s="1"/>
  <c r="H16" i="55" s="1"/>
  <c r="AB179" i="31"/>
  <c r="AB186" i="31" s="1"/>
  <c r="AB177" i="31"/>
  <c r="AB184" i="31" s="1"/>
  <c r="H12" i="55" s="1"/>
  <c r="AB54" i="31"/>
  <c r="I45" i="51" s="1"/>
  <c r="AB53" i="31"/>
  <c r="I44" i="51" s="1"/>
  <c r="AD103" i="31"/>
  <c r="AD113" i="31" s="1"/>
  <c r="H11" i="55" l="1"/>
  <c r="H14" i="55"/>
  <c r="AC175" i="31"/>
  <c r="AC180" i="31" s="1"/>
  <c r="Y199" i="31"/>
  <c r="Z206" i="31" s="1"/>
  <c r="Z199" i="31" s="1"/>
  <c r="AA206" i="31" s="1"/>
  <c r="AA199" i="31" s="1"/>
  <c r="H8" i="55"/>
  <c r="H6" i="55"/>
  <c r="H13" i="55"/>
  <c r="Q197" i="31"/>
  <c r="R204" i="31" s="1"/>
  <c r="R203" i="31" s="1"/>
  <c r="Y201" i="31"/>
  <c r="Z208" i="31" s="1"/>
  <c r="Z201" i="31" s="1"/>
  <c r="AA208" i="31" s="1"/>
  <c r="AA201" i="31" s="1"/>
  <c r="H43" i="51"/>
  <c r="H9" i="55"/>
  <c r="H5" i="55"/>
  <c r="H4" i="55"/>
  <c r="H7" i="55"/>
  <c r="AA182" i="31"/>
  <c r="Z200" i="31"/>
  <c r="AA207" i="31" s="1"/>
  <c r="AA200" i="31" s="1"/>
  <c r="X209" i="31"/>
  <c r="G37" i="55" s="1"/>
  <c r="Q203" i="31"/>
  <c r="AA198" i="31"/>
  <c r="AB205" i="31" s="1"/>
  <c r="H33" i="55" s="1"/>
  <c r="AC181" i="31"/>
  <c r="AB182" i="31"/>
  <c r="AB52" i="31" s="1"/>
  <c r="AD175" i="31"/>
  <c r="AE103" i="31"/>
  <c r="AE113" i="31" s="1"/>
  <c r="AC54" i="31" l="1"/>
  <c r="AC177" i="31"/>
  <c r="AC184" i="31" s="1"/>
  <c r="AC179" i="31"/>
  <c r="AC53" i="31"/>
  <c r="AC176" i="31"/>
  <c r="AC183" i="31" s="1"/>
  <c r="AC178" i="31"/>
  <c r="AC185" i="31" s="1"/>
  <c r="AC186" i="31"/>
  <c r="AA52" i="31"/>
  <c r="H10" i="55"/>
  <c r="R197" i="31"/>
  <c r="S204" i="31" s="1"/>
  <c r="AB198" i="31"/>
  <c r="H26" i="55" s="1"/>
  <c r="AC187" i="31"/>
  <c r="AC188" i="31"/>
  <c r="X202" i="31"/>
  <c r="G30" i="55" s="1"/>
  <c r="AD181" i="31"/>
  <c r="AD188" i="31" s="1"/>
  <c r="AD179" i="31"/>
  <c r="AD186" i="31" s="1"/>
  <c r="AD177" i="31"/>
  <c r="AD184" i="31" s="1"/>
  <c r="AD176" i="31"/>
  <c r="AD183" i="31" s="1"/>
  <c r="AD180" i="31"/>
  <c r="AD187" i="31" s="1"/>
  <c r="AD178" i="31"/>
  <c r="AD185" i="31" s="1"/>
  <c r="AB207" i="31"/>
  <c r="AB200" i="31" s="1"/>
  <c r="H28" i="55" s="1"/>
  <c r="AB208" i="31"/>
  <c r="AB201" i="31" s="1"/>
  <c r="H29" i="55" s="1"/>
  <c r="AB206" i="31"/>
  <c r="AB199" i="31" s="1"/>
  <c r="H27" i="55" s="1"/>
  <c r="AF103" i="31"/>
  <c r="J31" i="52" s="1"/>
  <c r="AE175" i="31"/>
  <c r="AD53" i="31"/>
  <c r="AD54" i="31"/>
  <c r="H34" i="55" l="1"/>
  <c r="H36" i="55"/>
  <c r="I43" i="51"/>
  <c r="H35" i="55"/>
  <c r="AC182" i="31"/>
  <c r="S203" i="31"/>
  <c r="AF113" i="31"/>
  <c r="J41" i="52" s="1"/>
  <c r="AC205" i="31"/>
  <c r="Y209" i="31"/>
  <c r="S197" i="31"/>
  <c r="AE181" i="31"/>
  <c r="AE188" i="31" s="1"/>
  <c r="AE180" i="31"/>
  <c r="AE187" i="31" s="1"/>
  <c r="AE179" i="31"/>
  <c r="AE178" i="31"/>
  <c r="AE177" i="31"/>
  <c r="AE184" i="31" s="1"/>
  <c r="AE176" i="31"/>
  <c r="AD182" i="31"/>
  <c r="AD52" i="31" s="1"/>
  <c r="AC206" i="31"/>
  <c r="AC207" i="31"/>
  <c r="AC208" i="31"/>
  <c r="AE54" i="31"/>
  <c r="AE53" i="31"/>
  <c r="AG103" i="31"/>
  <c r="Y202" i="31" l="1"/>
  <c r="Z209" i="31" s="1"/>
  <c r="Z202" i="31" s="1"/>
  <c r="AC52" i="31"/>
  <c r="AF175" i="31"/>
  <c r="I3" i="55" s="1"/>
  <c r="AE186" i="31"/>
  <c r="T204" i="31"/>
  <c r="F32" i="55" s="1"/>
  <c r="AC199" i="31"/>
  <c r="AD206" i="31" s="1"/>
  <c r="AD199" i="31" s="1"/>
  <c r="AG113" i="31"/>
  <c r="AC201" i="31"/>
  <c r="AD208" i="31" s="1"/>
  <c r="AD201" i="31" s="1"/>
  <c r="AC200" i="31"/>
  <c r="AD207" i="31" s="1"/>
  <c r="AD200" i="31" s="1"/>
  <c r="AE183" i="31"/>
  <c r="AE185" i="31"/>
  <c r="AC198" i="31"/>
  <c r="AD205" i="31" s="1"/>
  <c r="AD198" i="31" s="1"/>
  <c r="AE205" i="31" s="1"/>
  <c r="AE198" i="31" s="1"/>
  <c r="AH103" i="31"/>
  <c r="AH113" i="31" s="1"/>
  <c r="AG175" i="31" l="1"/>
  <c r="AG181" i="31" s="1"/>
  <c r="AF180" i="31"/>
  <c r="AF53" i="31"/>
  <c r="J44" i="51" s="1"/>
  <c r="AF179" i="31"/>
  <c r="I7" i="55" s="1"/>
  <c r="AF176" i="31"/>
  <c r="AE182" i="31"/>
  <c r="AF54" i="31"/>
  <c r="J45" i="51" s="1"/>
  <c r="AF177" i="31"/>
  <c r="AF181" i="31"/>
  <c r="AF178" i="31"/>
  <c r="AA209" i="31"/>
  <c r="AA202" i="31" s="1"/>
  <c r="T203" i="31"/>
  <c r="F31" i="55" s="1"/>
  <c r="T197" i="31"/>
  <c r="F25" i="55" s="1"/>
  <c r="AE206" i="31"/>
  <c r="AE199" i="31" s="1"/>
  <c r="AE208" i="31"/>
  <c r="AE201" i="31" s="1"/>
  <c r="AF205" i="31"/>
  <c r="I33" i="55" s="1"/>
  <c r="AE207" i="31"/>
  <c r="AH175" i="31"/>
  <c r="AI103" i="31"/>
  <c r="AI113" i="31" s="1"/>
  <c r="AG53" i="31" l="1"/>
  <c r="AG178" i="31"/>
  <c r="AG185" i="31" s="1"/>
  <c r="AG54" i="31"/>
  <c r="AG176" i="31"/>
  <c r="AG183" i="31" s="1"/>
  <c r="AG180" i="31"/>
  <c r="AG187" i="31" s="1"/>
  <c r="AF188" i="31"/>
  <c r="I16" i="55" s="1"/>
  <c r="I9" i="55"/>
  <c r="AG177" i="31"/>
  <c r="AG184" i="31" s="1"/>
  <c r="AG179" i="31"/>
  <c r="AG186" i="31" s="1"/>
  <c r="AF185" i="31"/>
  <c r="I13" i="55" s="1"/>
  <c r="I6" i="55"/>
  <c r="AF184" i="31"/>
  <c r="I12" i="55" s="1"/>
  <c r="I5" i="55"/>
  <c r="AE52" i="31"/>
  <c r="AF187" i="31"/>
  <c r="I15" i="55" s="1"/>
  <c r="I8" i="55"/>
  <c r="AF183" i="31"/>
  <c r="I11" i="55" s="1"/>
  <c r="I4" i="55"/>
  <c r="AF186" i="31"/>
  <c r="I14" i="55" s="1"/>
  <c r="AE200" i="31"/>
  <c r="AF207" i="31" s="1"/>
  <c r="I35" i="55" s="1"/>
  <c r="AG188" i="31"/>
  <c r="U204" i="31"/>
  <c r="AB209" i="31"/>
  <c r="H37" i="55" s="1"/>
  <c r="AH181" i="31"/>
  <c r="AH188" i="31" s="1"/>
  <c r="AH179" i="31"/>
  <c r="AH186" i="31" s="1"/>
  <c r="AH177" i="31"/>
  <c r="AH184" i="31" s="1"/>
  <c r="AH176" i="31"/>
  <c r="AH183" i="31" s="1"/>
  <c r="AH180" i="31"/>
  <c r="AH187" i="31" s="1"/>
  <c r="AH178" i="31"/>
  <c r="AH185" i="31" s="1"/>
  <c r="AF208" i="31"/>
  <c r="AF206" i="31"/>
  <c r="AJ103" i="31"/>
  <c r="AJ113" i="31" s="1"/>
  <c r="K41" i="52" s="1"/>
  <c r="AI175" i="31"/>
  <c r="AH53" i="31"/>
  <c r="AH54" i="31"/>
  <c r="AF199" i="31" l="1"/>
  <c r="I27" i="55" s="1"/>
  <c r="AF201" i="31"/>
  <c r="I29" i="55" s="1"/>
  <c r="AF198" i="31"/>
  <c r="I26" i="55" s="1"/>
  <c r="U197" i="31"/>
  <c r="AF182" i="31"/>
  <c r="I10" i="55" s="1"/>
  <c r="I34" i="55"/>
  <c r="K31" i="52"/>
  <c r="I36" i="55"/>
  <c r="AF52" i="31"/>
  <c r="J43" i="51" s="1"/>
  <c r="AF200" i="31"/>
  <c r="I28" i="55" s="1"/>
  <c r="AG205" i="31"/>
  <c r="AG182" i="31"/>
  <c r="AB202" i="31"/>
  <c r="H30" i="55" s="1"/>
  <c r="V204" i="31"/>
  <c r="V203" i="31" s="1"/>
  <c r="U203" i="31"/>
  <c r="AI181" i="31"/>
  <c r="AI188" i="31" s="1"/>
  <c r="AI180" i="31"/>
  <c r="AI187" i="31" s="1"/>
  <c r="AI179" i="31"/>
  <c r="AI186" i="31" s="1"/>
  <c r="AI178" i="31"/>
  <c r="AI185" i="31" s="1"/>
  <c r="AI177" i="31"/>
  <c r="AI184" i="31" s="1"/>
  <c r="AI176" i="31"/>
  <c r="AI183" i="31" s="1"/>
  <c r="AH182" i="31"/>
  <c r="AH52" i="31" s="1"/>
  <c r="AG206" i="31"/>
  <c r="AG208" i="31"/>
  <c r="AI53" i="31"/>
  <c r="AI54" i="31"/>
  <c r="AJ175" i="31"/>
  <c r="J3" i="55" s="1"/>
  <c r="AK103" i="31"/>
  <c r="AG52" i="31" l="1"/>
  <c r="AG198" i="31"/>
  <c r="AH205" i="31" s="1"/>
  <c r="AH198" i="31" s="1"/>
  <c r="AG207" i="31"/>
  <c r="AC209" i="31"/>
  <c r="V197" i="31"/>
  <c r="W204" i="31" s="1"/>
  <c r="W197" i="31" s="1"/>
  <c r="AK113" i="31"/>
  <c r="AG201" i="31"/>
  <c r="AH208" i="31" s="1"/>
  <c r="AH201" i="31" s="1"/>
  <c r="AG199" i="31"/>
  <c r="AH206" i="31" s="1"/>
  <c r="AH199" i="31" s="1"/>
  <c r="AJ180" i="31"/>
  <c r="AJ187" i="31" s="1"/>
  <c r="J15" i="55" s="1"/>
  <c r="AJ178" i="31"/>
  <c r="AJ185" i="31" s="1"/>
  <c r="J13" i="55" s="1"/>
  <c r="AJ176" i="31"/>
  <c r="AJ183" i="31" s="1"/>
  <c r="J11" i="55" s="1"/>
  <c r="AJ181" i="31"/>
  <c r="AJ188" i="31" s="1"/>
  <c r="J16" i="55" s="1"/>
  <c r="AJ179" i="31"/>
  <c r="J7" i="55" s="1"/>
  <c r="AJ177" i="31"/>
  <c r="AJ184" i="31" s="1"/>
  <c r="J12" i="55" s="1"/>
  <c r="AI182" i="31"/>
  <c r="AI52" i="31" s="1"/>
  <c r="AI205" i="31"/>
  <c r="AI198" i="31" s="1"/>
  <c r="AJ53" i="31"/>
  <c r="K44" i="51" s="1"/>
  <c r="AJ54" i="31"/>
  <c r="K45" i="51" s="1"/>
  <c r="AL103" i="31"/>
  <c r="AL113" i="31" s="1"/>
  <c r="AG200" i="31" l="1"/>
  <c r="AH207" i="31" s="1"/>
  <c r="AH200" i="31" s="1"/>
  <c r="AI207" i="31" s="1"/>
  <c r="AI200" i="31" s="1"/>
  <c r="J6" i="55"/>
  <c r="J5" i="55"/>
  <c r="AK175" i="31"/>
  <c r="AK180" i="31" s="1"/>
  <c r="AC202" i="31"/>
  <c r="AD209" i="31" s="1"/>
  <c r="AD202" i="31" s="1"/>
  <c r="AE209" i="31" s="1"/>
  <c r="AE202" i="31" s="1"/>
  <c r="J4" i="55"/>
  <c r="J8" i="55"/>
  <c r="J9" i="55"/>
  <c r="AJ186" i="31"/>
  <c r="J14" i="55" s="1"/>
  <c r="W203" i="31"/>
  <c r="X204" i="31"/>
  <c r="AJ205" i="31"/>
  <c r="AJ198" i="31" s="1"/>
  <c r="J26" i="55" s="1"/>
  <c r="AI208" i="31"/>
  <c r="AI201" i="31" s="1"/>
  <c r="AI206" i="31"/>
  <c r="AI199" i="31" s="1"/>
  <c r="AL175" i="31"/>
  <c r="AM103" i="31"/>
  <c r="AM113" i="31" s="1"/>
  <c r="AK181" i="31" l="1"/>
  <c r="AK177" i="31"/>
  <c r="AK184" i="31" s="1"/>
  <c r="AK53" i="31"/>
  <c r="AK179" i="31"/>
  <c r="AK186" i="31" s="1"/>
  <c r="AK54" i="31"/>
  <c r="AK176" i="31"/>
  <c r="AK178" i="31"/>
  <c r="X203" i="31"/>
  <c r="G31" i="55" s="1"/>
  <c r="G32" i="55"/>
  <c r="J33" i="55"/>
  <c r="AJ182" i="31"/>
  <c r="J10" i="55" s="1"/>
  <c r="AK183" i="31"/>
  <c r="AK185" i="31"/>
  <c r="AK187" i="31"/>
  <c r="AK188" i="31"/>
  <c r="X197" i="31"/>
  <c r="G25" i="55" s="1"/>
  <c r="AF209" i="31"/>
  <c r="I37" i="55" s="1"/>
  <c r="AL181" i="31"/>
  <c r="AL188" i="31" s="1"/>
  <c r="AL179" i="31"/>
  <c r="AL186" i="31" s="1"/>
  <c r="AL177" i="31"/>
  <c r="AL184" i="31" s="1"/>
  <c r="AL176" i="31"/>
  <c r="AL183" i="31" s="1"/>
  <c r="AL180" i="31"/>
  <c r="AL187" i="31" s="1"/>
  <c r="AL178" i="31"/>
  <c r="AL185" i="31" s="1"/>
  <c r="AJ207" i="31"/>
  <c r="AJ200" i="31" s="1"/>
  <c r="J28" i="55" s="1"/>
  <c r="AK205" i="31"/>
  <c r="AJ206" i="31"/>
  <c r="AJ199" i="31" s="1"/>
  <c r="J27" i="55" s="1"/>
  <c r="AJ208" i="31"/>
  <c r="AJ201" i="31" s="1"/>
  <c r="J29" i="55" s="1"/>
  <c r="AN103" i="31"/>
  <c r="AN113" i="31" s="1"/>
  <c r="L41" i="52" s="1"/>
  <c r="AM175" i="31"/>
  <c r="AL53" i="31"/>
  <c r="AL54" i="31"/>
  <c r="J35" i="55" l="1"/>
  <c r="J36" i="55"/>
  <c r="L31" i="52"/>
  <c r="J34" i="55"/>
  <c r="AJ52" i="31"/>
  <c r="K43" i="51" s="1"/>
  <c r="AK182" i="31"/>
  <c r="AF202" i="31"/>
  <c r="AK198" i="31"/>
  <c r="AL205" i="31" s="1"/>
  <c r="AL198" i="31" s="1"/>
  <c r="Y204" i="31"/>
  <c r="Y197" i="31" s="1"/>
  <c r="AM181" i="31"/>
  <c r="AM188" i="31" s="1"/>
  <c r="AM180" i="31"/>
  <c r="AM187" i="31" s="1"/>
  <c r="AM179" i="31"/>
  <c r="AM186" i="31" s="1"/>
  <c r="AM178" i="31"/>
  <c r="AM185" i="31" s="1"/>
  <c r="AM177" i="31"/>
  <c r="AM184" i="31" s="1"/>
  <c r="AM176" i="31"/>
  <c r="AM183" i="31" s="1"/>
  <c r="AL182" i="31"/>
  <c r="AL52" i="31" s="1"/>
  <c r="AK206" i="31"/>
  <c r="AK208" i="31"/>
  <c r="AK207" i="31"/>
  <c r="AM54" i="31"/>
  <c r="AM53" i="31"/>
  <c r="AO103" i="31"/>
  <c r="AN175" i="31"/>
  <c r="K3" i="55" s="1"/>
  <c r="AK52" i="31" l="1"/>
  <c r="AG209" i="31"/>
  <c r="I30" i="55"/>
  <c r="AO113" i="31"/>
  <c r="AK200" i="31"/>
  <c r="AL207" i="31" s="1"/>
  <c r="AL200" i="31" s="1"/>
  <c r="AK201" i="31"/>
  <c r="AL208" i="31" s="1"/>
  <c r="AL201" i="31" s="1"/>
  <c r="Z204" i="31"/>
  <c r="Z203" i="31" s="1"/>
  <c r="Y203" i="31"/>
  <c r="AK199" i="31"/>
  <c r="AL206" i="31" s="1"/>
  <c r="AL199" i="31" s="1"/>
  <c r="AN180" i="31"/>
  <c r="AN187" i="31" s="1"/>
  <c r="K15" i="55" s="1"/>
  <c r="AN178" i="31"/>
  <c r="AN185" i="31" s="1"/>
  <c r="K13" i="55" s="1"/>
  <c r="AN176" i="31"/>
  <c r="AN183" i="31" s="1"/>
  <c r="K11" i="55" s="1"/>
  <c r="AN181" i="31"/>
  <c r="AN188" i="31" s="1"/>
  <c r="K16" i="55" s="1"/>
  <c r="AN179" i="31"/>
  <c r="AN186" i="31" s="1"/>
  <c r="K14" i="55" s="1"/>
  <c r="AN177" i="31"/>
  <c r="AN184" i="31" s="1"/>
  <c r="K12" i="55" s="1"/>
  <c r="AM182" i="31"/>
  <c r="AM52" i="31" s="1"/>
  <c r="AM205" i="31"/>
  <c r="AM198" i="31" s="1"/>
  <c r="AP103" i="31"/>
  <c r="AP113" i="31" s="1"/>
  <c r="AN53" i="31"/>
  <c r="L44" i="51" s="1"/>
  <c r="AN54" i="31"/>
  <c r="L45" i="51" s="1"/>
  <c r="AO175" i="31" l="1"/>
  <c r="AO180" i="31" s="1"/>
  <c r="K5" i="55"/>
  <c r="K6" i="55"/>
  <c r="K4" i="55"/>
  <c r="K8" i="55"/>
  <c r="AG202" i="31"/>
  <c r="AH209" i="31" s="1"/>
  <c r="AH202" i="31" s="1"/>
  <c r="K9" i="55"/>
  <c r="K7" i="55"/>
  <c r="Z197" i="31"/>
  <c r="AA204" i="31" s="1"/>
  <c r="AI209" i="31"/>
  <c r="AI202" i="31" s="1"/>
  <c r="AO181" i="31"/>
  <c r="AN182" i="31"/>
  <c r="K10" i="55" s="1"/>
  <c r="AN205" i="31"/>
  <c r="AN198" i="31" s="1"/>
  <c r="K26" i="55" s="1"/>
  <c r="AM208" i="31"/>
  <c r="AM201" i="31" s="1"/>
  <c r="AM206" i="31"/>
  <c r="AM199" i="31" s="1"/>
  <c r="AM207" i="31"/>
  <c r="AM200" i="31" s="1"/>
  <c r="AQ103" i="31"/>
  <c r="AQ113" i="31" s="1"/>
  <c r="AP175" i="31"/>
  <c r="AO54" i="31" l="1"/>
  <c r="AO177" i="31"/>
  <c r="AO184" i="31" s="1"/>
  <c r="AO179" i="31"/>
  <c r="AO186" i="31" s="1"/>
  <c r="AO53" i="31"/>
  <c r="AO176" i="31"/>
  <c r="AO183" i="31" s="1"/>
  <c r="AO178" i="31"/>
  <c r="AO185" i="31" s="1"/>
  <c r="K33" i="55"/>
  <c r="AN52" i="31"/>
  <c r="L43" i="51" s="1"/>
  <c r="AO188" i="31"/>
  <c r="AA203" i="31"/>
  <c r="AO187" i="31"/>
  <c r="AA197" i="31"/>
  <c r="AJ209" i="31"/>
  <c r="J37" i="55" s="1"/>
  <c r="AP181" i="31"/>
  <c r="AP188" i="31" s="1"/>
  <c r="AP179" i="31"/>
  <c r="AP186" i="31" s="1"/>
  <c r="AP177" i="31"/>
  <c r="AP184" i="31" s="1"/>
  <c r="AP176" i="31"/>
  <c r="AP183" i="31" s="1"/>
  <c r="AP180" i="31"/>
  <c r="AP187" i="31" s="1"/>
  <c r="AP178" i="31"/>
  <c r="AP185" i="31" s="1"/>
  <c r="AP54" i="31"/>
  <c r="AO205" i="31"/>
  <c r="AN208" i="31"/>
  <c r="AN201" i="31" s="1"/>
  <c r="K29" i="55" s="1"/>
  <c r="AN207" i="31"/>
  <c r="AN200" i="31" s="1"/>
  <c r="K28" i="55" s="1"/>
  <c r="AN206" i="31"/>
  <c r="AN199" i="31" s="1"/>
  <c r="K27" i="55" s="1"/>
  <c r="AP53" i="31"/>
  <c r="AQ175" i="31"/>
  <c r="AR103" i="31"/>
  <c r="AR113" i="31" s="1"/>
  <c r="M41" i="52" s="1"/>
  <c r="M31" i="52" l="1"/>
  <c r="K36" i="55"/>
  <c r="K35" i="55"/>
  <c r="K34" i="55"/>
  <c r="AO182" i="31"/>
  <c r="AO198" i="31"/>
  <c r="AP205" i="31" s="1"/>
  <c r="AP198" i="31" s="1"/>
  <c r="AJ202" i="31"/>
  <c r="J30" i="55" s="1"/>
  <c r="AB204" i="31"/>
  <c r="AQ181" i="31"/>
  <c r="AQ188" i="31" s="1"/>
  <c r="AQ180" i="31"/>
  <c r="AQ187" i="31" s="1"/>
  <c r="AQ179" i="31"/>
  <c r="AQ186" i="31" s="1"/>
  <c r="AQ178" i="31"/>
  <c r="AQ185" i="31" s="1"/>
  <c r="AQ177" i="31"/>
  <c r="AQ184" i="31" s="1"/>
  <c r="AQ176" i="31"/>
  <c r="AQ183" i="31" s="1"/>
  <c r="AP182" i="31"/>
  <c r="AP52" i="31" s="1"/>
  <c r="AO206" i="31"/>
  <c r="AO207" i="31"/>
  <c r="AO208" i="31"/>
  <c r="AT103" i="31"/>
  <c r="N31" i="52" s="1"/>
  <c r="AQ53" i="31"/>
  <c r="AQ54" i="31"/>
  <c r="AO52" i="31" l="1"/>
  <c r="AB197" i="31"/>
  <c r="H25" i="55" s="1"/>
  <c r="H32" i="55"/>
  <c r="AO201" i="31"/>
  <c r="AP208" i="31" s="1"/>
  <c r="AP201" i="31" s="1"/>
  <c r="AB203" i="31"/>
  <c r="H31" i="55" s="1"/>
  <c r="AK209" i="31"/>
  <c r="AO200" i="31"/>
  <c r="AP207" i="31" s="1"/>
  <c r="AP200" i="31" s="1"/>
  <c r="AO199" i="31"/>
  <c r="AP206" i="31" s="1"/>
  <c r="AP199" i="31" s="1"/>
  <c r="AQ182" i="31"/>
  <c r="AQ52" i="31" s="1"/>
  <c r="AQ205" i="31"/>
  <c r="AQ198" i="31" s="1"/>
  <c r="AR175" i="31"/>
  <c r="L3" i="55" s="1"/>
  <c r="AT113" i="31"/>
  <c r="N41" i="52" s="1"/>
  <c r="AC204" i="31" l="1"/>
  <c r="AC197" i="31" s="1"/>
  <c r="AD204" i="31" s="1"/>
  <c r="AD203" i="31" s="1"/>
  <c r="AK202" i="31"/>
  <c r="AL209" i="31" s="1"/>
  <c r="AL202" i="31" s="1"/>
  <c r="AC203" i="31"/>
  <c r="AR180" i="31"/>
  <c r="L8" i="55" s="1"/>
  <c r="AR178" i="31"/>
  <c r="L6" i="55" s="1"/>
  <c r="AR176" i="31"/>
  <c r="L4" i="55" s="1"/>
  <c r="AR181" i="31"/>
  <c r="L9" i="55" s="1"/>
  <c r="AR179" i="31"/>
  <c r="L7" i="55" s="1"/>
  <c r="AR177" i="31"/>
  <c r="L5" i="55" s="1"/>
  <c r="AR205" i="31"/>
  <c r="AT205" i="31" s="1"/>
  <c r="M33" i="55" s="1"/>
  <c r="AQ206" i="31"/>
  <c r="AQ208" i="31"/>
  <c r="AQ207" i="31"/>
  <c r="AQ200" i="31" s="1"/>
  <c r="AR53" i="31"/>
  <c r="AR54" i="31"/>
  <c r="B54" i="31" l="1"/>
  <c r="M45" i="51"/>
  <c r="B53" i="31"/>
  <c r="M44" i="51"/>
  <c r="L33" i="55"/>
  <c r="AQ201" i="31"/>
  <c r="AR208" i="31" s="1"/>
  <c r="AT208" i="31" s="1"/>
  <c r="M36" i="55" s="1"/>
  <c r="AD197" i="31"/>
  <c r="AQ199" i="31"/>
  <c r="AR206" i="31" s="1"/>
  <c r="AT206" i="31" s="1"/>
  <c r="M34" i="55" s="1"/>
  <c r="AR188" i="31"/>
  <c r="L16" i="55" s="1"/>
  <c r="AM209" i="31"/>
  <c r="AM202" i="31" s="1"/>
  <c r="AR207" i="31"/>
  <c r="AT207" i="31" s="1"/>
  <c r="M35" i="55" s="1"/>
  <c r="AT195" i="31"/>
  <c r="M23" i="55" s="1"/>
  <c r="AR185" i="31"/>
  <c r="L13" i="55" s="1"/>
  <c r="AR186" i="31"/>
  <c r="L14" i="55" s="1"/>
  <c r="AR187" i="31"/>
  <c r="L15" i="55" s="1"/>
  <c r="AR183" i="31"/>
  <c r="L11" i="55" s="1"/>
  <c r="AR184" i="31"/>
  <c r="L12" i="55" s="1"/>
  <c r="L35" i="55" l="1"/>
  <c r="L34" i="55"/>
  <c r="L36" i="55"/>
  <c r="AR198" i="31"/>
  <c r="L26" i="55" s="1"/>
  <c r="AR201" i="31"/>
  <c r="L29" i="55" s="1"/>
  <c r="AR199" i="31"/>
  <c r="L27" i="55" s="1"/>
  <c r="AE204" i="31"/>
  <c r="AR200" i="31"/>
  <c r="L28" i="55" s="1"/>
  <c r="AN209" i="31"/>
  <c r="K37" i="55" s="1"/>
  <c r="AR182" i="31"/>
  <c r="L10" i="55" s="1"/>
  <c r="AT191" i="31"/>
  <c r="M19" i="55" s="1"/>
  <c r="AT190" i="31"/>
  <c r="M18" i="55" s="1"/>
  <c r="AT194" i="31"/>
  <c r="M22" i="55" s="1"/>
  <c r="AT193" i="31"/>
  <c r="M21" i="55" s="1"/>
  <c r="AT192" i="31"/>
  <c r="M20" i="55" s="1"/>
  <c r="AT175" i="31"/>
  <c r="M3" i="55" s="1"/>
  <c r="E53" i="31"/>
  <c r="D44" i="51" s="1"/>
  <c r="E185" i="31"/>
  <c r="C13" i="55" s="1"/>
  <c r="E54" i="31"/>
  <c r="D45" i="51" s="1"/>
  <c r="AT177" i="31"/>
  <c r="M5" i="55" s="1"/>
  <c r="AT181" i="31"/>
  <c r="M9" i="55" s="1"/>
  <c r="AE197" i="31" l="1"/>
  <c r="AR52" i="31"/>
  <c r="AT185" i="31"/>
  <c r="M13" i="55" s="1"/>
  <c r="AN202" i="31"/>
  <c r="K30" i="55" s="1"/>
  <c r="AE203" i="31"/>
  <c r="AT200" i="31"/>
  <c r="M28" i="55" s="1"/>
  <c r="AF204" i="31"/>
  <c r="AF203" i="31" s="1"/>
  <c r="AT199" i="31"/>
  <c r="M27" i="55" s="1"/>
  <c r="AT201" i="31"/>
  <c r="M29" i="55" s="1"/>
  <c r="AT198" i="31"/>
  <c r="M26" i="55" s="1"/>
  <c r="B44" i="51"/>
  <c r="AT53" i="31"/>
  <c r="N44" i="51" s="1"/>
  <c r="E188" i="31"/>
  <c r="C16" i="55" s="1"/>
  <c r="E184" i="31"/>
  <c r="C12" i="55" s="1"/>
  <c r="AT178" i="31"/>
  <c r="M6" i="55" s="1"/>
  <c r="AT176" i="31"/>
  <c r="M4" i="55" s="1"/>
  <c r="E183" i="31"/>
  <c r="C11" i="55" s="1"/>
  <c r="AT179" i="31"/>
  <c r="M7" i="55" s="1"/>
  <c r="E186" i="31"/>
  <c r="C14" i="55" s="1"/>
  <c r="AT54" i="31"/>
  <c r="N45" i="51" s="1"/>
  <c r="B45" i="51"/>
  <c r="AT180" i="31"/>
  <c r="M8" i="55" s="1"/>
  <c r="E187" i="31"/>
  <c r="C15" i="55" s="1"/>
  <c r="I31" i="55" l="1"/>
  <c r="I32" i="55"/>
  <c r="B52" i="31"/>
  <c r="M43" i="51"/>
  <c r="AT184" i="31"/>
  <c r="M12" i="55" s="1"/>
  <c r="AT187" i="31"/>
  <c r="M15" i="55" s="1"/>
  <c r="AT186" i="31"/>
  <c r="M14" i="55" s="1"/>
  <c r="AT188" i="31"/>
  <c r="M16" i="55" s="1"/>
  <c r="AO209" i="31"/>
  <c r="AF197" i="31"/>
  <c r="I25" i="55" s="1"/>
  <c r="AT183" i="31"/>
  <c r="M11" i="55" s="1"/>
  <c r="E182" i="31"/>
  <c r="C10" i="55" s="1"/>
  <c r="AO202" i="31" l="1"/>
  <c r="AP209" i="31" s="1"/>
  <c r="AP202" i="31" s="1"/>
  <c r="AQ209" i="31" s="1"/>
  <c r="AQ202" i="31" s="1"/>
  <c r="E52" i="31"/>
  <c r="D43" i="51" s="1"/>
  <c r="AG204" i="31"/>
  <c r="AT182" i="31"/>
  <c r="M10" i="55" s="1"/>
  <c r="AG197" i="31" l="1"/>
  <c r="AH204" i="31" s="1"/>
  <c r="AH203" i="31" s="1"/>
  <c r="AR209" i="31"/>
  <c r="AR202" i="31" s="1"/>
  <c r="L30" i="55" s="1"/>
  <c r="AG203" i="31"/>
  <c r="F225" i="31"/>
  <c r="L37" i="55" l="1"/>
  <c r="F230" i="31"/>
  <c r="F14" i="32"/>
  <c r="AT202" i="31"/>
  <c r="M30" i="55" s="1"/>
  <c r="AH197" i="31"/>
  <c r="AT209" i="31"/>
  <c r="M37" i="55" s="1"/>
  <c r="F234" i="31"/>
  <c r="F232" i="31" l="1"/>
  <c r="F52" i="32"/>
  <c r="AI204" i="31"/>
  <c r="G225" i="31"/>
  <c r="F60" i="31" l="1"/>
  <c r="F64" i="31" s="1"/>
  <c r="G526" i="27"/>
  <c r="AI203" i="31"/>
  <c r="G14" i="32"/>
  <c r="AI197" i="31"/>
  <c r="G234" i="31"/>
  <c r="G230" i="31"/>
  <c r="G525" i="27" l="1"/>
  <c r="G52" i="32"/>
  <c r="AJ204" i="31"/>
  <c r="G232" i="31"/>
  <c r="H225" i="31"/>
  <c r="D5" i="57" s="1"/>
  <c r="AJ197" i="31" l="1"/>
  <c r="J25" i="55" s="1"/>
  <c r="J32" i="55"/>
  <c r="G528" i="27"/>
  <c r="H14" i="32"/>
  <c r="D8" i="58" s="1"/>
  <c r="AJ203" i="31"/>
  <c r="J31" i="55" s="1"/>
  <c r="H526" i="27"/>
  <c r="C16" i="42" s="1"/>
  <c r="G60" i="31"/>
  <c r="H230" i="31"/>
  <c r="D10" i="57" s="1"/>
  <c r="H234" i="31"/>
  <c r="D14" i="57" s="1"/>
  <c r="AK204" i="31" l="1"/>
  <c r="AK197" i="31" s="1"/>
  <c r="AL204" i="31" s="1"/>
  <c r="AL203" i="31" s="1"/>
  <c r="H52" i="32"/>
  <c r="D8" i="59" s="1"/>
  <c r="G64" i="31"/>
  <c r="H525" i="27"/>
  <c r="H232" i="31"/>
  <c r="D12" i="57" s="1"/>
  <c r="I225" i="31"/>
  <c r="AK203" i="31" l="1"/>
  <c r="H528" i="27"/>
  <c r="C15" i="42"/>
  <c r="I14" i="32"/>
  <c r="AL197" i="31"/>
  <c r="H60" i="31"/>
  <c r="D51" i="51" s="1"/>
  <c r="I526" i="27"/>
  <c r="I230" i="31"/>
  <c r="I234" i="31"/>
  <c r="J225" i="31"/>
  <c r="J14" i="32" s="1"/>
  <c r="K225" i="31"/>
  <c r="I52" i="32" l="1"/>
  <c r="H64" i="31"/>
  <c r="D55" i="51" s="1"/>
  <c r="AM204" i="31"/>
  <c r="K230" i="31"/>
  <c r="K14" i="32"/>
  <c r="I525" i="27"/>
  <c r="I232" i="31"/>
  <c r="K234" i="31"/>
  <c r="J234" i="31"/>
  <c r="J230" i="31"/>
  <c r="J526" i="27" l="1"/>
  <c r="AM203" i="31"/>
  <c r="AM197" i="31"/>
  <c r="J232" i="31"/>
  <c r="J60" i="31" s="1"/>
  <c r="J64" i="31" s="1"/>
  <c r="J52" i="32"/>
  <c r="K232" i="31"/>
  <c r="K60" i="31" s="1"/>
  <c r="K52" i="32"/>
  <c r="I528" i="27"/>
  <c r="I60" i="31"/>
  <c r="L225" i="31"/>
  <c r="E5" i="57" s="1"/>
  <c r="J525" i="27" l="1"/>
  <c r="J528" i="27" s="1"/>
  <c r="AN204" i="31"/>
  <c r="L14" i="32"/>
  <c r="E8" i="58" s="1"/>
  <c r="I64" i="31"/>
  <c r="K526" i="27"/>
  <c r="L526" i="27" s="1"/>
  <c r="L525" i="27" s="1"/>
  <c r="L230" i="31"/>
  <c r="E10" i="57" s="1"/>
  <c r="L234" i="31"/>
  <c r="E14" i="57" s="1"/>
  <c r="K64" i="31"/>
  <c r="D16" i="42" l="1"/>
  <c r="AN197" i="31"/>
  <c r="K25" i="55" s="1"/>
  <c r="K32" i="55"/>
  <c r="AO204" i="31"/>
  <c r="AN203" i="31"/>
  <c r="K31" i="55" s="1"/>
  <c r="K525" i="27"/>
  <c r="D15" i="42" s="1"/>
  <c r="L232" i="31"/>
  <c r="E12" i="57" s="1"/>
  <c r="L52" i="32"/>
  <c r="E8" i="59" s="1"/>
  <c r="M225" i="31"/>
  <c r="L528" i="27"/>
  <c r="AO197" i="31" l="1"/>
  <c r="AP204" i="31" s="1"/>
  <c r="AP203" i="31" s="1"/>
  <c r="M14" i="32"/>
  <c r="M526" i="27"/>
  <c r="AO203" i="31"/>
  <c r="K528" i="27"/>
  <c r="L60" i="31"/>
  <c r="E51" i="51" s="1"/>
  <c r="M234" i="31"/>
  <c r="M230" i="31"/>
  <c r="M525" i="27" l="1"/>
  <c r="L64" i="31"/>
  <c r="E55" i="51" s="1"/>
  <c r="AP197" i="31"/>
  <c r="M232" i="31"/>
  <c r="M52" i="32"/>
  <c r="N225" i="31"/>
  <c r="M528" i="27" l="1"/>
  <c r="N14" i="32"/>
  <c r="N526" i="27"/>
  <c r="AQ204" i="31"/>
  <c r="M60" i="31"/>
  <c r="N234" i="31"/>
  <c r="N230" i="31"/>
  <c r="O225" i="31"/>
  <c r="O14" i="32" s="1"/>
  <c r="N525" i="27" l="1"/>
  <c r="M64" i="31"/>
  <c r="AQ203" i="31"/>
  <c r="AQ197" i="31"/>
  <c r="N232" i="31"/>
  <c r="N52" i="32"/>
  <c r="N528" i="27"/>
  <c r="O230" i="31"/>
  <c r="O234" i="31"/>
  <c r="O526" i="27" l="1"/>
  <c r="AR204" i="31"/>
  <c r="O232" i="31"/>
  <c r="O52" i="32"/>
  <c r="N60" i="31"/>
  <c r="P225" i="31"/>
  <c r="F5" i="57" s="1"/>
  <c r="AR197" i="31" l="1"/>
  <c r="L25" i="55" s="1"/>
  <c r="L32" i="55"/>
  <c r="O525" i="27"/>
  <c r="P526" i="27"/>
  <c r="E16" i="42" s="1"/>
  <c r="AT197" i="31"/>
  <c r="M25" i="55" s="1"/>
  <c r="P14" i="32"/>
  <c r="F8" i="58" s="1"/>
  <c r="N64" i="31"/>
  <c r="AR203" i="31"/>
  <c r="L31" i="55" s="1"/>
  <c r="AT204" i="31"/>
  <c r="M32" i="55" s="1"/>
  <c r="O60" i="31"/>
  <c r="O64" i="31" s="1"/>
  <c r="P234" i="31"/>
  <c r="F14" i="57" s="1"/>
  <c r="P230" i="31"/>
  <c r="F10" i="57" s="1"/>
  <c r="O528" i="27" l="1"/>
  <c r="B43" i="51"/>
  <c r="AT52" i="31"/>
  <c r="N43" i="51" s="1"/>
  <c r="B67" i="31"/>
  <c r="P525" i="27"/>
  <c r="E15" i="42" s="1"/>
  <c r="P232" i="31"/>
  <c r="F12" i="57" s="1"/>
  <c r="P52" i="32"/>
  <c r="F8" i="59" s="1"/>
  <c r="Q225" i="31"/>
  <c r="AJ56" i="31" l="1"/>
  <c r="AK56" i="31"/>
  <c r="G56" i="31"/>
  <c r="J56" i="31"/>
  <c r="L56" i="31"/>
  <c r="M56" i="31"/>
  <c r="O56" i="31"/>
  <c r="R56" i="31"/>
  <c r="S56" i="31"/>
  <c r="T56" i="31"/>
  <c r="W56" i="31"/>
  <c r="X56" i="31"/>
  <c r="AA56" i="31"/>
  <c r="AC56" i="31"/>
  <c r="AE56" i="31"/>
  <c r="AF56" i="31"/>
  <c r="AI56" i="31"/>
  <c r="B58" i="51"/>
  <c r="F56" i="31"/>
  <c r="H56" i="31"/>
  <c r="I56" i="31"/>
  <c r="K56" i="31"/>
  <c r="N56" i="31"/>
  <c r="P56" i="31"/>
  <c r="Q56" i="31"/>
  <c r="U56" i="31"/>
  <c r="V56" i="31"/>
  <c r="Y56" i="31"/>
  <c r="Z56" i="31"/>
  <c r="AB56" i="31"/>
  <c r="AD56" i="31"/>
  <c r="AG56" i="31"/>
  <c r="AH56" i="31"/>
  <c r="AL56" i="31"/>
  <c r="AM56" i="31"/>
  <c r="AN56" i="31"/>
  <c r="AO56" i="31"/>
  <c r="AP56" i="31"/>
  <c r="AQ56" i="31"/>
  <c r="AR56" i="31"/>
  <c r="E56" i="31"/>
  <c r="P528" i="27"/>
  <c r="Q14" i="32"/>
  <c r="Q526" i="27"/>
  <c r="P60" i="31"/>
  <c r="F51" i="51" s="1"/>
  <c r="Q234" i="31"/>
  <c r="Q230" i="31"/>
  <c r="D47" i="51" l="1"/>
  <c r="G47" i="51"/>
  <c r="K47" i="51"/>
  <c r="H47" i="51"/>
  <c r="M47" i="51"/>
  <c r="E47" i="51"/>
  <c r="Q525" i="27"/>
  <c r="I47" i="51"/>
  <c r="J47" i="51"/>
  <c r="F47" i="51"/>
  <c r="L47" i="51"/>
  <c r="AH57" i="31"/>
  <c r="AI57" i="31"/>
  <c r="AK57" i="31"/>
  <c r="AJ57" i="31"/>
  <c r="AB57" i="31"/>
  <c r="AC57" i="31"/>
  <c r="Z57" i="31"/>
  <c r="AA57" i="31"/>
  <c r="X57" i="31"/>
  <c r="V57" i="31"/>
  <c r="Y57" i="31"/>
  <c r="W57" i="31"/>
  <c r="AF57" i="31"/>
  <c r="AE57" i="31"/>
  <c r="AG57" i="31"/>
  <c r="AD57" i="31"/>
  <c r="Q57" i="31"/>
  <c r="N57" i="31"/>
  <c r="O57" i="31"/>
  <c r="P57" i="31"/>
  <c r="AM57" i="31"/>
  <c r="AL57" i="31"/>
  <c r="AO57" i="31"/>
  <c r="AN57" i="31"/>
  <c r="H57" i="31"/>
  <c r="I57" i="31"/>
  <c r="F57" i="31"/>
  <c r="G57" i="31"/>
  <c r="AP57" i="31"/>
  <c r="AQ57" i="31"/>
  <c r="AR57" i="31"/>
  <c r="U57" i="31"/>
  <c r="S57" i="31"/>
  <c r="T57" i="31"/>
  <c r="R57" i="31"/>
  <c r="J57" i="31"/>
  <c r="K57" i="31"/>
  <c r="L57" i="31"/>
  <c r="M57" i="31"/>
  <c r="P64" i="31"/>
  <c r="F55" i="51" s="1"/>
  <c r="Q232" i="31"/>
  <c r="Q52" i="32"/>
  <c r="R225" i="31"/>
  <c r="Q528" i="27" l="1"/>
  <c r="J48" i="51"/>
  <c r="M48" i="51"/>
  <c r="G48" i="51"/>
  <c r="E48" i="51"/>
  <c r="F48" i="51"/>
  <c r="H48" i="51"/>
  <c r="K48" i="51"/>
  <c r="I48" i="51"/>
  <c r="L48" i="51"/>
  <c r="R14" i="32"/>
  <c r="R526" i="27"/>
  <c r="Q60" i="31"/>
  <c r="S225" i="31"/>
  <c r="S14" i="32" s="1"/>
  <c r="R234" i="31"/>
  <c r="R230" i="31"/>
  <c r="R525" i="27" l="1"/>
  <c r="R528" i="27" s="1"/>
  <c r="B48" i="51" a="1"/>
  <c r="B48" i="51" s="1"/>
  <c r="B57" i="31" s="1"/>
  <c r="Q64" i="31"/>
  <c r="R232" i="31"/>
  <c r="R52" i="32"/>
  <c r="S230" i="31"/>
  <c r="S234" i="31"/>
  <c r="S526" i="27" l="1"/>
  <c r="R60" i="31"/>
  <c r="S232" i="31"/>
  <c r="S52" i="32"/>
  <c r="T225" i="31"/>
  <c r="G5" i="57" s="1"/>
  <c r="S525" i="27" l="1"/>
  <c r="T526" i="27"/>
  <c r="F16" i="42" s="1"/>
  <c r="T14" i="32"/>
  <c r="G8" i="58" s="1"/>
  <c r="R64" i="31"/>
  <c r="S60" i="31"/>
  <c r="S64" i="31" s="1"/>
  <c r="T230" i="31"/>
  <c r="G10" i="57" s="1"/>
  <c r="T234" i="31"/>
  <c r="G14" i="57" s="1"/>
  <c r="S528" i="27" l="1"/>
  <c r="T525" i="27"/>
  <c r="F15" i="42" s="1"/>
  <c r="T232" i="31"/>
  <c r="G12" i="57" s="1"/>
  <c r="T52" i="32"/>
  <c r="G8" i="59" s="1"/>
  <c r="U225" i="31"/>
  <c r="T528" i="27" l="1"/>
  <c r="U14" i="32"/>
  <c r="U526" i="27"/>
  <c r="T60" i="31"/>
  <c r="G51" i="51" s="1"/>
  <c r="U230" i="31"/>
  <c r="U234" i="31"/>
  <c r="U525" i="27" l="1"/>
  <c r="U528" i="27" s="1"/>
  <c r="T64" i="31"/>
  <c r="G55" i="51" s="1"/>
  <c r="U232" i="31"/>
  <c r="U52" i="32"/>
  <c r="V225" i="31"/>
  <c r="V14" i="32" l="1"/>
  <c r="V526" i="27"/>
  <c r="U60" i="31"/>
  <c r="V234" i="31"/>
  <c r="V230" i="31"/>
  <c r="W225" i="31"/>
  <c r="W14" i="32" s="1"/>
  <c r="V525" i="27" l="1"/>
  <c r="U64" i="31"/>
  <c r="V232" i="31"/>
  <c r="V52" i="32"/>
  <c r="W234" i="31"/>
  <c r="W230" i="31"/>
  <c r="V528" i="27" l="1"/>
  <c r="W526" i="27"/>
  <c r="V60" i="31"/>
  <c r="W232" i="31"/>
  <c r="W52" i="32"/>
  <c r="X225" i="31"/>
  <c r="H5" i="57" l="1"/>
  <c r="W525" i="27"/>
  <c r="X526" i="27"/>
  <c r="G16" i="42" s="1"/>
  <c r="X14" i="32"/>
  <c r="V64" i="31"/>
  <c r="W60" i="31"/>
  <c r="W64" i="31" s="1"/>
  <c r="Y225" i="31"/>
  <c r="X230" i="31"/>
  <c r="X234" i="31"/>
  <c r="H14" i="57" s="1"/>
  <c r="W528" i="27" l="1"/>
  <c r="H10" i="57"/>
  <c r="H8" i="58"/>
  <c r="X525" i="27"/>
  <c r="G15" i="42" s="1"/>
  <c r="Y14" i="32"/>
  <c r="X232" i="31"/>
  <c r="X52" i="32"/>
  <c r="Y234" i="31"/>
  <c r="Y230" i="31"/>
  <c r="H12" i="57" l="1"/>
  <c r="H8" i="59"/>
  <c r="X528" i="27"/>
  <c r="Y526" i="27"/>
  <c r="X60" i="31"/>
  <c r="Y232" i="31"/>
  <c r="Y52" i="32"/>
  <c r="Z225" i="31"/>
  <c r="Y525" i="27" l="1"/>
  <c r="H51" i="51"/>
  <c r="Z526" i="27"/>
  <c r="Z525" i="27" s="1"/>
  <c r="Z14" i="32"/>
  <c r="X64" i="31"/>
  <c r="Y60" i="31"/>
  <c r="Z234" i="31"/>
  <c r="Z230" i="31"/>
  <c r="Y528" i="27" l="1"/>
  <c r="H55" i="51"/>
  <c r="Y64" i="31"/>
  <c r="Z232" i="31"/>
  <c r="Z52" i="32"/>
  <c r="AA225" i="31"/>
  <c r="Z528" i="27"/>
  <c r="AA14" i="32" l="1"/>
  <c r="AA526" i="27"/>
  <c r="Z60" i="31"/>
  <c r="AA234" i="31"/>
  <c r="AA230" i="31"/>
  <c r="AA525" i="27" l="1"/>
  <c r="AA528" i="27" s="1"/>
  <c r="Z64" i="31"/>
  <c r="AA232" i="31"/>
  <c r="AA52" i="32"/>
  <c r="AB225" i="31"/>
  <c r="I5" i="57" s="1"/>
  <c r="AB14" i="32" l="1"/>
  <c r="I8" i="58" s="1"/>
  <c r="AB526" i="27"/>
  <c r="H16" i="42" s="1"/>
  <c r="AA60" i="31"/>
  <c r="AB234" i="31"/>
  <c r="I14" i="57" s="1"/>
  <c r="AB230" i="31"/>
  <c r="I10" i="57" s="1"/>
  <c r="AC225" i="31"/>
  <c r="AC14" i="32" l="1"/>
  <c r="AB525" i="27"/>
  <c r="H15" i="42" s="1"/>
  <c r="AA64" i="31"/>
  <c r="AB232" i="31"/>
  <c r="I12" i="57" s="1"/>
  <c r="AB52" i="32"/>
  <c r="I8" i="59" s="1"/>
  <c r="AC234" i="31"/>
  <c r="AC230" i="31"/>
  <c r="AD225" i="31"/>
  <c r="AD14" i="32" s="1"/>
  <c r="AB528" i="27" l="1"/>
  <c r="AC526" i="27"/>
  <c r="AB60" i="31"/>
  <c r="I51" i="51" s="1"/>
  <c r="AC232" i="31"/>
  <c r="AC52" i="32"/>
  <c r="AE225" i="31"/>
  <c r="AE14" i="32" s="1"/>
  <c r="AD234" i="31"/>
  <c r="AD230" i="31"/>
  <c r="AC525" i="27" l="1"/>
  <c r="AB64" i="31"/>
  <c r="I55" i="51" s="1"/>
  <c r="AD526" i="27"/>
  <c r="AD525" i="27" s="1"/>
  <c r="AC60" i="31"/>
  <c r="AD232" i="31"/>
  <c r="AD52" i="32"/>
  <c r="AE230" i="31"/>
  <c r="AE234" i="31"/>
  <c r="AF225" i="31"/>
  <c r="AF14" i="32" s="1"/>
  <c r="J8" i="58" s="1"/>
  <c r="J5" i="57" l="1"/>
  <c r="AC528" i="27"/>
  <c r="AE526" i="27"/>
  <c r="AE525" i="27" s="1"/>
  <c r="AC64" i="31"/>
  <c r="AD60" i="31"/>
  <c r="AD64" i="31" s="1"/>
  <c r="AE232" i="31"/>
  <c r="AE60" i="31" s="1"/>
  <c r="AE64" i="31" s="1"/>
  <c r="AE52" i="32"/>
  <c r="AF230" i="31"/>
  <c r="J10" i="57" s="1"/>
  <c r="AF234" i="31"/>
  <c r="J14" i="57" s="1"/>
  <c r="AD528" i="27"/>
  <c r="AF526" i="27" l="1"/>
  <c r="AF525" i="27" s="1"/>
  <c r="I15" i="42" s="1"/>
  <c r="AF232" i="31"/>
  <c r="J12" i="57" s="1"/>
  <c r="AF52" i="32"/>
  <c r="J8" i="59" s="1"/>
  <c r="AE528" i="27"/>
  <c r="AG225" i="31"/>
  <c r="I16" i="42" l="1"/>
  <c r="AF528" i="27"/>
  <c r="AG526" i="27"/>
  <c r="AG14" i="32"/>
  <c r="AF60" i="31"/>
  <c r="J51" i="51" s="1"/>
  <c r="AG230" i="31"/>
  <c r="AG234" i="31"/>
  <c r="AG525" i="27" l="1"/>
  <c r="AF64" i="31"/>
  <c r="J55" i="51" s="1"/>
  <c r="AG232" i="31"/>
  <c r="AG52" i="32"/>
  <c r="AG528" i="27"/>
  <c r="AH225" i="31"/>
  <c r="AH14" i="32" l="1"/>
  <c r="AH526" i="27"/>
  <c r="AG60" i="31"/>
  <c r="AH234" i="31"/>
  <c r="AH230" i="31"/>
  <c r="AH525" i="27" l="1"/>
  <c r="AH528" i="27" s="1"/>
  <c r="AG64" i="31"/>
  <c r="AH232" i="31"/>
  <c r="AH52" i="32"/>
  <c r="AI225" i="31"/>
  <c r="AI14" i="32" l="1"/>
  <c r="AI526" i="27"/>
  <c r="AH60" i="31"/>
  <c r="AI234" i="31"/>
  <c r="AI230" i="31"/>
  <c r="AI525" i="27" l="1"/>
  <c r="AH64" i="31"/>
  <c r="AI232" i="31"/>
  <c r="AI52" i="32"/>
  <c r="AJ225" i="31"/>
  <c r="K5" i="57" s="1"/>
  <c r="AI528" i="27" l="1"/>
  <c r="AJ14" i="32"/>
  <c r="K8" i="58" s="1"/>
  <c r="AJ526" i="27"/>
  <c r="J16" i="42" s="1"/>
  <c r="AI60" i="31"/>
  <c r="AJ230" i="31"/>
  <c r="K10" i="57" s="1"/>
  <c r="AJ234" i="31"/>
  <c r="K14" i="57" s="1"/>
  <c r="AK225" i="31"/>
  <c r="AJ525" i="27" l="1"/>
  <c r="J15" i="42" s="1"/>
  <c r="AK14" i="32"/>
  <c r="AI64" i="31"/>
  <c r="AJ232" i="31"/>
  <c r="K12" i="57" s="1"/>
  <c r="AJ52" i="32"/>
  <c r="K8" i="59" s="1"/>
  <c r="AK234" i="31"/>
  <c r="AK230" i="31"/>
  <c r="AJ528" i="27" l="1"/>
  <c r="AK526" i="27"/>
  <c r="AJ60" i="31"/>
  <c r="K51" i="51" s="1"/>
  <c r="AK232" i="31"/>
  <c r="AK52" i="32"/>
  <c r="AL225" i="31"/>
  <c r="AK525" i="27" l="1"/>
  <c r="AK528" i="27" s="1"/>
  <c r="AL14" i="32"/>
  <c r="AL526" i="27"/>
  <c r="AL525" i="27" s="1"/>
  <c r="AJ64" i="31"/>
  <c r="K55" i="51" s="1"/>
  <c r="AK60" i="31"/>
  <c r="AM225" i="31"/>
  <c r="AM14" i="32" s="1"/>
  <c r="AL234" i="31"/>
  <c r="AL230" i="31"/>
  <c r="AK64" i="31" l="1"/>
  <c r="AL232" i="31"/>
  <c r="AL52" i="32"/>
  <c r="AL528" i="27"/>
  <c r="AM234" i="31"/>
  <c r="AM230" i="31"/>
  <c r="AM526" i="27" l="1"/>
  <c r="AM232" i="31"/>
  <c r="AM52" i="32"/>
  <c r="AL60" i="31"/>
  <c r="AN225" i="31"/>
  <c r="L5" i="57" s="1"/>
  <c r="AO225" i="31"/>
  <c r="AM525" i="27" l="1"/>
  <c r="AM528" i="27" s="1"/>
  <c r="AN14" i="32"/>
  <c r="L8" i="58" s="1"/>
  <c r="AL64" i="31"/>
  <c r="AN526" i="27"/>
  <c r="K16" i="42" s="1"/>
  <c r="AO14" i="32"/>
  <c r="AM60" i="31"/>
  <c r="AM64" i="31" s="1"/>
  <c r="AP225" i="31"/>
  <c r="AP14" i="32" s="1"/>
  <c r="AO234" i="31"/>
  <c r="AO230" i="31"/>
  <c r="AN234" i="31"/>
  <c r="L14" i="57" s="1"/>
  <c r="AN230" i="31"/>
  <c r="L10" i="57" s="1"/>
  <c r="AN52" i="32" l="1"/>
  <c r="L8" i="59" s="1"/>
  <c r="AN525" i="27"/>
  <c r="K15" i="42" s="1"/>
  <c r="AO232" i="31"/>
  <c r="AO52" i="32"/>
  <c r="AP230" i="31"/>
  <c r="AP234" i="31"/>
  <c r="AN232" i="31"/>
  <c r="L12" i="57" s="1"/>
  <c r="AN528" i="27" l="1"/>
  <c r="AO60" i="31"/>
  <c r="AO526" i="27"/>
  <c r="AP232" i="31"/>
  <c r="AP60" i="31" s="1"/>
  <c r="AP64" i="31" s="1"/>
  <c r="AP52" i="32"/>
  <c r="AQ225" i="31"/>
  <c r="AN60" i="31"/>
  <c r="L51" i="51" s="1"/>
  <c r="AP526" i="27" l="1"/>
  <c r="AQ526" i="27" s="1"/>
  <c r="AQ14" i="32"/>
  <c r="AO64" i="31"/>
  <c r="AO525" i="27"/>
  <c r="AR225" i="31"/>
  <c r="B225" i="31" s="1"/>
  <c r="AT203" i="31"/>
  <c r="M31" i="55" s="1"/>
  <c r="AN64" i="31"/>
  <c r="L55" i="51" s="1"/>
  <c r="AQ230" i="31"/>
  <c r="AQ234" i="31"/>
  <c r="M5" i="57" l="1"/>
  <c r="AQ52" i="32"/>
  <c r="AT225" i="31"/>
  <c r="N5" i="57" s="1"/>
  <c r="AR14" i="32"/>
  <c r="B14" i="32" s="1"/>
  <c r="B5" i="57"/>
  <c r="AP525" i="27"/>
  <c r="AQ232" i="31"/>
  <c r="AR230" i="31"/>
  <c r="B230" i="31" s="1"/>
  <c r="AR234" i="31"/>
  <c r="M14" i="57" s="1"/>
  <c r="AQ525" i="27"/>
  <c r="AO528" i="27"/>
  <c r="AR52" i="32" l="1"/>
  <c r="B52" i="32" s="1"/>
  <c r="B234" i="31"/>
  <c r="B14" i="57" s="1"/>
  <c r="M8" i="58"/>
  <c r="M10" i="57"/>
  <c r="AT52" i="32"/>
  <c r="N8" i="59" s="1"/>
  <c r="AR526" i="27"/>
  <c r="B8" i="58"/>
  <c r="AT14" i="32"/>
  <c r="N8" i="58" s="1"/>
  <c r="AR232" i="31"/>
  <c r="AQ528" i="27"/>
  <c r="AQ60" i="31"/>
  <c r="AP528" i="27"/>
  <c r="AT230" i="31"/>
  <c r="N10" i="57" s="1"/>
  <c r="AT234" i="31"/>
  <c r="N14" i="57" s="1"/>
  <c r="B10" i="57"/>
  <c r="B232" i="31" l="1"/>
  <c r="B12" i="57" s="1"/>
  <c r="M8" i="59"/>
  <c r="K192" i="23"/>
  <c r="L16" i="42"/>
  <c r="M12" i="57"/>
  <c r="AT232" i="31"/>
  <c r="N12" i="57" s="1"/>
  <c r="AR60" i="31"/>
  <c r="B60" i="31" s="1"/>
  <c r="AR525" i="27"/>
  <c r="L15" i="42" s="1"/>
  <c r="AT526" i="27"/>
  <c r="AQ64" i="31"/>
  <c r="M51" i="51" l="1"/>
  <c r="AR64" i="31"/>
  <c r="B51" i="51"/>
  <c r="B526" i="27"/>
  <c r="M16" i="42"/>
  <c r="AT60" i="31"/>
  <c r="N51" i="51" s="1"/>
  <c r="AR528" i="27"/>
  <c r="AT525" i="27"/>
  <c r="B64" i="31" l="1"/>
  <c r="B55" i="51" s="1"/>
  <c r="M55" i="51"/>
  <c r="K191" i="23"/>
  <c r="AT64" i="31"/>
  <c r="N55" i="51" s="1"/>
  <c r="B525" i="27"/>
  <c r="M15" i="42"/>
  <c r="AT528" i="27"/>
  <c r="B528" i="27" l="1"/>
  <c r="F125" i="32"/>
  <c r="G125" i="32" l="1"/>
  <c r="G133" i="32"/>
  <c r="F133" i="32"/>
  <c r="F126" i="32"/>
  <c r="F142" i="32" l="1"/>
  <c r="G126" i="32"/>
  <c r="G142" i="32" s="1"/>
  <c r="H125" i="32"/>
  <c r="D11" i="61" s="1"/>
  <c r="H126" i="32" l="1"/>
  <c r="D12" i="61" s="1"/>
  <c r="H133" i="32"/>
  <c r="D19" i="61" s="1"/>
  <c r="E69" i="28"/>
  <c r="E515" i="27" l="1"/>
  <c r="H142" i="32"/>
  <c r="E357" i="28"/>
  <c r="E316" i="28"/>
  <c r="E146" i="28"/>
  <c r="F612" i="27" l="1"/>
  <c r="F69" i="28" l="1"/>
  <c r="F515" i="27" l="1"/>
  <c r="F357" i="28"/>
  <c r="F316" i="28"/>
  <c r="F146" i="28"/>
  <c r="T69" i="28" l="1"/>
  <c r="T515" i="27" s="1"/>
  <c r="Z69" i="28"/>
  <c r="Z515" i="27" s="1"/>
  <c r="AF69" i="28"/>
  <c r="AF515" i="27" s="1"/>
  <c r="J69" i="28"/>
  <c r="J515" i="27" s="1"/>
  <c r="H69" i="28"/>
  <c r="H515" i="27" s="1"/>
  <c r="AN69" i="28"/>
  <c r="AN515" i="27" s="1"/>
  <c r="AJ69" i="28"/>
  <c r="AJ515" i="27" s="1"/>
  <c r="AR69" i="28"/>
  <c r="AO69" i="28" l="1"/>
  <c r="U69" i="28"/>
  <c r="AI69" i="28"/>
  <c r="AI515" i="27" s="1"/>
  <c r="AE69" i="28"/>
  <c r="AE515" i="27" s="1"/>
  <c r="AD69" i="28"/>
  <c r="AD515" i="27" s="1"/>
  <c r="AM69" i="28"/>
  <c r="AM515" i="27" s="1"/>
  <c r="AR357" i="28"/>
  <c r="AR316" i="28"/>
  <c r="AR146" i="28"/>
  <c r="AJ316" i="28"/>
  <c r="AJ357" i="28"/>
  <c r="AJ146" i="28"/>
  <c r="W69" i="28"/>
  <c r="W515" i="27" s="1"/>
  <c r="K69" i="28"/>
  <c r="K515" i="27" s="1"/>
  <c r="N69" i="28"/>
  <c r="N515" i="27" s="1"/>
  <c r="J357" i="28"/>
  <c r="J316" i="28"/>
  <c r="J146" i="28"/>
  <c r="AF357" i="28"/>
  <c r="AF316" i="28"/>
  <c r="AF146" i="28"/>
  <c r="T316" i="28"/>
  <c r="T357" i="28"/>
  <c r="T146" i="28"/>
  <c r="P69" i="28"/>
  <c r="P515" i="27" s="1"/>
  <c r="AL69" i="28"/>
  <c r="AL515" i="27" s="1"/>
  <c r="S69" i="28"/>
  <c r="S515" i="27" s="1"/>
  <c r="L69" i="28"/>
  <c r="L515" i="27" s="1"/>
  <c r="AA69" i="28"/>
  <c r="AA515" i="27" s="1"/>
  <c r="V69" i="28"/>
  <c r="V515" i="27" s="1"/>
  <c r="AN316" i="28"/>
  <c r="AN357" i="28"/>
  <c r="AN146" i="28"/>
  <c r="H316" i="28"/>
  <c r="H357" i="28"/>
  <c r="H146" i="28"/>
  <c r="R69" i="28"/>
  <c r="R515" i="27" s="1"/>
  <c r="O69" i="28"/>
  <c r="O515" i="27" s="1"/>
  <c r="AQ69" i="28"/>
  <c r="AQ515" i="27" s="1"/>
  <c r="AP69" i="28"/>
  <c r="AP515" i="27" s="1"/>
  <c r="Z357" i="28"/>
  <c r="Z316" i="28"/>
  <c r="Z146" i="28"/>
  <c r="AH69" i="28"/>
  <c r="AH515" i="27" s="1"/>
  <c r="X69" i="28"/>
  <c r="X515" i="27" s="1"/>
  <c r="AB69" i="28"/>
  <c r="AB515" i="27" s="1"/>
  <c r="H26" i="45" l="1"/>
  <c r="H445" i="23" s="1"/>
  <c r="AO515" i="27"/>
  <c r="M26" i="45"/>
  <c r="U357" i="28"/>
  <c r="U515" i="27"/>
  <c r="G7" i="42" s="1"/>
  <c r="AO357" i="28"/>
  <c r="U146" i="28"/>
  <c r="AO146" i="28"/>
  <c r="AO316" i="28"/>
  <c r="U316" i="28"/>
  <c r="AG69" i="28"/>
  <c r="Y69" i="28"/>
  <c r="I69" i="28"/>
  <c r="M69" i="28"/>
  <c r="Q69" i="28"/>
  <c r="AC69" i="28"/>
  <c r="AK69" i="28"/>
  <c r="AP357" i="28"/>
  <c r="AP316" i="28"/>
  <c r="AP146" i="28"/>
  <c r="AQ316" i="28"/>
  <c r="AQ357" i="28"/>
  <c r="AQ146" i="28"/>
  <c r="O316" i="28"/>
  <c r="O357" i="28"/>
  <c r="O146" i="28"/>
  <c r="R316" i="28"/>
  <c r="R357" i="28"/>
  <c r="R146" i="28"/>
  <c r="V316" i="28"/>
  <c r="V357" i="28"/>
  <c r="V146" i="28"/>
  <c r="AA357" i="28"/>
  <c r="AA316" i="28"/>
  <c r="AA146" i="28"/>
  <c r="L357" i="28"/>
  <c r="L316" i="28"/>
  <c r="L146" i="28"/>
  <c r="N316" i="28"/>
  <c r="N357" i="28"/>
  <c r="N146" i="28"/>
  <c r="K357" i="28"/>
  <c r="K316" i="28"/>
  <c r="K146" i="28"/>
  <c r="W316" i="28"/>
  <c r="W357" i="28"/>
  <c r="W146" i="28"/>
  <c r="AM357" i="28"/>
  <c r="AM316" i="28"/>
  <c r="AM146" i="28"/>
  <c r="AB316" i="28"/>
  <c r="AB357" i="28"/>
  <c r="AB146" i="28"/>
  <c r="X316" i="28"/>
  <c r="X357" i="28"/>
  <c r="X146" i="28"/>
  <c r="AH316" i="28"/>
  <c r="AH357" i="28"/>
  <c r="AH146" i="28"/>
  <c r="S316" i="28"/>
  <c r="S357" i="28"/>
  <c r="S146" i="28"/>
  <c r="AL316" i="28"/>
  <c r="AL357" i="28"/>
  <c r="AL146" i="28"/>
  <c r="P357" i="28"/>
  <c r="P316" i="28"/>
  <c r="P146" i="28"/>
  <c r="AD357" i="28"/>
  <c r="AD316" i="28"/>
  <c r="AD146" i="28"/>
  <c r="AE316" i="28"/>
  <c r="AE357" i="28"/>
  <c r="AE146" i="28"/>
  <c r="AI357" i="28"/>
  <c r="AI316" i="28"/>
  <c r="AI146" i="28"/>
  <c r="Q515" i="27" l="1"/>
  <c r="F7" i="42" s="1"/>
  <c r="G26" i="45"/>
  <c r="AG515" i="27"/>
  <c r="J7" i="42" s="1"/>
  <c r="K26" i="45"/>
  <c r="H27" i="47"/>
  <c r="B69" i="28"/>
  <c r="AK515" i="27"/>
  <c r="K7" i="42" s="1"/>
  <c r="L26" i="45"/>
  <c r="I515" i="27"/>
  <c r="D7" i="42" s="1"/>
  <c r="E26" i="45"/>
  <c r="E445" i="23" s="1"/>
  <c r="AC515" i="27"/>
  <c r="I7" i="42" s="1"/>
  <c r="J26" i="45"/>
  <c r="M515" i="27"/>
  <c r="E7" i="42" s="1"/>
  <c r="F26" i="45"/>
  <c r="F445" i="23" s="1"/>
  <c r="Y515" i="27"/>
  <c r="H7" i="42" s="1"/>
  <c r="I26" i="45"/>
  <c r="M27" i="47"/>
  <c r="G445" i="23"/>
  <c r="Y357" i="28"/>
  <c r="I146" i="28"/>
  <c r="E27" i="47" s="1"/>
  <c r="Q146" i="28"/>
  <c r="G27" i="47" s="1"/>
  <c r="I357" i="28"/>
  <c r="AG146" i="28"/>
  <c r="K27" i="47" s="1"/>
  <c r="Y146" i="28"/>
  <c r="I27" i="47" s="1"/>
  <c r="I316" i="28"/>
  <c r="AG357" i="28"/>
  <c r="M316" i="28"/>
  <c r="Y316" i="28"/>
  <c r="AC357" i="28"/>
  <c r="AG316" i="28"/>
  <c r="Q316" i="28"/>
  <c r="Q357" i="28"/>
  <c r="AK146" i="28"/>
  <c r="L27" i="47" s="1"/>
  <c r="AK357" i="28"/>
  <c r="AK316" i="28"/>
  <c r="M146" i="28"/>
  <c r="F27" i="47" s="1"/>
  <c r="M357" i="28"/>
  <c r="AC146" i="28"/>
  <c r="J27" i="47" s="1"/>
  <c r="AC316" i="28"/>
  <c r="G612" i="27"/>
  <c r="AT607" i="27"/>
  <c r="N43" i="43" s="1"/>
  <c r="B607" i="27" l="1"/>
  <c r="AT644" i="27"/>
  <c r="G69" i="28"/>
  <c r="H612" i="27"/>
  <c r="G515" i="27" l="1"/>
  <c r="C7" i="42" s="1"/>
  <c r="D26" i="45"/>
  <c r="D445" i="23" s="1"/>
  <c r="I445" i="23" s="1"/>
  <c r="B43" i="43"/>
  <c r="N72" i="43"/>
  <c r="F613" i="27"/>
  <c r="AO613" i="27"/>
  <c r="E613" i="27"/>
  <c r="AA613" i="27"/>
  <c r="Y613" i="27"/>
  <c r="Z613" i="27"/>
  <c r="AD613" i="27"/>
  <c r="AQ613" i="27"/>
  <c r="I613" i="27"/>
  <c r="O613" i="27"/>
  <c r="AI613" i="27"/>
  <c r="K613" i="27"/>
  <c r="U613" i="27"/>
  <c r="P613" i="27"/>
  <c r="AB613" i="27"/>
  <c r="N613" i="27"/>
  <c r="AC613" i="27"/>
  <c r="AE613" i="27"/>
  <c r="T613" i="27"/>
  <c r="X613" i="27"/>
  <c r="J613" i="27"/>
  <c r="L613" i="27"/>
  <c r="M613" i="27"/>
  <c r="R613" i="27"/>
  <c r="AF613" i="27"/>
  <c r="AN613" i="27"/>
  <c r="AK613" i="27"/>
  <c r="AH613" i="27"/>
  <c r="V613" i="27"/>
  <c r="AL613" i="27"/>
  <c r="W613" i="27"/>
  <c r="H613" i="27"/>
  <c r="AJ613" i="27"/>
  <c r="AP613" i="27"/>
  <c r="AM613" i="27"/>
  <c r="AR613" i="27"/>
  <c r="Q613" i="27"/>
  <c r="AG613" i="27"/>
  <c r="S613" i="27"/>
  <c r="G613" i="27"/>
  <c r="I612" i="27"/>
  <c r="G357" i="28"/>
  <c r="AT357" i="28" s="1"/>
  <c r="G316" i="28"/>
  <c r="AT316" i="28" s="1"/>
  <c r="G146" i="28"/>
  <c r="D27" i="47" s="1"/>
  <c r="AT69" i="28"/>
  <c r="N26" i="45" s="1"/>
  <c r="B613" i="27" l="1"/>
  <c r="C350" i="23"/>
  <c r="B26" i="45"/>
  <c r="J612" i="27"/>
  <c r="D350" i="23"/>
  <c r="B146" i="28"/>
  <c r="B27" i="47" s="1"/>
  <c r="K612" i="27" l="1"/>
  <c r="L612" i="27" l="1"/>
  <c r="M612" i="27" l="1"/>
  <c r="N612" i="27" l="1"/>
  <c r="O612" i="27" l="1"/>
  <c r="P612" i="27" l="1"/>
  <c r="Q612" i="27" l="1"/>
  <c r="R612" i="27" l="1"/>
  <c r="S612" i="27" l="1"/>
  <c r="T612" i="27" l="1"/>
  <c r="U612" i="27" l="1"/>
  <c r="V612" i="27" l="1"/>
  <c r="W612" i="27" l="1"/>
  <c r="X612" i="27" l="1"/>
  <c r="Y612" i="27" l="1"/>
  <c r="Z612" i="27" l="1"/>
  <c r="AA612" i="27" l="1"/>
  <c r="AB612" i="27" l="1"/>
  <c r="AC612" i="27" l="1"/>
  <c r="AD612" i="27" l="1"/>
  <c r="AE612" i="27" l="1"/>
  <c r="AF612" i="27" l="1"/>
  <c r="AG612" i="27" l="1"/>
  <c r="AH612" i="27" l="1"/>
  <c r="AI612" i="27" l="1"/>
  <c r="AJ612" i="27" l="1"/>
  <c r="AK612" i="27" l="1"/>
  <c r="AL612" i="27" l="1"/>
  <c r="D441" i="23" l="1"/>
  <c r="AM612" i="27"/>
  <c r="AN612" i="27" l="1"/>
  <c r="AO612" i="27" l="1"/>
  <c r="AP612" i="27" l="1"/>
  <c r="AQ612" i="27" l="1"/>
  <c r="AR612" i="27" l="1"/>
  <c r="B612" i="27" s="1"/>
  <c r="L608" i="27" l="1"/>
  <c r="L645" i="27" s="1"/>
  <c r="J608" i="27"/>
  <c r="J645" i="27" s="1"/>
  <c r="J70" i="28" s="1"/>
  <c r="H608" i="27"/>
  <c r="H645" i="27" s="1"/>
  <c r="F608" i="27"/>
  <c r="F645" i="27" s="1"/>
  <c r="F70" i="28" s="1"/>
  <c r="K608" i="27"/>
  <c r="K645" i="27" s="1"/>
  <c r="K70" i="28" s="1"/>
  <c r="I608" i="27"/>
  <c r="G608" i="27"/>
  <c r="G645" i="27" s="1"/>
  <c r="G70" i="28" s="1"/>
  <c r="E608" i="27"/>
  <c r="E601" i="27"/>
  <c r="AR601" i="27"/>
  <c r="AP601" i="27"/>
  <c r="AN601" i="27"/>
  <c r="AL601" i="27"/>
  <c r="AJ601" i="27"/>
  <c r="AH601" i="27"/>
  <c r="AF601" i="27"/>
  <c r="AD601" i="27"/>
  <c r="AB601" i="27"/>
  <c r="Z601" i="27"/>
  <c r="X601" i="27"/>
  <c r="V601" i="27"/>
  <c r="T601" i="27"/>
  <c r="R601" i="27"/>
  <c r="P601" i="27"/>
  <c r="N601" i="27"/>
  <c r="L601" i="27"/>
  <c r="J601" i="27"/>
  <c r="H601" i="27"/>
  <c r="F601" i="27"/>
  <c r="AQ601" i="27"/>
  <c r="AO601" i="27"/>
  <c r="AM601" i="27"/>
  <c r="AK601" i="27"/>
  <c r="AI601" i="27"/>
  <c r="AG601" i="27"/>
  <c r="AE601" i="27"/>
  <c r="AC601" i="27"/>
  <c r="AA601" i="27"/>
  <c r="Y601" i="27"/>
  <c r="W601" i="27"/>
  <c r="U601" i="27"/>
  <c r="S601" i="27"/>
  <c r="Q601" i="27"/>
  <c r="O601" i="27"/>
  <c r="M601" i="27"/>
  <c r="K601" i="27"/>
  <c r="I601" i="27"/>
  <c r="G601" i="27"/>
  <c r="E39" i="43" l="1"/>
  <c r="F39" i="43"/>
  <c r="G39" i="43"/>
  <c r="H39" i="43"/>
  <c r="I39" i="43"/>
  <c r="J39" i="43"/>
  <c r="K39" i="43"/>
  <c r="L39" i="43"/>
  <c r="D44" i="43"/>
  <c r="E44" i="43"/>
  <c r="M39" i="43"/>
  <c r="D39" i="43"/>
  <c r="E610" i="27"/>
  <c r="G317" i="28"/>
  <c r="G133" i="28"/>
  <c r="K133" i="28"/>
  <c r="K317" i="28"/>
  <c r="H70" i="28"/>
  <c r="L70" i="28"/>
  <c r="E645" i="27"/>
  <c r="I645" i="27"/>
  <c r="F317" i="28"/>
  <c r="F133" i="28"/>
  <c r="J317" i="28"/>
  <c r="J133" i="28"/>
  <c r="I70" i="28" l="1"/>
  <c r="E27" i="45" s="1"/>
  <c r="E73" i="43"/>
  <c r="E611" i="27"/>
  <c r="F610" i="27" s="1"/>
  <c r="E70" i="28"/>
  <c r="D27" i="45" s="1"/>
  <c r="D73" i="43"/>
  <c r="E646" i="27"/>
  <c r="I133" i="28"/>
  <c r="E133" i="28"/>
  <c r="L317" i="28"/>
  <c r="L133" i="28"/>
  <c r="H133" i="28"/>
  <c r="H317" i="28"/>
  <c r="E317" i="28" l="1"/>
  <c r="E648" i="27"/>
  <c r="E609" i="27"/>
  <c r="E649" i="27" s="1"/>
  <c r="E107" i="28" s="1"/>
  <c r="E108" i="28" s="1"/>
  <c r="I317" i="28"/>
  <c r="D15" i="47"/>
  <c r="E15" i="47"/>
  <c r="E27" i="28"/>
  <c r="E28" i="28" s="1"/>
  <c r="E51" i="28"/>
  <c r="F611" i="27"/>
  <c r="F609" i="27" s="1"/>
  <c r="F649" i="27" s="1"/>
  <c r="F646" i="27"/>
  <c r="F27" i="28" s="1"/>
  <c r="E647" i="27" l="1"/>
  <c r="D75" i="43" s="1"/>
  <c r="E125" i="28"/>
  <c r="E127" i="28" s="1"/>
  <c r="E643" i="27"/>
  <c r="E140" i="28" s="1"/>
  <c r="E34" i="28"/>
  <c r="E177" i="28" s="1"/>
  <c r="E355" i="28"/>
  <c r="F648" i="27"/>
  <c r="F651" i="27" s="1"/>
  <c r="E132" i="28"/>
  <c r="E129" i="28"/>
  <c r="G610" i="27"/>
  <c r="E274" i="28"/>
  <c r="F647" i="27"/>
  <c r="F532" i="27" s="1"/>
  <c r="E126" i="28"/>
  <c r="F107" i="28"/>
  <c r="F108" i="28" s="1"/>
  <c r="F643" i="27"/>
  <c r="F140" i="28" s="1"/>
  <c r="F541" i="27" l="1"/>
  <c r="F241" i="28" s="1"/>
  <c r="G611" i="27"/>
  <c r="H610" i="27" s="1"/>
  <c r="D46" i="43" s="1"/>
  <c r="E518" i="27"/>
  <c r="F31" i="28"/>
  <c r="F51" i="28"/>
  <c r="F129" i="28" s="1"/>
  <c r="E689" i="27"/>
  <c r="F132" i="28"/>
  <c r="F518" i="27" s="1"/>
  <c r="G646" i="27"/>
  <c r="F28" i="28"/>
  <c r="F531" i="27"/>
  <c r="E282" i="28"/>
  <c r="E323" i="28"/>
  <c r="G648" i="27"/>
  <c r="F125" i="28"/>
  <c r="F274" i="28" l="1"/>
  <c r="F540" i="27"/>
  <c r="F543" i="27" s="1"/>
  <c r="G27" i="28"/>
  <c r="G28" i="28" s="1"/>
  <c r="E691" i="27"/>
  <c r="E690" i="27"/>
  <c r="F355" i="28"/>
  <c r="G609" i="27"/>
  <c r="G649" i="27" s="1"/>
  <c r="G651" i="27" s="1"/>
  <c r="F54" i="32"/>
  <c r="F67" i="32" s="1"/>
  <c r="G51" i="28"/>
  <c r="G355" i="28" s="1"/>
  <c r="H611" i="27"/>
  <c r="I610" i="27" s="1"/>
  <c r="F534" i="27"/>
  <c r="F544" i="27" s="1"/>
  <c r="H646" i="27"/>
  <c r="H27" i="28" s="1"/>
  <c r="F68" i="28"/>
  <c r="F34" i="28"/>
  <c r="F126" i="28"/>
  <c r="F127" i="28"/>
  <c r="G647" i="27" l="1"/>
  <c r="G532" i="27" s="1"/>
  <c r="G541" i="27" s="1"/>
  <c r="G241" i="28" s="1"/>
  <c r="G172" i="28"/>
  <c r="F689" i="27"/>
  <c r="F691" i="27" s="1"/>
  <c r="F695" i="27" s="1"/>
  <c r="I611" i="27"/>
  <c r="I648" i="27" s="1"/>
  <c r="G107" i="28"/>
  <c r="G643" i="27"/>
  <c r="G140" i="28" s="1"/>
  <c r="E695" i="27"/>
  <c r="E696" i="27" s="1"/>
  <c r="E686" i="27" s="1"/>
  <c r="E709" i="27" s="1"/>
  <c r="E692" i="27"/>
  <c r="E693" i="27" s="1"/>
  <c r="D24" i="44"/>
  <c r="F19" i="32"/>
  <c r="F32" i="32" s="1"/>
  <c r="G31" i="28"/>
  <c r="G34" i="28" s="1"/>
  <c r="G689" i="27" s="1"/>
  <c r="D47" i="43"/>
  <c r="D74" i="43"/>
  <c r="F690" i="27"/>
  <c r="H609" i="27"/>
  <c r="D45" i="43" s="1"/>
  <c r="G531" i="27"/>
  <c r="G274" i="28"/>
  <c r="G132" i="28"/>
  <c r="H648" i="27"/>
  <c r="D76" i="43" s="1"/>
  <c r="G129" i="28"/>
  <c r="I609" i="27"/>
  <c r="I649" i="27" s="1"/>
  <c r="I107" i="28" s="1"/>
  <c r="I108" i="28" s="1"/>
  <c r="I646" i="27"/>
  <c r="H28" i="28"/>
  <c r="D25" i="44" s="1"/>
  <c r="E694" i="27"/>
  <c r="F177" i="28"/>
  <c r="F315" i="28"/>
  <c r="F275" i="28"/>
  <c r="F112" i="28"/>
  <c r="J610" i="27" l="1"/>
  <c r="J611" i="27" s="1"/>
  <c r="E35" i="28"/>
  <c r="E687" i="27"/>
  <c r="E711" i="27" s="1"/>
  <c r="G108" i="28"/>
  <c r="G125" i="28"/>
  <c r="G54" i="32"/>
  <c r="G67" i="32" s="1"/>
  <c r="I27" i="28"/>
  <c r="I172" i="28" s="1"/>
  <c r="G518" i="27"/>
  <c r="G540" i="27"/>
  <c r="G68" i="28" s="1"/>
  <c r="F696" i="27"/>
  <c r="G691" i="27"/>
  <c r="G695" i="27" s="1"/>
  <c r="G690" i="27"/>
  <c r="G534" i="27"/>
  <c r="G544" i="27" s="1"/>
  <c r="H649" i="27"/>
  <c r="D77" i="43" s="1"/>
  <c r="I643" i="27"/>
  <c r="I140" i="28" s="1"/>
  <c r="I647" i="27"/>
  <c r="E75" i="43" s="1"/>
  <c r="H51" i="28"/>
  <c r="G177" i="28"/>
  <c r="G323" i="28" s="1"/>
  <c r="H172" i="28"/>
  <c r="D19" i="48" s="1"/>
  <c r="J646" i="27"/>
  <c r="J27" i="28" s="1"/>
  <c r="F692" i="27"/>
  <c r="I125" i="28"/>
  <c r="F282" i="28"/>
  <c r="F323" i="28"/>
  <c r="I51" i="28"/>
  <c r="I355" i="28" l="1"/>
  <c r="G543" i="27"/>
  <c r="G19" i="32"/>
  <c r="G32" i="32" s="1"/>
  <c r="G126" i="28"/>
  <c r="G127" i="28"/>
  <c r="H355" i="28"/>
  <c r="D9" i="45"/>
  <c r="I28" i="28"/>
  <c r="G696" i="27"/>
  <c r="F686" i="27"/>
  <c r="E372" i="27"/>
  <c r="E371" i="27" s="1"/>
  <c r="H643" i="27"/>
  <c r="D71" i="43" s="1"/>
  <c r="H274" i="28"/>
  <c r="D7" i="50" s="1"/>
  <c r="G282" i="28"/>
  <c r="H651" i="27"/>
  <c r="I532" i="27"/>
  <c r="H647" i="27"/>
  <c r="H532" i="27" s="1"/>
  <c r="H107" i="28"/>
  <c r="I651" i="27"/>
  <c r="H129" i="28"/>
  <c r="D11" i="47" s="1"/>
  <c r="H132" i="28"/>
  <c r="D14" i="47" s="1"/>
  <c r="K610" i="27"/>
  <c r="J609" i="27"/>
  <c r="J649" i="27" s="1"/>
  <c r="J647" i="27" s="1"/>
  <c r="J532" i="27" s="1"/>
  <c r="G692" i="27"/>
  <c r="F693" i="27"/>
  <c r="I132" i="28"/>
  <c r="I129" i="28"/>
  <c r="I274" i="28"/>
  <c r="G315" i="28"/>
  <c r="G275" i="28"/>
  <c r="I127" i="28"/>
  <c r="I126" i="28"/>
  <c r="G112" i="28"/>
  <c r="E688" i="27"/>
  <c r="E710" i="27" s="1"/>
  <c r="E50" i="28" s="1"/>
  <c r="E36" i="28"/>
  <c r="J648" i="27"/>
  <c r="E111" i="28" l="1"/>
  <c r="I518" i="27"/>
  <c r="K646" i="27"/>
  <c r="H108" i="28"/>
  <c r="C28" i="46" s="1"/>
  <c r="C27" i="46"/>
  <c r="I531" i="27"/>
  <c r="I540" i="27" s="1"/>
  <c r="F35" i="28"/>
  <c r="F36" i="28" s="1"/>
  <c r="F111" i="28" s="1"/>
  <c r="F687" i="27"/>
  <c r="F711" i="27" s="1"/>
  <c r="I31" i="28"/>
  <c r="I34" i="28" s="1"/>
  <c r="H531" i="27"/>
  <c r="C19" i="42" s="1"/>
  <c r="C20" i="42"/>
  <c r="H31" i="28"/>
  <c r="D28" i="44" s="1"/>
  <c r="D79" i="43"/>
  <c r="E38" i="28"/>
  <c r="H125" i="28"/>
  <c r="H127" i="28" s="1"/>
  <c r="D9" i="47" s="1"/>
  <c r="H518" i="27"/>
  <c r="F709" i="27"/>
  <c r="I541" i="27"/>
  <c r="G686" i="27"/>
  <c r="E381" i="27"/>
  <c r="E382" i="27" s="1"/>
  <c r="E383" i="27" s="1"/>
  <c r="E101" i="28"/>
  <c r="E105" i="28" s="1"/>
  <c r="H541" i="27"/>
  <c r="H140" i="28"/>
  <c r="D21" i="47" s="1"/>
  <c r="K611" i="27"/>
  <c r="J107" i="28"/>
  <c r="J108" i="28" s="1"/>
  <c r="F694" i="27"/>
  <c r="G694" i="27" s="1"/>
  <c r="J643" i="27"/>
  <c r="J140" i="28" s="1"/>
  <c r="E182" i="28"/>
  <c r="J172" i="28"/>
  <c r="J28" i="28"/>
  <c r="J51" i="28"/>
  <c r="J651" i="27"/>
  <c r="J31" i="28" s="1"/>
  <c r="E215" i="28"/>
  <c r="J541" i="27"/>
  <c r="J54" i="32" s="1"/>
  <c r="J531" i="27"/>
  <c r="G693" i="27"/>
  <c r="H540" i="27" l="1"/>
  <c r="H19" i="32" s="1"/>
  <c r="D13" i="58" s="1"/>
  <c r="I534" i="27"/>
  <c r="I544" i="27" s="1"/>
  <c r="H534" i="27"/>
  <c r="H544" i="27" s="1"/>
  <c r="H34" i="28"/>
  <c r="D31" i="44" s="1"/>
  <c r="J355" i="28"/>
  <c r="G35" i="28"/>
  <c r="G687" i="27"/>
  <c r="G711" i="27" s="1"/>
  <c r="I689" i="27"/>
  <c r="I690" i="27" s="1"/>
  <c r="K27" i="28"/>
  <c r="K28" i="28" s="1"/>
  <c r="I19" i="32"/>
  <c r="K609" i="27"/>
  <c r="K649" i="27" s="1"/>
  <c r="K107" i="28" s="1"/>
  <c r="K108" i="28" s="1"/>
  <c r="H54" i="32"/>
  <c r="D10" i="59" s="1"/>
  <c r="C27" i="42"/>
  <c r="I241" i="28"/>
  <c r="I54" i="32"/>
  <c r="I67" i="32" s="1"/>
  <c r="H126" i="28"/>
  <c r="D8" i="47" s="1"/>
  <c r="D7" i="47"/>
  <c r="J125" i="28"/>
  <c r="F38" i="28"/>
  <c r="I177" i="28"/>
  <c r="G709" i="27"/>
  <c r="H241" i="28"/>
  <c r="F372" i="27"/>
  <c r="F371" i="27" s="1"/>
  <c r="L610" i="27"/>
  <c r="E46" i="43" s="1"/>
  <c r="K648" i="27"/>
  <c r="F688" i="27"/>
  <c r="F710" i="27" s="1"/>
  <c r="F50" i="28" s="1"/>
  <c r="F182" i="28"/>
  <c r="J534" i="27"/>
  <c r="J544" i="27" s="1"/>
  <c r="J540" i="27"/>
  <c r="J19" i="32" s="1"/>
  <c r="J132" i="28"/>
  <c r="J274" i="28"/>
  <c r="J129" i="28"/>
  <c r="I68" i="28"/>
  <c r="E39" i="28"/>
  <c r="J67" i="32"/>
  <c r="J241" i="28"/>
  <c r="E15" i="32"/>
  <c r="E220" i="28"/>
  <c r="E226" i="28"/>
  <c r="E224" i="28"/>
  <c r="I691" i="27" l="1"/>
  <c r="I695" i="27" s="1"/>
  <c r="H177" i="28"/>
  <c r="D24" i="48" s="1"/>
  <c r="H68" i="28"/>
  <c r="D25" i="45" s="1"/>
  <c r="C26" i="42"/>
  <c r="H689" i="27"/>
  <c r="K647" i="27"/>
  <c r="K532" i="27" s="1"/>
  <c r="K541" i="27" s="1"/>
  <c r="H543" i="27"/>
  <c r="C29" i="42" s="1"/>
  <c r="H67" i="32"/>
  <c r="K172" i="28"/>
  <c r="K643" i="27"/>
  <c r="K140" i="28" s="1"/>
  <c r="J518" i="27"/>
  <c r="K51" i="28"/>
  <c r="K274" i="28" s="1"/>
  <c r="J126" i="28"/>
  <c r="I323" i="28"/>
  <c r="I282" i="28"/>
  <c r="J127" i="28"/>
  <c r="I692" i="27"/>
  <c r="I693" i="27" s="1"/>
  <c r="I696" i="27"/>
  <c r="I686" i="27" s="1"/>
  <c r="G688" i="27"/>
  <c r="G710" i="27" s="1"/>
  <c r="G50" i="28" s="1"/>
  <c r="L646" i="27"/>
  <c r="G372" i="27"/>
  <c r="G371" i="27" s="1"/>
  <c r="G174" i="28"/>
  <c r="G36" i="28"/>
  <c r="F381" i="27"/>
  <c r="F382" i="27" s="1"/>
  <c r="F383" i="27" s="1"/>
  <c r="F101" i="28"/>
  <c r="F105" i="28" s="1"/>
  <c r="F39" i="28"/>
  <c r="L611" i="27"/>
  <c r="K651" i="27"/>
  <c r="F215" i="28"/>
  <c r="H323" i="28"/>
  <c r="H282" i="28"/>
  <c r="H275" i="28"/>
  <c r="D8" i="50" s="1"/>
  <c r="H32" i="32"/>
  <c r="E86" i="32"/>
  <c r="E225" i="28"/>
  <c r="I315" i="28"/>
  <c r="I275" i="28"/>
  <c r="I112" i="28"/>
  <c r="H112" i="28"/>
  <c r="C32" i="46" s="1"/>
  <c r="J34" i="28"/>
  <c r="J32" i="32"/>
  <c r="J68" i="28"/>
  <c r="K125" i="28"/>
  <c r="K531" i="27"/>
  <c r="E53" i="32"/>
  <c r="E222" i="28"/>
  <c r="E12" i="32"/>
  <c r="I32" i="32"/>
  <c r="E56" i="28"/>
  <c r="J112" i="28"/>
  <c r="I543" i="27" l="1"/>
  <c r="J543" i="27" s="1"/>
  <c r="H315" i="28"/>
  <c r="K129" i="28"/>
  <c r="H690" i="27"/>
  <c r="H691" i="27"/>
  <c r="K132" i="28"/>
  <c r="K518" i="27" s="1"/>
  <c r="E516" i="27"/>
  <c r="J689" i="27"/>
  <c r="J691" i="27" s="1"/>
  <c r="J695" i="27" s="1"/>
  <c r="G111" i="28"/>
  <c r="I35" i="28"/>
  <c r="I687" i="27"/>
  <c r="E242" i="28"/>
  <c r="E243" i="28" s="1"/>
  <c r="E244" i="28" s="1"/>
  <c r="K54" i="32"/>
  <c r="E247" i="28"/>
  <c r="E248" i="28" s="1"/>
  <c r="E249" i="28" s="1"/>
  <c r="K31" i="28"/>
  <c r="K34" i="28" s="1"/>
  <c r="L609" i="27"/>
  <c r="L649" i="27" s="1"/>
  <c r="E77" i="43" s="1"/>
  <c r="E47" i="43"/>
  <c r="G175" i="28"/>
  <c r="L27" i="28"/>
  <c r="E24" i="44" s="1"/>
  <c r="E74" i="43"/>
  <c r="K355" i="28"/>
  <c r="G56" i="28"/>
  <c r="G38" i="28"/>
  <c r="G39" i="28" s="1"/>
  <c r="G215" i="28"/>
  <c r="G226" i="28" s="1"/>
  <c r="G225" i="28" s="1"/>
  <c r="G247" i="28" s="1"/>
  <c r="I709" i="27"/>
  <c r="G381" i="27"/>
  <c r="G382" i="27" s="1"/>
  <c r="G383" i="27" s="1"/>
  <c r="G101" i="28"/>
  <c r="G105" i="28" s="1"/>
  <c r="G182" i="28"/>
  <c r="L648" i="27"/>
  <c r="E76" i="43" s="1"/>
  <c r="F56" i="28"/>
  <c r="F516" i="27" s="1"/>
  <c r="F517" i="27" s="1"/>
  <c r="F224" i="28"/>
  <c r="F226" i="28"/>
  <c r="F15" i="32"/>
  <c r="F220" i="28"/>
  <c r="H692" i="27"/>
  <c r="E31" i="32"/>
  <c r="E11" i="32"/>
  <c r="K540" i="27"/>
  <c r="K534" i="27"/>
  <c r="K127" i="28"/>
  <c r="K126" i="28"/>
  <c r="J275" i="28"/>
  <c r="J315" i="28"/>
  <c r="E85" i="32"/>
  <c r="E354" i="28"/>
  <c r="E313" i="28"/>
  <c r="E312" i="28" s="1"/>
  <c r="E324" i="28" s="1"/>
  <c r="E273" i="28"/>
  <c r="E50" i="32"/>
  <c r="K241" i="28"/>
  <c r="H693" i="27" l="1"/>
  <c r="J690" i="27"/>
  <c r="H695" i="27"/>
  <c r="H696" i="27" s="1"/>
  <c r="H686" i="27" s="1"/>
  <c r="L172" i="28"/>
  <c r="E19" i="48" s="1"/>
  <c r="K543" i="27"/>
  <c r="K19" i="32"/>
  <c r="F12" i="32"/>
  <c r="F11" i="32" s="1"/>
  <c r="F22" i="32" s="1"/>
  <c r="E517" i="27"/>
  <c r="M608" i="27"/>
  <c r="M610" i="27" s="1"/>
  <c r="E45" i="43"/>
  <c r="L647" i="27"/>
  <c r="L532" i="27" s="1"/>
  <c r="D20" i="42" s="1"/>
  <c r="G224" i="28"/>
  <c r="G53" i="32" s="1"/>
  <c r="G354" i="28"/>
  <c r="G313" i="28"/>
  <c r="G312" i="28" s="1"/>
  <c r="G324" i="28" s="1"/>
  <c r="G273" i="28"/>
  <c r="G272" i="28" s="1"/>
  <c r="G283" i="28" s="1"/>
  <c r="G86" i="32"/>
  <c r="G220" i="28"/>
  <c r="G12" i="32" s="1"/>
  <c r="G11" i="32" s="1"/>
  <c r="G22" i="32" s="1"/>
  <c r="G15" i="32"/>
  <c r="L28" i="28"/>
  <c r="E25" i="44" s="1"/>
  <c r="K689" i="27"/>
  <c r="K691" i="27" s="1"/>
  <c r="K695" i="27" s="1"/>
  <c r="K177" i="28"/>
  <c r="K323" i="28" s="1"/>
  <c r="J696" i="27"/>
  <c r="L51" i="28"/>
  <c r="L643" i="27"/>
  <c r="E71" i="43" s="1"/>
  <c r="L107" i="28"/>
  <c r="L651" i="27"/>
  <c r="F222" i="28"/>
  <c r="F53" i="32"/>
  <c r="F313" i="28"/>
  <c r="F312" i="28" s="1"/>
  <c r="F324" i="28" s="1"/>
  <c r="F354" i="28"/>
  <c r="F273" i="28"/>
  <c r="F272" i="28" s="1"/>
  <c r="F283" i="28" s="1"/>
  <c r="F225" i="28"/>
  <c r="F86" i="32"/>
  <c r="K67" i="32"/>
  <c r="E66" i="32"/>
  <c r="E49" i="32"/>
  <c r="E272" i="28"/>
  <c r="K544" i="27"/>
  <c r="E22" i="32"/>
  <c r="E20" i="32"/>
  <c r="E318" i="28"/>
  <c r="E319" i="28" s="1"/>
  <c r="E101" i="32"/>
  <c r="E84" i="32"/>
  <c r="G85" i="32"/>
  <c r="J692" i="27"/>
  <c r="K68" i="28"/>
  <c r="E30" i="32"/>
  <c r="H694" i="27" l="1"/>
  <c r="F31" i="32"/>
  <c r="F30" i="32" s="1"/>
  <c r="H35" i="28"/>
  <c r="D32" i="44" s="1"/>
  <c r="H709" i="27"/>
  <c r="H687" i="27"/>
  <c r="H711" i="27" s="1"/>
  <c r="L531" i="27"/>
  <c r="L540" i="27" s="1"/>
  <c r="L68" i="28" s="1"/>
  <c r="E25" i="45" s="1"/>
  <c r="L541" i="27"/>
  <c r="D27" i="42" s="1"/>
  <c r="M611" i="27"/>
  <c r="M609" i="27" s="1"/>
  <c r="N608" i="27" s="1"/>
  <c r="E283" i="28"/>
  <c r="F247" i="28"/>
  <c r="L54" i="32"/>
  <c r="E10" i="59" s="1"/>
  <c r="L108" i="28"/>
  <c r="D28" i="46" s="1"/>
  <c r="D27" i="46"/>
  <c r="L355" i="28"/>
  <c r="E9" i="45"/>
  <c r="M645" i="27"/>
  <c r="F242" i="28"/>
  <c r="L31" i="28"/>
  <c r="E28" i="44" s="1"/>
  <c r="E79" i="43"/>
  <c r="K690" i="27"/>
  <c r="G277" i="28"/>
  <c r="G318" i="28"/>
  <c r="G222" i="28"/>
  <c r="K696" i="27"/>
  <c r="K282" i="28"/>
  <c r="G31" i="32"/>
  <c r="L274" i="28"/>
  <c r="E7" i="50" s="1"/>
  <c r="K686" i="27"/>
  <c r="J686" i="27"/>
  <c r="M646" i="27"/>
  <c r="L129" i="28"/>
  <c r="E11" i="47" s="1"/>
  <c r="L132" i="28"/>
  <c r="L140" i="28"/>
  <c r="E21" i="47" s="1"/>
  <c r="L125" i="28"/>
  <c r="F277" i="28"/>
  <c r="F318" i="28"/>
  <c r="F319" i="28" s="1"/>
  <c r="F50" i="32"/>
  <c r="F85" i="32"/>
  <c r="K692" i="27"/>
  <c r="K32" i="32"/>
  <c r="J693" i="27"/>
  <c r="E92" i="32"/>
  <c r="E90" i="32"/>
  <c r="F20" i="32"/>
  <c r="F35" i="32" s="1"/>
  <c r="K112" i="28"/>
  <c r="E277" i="28"/>
  <c r="E278" i="28" s="1"/>
  <c r="G294" i="28"/>
  <c r="G285" i="28"/>
  <c r="G295" i="28"/>
  <c r="E65" i="32"/>
  <c r="B8" i="60" s="1"/>
  <c r="K275" i="28"/>
  <c r="K315" i="28"/>
  <c r="G101" i="32"/>
  <c r="G84" i="32"/>
  <c r="G92" i="32" s="1"/>
  <c r="E100" i="32"/>
  <c r="B7" i="61" s="1"/>
  <c r="E335" i="28"/>
  <c r="E325" i="28"/>
  <c r="E336" i="28"/>
  <c r="E326" i="28"/>
  <c r="E327" i="28" s="1"/>
  <c r="M648" i="27"/>
  <c r="E23" i="32"/>
  <c r="G335" i="28"/>
  <c r="G336" i="28"/>
  <c r="G326" i="28"/>
  <c r="E55" i="32"/>
  <c r="E57" i="32"/>
  <c r="L241" i="28" l="1"/>
  <c r="L67" i="32"/>
  <c r="G30" i="32"/>
  <c r="D19" i="42"/>
  <c r="L534" i="27"/>
  <c r="L544" i="27" s="1"/>
  <c r="L112" i="28" s="1"/>
  <c r="D32" i="46" s="1"/>
  <c r="L518" i="27"/>
  <c r="E14" i="47"/>
  <c r="M27" i="28"/>
  <c r="M28" i="28" s="1"/>
  <c r="K35" i="28"/>
  <c r="K36" i="28" s="1"/>
  <c r="K687" i="27"/>
  <c r="K711" i="27" s="1"/>
  <c r="K372" i="27" s="1"/>
  <c r="K371" i="27" s="1"/>
  <c r="L543" i="27"/>
  <c r="D29" i="42" s="1"/>
  <c r="L19" i="32"/>
  <c r="D26" i="42"/>
  <c r="L126" i="28"/>
  <c r="E8" i="47" s="1"/>
  <c r="E7" i="47"/>
  <c r="J35" i="28"/>
  <c r="J687" i="27"/>
  <c r="M70" i="28"/>
  <c r="K693" i="27"/>
  <c r="G319" i="28"/>
  <c r="G242" i="28"/>
  <c r="G50" i="32"/>
  <c r="J709" i="27"/>
  <c r="K709" i="27"/>
  <c r="H372" i="27"/>
  <c r="H371" i="27" s="1"/>
  <c r="M649" i="27"/>
  <c r="M643" i="27" s="1"/>
  <c r="M140" i="28" s="1"/>
  <c r="L127" i="28"/>
  <c r="E9" i="47" s="1"/>
  <c r="L34" i="28"/>
  <c r="N610" i="27"/>
  <c r="M51" i="28"/>
  <c r="F278" i="28"/>
  <c r="G278" i="28" s="1"/>
  <c r="F336" i="28"/>
  <c r="F335" i="28"/>
  <c r="F326" i="28"/>
  <c r="F327" i="28" s="1"/>
  <c r="G327" i="28" s="1"/>
  <c r="G343" i="28" s="1"/>
  <c r="F285" i="28"/>
  <c r="F295" i="28"/>
  <c r="F294" i="28"/>
  <c r="F101" i="32"/>
  <c r="F84" i="32"/>
  <c r="F49" i="32"/>
  <c r="F66" i="32"/>
  <c r="I694" i="27"/>
  <c r="H688" i="27"/>
  <c r="H710" i="27" s="1"/>
  <c r="H50" i="28" s="1"/>
  <c r="D8" i="45" s="1"/>
  <c r="E58" i="32"/>
  <c r="F23" i="32"/>
  <c r="F39" i="32" s="1"/>
  <c r="F325" i="28"/>
  <c r="F339" i="28" s="1"/>
  <c r="H174" i="28"/>
  <c r="D21" i="48" s="1"/>
  <c r="H36" i="28"/>
  <c r="E294" i="28"/>
  <c r="E285" i="28"/>
  <c r="E284" i="28"/>
  <c r="E295" i="28"/>
  <c r="M172" i="28"/>
  <c r="E93" i="32"/>
  <c r="L315" i="28"/>
  <c r="L275" i="28"/>
  <c r="E8" i="50" s="1"/>
  <c r="G20" i="32"/>
  <c r="G35" i="32" s="1"/>
  <c r="I711" i="27"/>
  <c r="M107" i="28" l="1"/>
  <c r="M108" i="28" s="1"/>
  <c r="K174" i="28"/>
  <c r="K175" i="28" s="1"/>
  <c r="H111" i="28"/>
  <c r="C31" i="46" s="1"/>
  <c r="D33" i="44"/>
  <c r="F57" i="32"/>
  <c r="F58" i="32" s="1"/>
  <c r="M355" i="28"/>
  <c r="L689" i="27"/>
  <c r="E31" i="44"/>
  <c r="E286" i="28"/>
  <c r="F286" i="28" s="1"/>
  <c r="F302" i="28" s="1"/>
  <c r="F92" i="32"/>
  <c r="M133" i="28"/>
  <c r="M317" i="28"/>
  <c r="E13" i="58"/>
  <c r="L32" i="32"/>
  <c r="G66" i="32"/>
  <c r="G65" i="32" s="1"/>
  <c r="G49" i="32"/>
  <c r="G57" i="32" s="1"/>
  <c r="K38" i="28"/>
  <c r="H38" i="28"/>
  <c r="D35" i="44" s="1"/>
  <c r="M274" i="28"/>
  <c r="H381" i="27"/>
  <c r="H382" i="27" s="1"/>
  <c r="H383" i="27" s="1"/>
  <c r="H101" i="28"/>
  <c r="C21" i="46" s="1"/>
  <c r="I372" i="27"/>
  <c r="I371" i="27" s="1"/>
  <c r="L177" i="28"/>
  <c r="L323" i="28" s="1"/>
  <c r="M647" i="27"/>
  <c r="F75" i="43" s="1"/>
  <c r="M651" i="27"/>
  <c r="N645" i="27"/>
  <c r="M129" i="28"/>
  <c r="M132" i="28"/>
  <c r="M532" i="27"/>
  <c r="F55" i="32"/>
  <c r="F70" i="32" s="1"/>
  <c r="F65" i="32"/>
  <c r="F90" i="32"/>
  <c r="F105" i="32" s="1"/>
  <c r="F100" i="32"/>
  <c r="G100" i="32"/>
  <c r="H215" i="28"/>
  <c r="F343" i="28"/>
  <c r="I688" i="27"/>
  <c r="I710" i="27" s="1"/>
  <c r="I50" i="28" s="1"/>
  <c r="I174" i="28"/>
  <c r="I36" i="28"/>
  <c r="K101" i="28"/>
  <c r="K105" i="28" s="1"/>
  <c r="K381" i="27"/>
  <c r="K382" i="27" s="1"/>
  <c r="J694" i="27"/>
  <c r="K694" i="27" s="1"/>
  <c r="F93" i="32"/>
  <c r="F109" i="32" s="1"/>
  <c r="H182" i="28"/>
  <c r="D29" i="48" s="1"/>
  <c r="G325" i="28"/>
  <c r="G339" i="28" s="1"/>
  <c r="M125" i="28"/>
  <c r="J711" i="27"/>
  <c r="F284" i="28"/>
  <c r="F298" i="28" s="1"/>
  <c r="K182" i="28"/>
  <c r="H175" i="28"/>
  <c r="D22" i="48" s="1"/>
  <c r="N646" i="27"/>
  <c r="N611" i="27"/>
  <c r="G23" i="32"/>
  <c r="I111" i="28" l="1"/>
  <c r="H226" i="28"/>
  <c r="D19" i="49" s="1"/>
  <c r="D8" i="49"/>
  <c r="M531" i="27"/>
  <c r="M31" i="28"/>
  <c r="N27" i="28"/>
  <c r="M518" i="27"/>
  <c r="N70" i="28"/>
  <c r="M34" i="28"/>
  <c r="I38" i="28"/>
  <c r="H105" i="28"/>
  <c r="C25" i="46" s="1"/>
  <c r="L282" i="28"/>
  <c r="I381" i="27"/>
  <c r="I382" i="27" s="1"/>
  <c r="I383" i="27" s="1"/>
  <c r="I101" i="28"/>
  <c r="I105" i="28" s="1"/>
  <c r="L691" i="27"/>
  <c r="L695" i="27" s="1"/>
  <c r="L690" i="27"/>
  <c r="M541" i="27"/>
  <c r="N609" i="27"/>
  <c r="O608" i="27" s="1"/>
  <c r="G55" i="32"/>
  <c r="G70" i="32" s="1"/>
  <c r="H15" i="32"/>
  <c r="D9" i="58" s="1"/>
  <c r="H224" i="28"/>
  <c r="G90" i="32"/>
  <c r="G105" i="32" s="1"/>
  <c r="H220" i="28"/>
  <c r="G58" i="32"/>
  <c r="G74" i="32" s="1"/>
  <c r="J177" i="28"/>
  <c r="E24" i="48" s="1"/>
  <c r="J174" i="28"/>
  <c r="J175" i="28" s="1"/>
  <c r="J36" i="28"/>
  <c r="J111" i="28" s="1"/>
  <c r="K111" i="28" s="1"/>
  <c r="J688" i="27"/>
  <c r="J710" i="27" s="1"/>
  <c r="J50" i="28" s="1"/>
  <c r="J372" i="27"/>
  <c r="J371" i="27" s="1"/>
  <c r="K688" i="27"/>
  <c r="K710" i="27" s="1"/>
  <c r="K50" i="28" s="1"/>
  <c r="N133" i="28"/>
  <c r="N317" i="28"/>
  <c r="H39" i="28"/>
  <c r="D36" i="44" s="1"/>
  <c r="H225" i="28"/>
  <c r="H86" i="32"/>
  <c r="D7" i="60" s="1"/>
  <c r="F74" i="32"/>
  <c r="G39" i="32"/>
  <c r="N648" i="27"/>
  <c r="G284" i="28"/>
  <c r="G298" i="28" s="1"/>
  <c r="M126" i="28"/>
  <c r="M127" i="28"/>
  <c r="H56" i="28"/>
  <c r="D13" i="45" s="1"/>
  <c r="G286" i="28"/>
  <c r="G93" i="32"/>
  <c r="M540" i="27"/>
  <c r="M534" i="27"/>
  <c r="I182" i="28"/>
  <c r="I175" i="28"/>
  <c r="I215" i="28"/>
  <c r="H247" i="28" l="1"/>
  <c r="D18" i="49"/>
  <c r="M19" i="32"/>
  <c r="H12" i="32"/>
  <c r="D6" i="58" s="1"/>
  <c r="D13" i="49"/>
  <c r="H53" i="32"/>
  <c r="D9" i="59" s="1"/>
  <c r="D17" i="49"/>
  <c r="M54" i="32"/>
  <c r="M67" i="32" s="1"/>
  <c r="M689" i="27"/>
  <c r="M690" i="27" s="1"/>
  <c r="M177" i="28"/>
  <c r="J38" i="28"/>
  <c r="M323" i="28"/>
  <c r="L692" i="27"/>
  <c r="L693" i="27" s="1"/>
  <c r="L696" i="27"/>
  <c r="M691" i="27"/>
  <c r="M695" i="27" s="1"/>
  <c r="N649" i="27"/>
  <c r="N647" i="27" s="1"/>
  <c r="N532" i="27" s="1"/>
  <c r="M241" i="28"/>
  <c r="N51" i="28"/>
  <c r="H222" i="28"/>
  <c r="I224" i="28"/>
  <c r="I226" i="28"/>
  <c r="I15" i="32"/>
  <c r="I220" i="28"/>
  <c r="M544" i="27"/>
  <c r="M68" i="28"/>
  <c r="M543" i="27"/>
  <c r="H31" i="32"/>
  <c r="K215" i="28"/>
  <c r="J215" i="28"/>
  <c r="J282" i="28"/>
  <c r="J323" i="28"/>
  <c r="O645" i="27"/>
  <c r="O610" i="27"/>
  <c r="G109" i="32"/>
  <c r="G302" i="28"/>
  <c r="H354" i="28"/>
  <c r="H273" i="28"/>
  <c r="D6" i="50" s="1"/>
  <c r="H313" i="28"/>
  <c r="H312" i="28" s="1"/>
  <c r="H324" i="28" s="1"/>
  <c r="H85" i="32"/>
  <c r="D6" i="60" s="1"/>
  <c r="I39" i="28"/>
  <c r="J381" i="27"/>
  <c r="J382" i="27" s="1"/>
  <c r="J101" i="28"/>
  <c r="J105" i="28" s="1"/>
  <c r="J182" i="28"/>
  <c r="N172" i="28"/>
  <c r="N28" i="28"/>
  <c r="H11" i="32" l="1"/>
  <c r="D5" i="58" s="1"/>
  <c r="H242" i="28"/>
  <c r="D15" i="49"/>
  <c r="N355" i="28"/>
  <c r="N531" i="27"/>
  <c r="N540" i="27" s="1"/>
  <c r="M282" i="28"/>
  <c r="H50" i="32"/>
  <c r="N541" i="27"/>
  <c r="M692" i="27"/>
  <c r="M693" i="27" s="1"/>
  <c r="M696" i="27"/>
  <c r="L686" i="27"/>
  <c r="N107" i="28"/>
  <c r="N108" i="28" s="1"/>
  <c r="L694" i="27"/>
  <c r="M694" i="27" s="1"/>
  <c r="N651" i="27"/>
  <c r="N643" i="27"/>
  <c r="N140" i="28" s="1"/>
  <c r="N129" i="28"/>
  <c r="N274" i="28"/>
  <c r="N132" i="28"/>
  <c r="J383" i="27"/>
  <c r="K383" i="27"/>
  <c r="H272" i="28"/>
  <c r="O70" i="28"/>
  <c r="N534" i="27"/>
  <c r="J56" i="28"/>
  <c r="K15" i="32"/>
  <c r="K226" i="28"/>
  <c r="K224" i="28"/>
  <c r="K220" i="28"/>
  <c r="K12" i="32" s="1"/>
  <c r="H20" i="32"/>
  <c r="D14" i="58" s="1"/>
  <c r="M32" i="32"/>
  <c r="M112" i="28"/>
  <c r="I222" i="28"/>
  <c r="I53" i="32"/>
  <c r="J39" i="28"/>
  <c r="K39" i="28" s="1"/>
  <c r="H101" i="32"/>
  <c r="H84" i="32"/>
  <c r="D5" i="60" s="1"/>
  <c r="H318" i="28"/>
  <c r="H319" i="28" s="1"/>
  <c r="O646" i="27"/>
  <c r="O611" i="27"/>
  <c r="J15" i="32"/>
  <c r="J226" i="28"/>
  <c r="J220" i="28"/>
  <c r="J12" i="32" s="1"/>
  <c r="J224" i="28"/>
  <c r="K56" i="28"/>
  <c r="H30" i="32"/>
  <c r="D23" i="58" s="1"/>
  <c r="M315" i="28"/>
  <c r="M275" i="28"/>
  <c r="I56" i="28"/>
  <c r="I12" i="32"/>
  <c r="I225" i="28"/>
  <c r="I86" i="32"/>
  <c r="H22" i="32" l="1"/>
  <c r="D16" i="58" s="1"/>
  <c r="I247" i="28"/>
  <c r="O27" i="28"/>
  <c r="I242" i="28"/>
  <c r="N543" i="27"/>
  <c r="N19" i="32"/>
  <c r="N31" i="28"/>
  <c r="N34" i="28" s="1"/>
  <c r="N54" i="32"/>
  <c r="N67" i="32" s="1"/>
  <c r="H283" i="28"/>
  <c r="D5" i="50"/>
  <c r="L35" i="28"/>
  <c r="E32" i="44" s="1"/>
  <c r="L687" i="27"/>
  <c r="L711" i="27" s="1"/>
  <c r="L372" i="27" s="1"/>
  <c r="L371" i="27" s="1"/>
  <c r="H66" i="32"/>
  <c r="H65" i="32" s="1"/>
  <c r="D21" i="59" s="1"/>
  <c r="D6" i="59"/>
  <c r="H49" i="32"/>
  <c r="D5" i="59" s="1"/>
  <c r="L709" i="27"/>
  <c r="N125" i="28"/>
  <c r="N241" i="28"/>
  <c r="M686" i="27"/>
  <c r="N518" i="27"/>
  <c r="I85" i="32"/>
  <c r="I31" i="32"/>
  <c r="I11" i="32"/>
  <c r="I313" i="28"/>
  <c r="I312" i="28" s="1"/>
  <c r="I324" i="28" s="1"/>
  <c r="I354" i="28"/>
  <c r="I273" i="28"/>
  <c r="K354" i="28"/>
  <c r="K273" i="28"/>
  <c r="K272" i="28" s="1"/>
  <c r="K283" i="28" s="1"/>
  <c r="K313" i="28"/>
  <c r="K312" i="28" s="1"/>
  <c r="K324" i="28" s="1"/>
  <c r="J53" i="32"/>
  <c r="J222" i="28"/>
  <c r="J242" i="28" s="1"/>
  <c r="J86" i="32"/>
  <c r="J225" i="28"/>
  <c r="J247" i="28" s="1"/>
  <c r="H100" i="32"/>
  <c r="D21" i="60" s="1"/>
  <c r="H35" i="32"/>
  <c r="K53" i="32"/>
  <c r="K222" i="28"/>
  <c r="K242" i="28" s="1"/>
  <c r="J313" i="28"/>
  <c r="J312" i="28" s="1"/>
  <c r="J324" i="28" s="1"/>
  <c r="J273" i="28"/>
  <c r="J272" i="28" s="1"/>
  <c r="J283" i="28" s="1"/>
  <c r="J354" i="28"/>
  <c r="N68" i="28"/>
  <c r="O317" i="28"/>
  <c r="O133" i="28"/>
  <c r="H277" i="28"/>
  <c r="J31" i="32"/>
  <c r="J11" i="32"/>
  <c r="O609" i="27"/>
  <c r="P608" i="27" s="1"/>
  <c r="F44" i="43" s="1"/>
  <c r="O648" i="27"/>
  <c r="H335" i="28"/>
  <c r="H336" i="28"/>
  <c r="H326" i="28"/>
  <c r="H327" i="28" s="1"/>
  <c r="H343" i="28" s="1"/>
  <c r="H325" i="28"/>
  <c r="H339" i="28" s="1"/>
  <c r="H92" i="32"/>
  <c r="D13" i="60" s="1"/>
  <c r="H90" i="32"/>
  <c r="D11" i="60" s="1"/>
  <c r="I50" i="32"/>
  <c r="K31" i="32"/>
  <c r="K11" i="32"/>
  <c r="K86" i="32"/>
  <c r="K225" i="28"/>
  <c r="K247" i="28" s="1"/>
  <c r="N544" i="27"/>
  <c r="H23" i="32" l="1"/>
  <c r="D17" i="58" s="1"/>
  <c r="H57" i="32"/>
  <c r="D13" i="59" s="1"/>
  <c r="L174" i="28"/>
  <c r="E21" i="48" s="1"/>
  <c r="M35" i="28"/>
  <c r="M36" i="28" s="1"/>
  <c r="M687" i="27"/>
  <c r="N127" i="28"/>
  <c r="H55" i="32"/>
  <c r="N689" i="27"/>
  <c r="N691" i="27" s="1"/>
  <c r="N695" i="27" s="1"/>
  <c r="N177" i="28"/>
  <c r="N323" i="28" s="1"/>
  <c r="M709" i="27"/>
  <c r="N126" i="28"/>
  <c r="L36" i="28"/>
  <c r="L688" i="27"/>
  <c r="L710" i="27" s="1"/>
  <c r="L50" i="28" s="1"/>
  <c r="E8" i="45" s="1"/>
  <c r="K85" i="32"/>
  <c r="L381" i="27"/>
  <c r="L382" i="27" s="1"/>
  <c r="L383" i="27" s="1"/>
  <c r="L101" i="28"/>
  <c r="D21" i="46" s="1"/>
  <c r="I66" i="32"/>
  <c r="I49" i="32"/>
  <c r="O649" i="27"/>
  <c r="O651" i="27" s="1"/>
  <c r="H295" i="28"/>
  <c r="H285" i="28"/>
  <c r="D12" i="50" s="1"/>
  <c r="H294" i="28"/>
  <c r="H284" i="28"/>
  <c r="D11" i="50" s="1"/>
  <c r="N315" i="28"/>
  <c r="N275" i="28"/>
  <c r="O172" i="28"/>
  <c r="O28" i="28"/>
  <c r="J85" i="32"/>
  <c r="J50" i="32"/>
  <c r="N112" i="28"/>
  <c r="H105" i="32"/>
  <c r="H93" i="32"/>
  <c r="D14" i="60" s="1"/>
  <c r="O51" i="28"/>
  <c r="H278" i="28"/>
  <c r="N32" i="32"/>
  <c r="K50" i="32"/>
  <c r="I272" i="28"/>
  <c r="I325" i="28"/>
  <c r="I20" i="32"/>
  <c r="I35" i="32" s="1"/>
  <c r="I101" i="32"/>
  <c r="I84" i="32"/>
  <c r="H39" i="32" l="1"/>
  <c r="H58" i="32"/>
  <c r="D14" i="59" s="1"/>
  <c r="L175" i="28"/>
  <c r="E22" i="48" s="1"/>
  <c r="M174" i="28"/>
  <c r="M175" i="28" s="1"/>
  <c r="I283" i="28"/>
  <c r="O355" i="28"/>
  <c r="I55" i="32"/>
  <c r="I70" i="32" s="1"/>
  <c r="O31" i="28"/>
  <c r="O34" i="28" s="1"/>
  <c r="L111" i="28"/>
  <c r="D31" i="46" s="1"/>
  <c r="E33" i="44"/>
  <c r="N282" i="28"/>
  <c r="H70" i="32"/>
  <c r="D11" i="59"/>
  <c r="N690" i="27"/>
  <c r="M111" i="28"/>
  <c r="L38" i="28"/>
  <c r="E35" i="44" s="1"/>
  <c r="M38" i="28"/>
  <c r="L182" i="28"/>
  <c r="E29" i="48" s="1"/>
  <c r="M711" i="27"/>
  <c r="M372" i="27" s="1"/>
  <c r="M371" i="27" s="1"/>
  <c r="L215" i="28"/>
  <c r="M688" i="27"/>
  <c r="M710" i="27" s="1"/>
  <c r="M50" i="28" s="1"/>
  <c r="N692" i="27"/>
  <c r="N696" i="27"/>
  <c r="N694" i="27"/>
  <c r="K66" i="32"/>
  <c r="K49" i="32"/>
  <c r="O132" i="28"/>
  <c r="O274" i="28"/>
  <c r="O129" i="28"/>
  <c r="M182" i="28"/>
  <c r="J66" i="32"/>
  <c r="J49" i="32"/>
  <c r="J101" i="32"/>
  <c r="J84" i="32"/>
  <c r="H74" i="32"/>
  <c r="P645" i="27"/>
  <c r="F73" i="43" s="1"/>
  <c r="P610" i="27"/>
  <c r="F46" i="43" s="1"/>
  <c r="K101" i="32"/>
  <c r="K84" i="32"/>
  <c r="I339" i="28"/>
  <c r="J20" i="32"/>
  <c r="H109" i="32"/>
  <c r="I90" i="32"/>
  <c r="J325" i="28"/>
  <c r="K325" i="28" s="1"/>
  <c r="K339" i="28" s="1"/>
  <c r="H298" i="28"/>
  <c r="H286" i="28"/>
  <c r="D13" i="50" s="1"/>
  <c r="O107" i="28"/>
  <c r="O108" i="28" s="1"/>
  <c r="O643" i="27"/>
  <c r="O140" i="28" s="1"/>
  <c r="O647" i="27"/>
  <c r="O532" i="27" s="1"/>
  <c r="L105" i="28"/>
  <c r="D25" i="46" s="1"/>
  <c r="J55" i="32" l="1"/>
  <c r="J70" i="32" s="1"/>
  <c r="O689" i="27"/>
  <c r="L15" i="32"/>
  <c r="E9" i="58" s="1"/>
  <c r="E8" i="49"/>
  <c r="L39" i="28"/>
  <c r="N693" i="27"/>
  <c r="M56" i="28"/>
  <c r="M215" i="28"/>
  <c r="L220" i="28"/>
  <c r="M381" i="27"/>
  <c r="M382" i="27" s="1"/>
  <c r="M383" i="27" s="1"/>
  <c r="M101" i="28"/>
  <c r="M105" i="28" s="1"/>
  <c r="L226" i="28"/>
  <c r="L224" i="28"/>
  <c r="N686" i="27"/>
  <c r="O177" i="28"/>
  <c r="O518" i="27"/>
  <c r="O541" i="27"/>
  <c r="O531" i="27"/>
  <c r="O125" i="28"/>
  <c r="H302" i="28"/>
  <c r="L56" i="28"/>
  <c r="E13" i="45" s="1"/>
  <c r="J35" i="32"/>
  <c r="K20" i="32"/>
  <c r="I284" i="28"/>
  <c r="P646" i="27"/>
  <c r="P611" i="27"/>
  <c r="F47" i="43" s="1"/>
  <c r="P70" i="28"/>
  <c r="F27" i="45" s="1"/>
  <c r="I105" i="32"/>
  <c r="J90" i="32"/>
  <c r="J105" i="32" s="1"/>
  <c r="J339" i="28"/>
  <c r="K55" i="32" l="1"/>
  <c r="P27" i="28"/>
  <c r="F24" i="44" s="1"/>
  <c r="F74" i="43"/>
  <c r="O54" i="32"/>
  <c r="O282" i="28"/>
  <c r="L53" i="32"/>
  <c r="E9" i="59" s="1"/>
  <c r="E17" i="49"/>
  <c r="L12" i="32"/>
  <c r="E6" i="58" s="1"/>
  <c r="E13" i="49"/>
  <c r="M39" i="28"/>
  <c r="E36" i="44"/>
  <c r="N35" i="28"/>
  <c r="N687" i="27"/>
  <c r="N711" i="27" s="1"/>
  <c r="N372" i="27" s="1"/>
  <c r="N371" i="27" s="1"/>
  <c r="L86" i="32"/>
  <c r="E7" i="60" s="1"/>
  <c r="E19" i="49"/>
  <c r="M15" i="32"/>
  <c r="M224" i="28"/>
  <c r="M273" i="28"/>
  <c r="M354" i="28"/>
  <c r="M313" i="28"/>
  <c r="M312" i="28" s="1"/>
  <c r="M324" i="28" s="1"/>
  <c r="N709" i="27"/>
  <c r="O323" i="28"/>
  <c r="M226" i="28"/>
  <c r="M220" i="28"/>
  <c r="L225" i="28"/>
  <c r="L222" i="28"/>
  <c r="O691" i="27"/>
  <c r="O695" i="27" s="1"/>
  <c r="O690" i="27"/>
  <c r="I298" i="28"/>
  <c r="J284" i="28"/>
  <c r="J298" i="28" s="1"/>
  <c r="O126" i="28"/>
  <c r="O127" i="28"/>
  <c r="O241" i="28"/>
  <c r="K90" i="32"/>
  <c r="K105" i="32" s="1"/>
  <c r="K70" i="32"/>
  <c r="P133" i="28"/>
  <c r="F15" i="47" s="1"/>
  <c r="P317" i="28"/>
  <c r="P609" i="27"/>
  <c r="P648" i="27"/>
  <c r="F76" i="43" s="1"/>
  <c r="K35" i="32"/>
  <c r="L313" i="28"/>
  <c r="L312" i="28" s="1"/>
  <c r="L273" i="28"/>
  <c r="E6" i="50" s="1"/>
  <c r="L354" i="28"/>
  <c r="O534" i="27"/>
  <c r="O540" i="27"/>
  <c r="L31" i="32" l="1"/>
  <c r="L11" i="32"/>
  <c r="E5" i="58" s="1"/>
  <c r="O19" i="32"/>
  <c r="L242" i="28"/>
  <c r="E15" i="49"/>
  <c r="M12" i="32"/>
  <c r="M11" i="32" s="1"/>
  <c r="M225" i="28"/>
  <c r="M53" i="32"/>
  <c r="Q608" i="27"/>
  <c r="F45" i="43"/>
  <c r="L247" i="28"/>
  <c r="E18" i="49"/>
  <c r="M272" i="28"/>
  <c r="M222" i="28"/>
  <c r="M85" i="32"/>
  <c r="L324" i="28"/>
  <c r="L325" i="28" s="1"/>
  <c r="L85" i="32"/>
  <c r="L84" i="32" s="1"/>
  <c r="E5" i="60" s="1"/>
  <c r="N688" i="27"/>
  <c r="N710" i="27" s="1"/>
  <c r="N50" i="28" s="1"/>
  <c r="M86" i="32"/>
  <c r="L50" i="32"/>
  <c r="O692" i="27"/>
  <c r="O693" i="27" s="1"/>
  <c r="O696" i="27"/>
  <c r="N101" i="28"/>
  <c r="N105" i="28" s="1"/>
  <c r="N381" i="27"/>
  <c r="N382" i="27" s="1"/>
  <c r="N383" i="27" s="1"/>
  <c r="N174" i="28"/>
  <c r="N36" i="28"/>
  <c r="O694" i="27"/>
  <c r="O544" i="27"/>
  <c r="O68" i="28"/>
  <c r="O543" i="27"/>
  <c r="L272" i="28"/>
  <c r="P649" i="27"/>
  <c r="F77" i="43" s="1"/>
  <c r="P28" i="28"/>
  <c r="F25" i="44" s="1"/>
  <c r="P172" i="28"/>
  <c r="F19" i="48" s="1"/>
  <c r="P51" i="28"/>
  <c r="O67" i="32"/>
  <c r="K284" i="28"/>
  <c r="E441" i="23"/>
  <c r="L20" i="32" l="1"/>
  <c r="E14" i="58" s="1"/>
  <c r="L283" i="28"/>
  <c r="E5" i="50"/>
  <c r="P355" i="28"/>
  <c r="F9" i="45"/>
  <c r="N175" i="28"/>
  <c r="L66" i="32"/>
  <c r="E6" i="59"/>
  <c r="M242" i="28"/>
  <c r="M283" i="28"/>
  <c r="M247" i="28"/>
  <c r="M31" i="32"/>
  <c r="N111" i="28"/>
  <c r="L101" i="32"/>
  <c r="E6" i="60"/>
  <c r="M84" i="32"/>
  <c r="M101" i="32"/>
  <c r="M50" i="32"/>
  <c r="M325" i="28"/>
  <c r="M339" i="28" s="1"/>
  <c r="L339" i="28"/>
  <c r="L49" i="32"/>
  <c r="E5" i="59" s="1"/>
  <c r="M66" i="32"/>
  <c r="N56" i="28"/>
  <c r="N38" i="28"/>
  <c r="N215" i="28"/>
  <c r="O686" i="27"/>
  <c r="N182" i="28"/>
  <c r="L90" i="32"/>
  <c r="E11" i="60" s="1"/>
  <c r="Q610" i="27"/>
  <c r="P643" i="27"/>
  <c r="F71" i="43" s="1"/>
  <c r="P107" i="28"/>
  <c r="P651" i="27"/>
  <c r="P647" i="27"/>
  <c r="P532" i="27" s="1"/>
  <c r="E20" i="42" s="1"/>
  <c r="O32" i="32"/>
  <c r="K298" i="28"/>
  <c r="P132" i="28"/>
  <c r="F14" i="47" s="1"/>
  <c r="P274" i="28"/>
  <c r="F7" i="50" s="1"/>
  <c r="P129" i="28"/>
  <c r="F11" i="47" s="1"/>
  <c r="O315" i="28"/>
  <c r="O275" i="28"/>
  <c r="O112" i="28"/>
  <c r="M20" i="32" l="1"/>
  <c r="M35" i="32" s="1"/>
  <c r="L35" i="32"/>
  <c r="P108" i="28"/>
  <c r="E28" i="46" s="1"/>
  <c r="E27" i="46"/>
  <c r="N15" i="32"/>
  <c r="P31" i="28"/>
  <c r="F28" i="44" s="1"/>
  <c r="F79" i="43"/>
  <c r="O35" i="28"/>
  <c r="O687" i="27"/>
  <c r="O711" i="27" s="1"/>
  <c r="O372" i="27" s="1"/>
  <c r="O371" i="27" s="1"/>
  <c r="N39" i="28"/>
  <c r="M49" i="32"/>
  <c r="L55" i="32"/>
  <c r="L70" i="32" s="1"/>
  <c r="N224" i="28"/>
  <c r="N313" i="28"/>
  <c r="N312" i="28" s="1"/>
  <c r="N324" i="28" s="1"/>
  <c r="N325" i="28" s="1"/>
  <c r="N339" i="28" s="1"/>
  <c r="N354" i="28"/>
  <c r="N273" i="28"/>
  <c r="N220" i="28"/>
  <c r="N226" i="28"/>
  <c r="O709" i="27"/>
  <c r="M90" i="32"/>
  <c r="M105" i="32" s="1"/>
  <c r="L105" i="32"/>
  <c r="P518" i="27"/>
  <c r="L284" i="28"/>
  <c r="E11" i="50" s="1"/>
  <c r="Q611" i="27"/>
  <c r="P531" i="27"/>
  <c r="E19" i="42" s="1"/>
  <c r="P541" i="27"/>
  <c r="P125" i="28"/>
  <c r="F7" i="47" s="1"/>
  <c r="P140" i="28"/>
  <c r="F21" i="47" s="1"/>
  <c r="P54" i="32" l="1"/>
  <c r="F10" i="59" s="1"/>
  <c r="E27" i="42"/>
  <c r="N12" i="32"/>
  <c r="N53" i="32"/>
  <c r="N86" i="32"/>
  <c r="N272" i="28"/>
  <c r="M55" i="32"/>
  <c r="M70" i="32" s="1"/>
  <c r="E11" i="59"/>
  <c r="N31" i="32"/>
  <c r="O688" i="27"/>
  <c r="O710" i="27" s="1"/>
  <c r="O50" i="28" s="1"/>
  <c r="N222" i="28"/>
  <c r="N225" i="28"/>
  <c r="O381" i="27"/>
  <c r="O382" i="27" s="1"/>
  <c r="O383" i="27" s="1"/>
  <c r="O101" i="28"/>
  <c r="O105" i="28" s="1"/>
  <c r="N50" i="32"/>
  <c r="O174" i="28"/>
  <c r="O36" i="28"/>
  <c r="Q609" i="27"/>
  <c r="R608" i="27" s="1"/>
  <c r="P540" i="27"/>
  <c r="P534" i="27"/>
  <c r="P34" i="28"/>
  <c r="M284" i="28"/>
  <c r="L298" i="28"/>
  <c r="P127" i="28"/>
  <c r="F9" i="47" s="1"/>
  <c r="P126" i="28"/>
  <c r="F8" i="47" s="1"/>
  <c r="P241" i="28"/>
  <c r="O175" i="28" l="1"/>
  <c r="N247" i="28"/>
  <c r="N283" i="28"/>
  <c r="N284" i="28" s="1"/>
  <c r="N298" i="28" s="1"/>
  <c r="N11" i="32"/>
  <c r="P689" i="27"/>
  <c r="P690" i="27" s="1"/>
  <c r="F31" i="44"/>
  <c r="P19" i="32"/>
  <c r="F13" i="58" s="1"/>
  <c r="E26" i="42"/>
  <c r="O111" i="28"/>
  <c r="N242" i="28"/>
  <c r="N85" i="32"/>
  <c r="O215" i="28"/>
  <c r="O38" i="28"/>
  <c r="N66" i="32"/>
  <c r="N49" i="32"/>
  <c r="O182" i="28"/>
  <c r="R610" i="27"/>
  <c r="P67" i="32"/>
  <c r="O56" i="28"/>
  <c r="P68" i="28"/>
  <c r="F25" i="45" s="1"/>
  <c r="P543" i="27"/>
  <c r="E29" i="42" s="1"/>
  <c r="M298" i="28"/>
  <c r="P177" i="28"/>
  <c r="F24" i="48" s="1"/>
  <c r="P544" i="27"/>
  <c r="P691" i="27" l="1"/>
  <c r="P695" i="27" s="1"/>
  <c r="R611" i="27"/>
  <c r="N55" i="32"/>
  <c r="N70" i="32" s="1"/>
  <c r="O39" i="28"/>
  <c r="N84" i="32"/>
  <c r="O226" i="28"/>
  <c r="N20" i="32"/>
  <c r="N35" i="32" s="1"/>
  <c r="N101" i="32"/>
  <c r="O224" i="28"/>
  <c r="O53" i="32" s="1"/>
  <c r="O86" i="32"/>
  <c r="O220" i="28"/>
  <c r="O15" i="32"/>
  <c r="R609" i="27"/>
  <c r="S608" i="27" s="1"/>
  <c r="P112" i="28"/>
  <c r="E32" i="46" s="1"/>
  <c r="P282" i="28"/>
  <c r="P323" i="28"/>
  <c r="P32" i="32"/>
  <c r="P315" i="28"/>
  <c r="P275" i="28"/>
  <c r="F8" i="50" s="1"/>
  <c r="O313" i="28"/>
  <c r="O312" i="28" s="1"/>
  <c r="O273" i="28"/>
  <c r="O354" i="28"/>
  <c r="P692" i="27" l="1"/>
  <c r="P693" i="27" s="1"/>
  <c r="P696" i="27"/>
  <c r="O225" i="28"/>
  <c r="N90" i="32"/>
  <c r="N105" i="32" s="1"/>
  <c r="O12" i="32"/>
  <c r="O31" i="32" s="1"/>
  <c r="O222" i="28"/>
  <c r="O50" i="32" s="1"/>
  <c r="O324" i="28"/>
  <c r="O325" i="28" s="1"/>
  <c r="O339" i="28" s="1"/>
  <c r="P686" i="27"/>
  <c r="P694" i="27"/>
  <c r="S610" i="27"/>
  <c r="O272" i="28"/>
  <c r="O49" i="32" l="1"/>
  <c r="O55" i="32" s="1"/>
  <c r="O66" i="32"/>
  <c r="O283" i="28"/>
  <c r="S611" i="27"/>
  <c r="S609" i="27" s="1"/>
  <c r="T608" i="27" s="1"/>
  <c r="G44" i="43" s="1"/>
  <c r="P35" i="28"/>
  <c r="F32" i="44" s="1"/>
  <c r="P687" i="27"/>
  <c r="P711" i="27" s="1"/>
  <c r="O242" i="28"/>
  <c r="O11" i="32"/>
  <c r="O247" i="28"/>
  <c r="O85" i="32"/>
  <c r="P709" i="27"/>
  <c r="P174" i="28" l="1"/>
  <c r="F21" i="48" s="1"/>
  <c r="P36" i="28"/>
  <c r="P111" i="28" s="1"/>
  <c r="E31" i="46" s="1"/>
  <c r="O84" i="32"/>
  <c r="O101" i="32"/>
  <c r="O20" i="32"/>
  <c r="O35" i="32" s="1"/>
  <c r="P38" i="28"/>
  <c r="F35" i="44" s="1"/>
  <c r="P372" i="27"/>
  <c r="P371" i="27" s="1"/>
  <c r="P688" i="27"/>
  <c r="P710" i="27" s="1"/>
  <c r="P50" i="28" s="1"/>
  <c r="F8" i="45" s="1"/>
  <c r="O70" i="32"/>
  <c r="O284" i="28"/>
  <c r="T610" i="27"/>
  <c r="G46" i="43" s="1"/>
  <c r="P175" i="28" l="1"/>
  <c r="F22" i="48" s="1"/>
  <c r="P182" i="28"/>
  <c r="F29" i="48" s="1"/>
  <c r="F33" i="44"/>
  <c r="O90" i="32"/>
  <c r="O105" i="32" s="1"/>
  <c r="P381" i="27"/>
  <c r="P382" i="27" s="1"/>
  <c r="P383" i="27" s="1"/>
  <c r="P101" i="28"/>
  <c r="E21" i="46" s="1"/>
  <c r="P215" i="28"/>
  <c r="P39" i="28"/>
  <c r="F36" i="44" s="1"/>
  <c r="T611" i="27"/>
  <c r="G47" i="43" s="1"/>
  <c r="O298" i="28"/>
  <c r="P105" i="28" l="1"/>
  <c r="E25" i="46" s="1"/>
  <c r="P220" i="28"/>
  <c r="F13" i="49" s="1"/>
  <c r="F8" i="49"/>
  <c r="P15" i="32"/>
  <c r="F9" i="58" s="1"/>
  <c r="P226" i="28"/>
  <c r="P225" i="28" s="1"/>
  <c r="P224" i="28"/>
  <c r="P53" i="32" s="1"/>
  <c r="F9" i="59" s="1"/>
  <c r="T609" i="27"/>
  <c r="P56" i="28"/>
  <c r="F13" i="45" s="1"/>
  <c r="P12" i="32" l="1"/>
  <c r="F6" i="58" s="1"/>
  <c r="U608" i="27"/>
  <c r="G45" i="43"/>
  <c r="P86" i="32"/>
  <c r="F7" i="60" s="1"/>
  <c r="F19" i="49"/>
  <c r="P247" i="28"/>
  <c r="F18" i="49"/>
  <c r="P222" i="28"/>
  <c r="F17" i="49"/>
  <c r="P313" i="28"/>
  <c r="P312" i="28" s="1"/>
  <c r="P354" i="28"/>
  <c r="P273" i="28"/>
  <c r="F6" i="50" s="1"/>
  <c r="P31" i="32"/>
  <c r="P85" i="32"/>
  <c r="F6" i="60" s="1"/>
  <c r="P11" i="32" l="1"/>
  <c r="F5" i="58" s="1"/>
  <c r="P242" i="28"/>
  <c r="F15" i="49"/>
  <c r="P50" i="32"/>
  <c r="F6" i="59" s="1"/>
  <c r="P324" i="28"/>
  <c r="P325" i="28" s="1"/>
  <c r="P339" i="28" s="1"/>
  <c r="U610" i="27"/>
  <c r="P101" i="32"/>
  <c r="P84" i="32"/>
  <c r="F5" i="60" s="1"/>
  <c r="P66" i="32"/>
  <c r="P272" i="28"/>
  <c r="P20" i="32" l="1"/>
  <c r="F14" i="58" s="1"/>
  <c r="P49" i="32"/>
  <c r="F5" i="59" s="1"/>
  <c r="P283" i="28"/>
  <c r="F5" i="50"/>
  <c r="U611" i="27"/>
  <c r="U609" i="27" s="1"/>
  <c r="V608" i="27" s="1"/>
  <c r="P90" i="32"/>
  <c r="F11" i="60" s="1"/>
  <c r="P35" i="32" l="1"/>
  <c r="P55" i="32"/>
  <c r="F11" i="59" s="1"/>
  <c r="V610" i="27"/>
  <c r="P284" i="28"/>
  <c r="F11" i="50" s="1"/>
  <c r="P105" i="32"/>
  <c r="P70" i="32"/>
  <c r="V611" i="27" l="1"/>
  <c r="V609" i="27" s="1"/>
  <c r="W608" i="27" s="1"/>
  <c r="P298" i="28"/>
  <c r="W610" i="27" l="1"/>
  <c r="W611" i="27" l="1"/>
  <c r="W609" i="27" s="1"/>
  <c r="X608" i="27" s="1"/>
  <c r="H44" i="43" s="1"/>
  <c r="X610" i="27" l="1"/>
  <c r="H46" i="43" s="1"/>
  <c r="X611" i="27" l="1"/>
  <c r="X609" i="27" l="1"/>
  <c r="H47" i="43"/>
  <c r="Y608" i="27" l="1"/>
  <c r="H45" i="43"/>
  <c r="Y610" i="27" l="1"/>
  <c r="Y611" i="27" l="1"/>
  <c r="Y609" i="27" s="1"/>
  <c r="Z608" i="27" s="1"/>
  <c r="Z610" i="27" s="1"/>
  <c r="Z611" i="27" l="1"/>
  <c r="Z609" i="27" s="1"/>
  <c r="AA608" i="27" s="1"/>
  <c r="AA610" i="27" l="1"/>
  <c r="AA611" i="27" l="1"/>
  <c r="AA609" i="27" l="1"/>
  <c r="AB608" i="27" s="1"/>
  <c r="I44" i="43" s="1"/>
  <c r="AB610" i="27" l="1"/>
  <c r="I46" i="43" s="1"/>
  <c r="AB611" i="27" l="1"/>
  <c r="I47" i="43" s="1"/>
  <c r="AB609" i="27" l="1"/>
  <c r="AC608" i="27" l="1"/>
  <c r="I45" i="43"/>
  <c r="F441" i="23"/>
  <c r="AC610" i="27" l="1"/>
  <c r="AC611" i="27" l="1"/>
  <c r="AC609" i="27" l="1"/>
  <c r="AD608" i="27" s="1"/>
  <c r="AD610" i="27" l="1"/>
  <c r="AD611" i="27" l="1"/>
  <c r="AD609" i="27" l="1"/>
  <c r="AE608" i="27" s="1"/>
  <c r="AE610" i="27" l="1"/>
  <c r="AE611" i="27" l="1"/>
  <c r="AE609" i="27" l="1"/>
  <c r="AF608" i="27" s="1"/>
  <c r="J44" i="43" l="1"/>
  <c r="AF610" i="27"/>
  <c r="AF611" i="27" l="1"/>
  <c r="J47" i="43" s="1"/>
  <c r="J46" i="43"/>
  <c r="AF609" i="27" l="1"/>
  <c r="J45" i="43" s="1"/>
  <c r="AG608" i="27"/>
  <c r="AG610" i="27" l="1"/>
  <c r="AG611" i="27" l="1"/>
  <c r="AG609" i="27" s="1"/>
  <c r="AH608" i="27" s="1"/>
  <c r="AH610" i="27" l="1"/>
  <c r="AH611" i="27" l="1"/>
  <c r="AH609" i="27" s="1"/>
  <c r="AI608" i="27" s="1"/>
  <c r="AI610" i="27" l="1"/>
  <c r="AI611" i="27" l="1"/>
  <c r="AI609" i="27" s="1"/>
  <c r="AJ608" i="27" s="1"/>
  <c r="K44" i="43" l="1"/>
  <c r="AJ610" i="27"/>
  <c r="AJ611" i="27" l="1"/>
  <c r="K47" i="43" s="1"/>
  <c r="K46" i="43"/>
  <c r="AJ609" i="27"/>
  <c r="AK608" i="27" l="1"/>
  <c r="K45" i="43"/>
  <c r="AK610" i="27" l="1"/>
  <c r="AK611" i="27" l="1"/>
  <c r="AK609" i="27" s="1"/>
  <c r="AL608" i="27" s="1"/>
  <c r="AL610" i="27" l="1"/>
  <c r="AL611" i="27" l="1"/>
  <c r="AL609" i="27" s="1"/>
  <c r="AM608" i="27" s="1"/>
  <c r="AM610" i="27" l="1"/>
  <c r="AM611" i="27" l="1"/>
  <c r="AM609" i="27" s="1"/>
  <c r="AN608" i="27" s="1"/>
  <c r="L44" i="43" l="1"/>
  <c r="AN610" i="27"/>
  <c r="L46" i="43" l="1"/>
  <c r="AN611" i="27"/>
  <c r="B8" i="59"/>
  <c r="L47" i="43" l="1"/>
  <c r="AN609" i="27"/>
  <c r="AO608" i="27" l="1"/>
  <c r="L45" i="43"/>
  <c r="AO610" i="27" l="1"/>
  <c r="AO611" i="27" l="1"/>
  <c r="AO609" i="27" s="1"/>
  <c r="AP608" i="27" s="1"/>
  <c r="AP610" i="27" l="1"/>
  <c r="AP611" i="27" l="1"/>
  <c r="AP609" i="27" l="1"/>
  <c r="AQ608" i="27" s="1"/>
  <c r="B42" i="43"/>
  <c r="AQ610" i="27" l="1"/>
  <c r="AQ611" i="27" l="1"/>
  <c r="AQ609" i="27" s="1"/>
  <c r="AR608" i="27" s="1"/>
  <c r="AR610" i="27" l="1"/>
  <c r="M44" i="43"/>
  <c r="AT608" i="27"/>
  <c r="N44" i="43" l="1"/>
  <c r="B608" i="27"/>
  <c r="B44" i="43" s="1"/>
  <c r="AR611" i="27"/>
  <c r="AR609" i="27" s="1"/>
  <c r="M45" i="43" s="1"/>
  <c r="M46" i="43"/>
  <c r="AT610" i="27"/>
  <c r="I133" i="32"/>
  <c r="I65" i="32"/>
  <c r="I100" i="32"/>
  <c r="I30" i="32"/>
  <c r="N46" i="43" l="1"/>
  <c r="B610" i="27"/>
  <c r="B46" i="43" s="1"/>
  <c r="AT611" i="27"/>
  <c r="M47" i="43"/>
  <c r="J30" i="32"/>
  <c r="J65" i="32"/>
  <c r="J100" i="32"/>
  <c r="J133" i="32"/>
  <c r="N47" i="43" l="1"/>
  <c r="B611" i="27"/>
  <c r="B47" i="43" s="1"/>
  <c r="K30" i="32"/>
  <c r="K65" i="32"/>
  <c r="K133" i="32"/>
  <c r="K100" i="32"/>
  <c r="L65" i="32" l="1"/>
  <c r="E21" i="59" s="1"/>
  <c r="L30" i="32"/>
  <c r="E23" i="58" s="1"/>
  <c r="L133" i="32"/>
  <c r="E19" i="61" s="1"/>
  <c r="L100" i="32"/>
  <c r="E21" i="60" s="1"/>
  <c r="M133" i="32" l="1"/>
  <c r="M65" i="32"/>
  <c r="M100" i="32"/>
  <c r="M30" i="32"/>
  <c r="N30" i="32" l="1"/>
  <c r="N65" i="32"/>
  <c r="N100" i="32"/>
  <c r="N133" i="32"/>
  <c r="O133" i="32"/>
  <c r="O65" i="32" l="1"/>
  <c r="O30" i="32"/>
  <c r="O100" i="32"/>
  <c r="P100" i="32" l="1"/>
  <c r="F21" i="60" s="1"/>
  <c r="P133" i="32"/>
  <c r="F19" i="61" s="1"/>
  <c r="P65" i="32"/>
  <c r="F21" i="59" s="1"/>
  <c r="P30" i="32"/>
  <c r="F23" i="58" s="1"/>
  <c r="R133" i="32" l="1"/>
  <c r="Q133" i="32"/>
  <c r="S133" i="32" l="1"/>
  <c r="T133" i="32" l="1"/>
  <c r="G19" i="61" s="1"/>
  <c r="U133" i="32" l="1"/>
  <c r="V133" i="32" l="1"/>
  <c r="W133" i="32"/>
  <c r="X133" i="32" l="1"/>
  <c r="H19" i="61" s="1"/>
  <c r="Y133" i="32" l="1"/>
  <c r="Z133" i="32" l="1"/>
  <c r="AA133" i="32" l="1"/>
  <c r="AB133" i="32" l="1"/>
  <c r="I19" i="61" s="1"/>
  <c r="AC133" i="32" l="1"/>
  <c r="AD133" i="32" l="1"/>
  <c r="AE133" i="32" l="1"/>
  <c r="AF133" i="32"/>
  <c r="J19" i="61" s="1"/>
  <c r="AG133" i="32" l="1"/>
  <c r="AI133" i="32" l="1"/>
  <c r="AH133" i="32"/>
  <c r="AJ133" i="32" l="1"/>
  <c r="K19" i="61" s="1"/>
  <c r="AK133" i="32" l="1"/>
  <c r="AL133" i="32" l="1"/>
  <c r="AM133" i="32" l="1"/>
  <c r="AN133" i="32"/>
  <c r="L19" i="61" s="1"/>
  <c r="AO133" i="32" l="1"/>
  <c r="AP133" i="32"/>
  <c r="AQ133" i="32" l="1"/>
  <c r="AT102" i="32" l="1"/>
  <c r="AT135" i="32"/>
  <c r="B133" i="32" l="1"/>
  <c r="B19" i="61" s="1"/>
  <c r="B100" i="32"/>
  <c r="B21" i="60" s="1"/>
  <c r="AR133" i="32"/>
  <c r="M19" i="61" s="1"/>
  <c r="AT134" i="32"/>
  <c r="Q645" i="27" l="1"/>
  <c r="Q638" i="27"/>
  <c r="Q646" i="27" l="1"/>
  <c r="Q70" i="28"/>
  <c r="Q639" i="27"/>
  <c r="Q27" i="28" l="1"/>
  <c r="Q172" i="28" s="1"/>
  <c r="Q133" i="28"/>
  <c r="Q317" i="28"/>
  <c r="Q648" i="27"/>
  <c r="Q637" i="27"/>
  <c r="R636" i="27" s="1"/>
  <c r="Q28" i="28" l="1"/>
  <c r="Q649" i="27"/>
  <c r="Q51" i="28"/>
  <c r="Q355" i="28" l="1"/>
  <c r="Q647" i="27"/>
  <c r="G75" i="43" s="1"/>
  <c r="Q107" i="28"/>
  <c r="Q108" i="28" s="1"/>
  <c r="Q643" i="27"/>
  <c r="Q140" i="28" s="1"/>
  <c r="Q651" i="27"/>
  <c r="Q274" i="28"/>
  <c r="Q129" i="28"/>
  <c r="Q132" i="28"/>
  <c r="R638" i="27"/>
  <c r="R645" i="27"/>
  <c r="Q31" i="28" l="1"/>
  <c r="Q532" i="27"/>
  <c r="Q518" i="27"/>
  <c r="R70" i="28"/>
  <c r="R646" i="27"/>
  <c r="R639" i="27"/>
  <c r="Q125" i="28"/>
  <c r="Q531" i="27" l="1"/>
  <c r="Q540" i="27" s="1"/>
  <c r="R27" i="28"/>
  <c r="Q541" i="27"/>
  <c r="Q241" i="28" s="1"/>
  <c r="R637" i="27"/>
  <c r="S636" i="27" s="1"/>
  <c r="Q127" i="28"/>
  <c r="Q126" i="28"/>
  <c r="R317" i="28"/>
  <c r="R133" i="28"/>
  <c r="Q34" i="28"/>
  <c r="R648" i="27"/>
  <c r="Q534" i="27" l="1"/>
  <c r="Q544" i="27" s="1"/>
  <c r="Q689" i="27"/>
  <c r="Q691" i="27" s="1"/>
  <c r="Q695" i="27" s="1"/>
  <c r="Q19" i="32"/>
  <c r="Q54" i="32"/>
  <c r="Q67" i="32" s="1"/>
  <c r="R649" i="27"/>
  <c r="R647" i="27" s="1"/>
  <c r="R532" i="27" s="1"/>
  <c r="Q68" i="28"/>
  <c r="Q543" i="27"/>
  <c r="R28" i="28"/>
  <c r="R172" i="28"/>
  <c r="S645" i="27"/>
  <c r="S638" i="27"/>
  <c r="R51" i="28"/>
  <c r="Q690" i="27" l="1"/>
  <c r="R355" i="28"/>
  <c r="Q696" i="27"/>
  <c r="R107" i="28"/>
  <c r="R108" i="28" s="1"/>
  <c r="R651" i="27"/>
  <c r="R643" i="27"/>
  <c r="R140" i="28" s="1"/>
  <c r="Q275" i="28"/>
  <c r="Q315" i="28"/>
  <c r="Q32" i="32"/>
  <c r="R541" i="27"/>
  <c r="R531" i="27"/>
  <c r="Q112" i="28"/>
  <c r="R132" i="28"/>
  <c r="R274" i="28"/>
  <c r="R129" i="28"/>
  <c r="S70" i="28"/>
  <c r="S639" i="27"/>
  <c r="S646" i="27"/>
  <c r="Q692" i="27"/>
  <c r="S27" i="28" l="1"/>
  <c r="R54" i="32"/>
  <c r="R31" i="28"/>
  <c r="R34" i="28" s="1"/>
  <c r="R125" i="28"/>
  <c r="R126" i="28" s="1"/>
  <c r="Q686" i="27"/>
  <c r="R518" i="27"/>
  <c r="S637" i="27"/>
  <c r="T636" i="27" s="1"/>
  <c r="G66" i="43" s="1"/>
  <c r="R241" i="28"/>
  <c r="R540" i="27"/>
  <c r="R534" i="27"/>
  <c r="Q693" i="27"/>
  <c r="S648" i="27"/>
  <c r="S133" i="28"/>
  <c r="S317" i="28"/>
  <c r="R19" i="32" l="1"/>
  <c r="R689" i="27"/>
  <c r="R691" i="27" s="1"/>
  <c r="R695" i="27" s="1"/>
  <c r="R127" i="28"/>
  <c r="Q35" i="28"/>
  <c r="Q687" i="27"/>
  <c r="Q709" i="27"/>
  <c r="S649" i="27"/>
  <c r="S647" i="27" s="1"/>
  <c r="S532" i="27" s="1"/>
  <c r="R544" i="27"/>
  <c r="R67" i="32"/>
  <c r="R68" i="28"/>
  <c r="R543" i="27"/>
  <c r="R177" i="28"/>
  <c r="S51" i="28"/>
  <c r="S28" i="28"/>
  <c r="S172" i="28"/>
  <c r="Q694" i="27"/>
  <c r="R690" i="27" l="1"/>
  <c r="S355" i="28"/>
  <c r="R696" i="27"/>
  <c r="T638" i="27"/>
  <c r="G68" i="43" s="1"/>
  <c r="T645" i="27"/>
  <c r="G73" i="43" s="1"/>
  <c r="S643" i="27"/>
  <c r="S140" i="28" s="1"/>
  <c r="S651" i="27"/>
  <c r="S107" i="28"/>
  <c r="S108" i="28" s="1"/>
  <c r="R315" i="28"/>
  <c r="R275" i="28"/>
  <c r="R32" i="32"/>
  <c r="R112" i="28"/>
  <c r="S541" i="27"/>
  <c r="S531" i="27"/>
  <c r="R323" i="28"/>
  <c r="R282" i="28"/>
  <c r="S132" i="28"/>
  <c r="S274" i="28"/>
  <c r="S129" i="28"/>
  <c r="R692" i="27"/>
  <c r="S54" i="32" l="1"/>
  <c r="S31" i="28"/>
  <c r="S125" i="28"/>
  <c r="S34" i="28"/>
  <c r="R686" i="27"/>
  <c r="T70" i="28"/>
  <c r="S518" i="27"/>
  <c r="T646" i="27"/>
  <c r="T639" i="27"/>
  <c r="G69" i="43" s="1"/>
  <c r="S241" i="28"/>
  <c r="S534" i="27"/>
  <c r="S540" i="27"/>
  <c r="R693" i="27"/>
  <c r="Q711" i="27"/>
  <c r="Q177" i="28"/>
  <c r="R35" i="28" l="1"/>
  <c r="R687" i="27"/>
  <c r="R711" i="27" s="1"/>
  <c r="S127" i="28"/>
  <c r="S19" i="32"/>
  <c r="T27" i="28"/>
  <c r="G24" i="44" s="1"/>
  <c r="G74" i="43"/>
  <c r="T133" i="28"/>
  <c r="G15" i="47" s="1"/>
  <c r="G27" i="45"/>
  <c r="S126" i="28"/>
  <c r="T637" i="27"/>
  <c r="S689" i="27"/>
  <c r="S177" i="28"/>
  <c r="S282" i="28" s="1"/>
  <c r="R709" i="27"/>
  <c r="Q372" i="27"/>
  <c r="Q371" i="27" s="1"/>
  <c r="T317" i="28"/>
  <c r="T648" i="27"/>
  <c r="G76" i="43" s="1"/>
  <c r="Q323" i="28"/>
  <c r="Q282" i="28"/>
  <c r="R694" i="27"/>
  <c r="S544" i="27"/>
  <c r="S67" i="32"/>
  <c r="S68" i="28"/>
  <c r="S543" i="27"/>
  <c r="Q688" i="27"/>
  <c r="Q710" i="27" s="1"/>
  <c r="Q50" i="28" s="1"/>
  <c r="T172" i="28"/>
  <c r="G19" i="48" s="1"/>
  <c r="Q174" i="28"/>
  <c r="Q36" i="28"/>
  <c r="S323" i="28" l="1"/>
  <c r="T28" i="28"/>
  <c r="G25" i="44" s="1"/>
  <c r="U636" i="27"/>
  <c r="G67" i="43"/>
  <c r="Q111" i="28"/>
  <c r="T649" i="27"/>
  <c r="G77" i="43" s="1"/>
  <c r="Q38" i="28"/>
  <c r="S690" i="27"/>
  <c r="S691" i="27"/>
  <c r="Q101" i="28"/>
  <c r="Q105" i="28" s="1"/>
  <c r="Q381" i="27"/>
  <c r="Q382" i="27" s="1"/>
  <c r="Q383" i="27" s="1"/>
  <c r="R372" i="27"/>
  <c r="R371" i="27" s="1"/>
  <c r="T51" i="28"/>
  <c r="T643" i="27"/>
  <c r="G71" i="43" s="1"/>
  <c r="U645" i="27"/>
  <c r="S275" i="28"/>
  <c r="S315" i="28"/>
  <c r="S32" i="32"/>
  <c r="S112" i="28"/>
  <c r="R688" i="27"/>
  <c r="R710" i="27" s="1"/>
  <c r="R50" i="28" s="1"/>
  <c r="R174" i="28"/>
  <c r="R175" i="28" s="1"/>
  <c r="R36" i="28"/>
  <c r="Q175" i="28"/>
  <c r="Q182" i="28"/>
  <c r="Q215" i="28"/>
  <c r="R111" i="28" l="1"/>
  <c r="U70" i="28"/>
  <c r="U317" i="28" s="1"/>
  <c r="T355" i="28"/>
  <c r="G9" i="45"/>
  <c r="U638" i="27"/>
  <c r="T647" i="27"/>
  <c r="T532" i="27" s="1"/>
  <c r="T651" i="27"/>
  <c r="T107" i="28"/>
  <c r="R38" i="28"/>
  <c r="S695" i="27"/>
  <c r="S696" i="27" s="1"/>
  <c r="S686" i="27" s="1"/>
  <c r="S692" i="27"/>
  <c r="S693" i="27" s="1"/>
  <c r="R101" i="28"/>
  <c r="R105" i="28" s="1"/>
  <c r="R381" i="27"/>
  <c r="R382" i="27" s="1"/>
  <c r="R383" i="27" s="1"/>
  <c r="T132" i="28"/>
  <c r="G14" i="47" s="1"/>
  <c r="T129" i="28"/>
  <c r="G11" i="47" s="1"/>
  <c r="T274" i="28"/>
  <c r="G7" i="50" s="1"/>
  <c r="T140" i="28"/>
  <c r="G21" i="47" s="1"/>
  <c r="R215" i="28"/>
  <c r="R220" i="28" s="1"/>
  <c r="R12" i="32" s="1"/>
  <c r="Q226" i="28"/>
  <c r="Q15" i="32"/>
  <c r="Q224" i="28"/>
  <c r="Q220" i="28"/>
  <c r="R182" i="28"/>
  <c r="Q39" i="28"/>
  <c r="R56" i="28"/>
  <c r="U133" i="28" l="1"/>
  <c r="T31" i="28"/>
  <c r="G28" i="44" s="1"/>
  <c r="G79" i="43"/>
  <c r="S35" i="28"/>
  <c r="S174" i="28" s="1"/>
  <c r="S687" i="27"/>
  <c r="T108" i="28"/>
  <c r="F28" i="46" s="1"/>
  <c r="F27" i="46"/>
  <c r="T531" i="27"/>
  <c r="T540" i="27" s="1"/>
  <c r="T543" i="27" s="1"/>
  <c r="F29" i="42" s="1"/>
  <c r="F20" i="42"/>
  <c r="U639" i="27"/>
  <c r="U646" i="27"/>
  <c r="T125" i="28"/>
  <c r="T541" i="27"/>
  <c r="T518" i="27"/>
  <c r="S711" i="27"/>
  <c r="S372" i="27" s="1"/>
  <c r="S371" i="27" s="1"/>
  <c r="S694" i="27"/>
  <c r="S709" i="27"/>
  <c r="R224" i="28"/>
  <c r="R222" i="28" s="1"/>
  <c r="R242" i="28" s="1"/>
  <c r="R15" i="32"/>
  <c r="R226" i="28"/>
  <c r="R86" i="32" s="1"/>
  <c r="R39" i="28"/>
  <c r="R273" i="28"/>
  <c r="R272" i="28" s="1"/>
  <c r="R283" i="28" s="1"/>
  <c r="R313" i="28"/>
  <c r="R312" i="28" s="1"/>
  <c r="R324" i="28" s="1"/>
  <c r="R354" i="28"/>
  <c r="R11" i="32"/>
  <c r="R31" i="32"/>
  <c r="Q53" i="32"/>
  <c r="Q222" i="28"/>
  <c r="Q56" i="28"/>
  <c r="Q12" i="32"/>
  <c r="Q86" i="32"/>
  <c r="Q225" i="28"/>
  <c r="T34" i="28" l="1"/>
  <c r="T689" i="27" s="1"/>
  <c r="Q247" i="28"/>
  <c r="Q242" i="28"/>
  <c r="T54" i="32"/>
  <c r="G10" i="59" s="1"/>
  <c r="F27" i="42"/>
  <c r="T127" i="28"/>
  <c r="G9" i="47" s="1"/>
  <c r="G7" i="47"/>
  <c r="U637" i="27"/>
  <c r="U648" i="27"/>
  <c r="T19" i="32"/>
  <c r="G13" i="58" s="1"/>
  <c r="F26" i="42"/>
  <c r="U27" i="28"/>
  <c r="T534" i="27"/>
  <c r="T544" i="27" s="1"/>
  <c r="T112" i="28" s="1"/>
  <c r="F32" i="46" s="1"/>
  <c r="F19" i="42"/>
  <c r="T68" i="28"/>
  <c r="T126" i="28"/>
  <c r="G8" i="47" s="1"/>
  <c r="T241" i="28"/>
  <c r="S688" i="27"/>
  <c r="S710" i="27" s="1"/>
  <c r="S50" i="28" s="1"/>
  <c r="S36" i="28"/>
  <c r="S381" i="27"/>
  <c r="S382" i="27" s="1"/>
  <c r="S383" i="27" s="1"/>
  <c r="S101" i="28"/>
  <c r="S105" i="28" s="1"/>
  <c r="S215" i="28"/>
  <c r="R225" i="28"/>
  <c r="R247" i="28" s="1"/>
  <c r="R53" i="32"/>
  <c r="Q85" i="32"/>
  <c r="R50" i="32"/>
  <c r="Q354" i="28"/>
  <c r="Q273" i="28"/>
  <c r="Q313" i="28"/>
  <c r="Q11" i="32"/>
  <c r="Q31" i="32"/>
  <c r="S175" i="28"/>
  <c r="Q50" i="32"/>
  <c r="T32" i="32" l="1"/>
  <c r="T177" i="28"/>
  <c r="T323" i="28" s="1"/>
  <c r="G31" i="44"/>
  <c r="T690" i="27"/>
  <c r="T691" i="27"/>
  <c r="T695" i="27" s="1"/>
  <c r="S226" i="28"/>
  <c r="S86" i="32" s="1"/>
  <c r="V636" i="27"/>
  <c r="U649" i="27"/>
  <c r="S111" i="28"/>
  <c r="T275" i="28"/>
  <c r="G8" i="50" s="1"/>
  <c r="G25" i="45"/>
  <c r="U28" i="28"/>
  <c r="U172" i="28"/>
  <c r="U51" i="28"/>
  <c r="T315" i="28"/>
  <c r="T67" i="32"/>
  <c r="S38" i="28"/>
  <c r="S39" i="28" s="1"/>
  <c r="S182" i="28"/>
  <c r="T692" i="27"/>
  <c r="S220" i="28"/>
  <c r="S224" i="28"/>
  <c r="S15" i="32"/>
  <c r="T696" i="27"/>
  <c r="R85" i="32"/>
  <c r="R84" i="32" s="1"/>
  <c r="S56" i="28"/>
  <c r="Q312" i="28"/>
  <c r="Q324" i="28" s="1"/>
  <c r="Q272" i="28"/>
  <c r="R66" i="32"/>
  <c r="R49" i="32"/>
  <c r="Q49" i="32"/>
  <c r="Q66" i="32"/>
  <c r="Q30" i="32"/>
  <c r="R30" i="32"/>
  <c r="Q20" i="32"/>
  <c r="Q84" i="32"/>
  <c r="Q101" i="32"/>
  <c r="G24" i="48" l="1"/>
  <c r="S225" i="28"/>
  <c r="S247" i="28" s="1"/>
  <c r="T282" i="28"/>
  <c r="T693" i="27"/>
  <c r="Q283" i="28"/>
  <c r="R101" i="32"/>
  <c r="R100" i="32" s="1"/>
  <c r="S53" i="32"/>
  <c r="S12" i="32"/>
  <c r="S31" i="32" s="1"/>
  <c r="V638" i="27"/>
  <c r="V645" i="27"/>
  <c r="U355" i="28"/>
  <c r="U129" i="28"/>
  <c r="U132" i="28"/>
  <c r="U274" i="28"/>
  <c r="U647" i="27"/>
  <c r="U107" i="28"/>
  <c r="U643" i="27"/>
  <c r="U140" i="28" s="1"/>
  <c r="U651" i="27"/>
  <c r="S222" i="28"/>
  <c r="T686" i="27"/>
  <c r="T694" i="27"/>
  <c r="Q90" i="32"/>
  <c r="S354" i="28"/>
  <c r="S273" i="28"/>
  <c r="S313" i="28"/>
  <c r="Q100" i="32"/>
  <c r="R20" i="32"/>
  <c r="R35" i="32" s="1"/>
  <c r="Q35" i="32"/>
  <c r="R65" i="32"/>
  <c r="Q65" i="32"/>
  <c r="Q55" i="32"/>
  <c r="S11" i="32"/>
  <c r="S85" i="32" l="1"/>
  <c r="S84" i="32" s="1"/>
  <c r="T35" i="28"/>
  <c r="G32" i="44" s="1"/>
  <c r="T687" i="27"/>
  <c r="T711" i="27" s="1"/>
  <c r="H75" i="43"/>
  <c r="U532" i="27"/>
  <c r="V70" i="28"/>
  <c r="S242" i="28"/>
  <c r="U31" i="28"/>
  <c r="U108" i="28"/>
  <c r="U125" i="28"/>
  <c r="U518" i="27"/>
  <c r="V646" i="27"/>
  <c r="V639" i="27"/>
  <c r="S50" i="32"/>
  <c r="T709" i="27"/>
  <c r="Q325" i="28"/>
  <c r="Q284" i="28"/>
  <c r="R55" i="32"/>
  <c r="R70" i="32" s="1"/>
  <c r="Q70" i="32"/>
  <c r="S20" i="32"/>
  <c r="S35" i="32" s="1"/>
  <c r="R90" i="32"/>
  <c r="R105" i="32" s="1"/>
  <c r="Q105" i="32"/>
  <c r="S30" i="32"/>
  <c r="S312" i="28"/>
  <c r="S324" i="28" s="1"/>
  <c r="S272" i="28"/>
  <c r="S101" i="32" l="1"/>
  <c r="V637" i="27"/>
  <c r="V648" i="27"/>
  <c r="U34" i="28"/>
  <c r="S283" i="28"/>
  <c r="S66" i="32"/>
  <c r="S65" i="32" s="1"/>
  <c r="V27" i="28"/>
  <c r="U126" i="28"/>
  <c r="U127" i="28"/>
  <c r="V133" i="28"/>
  <c r="V317" i="28"/>
  <c r="U531" i="27"/>
  <c r="U541" i="27"/>
  <c r="S49" i="32"/>
  <c r="S55" i="32" s="1"/>
  <c r="S70" i="32" s="1"/>
  <c r="T372" i="27"/>
  <c r="T371" i="27" s="1"/>
  <c r="T688" i="27"/>
  <c r="T710" i="27" s="1"/>
  <c r="T50" i="28" s="1"/>
  <c r="G8" i="45" s="1"/>
  <c r="T174" i="28"/>
  <c r="G21" i="48" s="1"/>
  <c r="T36" i="28"/>
  <c r="S100" i="32"/>
  <c r="S90" i="32"/>
  <c r="S105" i="32" s="1"/>
  <c r="Q339" i="28"/>
  <c r="R325" i="28"/>
  <c r="R339" i="28" s="1"/>
  <c r="Q298" i="28"/>
  <c r="R284" i="28"/>
  <c r="U241" i="28" l="1"/>
  <c r="U54" i="32"/>
  <c r="U540" i="27"/>
  <c r="U534" i="27"/>
  <c r="U544" i="27" s="1"/>
  <c r="U112" i="28" s="1"/>
  <c r="V28" i="28"/>
  <c r="V172" i="28"/>
  <c r="V51" i="28"/>
  <c r="W636" i="27"/>
  <c r="V649" i="27"/>
  <c r="T111" i="28"/>
  <c r="F31" i="46" s="1"/>
  <c r="G33" i="44"/>
  <c r="U689" i="27"/>
  <c r="T38" i="28"/>
  <c r="G35" i="44" s="1"/>
  <c r="T101" i="28"/>
  <c r="T381" i="27"/>
  <c r="T382" i="27" s="1"/>
  <c r="T383" i="27" s="1"/>
  <c r="R298" i="28"/>
  <c r="S325" i="28"/>
  <c r="S339" i="28" s="1"/>
  <c r="T175" i="28"/>
  <c r="G22" i="48" s="1"/>
  <c r="T215" i="28"/>
  <c r="G8" i="49" s="1"/>
  <c r="S284" i="28"/>
  <c r="T182" i="28"/>
  <c r="G29" i="48" s="1"/>
  <c r="W638" i="27" l="1"/>
  <c r="W645" i="27"/>
  <c r="V355" i="28"/>
  <c r="V274" i="28"/>
  <c r="V129" i="28"/>
  <c r="V132" i="28"/>
  <c r="T105" i="28"/>
  <c r="F25" i="46" s="1"/>
  <c r="F21" i="46"/>
  <c r="U690" i="27"/>
  <c r="U691" i="27" s="1"/>
  <c r="U692" i="27" s="1"/>
  <c r="U693" i="27" s="1"/>
  <c r="V643" i="27"/>
  <c r="V140" i="28" s="1"/>
  <c r="V107" i="28"/>
  <c r="V651" i="27"/>
  <c r="V647" i="27"/>
  <c r="V532" i="27" s="1"/>
  <c r="U19" i="32"/>
  <c r="U543" i="27"/>
  <c r="U68" i="28"/>
  <c r="U67" i="32"/>
  <c r="T39" i="28"/>
  <c r="G36" i="44" s="1"/>
  <c r="T220" i="28"/>
  <c r="G13" i="49" s="1"/>
  <c r="T15" i="32"/>
  <c r="G9" i="58" s="1"/>
  <c r="T226" i="28"/>
  <c r="G19" i="49" s="1"/>
  <c r="T224" i="28"/>
  <c r="G17" i="49" s="1"/>
  <c r="S298" i="28"/>
  <c r="U275" i="28" l="1"/>
  <c r="U315" i="28"/>
  <c r="U32" i="32"/>
  <c r="V541" i="27"/>
  <c r="V531" i="27"/>
  <c r="V108" i="28"/>
  <c r="V125" i="28"/>
  <c r="U695" i="27"/>
  <c r="V31" i="28"/>
  <c r="V518" i="27"/>
  <c r="W70" i="28"/>
  <c r="W639" i="27"/>
  <c r="W646" i="27"/>
  <c r="T12" i="32"/>
  <c r="G6" i="58" s="1"/>
  <c r="T53" i="32"/>
  <c r="G9" i="59" s="1"/>
  <c r="T222" i="28"/>
  <c r="T225" i="28"/>
  <c r="T86" i="32"/>
  <c r="G7" i="60" s="1"/>
  <c r="T56" i="28"/>
  <c r="G13" i="45" s="1"/>
  <c r="W27" i="28" l="1"/>
  <c r="V34" i="28"/>
  <c r="V127" i="28"/>
  <c r="V126" i="28"/>
  <c r="V54" i="32"/>
  <c r="V241" i="28"/>
  <c r="T247" i="28"/>
  <c r="G18" i="49"/>
  <c r="T242" i="28"/>
  <c r="G15" i="49"/>
  <c r="W637" i="27"/>
  <c r="W648" i="27"/>
  <c r="W133" i="28"/>
  <c r="W317" i="28"/>
  <c r="U696" i="27"/>
  <c r="U686" i="27" s="1"/>
  <c r="U694" i="27"/>
  <c r="V534" i="27"/>
  <c r="V544" i="27" s="1"/>
  <c r="V112" i="28" s="1"/>
  <c r="V540" i="27"/>
  <c r="T354" i="28"/>
  <c r="T273" i="28"/>
  <c r="G6" i="50" s="1"/>
  <c r="T313" i="28"/>
  <c r="T50" i="32"/>
  <c r="G6" i="59" s="1"/>
  <c r="T85" i="32"/>
  <c r="G6" i="60" s="1"/>
  <c r="T11" i="32"/>
  <c r="G5" i="58" s="1"/>
  <c r="T31" i="32"/>
  <c r="U35" i="28" l="1"/>
  <c r="U687" i="27"/>
  <c r="U711" i="27" s="1"/>
  <c r="U372" i="27" s="1"/>
  <c r="U371" i="27" s="1"/>
  <c r="U709" i="27"/>
  <c r="V67" i="32"/>
  <c r="V689" i="27"/>
  <c r="V19" i="32"/>
  <c r="V68" i="28"/>
  <c r="V543" i="27"/>
  <c r="W51" i="28"/>
  <c r="X636" i="27"/>
  <c r="W649" i="27"/>
  <c r="W28" i="28"/>
  <c r="W172" i="28"/>
  <c r="T101" i="32"/>
  <c r="T84" i="32"/>
  <c r="G5" i="60" s="1"/>
  <c r="T49" i="32"/>
  <c r="G5" i="59" s="1"/>
  <c r="T66" i="32"/>
  <c r="T30" i="32"/>
  <c r="G23" i="58" s="1"/>
  <c r="T20" i="32"/>
  <c r="G14" i="58" s="1"/>
  <c r="T312" i="28"/>
  <c r="T324" i="28" s="1"/>
  <c r="T272" i="28"/>
  <c r="U688" i="27" l="1"/>
  <c r="U215" i="28" s="1"/>
  <c r="T283" i="28"/>
  <c r="G5" i="50"/>
  <c r="W643" i="27"/>
  <c r="W140" i="28" s="1"/>
  <c r="W107" i="28"/>
  <c r="W651" i="27"/>
  <c r="W647" i="27"/>
  <c r="W532" i="27" s="1"/>
  <c r="V32" i="32"/>
  <c r="U174" i="28"/>
  <c r="U36" i="28"/>
  <c r="U177" i="28"/>
  <c r="X645" i="27"/>
  <c r="X638" i="27"/>
  <c r="H66" i="43"/>
  <c r="W355" i="28"/>
  <c r="W129" i="28"/>
  <c r="W132" i="28"/>
  <c r="W274" i="28"/>
  <c r="V275" i="28"/>
  <c r="V315" i="28"/>
  <c r="V691" i="27"/>
  <c r="V690" i="27"/>
  <c r="U710" i="27"/>
  <c r="U50" i="28" s="1"/>
  <c r="U381" i="27"/>
  <c r="U382" i="27" s="1"/>
  <c r="U383" i="27" s="1"/>
  <c r="U101" i="28"/>
  <c r="U105" i="28" s="1"/>
  <c r="T35" i="32"/>
  <c r="T55" i="32"/>
  <c r="G11" i="59" s="1"/>
  <c r="T100" i="32"/>
  <c r="G21" i="60" s="1"/>
  <c r="T65" i="32"/>
  <c r="G21" i="59" s="1"/>
  <c r="T90" i="32"/>
  <c r="G11" i="60" s="1"/>
  <c r="W518" i="27" l="1"/>
  <c r="X70" i="28"/>
  <c r="H73" i="43"/>
  <c r="U111" i="28"/>
  <c r="U38" i="28"/>
  <c r="U182" i="28"/>
  <c r="W31" i="28"/>
  <c r="U56" i="28"/>
  <c r="U224" i="28"/>
  <c r="U220" i="28"/>
  <c r="U15" i="32"/>
  <c r="U226" i="28"/>
  <c r="V695" i="27"/>
  <c r="V692" i="27"/>
  <c r="X639" i="27"/>
  <c r="X637" i="27" s="1"/>
  <c r="X646" i="27"/>
  <c r="H68" i="43"/>
  <c r="U282" i="28"/>
  <c r="U323" i="28"/>
  <c r="U175" i="28"/>
  <c r="W541" i="27"/>
  <c r="W531" i="27"/>
  <c r="W108" i="28"/>
  <c r="W125" i="28"/>
  <c r="T325" i="28"/>
  <c r="T284" i="28"/>
  <c r="G11" i="50" s="1"/>
  <c r="T105" i="32"/>
  <c r="T70" i="32"/>
  <c r="W534" i="27" l="1"/>
  <c r="W544" i="27" s="1"/>
  <c r="W112" i="28" s="1"/>
  <c r="W540" i="27"/>
  <c r="Y636" i="27"/>
  <c r="H67" i="43"/>
  <c r="X649" i="27"/>
  <c r="X648" i="27"/>
  <c r="H69" i="43"/>
  <c r="U225" i="28"/>
  <c r="U86" i="32"/>
  <c r="U12" i="32"/>
  <c r="U354" i="28"/>
  <c r="U313" i="28"/>
  <c r="U312" i="28" s="1"/>
  <c r="U324" i="28" s="1"/>
  <c r="U273" i="28"/>
  <c r="W34" i="28"/>
  <c r="U39" i="28"/>
  <c r="X133" i="28"/>
  <c r="H15" i="47" s="1"/>
  <c r="X317" i="28"/>
  <c r="H27" i="45"/>
  <c r="W127" i="28"/>
  <c r="W126" i="28"/>
  <c r="W54" i="32"/>
  <c r="W241" i="28"/>
  <c r="X27" i="28"/>
  <c r="H74" i="43"/>
  <c r="X647" i="27"/>
  <c r="X532" i="27" s="1"/>
  <c r="V694" i="27"/>
  <c r="V696" i="27"/>
  <c r="V686" i="27" s="1"/>
  <c r="U53" i="32"/>
  <c r="U222" i="28"/>
  <c r="V693" i="27"/>
  <c r="T339" i="28"/>
  <c r="T298" i="28"/>
  <c r="U242" i="28" l="1"/>
  <c r="U50" i="32"/>
  <c r="V35" i="28"/>
  <c r="V687" i="27"/>
  <c r="V711" i="27" s="1"/>
  <c r="V372" i="27" s="1"/>
  <c r="V371" i="27" s="1"/>
  <c r="V709" i="27"/>
  <c r="V688" i="27"/>
  <c r="X541" i="27"/>
  <c r="X531" i="27"/>
  <c r="G20" i="42"/>
  <c r="X172" i="28"/>
  <c r="X28" i="28"/>
  <c r="H24" i="44"/>
  <c r="W689" i="27"/>
  <c r="U11" i="32"/>
  <c r="U31" i="32"/>
  <c r="U30" i="32" s="1"/>
  <c r="U247" i="28"/>
  <c r="U85" i="32"/>
  <c r="H77" i="43"/>
  <c r="X107" i="28"/>
  <c r="X643" i="27"/>
  <c r="X651" i="27"/>
  <c r="Y645" i="27"/>
  <c r="Y638" i="27"/>
  <c r="W19" i="32"/>
  <c r="W68" i="28"/>
  <c r="W543" i="27"/>
  <c r="W67" i="32"/>
  <c r="U272" i="28"/>
  <c r="X51" i="28"/>
  <c r="H76" i="43"/>
  <c r="U325" i="28"/>
  <c r="X355" i="28" l="1"/>
  <c r="X274" i="28"/>
  <c r="H7" i="50" s="1"/>
  <c r="X129" i="28"/>
  <c r="H11" i="47" s="1"/>
  <c r="X132" i="28"/>
  <c r="H9" i="45"/>
  <c r="W275" i="28"/>
  <c r="W315" i="28"/>
  <c r="Y70" i="28"/>
  <c r="X31" i="28"/>
  <c r="X34" i="28" s="1"/>
  <c r="H79" i="43"/>
  <c r="X108" i="28"/>
  <c r="G28" i="46" s="1"/>
  <c r="G27" i="46"/>
  <c r="X125" i="28"/>
  <c r="U101" i="32"/>
  <c r="U100" i="32" s="1"/>
  <c r="U84" i="32"/>
  <c r="W690" i="27"/>
  <c r="H25" i="44"/>
  <c r="X54" i="32"/>
  <c r="X241" i="28"/>
  <c r="G27" i="42"/>
  <c r="V174" i="28"/>
  <c r="V177" i="28"/>
  <c r="V36" i="28"/>
  <c r="U283" i="28"/>
  <c r="U284" i="28" s="1"/>
  <c r="W32" i="32"/>
  <c r="Y639" i="27"/>
  <c r="Y646" i="27"/>
  <c r="Y637" i="27"/>
  <c r="H71" i="43"/>
  <c r="X140" i="28"/>
  <c r="H21" i="47" s="1"/>
  <c r="U20" i="32"/>
  <c r="H19" i="48"/>
  <c r="X534" i="27"/>
  <c r="X544" i="27" s="1"/>
  <c r="X112" i="28" s="1"/>
  <c r="G32" i="46" s="1"/>
  <c r="X540" i="27"/>
  <c r="G19" i="42"/>
  <c r="V710" i="27"/>
  <c r="V50" i="28" s="1"/>
  <c r="V215" i="28"/>
  <c r="V101" i="28"/>
  <c r="V105" i="28" s="1"/>
  <c r="V381" i="27"/>
  <c r="V382" i="27" s="1"/>
  <c r="V383" i="27" s="1"/>
  <c r="U66" i="32"/>
  <c r="U65" i="32" s="1"/>
  <c r="U49" i="32"/>
  <c r="W691" i="27"/>
  <c r="W692" i="27" s="1"/>
  <c r="U339" i="28"/>
  <c r="U298" i="28"/>
  <c r="U55" i="32" l="1"/>
  <c r="U70" i="32" s="1"/>
  <c r="V15" i="32"/>
  <c r="V226" i="28"/>
  <c r="V224" i="28"/>
  <c r="V220" i="28"/>
  <c r="U35" i="32"/>
  <c r="Y27" i="28"/>
  <c r="V111" i="28"/>
  <c r="V182" i="28"/>
  <c r="V38" i="28"/>
  <c r="V282" i="28"/>
  <c r="V323" i="28"/>
  <c r="W693" i="27"/>
  <c r="Y317" i="28"/>
  <c r="Y133" i="28"/>
  <c r="X518" i="27"/>
  <c r="H14" i="47"/>
  <c r="V56" i="28"/>
  <c r="X19" i="32"/>
  <c r="X68" i="28"/>
  <c r="G26" i="42"/>
  <c r="Z636" i="27"/>
  <c r="Y649" i="27"/>
  <c r="Y648" i="27"/>
  <c r="V175" i="28"/>
  <c r="X67" i="32"/>
  <c r="H10" i="59"/>
  <c r="X689" i="27"/>
  <c r="H31" i="44"/>
  <c r="W695" i="27"/>
  <c r="U90" i="32"/>
  <c r="X126" i="28"/>
  <c r="H8" i="47" s="1"/>
  <c r="X127" i="28"/>
  <c r="H9" i="47" s="1"/>
  <c r="H7" i="47"/>
  <c r="H28" i="44"/>
  <c r="X543" i="27"/>
  <c r="X690" i="27" l="1"/>
  <c r="X691" i="27"/>
  <c r="Z645" i="27"/>
  <c r="Z638" i="27"/>
  <c r="X275" i="28"/>
  <c r="H8" i="50" s="1"/>
  <c r="X315" i="28"/>
  <c r="H25" i="45"/>
  <c r="V354" i="28"/>
  <c r="V273" i="28"/>
  <c r="V313" i="28"/>
  <c r="V312" i="28" s="1"/>
  <c r="V324" i="28" s="1"/>
  <c r="V325" i="28" s="1"/>
  <c r="V339" i="28" s="1"/>
  <c r="V12" i="32"/>
  <c r="U105" i="32"/>
  <c r="G29" i="42"/>
  <c r="W696" i="27"/>
  <c r="W686" i="27" s="1"/>
  <c r="W694" i="27"/>
  <c r="Y51" i="28"/>
  <c r="Y647" i="27"/>
  <c r="Y643" i="27"/>
  <c r="Y140" i="28" s="1"/>
  <c r="Y107" i="28"/>
  <c r="Y651" i="27"/>
  <c r="X32" i="32"/>
  <c r="H13" i="58"/>
  <c r="V39" i="28"/>
  <c r="Y172" i="28"/>
  <c r="Y28" i="28"/>
  <c r="V53" i="32"/>
  <c r="V222" i="28"/>
  <c r="V225" i="28"/>
  <c r="V86" i="32"/>
  <c r="V242" i="28" l="1"/>
  <c r="V50" i="32"/>
  <c r="Y108" i="28"/>
  <c r="Y125" i="28"/>
  <c r="I75" i="43"/>
  <c r="Y532" i="27"/>
  <c r="Y355" i="28"/>
  <c r="Y274" i="28"/>
  <c r="Y132" i="28"/>
  <c r="Y129" i="28"/>
  <c r="W35" i="28"/>
  <c r="W687" i="27"/>
  <c r="W711" i="27" s="1"/>
  <c r="W372" i="27" s="1"/>
  <c r="W371" i="27" s="1"/>
  <c r="W709" i="27"/>
  <c r="V272" i="28"/>
  <c r="Z639" i="27"/>
  <c r="Z637" i="27" s="1"/>
  <c r="Z646" i="27"/>
  <c r="Z70" i="28"/>
  <c r="X695" i="27"/>
  <c r="X694" i="27" s="1"/>
  <c r="X692" i="27"/>
  <c r="X693" i="27" s="1"/>
  <c r="V247" i="28"/>
  <c r="V85" i="32"/>
  <c r="Y31" i="28"/>
  <c r="Y34" i="28" s="1"/>
  <c r="V31" i="32"/>
  <c r="V11" i="32"/>
  <c r="W688" i="27" l="1"/>
  <c r="W215" i="28" s="1"/>
  <c r="X696" i="27"/>
  <c r="X686" i="27" s="1"/>
  <c r="X687" i="27" s="1"/>
  <c r="X711" i="27" s="1"/>
  <c r="X372" i="27" s="1"/>
  <c r="X371" i="27" s="1"/>
  <c r="Y689" i="27"/>
  <c r="X35" i="28"/>
  <c r="H32" i="44" s="1"/>
  <c r="V30" i="32"/>
  <c r="Z27" i="28"/>
  <c r="W710" i="27"/>
  <c r="W50" i="28" s="1"/>
  <c r="W101" i="28"/>
  <c r="W105" i="28" s="1"/>
  <c r="W381" i="27"/>
  <c r="W382" i="27" s="1"/>
  <c r="W383" i="27" s="1"/>
  <c r="V20" i="32"/>
  <c r="V84" i="32"/>
  <c r="V101" i="32"/>
  <c r="Z133" i="28"/>
  <c r="Z317" i="28"/>
  <c r="AA636" i="27"/>
  <c r="Z649" i="27"/>
  <c r="Z648" i="27"/>
  <c r="V283" i="28"/>
  <c r="V284" i="28" s="1"/>
  <c r="V298" i="28" s="1"/>
  <c r="W174" i="28"/>
  <c r="W36" i="28"/>
  <c r="W177" i="28"/>
  <c r="Y518" i="27"/>
  <c r="Y541" i="27"/>
  <c r="Y531" i="27"/>
  <c r="Y127" i="28"/>
  <c r="Y126" i="28"/>
  <c r="V66" i="32"/>
  <c r="V49" i="32"/>
  <c r="X709" i="27" l="1"/>
  <c r="X688" i="27"/>
  <c r="X215" i="28" s="1"/>
  <c r="H8" i="49" s="1"/>
  <c r="V65" i="32"/>
  <c r="Y540" i="27"/>
  <c r="Y534" i="27"/>
  <c r="Y544" i="27" s="1"/>
  <c r="Y112" i="28" s="1"/>
  <c r="Y54" i="32"/>
  <c r="Y241" i="28"/>
  <c r="W111" i="28"/>
  <c r="W38" i="28"/>
  <c r="W182" i="28"/>
  <c r="Z643" i="27"/>
  <c r="Z140" i="28" s="1"/>
  <c r="Z107" i="28"/>
  <c r="Z651" i="27"/>
  <c r="V90" i="32"/>
  <c r="W56" i="28"/>
  <c r="X710" i="27"/>
  <c r="X50" i="28" s="1"/>
  <c r="X56" i="28" s="1"/>
  <c r="X313" i="28" s="1"/>
  <c r="X312" i="28" s="1"/>
  <c r="X324" i="28" s="1"/>
  <c r="X381" i="27"/>
  <c r="X382" i="27" s="1"/>
  <c r="X383" i="27" s="1"/>
  <c r="X101" i="28"/>
  <c r="V55" i="32"/>
  <c r="W282" i="28"/>
  <c r="W323" i="28"/>
  <c r="W175" i="28"/>
  <c r="Z51" i="28"/>
  <c r="AA645" i="27"/>
  <c r="AA638" i="27"/>
  <c r="V100" i="32"/>
  <c r="V35" i="32"/>
  <c r="W224" i="28"/>
  <c r="W220" i="28"/>
  <c r="W226" i="28"/>
  <c r="W15" i="32"/>
  <c r="Z647" i="27"/>
  <c r="Z532" i="27" s="1"/>
  <c r="Z28" i="28"/>
  <c r="Z172" i="28"/>
  <c r="X177" i="28"/>
  <c r="X174" i="28"/>
  <c r="X175" i="28" s="1"/>
  <c r="X36" i="28"/>
  <c r="Y690" i="27"/>
  <c r="X354" i="28" l="1"/>
  <c r="X273" i="28"/>
  <c r="Z541" i="27"/>
  <c r="Z531" i="27"/>
  <c r="W86" i="32"/>
  <c r="W225" i="28"/>
  <c r="W53" i="32"/>
  <c r="W222" i="28"/>
  <c r="AA646" i="27"/>
  <c r="AA639" i="27"/>
  <c r="AA637" i="27" s="1"/>
  <c r="AA70" i="28"/>
  <c r="Z355" i="28"/>
  <c r="Z274" i="28"/>
  <c r="Z129" i="28"/>
  <c r="Z132" i="28"/>
  <c r="G21" i="46"/>
  <c r="X105" i="28"/>
  <c r="G25" i="46" s="1"/>
  <c r="X224" i="28"/>
  <c r="X15" i="32"/>
  <c r="H9" i="58" s="1"/>
  <c r="X220" i="28"/>
  <c r="X12" i="32" s="1"/>
  <c r="X11" i="32" s="1"/>
  <c r="X226" i="28"/>
  <c r="W273" i="28"/>
  <c r="W313" i="28"/>
  <c r="W312" i="28" s="1"/>
  <c r="W324" i="28" s="1"/>
  <c r="W325" i="28" s="1"/>
  <c r="W339" i="28" s="1"/>
  <c r="W354" i="28"/>
  <c r="H13" i="45"/>
  <c r="Z31" i="28"/>
  <c r="W39" i="28"/>
  <c r="X111" i="28"/>
  <c r="G31" i="46" s="1"/>
  <c r="X182" i="28"/>
  <c r="H29" i="48" s="1"/>
  <c r="X38" i="28"/>
  <c r="H35" i="44" s="1"/>
  <c r="X323" i="28"/>
  <c r="X282" i="28"/>
  <c r="Y691" i="27"/>
  <c r="W12" i="32"/>
  <c r="H13" i="49"/>
  <c r="H21" i="48"/>
  <c r="H22" i="48"/>
  <c r="H24" i="48"/>
  <c r="V70" i="32"/>
  <c r="H8" i="45"/>
  <c r="V105" i="32"/>
  <c r="Z108" i="28"/>
  <c r="Z125" i="28"/>
  <c r="H33" i="44"/>
  <c r="Y67" i="32"/>
  <c r="Y19" i="32"/>
  <c r="Y68" i="28"/>
  <c r="Y543" i="27"/>
  <c r="X272" i="28"/>
  <c r="X283" i="28" s="1"/>
  <c r="X31" i="32" l="1"/>
  <c r="X39" i="28"/>
  <c r="H36" i="44" s="1"/>
  <c r="X86" i="32"/>
  <c r="H7" i="60" s="1"/>
  <c r="X225" i="28"/>
  <c r="Z518" i="27"/>
  <c r="AA133" i="28"/>
  <c r="AA317" i="28"/>
  <c r="AB636" i="27"/>
  <c r="AA649" i="27"/>
  <c r="AA27" i="28"/>
  <c r="H19" i="49"/>
  <c r="Z540" i="27"/>
  <c r="Z534" i="27"/>
  <c r="Z544" i="27" s="1"/>
  <c r="Z112" i="28" s="1"/>
  <c r="Z543" i="27"/>
  <c r="Y32" i="32"/>
  <c r="Z127" i="28"/>
  <c r="Z126" i="28"/>
  <c r="Y275" i="28"/>
  <c r="Y315" i="28"/>
  <c r="W11" i="32"/>
  <c r="W31" i="32"/>
  <c r="W30" i="32" s="1"/>
  <c r="H6" i="58"/>
  <c r="Z34" i="28"/>
  <c r="Y692" i="27"/>
  <c r="Y695" i="27"/>
  <c r="W272" i="28"/>
  <c r="H6" i="50"/>
  <c r="X53" i="32"/>
  <c r="H9" i="59" s="1"/>
  <c r="X222" i="28"/>
  <c r="AA648" i="27"/>
  <c r="H17" i="49"/>
  <c r="W242" i="28"/>
  <c r="W50" i="32"/>
  <c r="W247" i="28"/>
  <c r="W85" i="32"/>
  <c r="H18" i="49"/>
  <c r="Z54" i="32"/>
  <c r="Z241" i="28"/>
  <c r="X325" i="28"/>
  <c r="X30" i="32" l="1"/>
  <c r="H23" i="58" s="1"/>
  <c r="W49" i="32"/>
  <c r="W66" i="32"/>
  <c r="AA51" i="28"/>
  <c r="X242" i="28"/>
  <c r="X50" i="32"/>
  <c r="Y696" i="27"/>
  <c r="Y686" i="27" s="1"/>
  <c r="Y694" i="27"/>
  <c r="Z689" i="27"/>
  <c r="H5" i="58"/>
  <c r="W20" i="32"/>
  <c r="AA172" i="28"/>
  <c r="AA28" i="28"/>
  <c r="AB645" i="27"/>
  <c r="AB638" i="27"/>
  <c r="I66" i="43"/>
  <c r="Z67" i="32"/>
  <c r="W84" i="32"/>
  <c r="W101" i="32"/>
  <c r="H15" i="49"/>
  <c r="W283" i="28"/>
  <c r="W284" i="28" s="1"/>
  <c r="W298" i="28" s="1"/>
  <c r="H5" i="50"/>
  <c r="Y693" i="27"/>
  <c r="Z19" i="32"/>
  <c r="Z68" i="28"/>
  <c r="AA647" i="27"/>
  <c r="AA532" i="27" s="1"/>
  <c r="AA107" i="28"/>
  <c r="AA643" i="27"/>
  <c r="AA140" i="28" s="1"/>
  <c r="AA651" i="27"/>
  <c r="X247" i="28"/>
  <c r="X85" i="32"/>
  <c r="X339" i="28"/>
  <c r="Z691" i="27" l="1"/>
  <c r="Z695" i="27" s="1"/>
  <c r="X284" i="28"/>
  <c r="H11" i="50" s="1"/>
  <c r="Z692" i="27"/>
  <c r="X101" i="32"/>
  <c r="X100" i="32" s="1"/>
  <c r="H21" i="60" s="1"/>
  <c r="X84" i="32"/>
  <c r="H5" i="60" s="1"/>
  <c r="AA541" i="27"/>
  <c r="AA531" i="27"/>
  <c r="Z315" i="28"/>
  <c r="Z275" i="28"/>
  <c r="W100" i="32"/>
  <c r="AB70" i="28"/>
  <c r="I73" i="43"/>
  <c r="W35" i="32"/>
  <c r="X20" i="32"/>
  <c r="H14" i="58" s="1"/>
  <c r="X66" i="32"/>
  <c r="X49" i="32"/>
  <c r="H5" i="59" s="1"/>
  <c r="H6" i="59"/>
  <c r="W65" i="32"/>
  <c r="X65" i="32"/>
  <c r="H21" i="59" s="1"/>
  <c r="AA31" i="28"/>
  <c r="AA108" i="28"/>
  <c r="AA125" i="28"/>
  <c r="Z32" i="32"/>
  <c r="H6" i="60"/>
  <c r="W90" i="32"/>
  <c r="AB639" i="27"/>
  <c r="AB637" i="27" s="1"/>
  <c r="AB646" i="27"/>
  <c r="I68" i="43"/>
  <c r="Z690" i="27"/>
  <c r="Y35" i="28"/>
  <c r="Y687" i="27"/>
  <c r="Y711" i="27" s="1"/>
  <c r="Y372" i="27" s="1"/>
  <c r="Y371" i="27" s="1"/>
  <c r="Y709" i="27"/>
  <c r="AA355" i="28"/>
  <c r="AA132" i="28"/>
  <c r="AA129" i="28"/>
  <c r="AA274" i="28"/>
  <c r="W55" i="32"/>
  <c r="G441" i="23"/>
  <c r="Z696" i="27" l="1"/>
  <c r="Z686" i="27" s="1"/>
  <c r="Z694" i="27"/>
  <c r="Z693" i="27"/>
  <c r="X298" i="28"/>
  <c r="Y688" i="27"/>
  <c r="Y215" i="28" s="1"/>
  <c r="Y174" i="28"/>
  <c r="Y36" i="28"/>
  <c r="Y177" i="28"/>
  <c r="AC636" i="27"/>
  <c r="I67" i="43"/>
  <c r="AB649" i="27"/>
  <c r="AB647" i="27" s="1"/>
  <c r="AB532" i="27" s="1"/>
  <c r="AB27" i="28"/>
  <c r="I74" i="43"/>
  <c r="W105" i="32"/>
  <c r="X90" i="32"/>
  <c r="H11" i="60" s="1"/>
  <c r="AA540" i="27"/>
  <c r="AA534" i="27"/>
  <c r="AA544" i="27" s="1"/>
  <c r="AA112" i="28" s="1"/>
  <c r="W70" i="32"/>
  <c r="X55" i="32"/>
  <c r="H11" i="59" s="1"/>
  <c r="AA518" i="27"/>
  <c r="Y101" i="28"/>
  <c r="Y105" i="28" s="1"/>
  <c r="Y381" i="27"/>
  <c r="Y382" i="27" s="1"/>
  <c r="Y383" i="27" s="1"/>
  <c r="Z35" i="28"/>
  <c r="Z687" i="27"/>
  <c r="Z711" i="27" s="1"/>
  <c r="Z372" i="27" s="1"/>
  <c r="Z371" i="27" s="1"/>
  <c r="Z709" i="27"/>
  <c r="AB648" i="27"/>
  <c r="I69" i="43"/>
  <c r="AA127" i="28"/>
  <c r="AA126" i="28"/>
  <c r="X35" i="32"/>
  <c r="AA34" i="28"/>
  <c r="AB317" i="28"/>
  <c r="AB133" i="28"/>
  <c r="I15" i="47" s="1"/>
  <c r="I27" i="45"/>
  <c r="AA54" i="32"/>
  <c r="AA241" i="28"/>
  <c r="Y710" i="27" l="1"/>
  <c r="Y50" i="28" s="1"/>
  <c r="Z688" i="27"/>
  <c r="Z215" i="28" s="1"/>
  <c r="X70" i="32"/>
  <c r="X105" i="32"/>
  <c r="AB541" i="27"/>
  <c r="AB531" i="27"/>
  <c r="H20" i="42"/>
  <c r="AA689" i="27"/>
  <c r="AA67" i="32"/>
  <c r="Z710" i="27"/>
  <c r="Z50" i="28" s="1"/>
  <c r="Z56" i="28" s="1"/>
  <c r="Z101" i="28"/>
  <c r="Z105" i="28" s="1"/>
  <c r="Z381" i="27"/>
  <c r="Z382" i="27" s="1"/>
  <c r="Z383" i="27" s="1"/>
  <c r="Y224" i="28"/>
  <c r="Y220" i="28"/>
  <c r="Y15" i="32"/>
  <c r="Y226" i="28"/>
  <c r="AA19" i="32"/>
  <c r="AA68" i="28"/>
  <c r="AA543" i="27"/>
  <c r="AB172" i="28"/>
  <c r="I19" i="48" s="1"/>
  <c r="AB28" i="28"/>
  <c r="I24" i="44"/>
  <c r="Y282" i="28"/>
  <c r="Y323" i="28"/>
  <c r="Y175" i="28"/>
  <c r="AB51" i="28"/>
  <c r="I76" i="43"/>
  <c r="Z174" i="28"/>
  <c r="Z175" i="28" s="1"/>
  <c r="Z177" i="28"/>
  <c r="Z36" i="28"/>
  <c r="Y56" i="28"/>
  <c r="I77" i="43"/>
  <c r="AB107" i="28"/>
  <c r="AB651" i="27"/>
  <c r="AB643" i="27"/>
  <c r="AC645" i="27"/>
  <c r="AC638" i="27"/>
  <c r="Y111" i="28"/>
  <c r="Y182" i="28"/>
  <c r="Y38" i="28"/>
  <c r="AC639" i="27" l="1"/>
  <c r="AC646" i="27"/>
  <c r="AC637" i="27"/>
  <c r="AB31" i="28"/>
  <c r="I28" i="44" s="1"/>
  <c r="I79" i="43"/>
  <c r="Y39" i="28"/>
  <c r="I71" i="43"/>
  <c r="AB140" i="28"/>
  <c r="I21" i="47" s="1"/>
  <c r="AB108" i="28"/>
  <c r="H28" i="46" s="1"/>
  <c r="H27" i="46"/>
  <c r="AB125" i="28"/>
  <c r="Y273" i="28"/>
  <c r="Y354" i="28"/>
  <c r="Y313" i="28"/>
  <c r="Y312" i="28" s="1"/>
  <c r="Y324" i="28" s="1"/>
  <c r="Y325" i="28" s="1"/>
  <c r="Z282" i="28"/>
  <c r="Z323" i="28"/>
  <c r="I25" i="44"/>
  <c r="AA315" i="28"/>
  <c r="AA275" i="28"/>
  <c r="Y225" i="28"/>
  <c r="Y86" i="32"/>
  <c r="Y12" i="32"/>
  <c r="Z226" i="28"/>
  <c r="Z220" i="28"/>
  <c r="Z12" i="32" s="1"/>
  <c r="Z15" i="32"/>
  <c r="Z224" i="28"/>
  <c r="AB540" i="27"/>
  <c r="AB543" i="27" s="1"/>
  <c r="H29" i="42" s="1"/>
  <c r="AB534" i="27"/>
  <c r="AB544" i="27" s="1"/>
  <c r="AB112" i="28" s="1"/>
  <c r="H32" i="46" s="1"/>
  <c r="H19" i="42"/>
  <c r="AC70" i="28"/>
  <c r="Z111" i="28"/>
  <c r="Z38" i="28"/>
  <c r="Z182" i="28"/>
  <c r="AB355" i="28"/>
  <c r="AB274" i="28"/>
  <c r="I7" i="50" s="1"/>
  <c r="AB132" i="28"/>
  <c r="AB129" i="28"/>
  <c r="I11" i="47" s="1"/>
  <c r="I9" i="45"/>
  <c r="AA32" i="32"/>
  <c r="Y222" i="28"/>
  <c r="Y53" i="32"/>
  <c r="Z273" i="28"/>
  <c r="Z272" i="28" s="1"/>
  <c r="Z283" i="28" s="1"/>
  <c r="Z354" i="28"/>
  <c r="Z313" i="28"/>
  <c r="Z312" i="28" s="1"/>
  <c r="Z324" i="28" s="1"/>
  <c r="AA690" i="27"/>
  <c r="AA691" i="27"/>
  <c r="AA692" i="27" s="1"/>
  <c r="AB54" i="32"/>
  <c r="AB241" i="28"/>
  <c r="H27" i="42"/>
  <c r="Z39" i="28" l="1"/>
  <c r="AB34" i="28"/>
  <c r="AB689" i="27" s="1"/>
  <c r="AA695" i="27"/>
  <c r="AA696" i="27" s="1"/>
  <c r="AA686" i="27" s="1"/>
  <c r="AA693" i="27"/>
  <c r="AC317" i="28"/>
  <c r="AC133" i="28"/>
  <c r="Z53" i="32"/>
  <c r="Z222" i="28"/>
  <c r="Z11" i="32"/>
  <c r="Z31" i="32"/>
  <c r="Y31" i="32"/>
  <c r="Y30" i="32" s="1"/>
  <c r="Y11" i="32"/>
  <c r="AB126" i="28"/>
  <c r="I8" i="47" s="1"/>
  <c r="AB127" i="28"/>
  <c r="I9" i="47" s="1"/>
  <c r="I7" i="47"/>
  <c r="AC27" i="28"/>
  <c r="AC648" i="27"/>
  <c r="AB67" i="32"/>
  <c r="I10" i="59"/>
  <c r="Y242" i="28"/>
  <c r="Y50" i="32"/>
  <c r="AB518" i="27"/>
  <c r="I14" i="47"/>
  <c r="AB19" i="32"/>
  <c r="AB68" i="28"/>
  <c r="H26" i="42"/>
  <c r="Z86" i="32"/>
  <c r="Z225" i="28"/>
  <c r="Y247" i="28"/>
  <c r="Y85" i="32"/>
  <c r="Z325" i="28"/>
  <c r="Z339" i="28" s="1"/>
  <c r="Y339" i="28"/>
  <c r="Y272" i="28"/>
  <c r="AD636" i="27"/>
  <c r="AC649" i="27"/>
  <c r="I31" i="44" l="1"/>
  <c r="AA694" i="27"/>
  <c r="AD645" i="27"/>
  <c r="AD638" i="27"/>
  <c r="Z247" i="28"/>
  <c r="Z85" i="32"/>
  <c r="AB32" i="32"/>
  <c r="I13" i="58"/>
  <c r="Y49" i="32"/>
  <c r="Y66" i="32"/>
  <c r="Y65" i="32" s="1"/>
  <c r="AC172" i="28"/>
  <c r="AC28" i="28"/>
  <c r="AB691" i="27"/>
  <c r="AB690" i="27"/>
  <c r="AC647" i="27"/>
  <c r="AC643" i="27"/>
  <c r="AC140" i="28" s="1"/>
  <c r="AC107" i="28"/>
  <c r="AC651" i="27"/>
  <c r="Y283" i="28"/>
  <c r="Y284" i="28" s="1"/>
  <c r="Y101" i="32"/>
  <c r="Y100" i="32" s="1"/>
  <c r="Y84" i="32"/>
  <c r="AB275" i="28"/>
  <c r="I8" i="50" s="1"/>
  <c r="AB315" i="28"/>
  <c r="I25" i="45"/>
  <c r="AC51" i="28"/>
  <c r="Y20" i="32"/>
  <c r="Z30" i="32"/>
  <c r="Z242" i="28"/>
  <c r="Z50" i="32"/>
  <c r="AA35" i="28"/>
  <c r="AA687" i="27"/>
  <c r="AA711" i="27" s="1"/>
  <c r="AA372" i="27" s="1"/>
  <c r="AA371" i="27" s="1"/>
  <c r="AA709" i="27"/>
  <c r="AA688" i="27" l="1"/>
  <c r="AA174" i="28"/>
  <c r="AA177" i="28"/>
  <c r="AA36" i="28"/>
  <c r="Z66" i="32"/>
  <c r="Z65" i="32" s="1"/>
  <c r="Z49" i="32"/>
  <c r="AC355" i="28"/>
  <c r="AC132" i="28"/>
  <c r="AC274" i="28"/>
  <c r="AC129" i="28"/>
  <c r="Y90" i="32"/>
  <c r="Y298" i="28"/>
  <c r="Z284" i="28"/>
  <c r="Z298" i="28" s="1"/>
  <c r="AC108" i="28"/>
  <c r="AC125" i="28"/>
  <c r="J75" i="43"/>
  <c r="AC532" i="27"/>
  <c r="AB695" i="27"/>
  <c r="AB692" i="27"/>
  <c r="AB693" i="27" s="1"/>
  <c r="Z84" i="32"/>
  <c r="Z101" i="32"/>
  <c r="Z100" i="32" s="1"/>
  <c r="AA710" i="27"/>
  <c r="AA50" i="28" s="1"/>
  <c r="AA215" i="28"/>
  <c r="AA381" i="27"/>
  <c r="AA382" i="27" s="1"/>
  <c r="AA383" i="27" s="1"/>
  <c r="AA101" i="28"/>
  <c r="AA105" i="28" s="1"/>
  <c r="Z20" i="32"/>
  <c r="Y35" i="32"/>
  <c r="AC31" i="28"/>
  <c r="Y55" i="32"/>
  <c r="Y70" i="32" s="1"/>
  <c r="AD646" i="27"/>
  <c r="AD639" i="27"/>
  <c r="AD70" i="28"/>
  <c r="AD648" i="27" l="1"/>
  <c r="Z35" i="32"/>
  <c r="AA56" i="28"/>
  <c r="AC541" i="27"/>
  <c r="AC531" i="27"/>
  <c r="AC126" i="28"/>
  <c r="AC127" i="28"/>
  <c r="Z55" i="32"/>
  <c r="AA323" i="28"/>
  <c r="AA282" i="28"/>
  <c r="AD317" i="28"/>
  <c r="AD133" i="28"/>
  <c r="AD637" i="27"/>
  <c r="AD27" i="28"/>
  <c r="AC34" i="28"/>
  <c r="AA15" i="32"/>
  <c r="AA224" i="28"/>
  <c r="AA220" i="28"/>
  <c r="AA226" i="28"/>
  <c r="AB694" i="27"/>
  <c r="AB696" i="27"/>
  <c r="AB686" i="27" s="1"/>
  <c r="Z90" i="32"/>
  <c r="Y105" i="32"/>
  <c r="Z105" i="32"/>
  <c r="AC518" i="27"/>
  <c r="AA111" i="28"/>
  <c r="AA38" i="28"/>
  <c r="AA182" i="28"/>
  <c r="AA175" i="28"/>
  <c r="AA39" i="28" l="1"/>
  <c r="AB35" i="28"/>
  <c r="AB687" i="27"/>
  <c r="AB711" i="27" s="1"/>
  <c r="AB372" i="27" s="1"/>
  <c r="AB371" i="27" s="1"/>
  <c r="AB709" i="27"/>
  <c r="AB688" i="27"/>
  <c r="AA86" i="32"/>
  <c r="AA225" i="28"/>
  <c r="AA53" i="32"/>
  <c r="AA222" i="28"/>
  <c r="AD28" i="28"/>
  <c r="AD172" i="28"/>
  <c r="Z70" i="32"/>
  <c r="AA273" i="28"/>
  <c r="AA354" i="28"/>
  <c r="AA313" i="28"/>
  <c r="AA312" i="28" s="1"/>
  <c r="AA324" i="28" s="1"/>
  <c r="AA325" i="28" s="1"/>
  <c r="AA339" i="28" s="1"/>
  <c r="AD51" i="28"/>
  <c r="AA12" i="32"/>
  <c r="AC689" i="27"/>
  <c r="AE636" i="27"/>
  <c r="AD649" i="27"/>
  <c r="AC534" i="27"/>
  <c r="AC544" i="27" s="1"/>
  <c r="AC540" i="27"/>
  <c r="AC54" i="32"/>
  <c r="AC241" i="28"/>
  <c r="AC67" i="32" l="1"/>
  <c r="AC19" i="32"/>
  <c r="AC68" i="28"/>
  <c r="AC543" i="27"/>
  <c r="AC112" i="28"/>
  <c r="AD107" i="28"/>
  <c r="AD643" i="27"/>
  <c r="AD140" i="28" s="1"/>
  <c r="AD651" i="27"/>
  <c r="AD647" i="27"/>
  <c r="AD532" i="27" s="1"/>
  <c r="AA272" i="28"/>
  <c r="AA242" i="28"/>
  <c r="AA50" i="32"/>
  <c r="AB710" i="27"/>
  <c r="AB50" i="28" s="1"/>
  <c r="AB215" i="28"/>
  <c r="AB381" i="27"/>
  <c r="AB382" i="27" s="1"/>
  <c r="AB383" i="27" s="1"/>
  <c r="AB101" i="28"/>
  <c r="AE645" i="27"/>
  <c r="AE638" i="27"/>
  <c r="AC690" i="27"/>
  <c r="AC691" i="27" s="1"/>
  <c r="AA31" i="32"/>
  <c r="AA30" i="32" s="1"/>
  <c r="AA11" i="32"/>
  <c r="AD355" i="28"/>
  <c r="AD132" i="28"/>
  <c r="AD274" i="28"/>
  <c r="AD129" i="28"/>
  <c r="AA247" i="28"/>
  <c r="AA85" i="32"/>
  <c r="AB174" i="28"/>
  <c r="AB177" i="28"/>
  <c r="AB36" i="28"/>
  <c r="I32" i="44"/>
  <c r="AB111" i="28" l="1"/>
  <c r="H31" i="46" s="1"/>
  <c r="AB38" i="28"/>
  <c r="AB182" i="28"/>
  <c r="I29" i="48" s="1"/>
  <c r="I33" i="44"/>
  <c r="AB175" i="28"/>
  <c r="I22" i="48" s="1"/>
  <c r="I21" i="48"/>
  <c r="AA84" i="32"/>
  <c r="AA101" i="32"/>
  <c r="AA100" i="32" s="1"/>
  <c r="H21" i="46"/>
  <c r="AB105" i="28"/>
  <c r="H25" i="46" s="1"/>
  <c r="AB220" i="28"/>
  <c r="I8" i="49"/>
  <c r="AB224" i="28"/>
  <c r="AB226" i="28"/>
  <c r="AB15" i="32"/>
  <c r="I9" i="58" s="1"/>
  <c r="AA283" i="28"/>
  <c r="AA284" i="28" s="1"/>
  <c r="AA298" i="28" s="1"/>
  <c r="AD541" i="27"/>
  <c r="AD531" i="27"/>
  <c r="AC32" i="32"/>
  <c r="AB323" i="28"/>
  <c r="AB282" i="28"/>
  <c r="I24" i="48"/>
  <c r="AD518" i="27"/>
  <c r="AA20" i="32"/>
  <c r="AC695" i="27"/>
  <c r="AC694" i="27" s="1"/>
  <c r="AC692" i="27"/>
  <c r="AE639" i="27"/>
  <c r="AE646" i="27"/>
  <c r="AE637" i="27"/>
  <c r="AE70" i="28"/>
  <c r="I8" i="45"/>
  <c r="AB56" i="28"/>
  <c r="AA66" i="32"/>
  <c r="AA65" i="32" s="1"/>
  <c r="AA49" i="32"/>
  <c r="AD31" i="28"/>
  <c r="AD108" i="28"/>
  <c r="AD125" i="28"/>
  <c r="AC315" i="28"/>
  <c r="AC275" i="28"/>
  <c r="AD126" i="28" l="1"/>
  <c r="AD127" i="28"/>
  <c r="AA55" i="32"/>
  <c r="AE27" i="28"/>
  <c r="AC693" i="27"/>
  <c r="AA35" i="32"/>
  <c r="AD534" i="27"/>
  <c r="AD544" i="27" s="1"/>
  <c r="AD540" i="27"/>
  <c r="AB53" i="32"/>
  <c r="I9" i="59" s="1"/>
  <c r="I17" i="49"/>
  <c r="AB222" i="28"/>
  <c r="AB12" i="32"/>
  <c r="I13" i="49"/>
  <c r="AA90" i="32"/>
  <c r="AD34" i="28"/>
  <c r="I13" i="45"/>
  <c r="AB313" i="28"/>
  <c r="AB312" i="28" s="1"/>
  <c r="AB324" i="28" s="1"/>
  <c r="AB325" i="28" s="1"/>
  <c r="AB273" i="28"/>
  <c r="AB354" i="28"/>
  <c r="AE133" i="28"/>
  <c r="AE317" i="28"/>
  <c r="AF636" i="27"/>
  <c r="AE649" i="27"/>
  <c r="AE648" i="27"/>
  <c r="AD54" i="32"/>
  <c r="AD241" i="28"/>
  <c r="AB225" i="28"/>
  <c r="AB86" i="32"/>
  <c r="I7" i="60" s="1"/>
  <c r="I19" i="49"/>
  <c r="AB39" i="28"/>
  <c r="I36" i="44" s="1"/>
  <c r="I35" i="44"/>
  <c r="AC696" i="27"/>
  <c r="AC686" i="27" s="1"/>
  <c r="AB339" i="28"/>
  <c r="AB247" i="28" l="1"/>
  <c r="AB85" i="32"/>
  <c r="I18" i="49"/>
  <c r="AE51" i="28"/>
  <c r="AF645" i="27"/>
  <c r="J66" i="43"/>
  <c r="AF638" i="27"/>
  <c r="AD689" i="27"/>
  <c r="AB31" i="32"/>
  <c r="AB11" i="32"/>
  <c r="I6" i="58"/>
  <c r="AD112" i="28"/>
  <c r="AE172" i="28"/>
  <c r="AE28" i="28"/>
  <c r="AC35" i="28"/>
  <c r="AC687" i="27"/>
  <c r="AC711" i="27" s="1"/>
  <c r="AC372" i="27" s="1"/>
  <c r="AC371" i="27" s="1"/>
  <c r="AC709" i="27"/>
  <c r="AD67" i="32"/>
  <c r="AE647" i="27"/>
  <c r="AE532" i="27" s="1"/>
  <c r="AE107" i="28"/>
  <c r="AE643" i="27"/>
  <c r="AE140" i="28" s="1"/>
  <c r="AE651" i="27"/>
  <c r="I6" i="50"/>
  <c r="AB272" i="28"/>
  <c r="AA105" i="32"/>
  <c r="AB242" i="28"/>
  <c r="I15" i="49"/>
  <c r="AB50" i="32"/>
  <c r="AD19" i="32"/>
  <c r="AD68" i="28"/>
  <c r="AD543" i="27"/>
  <c r="AA70" i="32"/>
  <c r="AC688" i="27" l="1"/>
  <c r="AD275" i="28"/>
  <c r="AD315" i="28"/>
  <c r="AB49" i="32"/>
  <c r="I6" i="59"/>
  <c r="AB66" i="32"/>
  <c r="AB65" i="32" s="1"/>
  <c r="I21" i="59" s="1"/>
  <c r="AE31" i="28"/>
  <c r="AE34" i="28" s="1"/>
  <c r="AE108" i="28"/>
  <c r="AE125" i="28"/>
  <c r="AC710" i="27"/>
  <c r="AC50" i="28" s="1"/>
  <c r="AC215" i="28"/>
  <c r="AC101" i="28"/>
  <c r="AC105" i="28" s="1"/>
  <c r="AC381" i="27"/>
  <c r="AC382" i="27" s="1"/>
  <c r="AC383" i="27" s="1"/>
  <c r="AB30" i="32"/>
  <c r="I23" i="58" s="1"/>
  <c r="AD691" i="27"/>
  <c r="AD690" i="27"/>
  <c r="AF639" i="27"/>
  <c r="AF646" i="27"/>
  <c r="J68" i="43"/>
  <c r="AF70" i="28"/>
  <c r="J73" i="43"/>
  <c r="AE355" i="28"/>
  <c r="AE274" i="28"/>
  <c r="AE132" i="28"/>
  <c r="AE129" i="28"/>
  <c r="AB101" i="32"/>
  <c r="AB100" i="32" s="1"/>
  <c r="I21" i="60" s="1"/>
  <c r="AB84" i="32"/>
  <c r="I6" i="60"/>
  <c r="AD32" i="32"/>
  <c r="AB283" i="28"/>
  <c r="AB284" i="28" s="1"/>
  <c r="I5" i="50"/>
  <c r="AE531" i="27"/>
  <c r="AE541" i="27"/>
  <c r="AC174" i="28"/>
  <c r="AC36" i="28"/>
  <c r="AC177" i="28"/>
  <c r="I5" i="58"/>
  <c r="AB20" i="32"/>
  <c r="I14" i="58" l="1"/>
  <c r="AB35" i="32"/>
  <c r="AC111" i="28"/>
  <c r="AC38" i="28"/>
  <c r="AC182" i="28"/>
  <c r="AE54" i="32"/>
  <c r="AE241" i="28"/>
  <c r="AF317" i="28"/>
  <c r="AF133" i="28"/>
  <c r="J15" i="47" s="1"/>
  <c r="J27" i="45"/>
  <c r="AF27" i="28"/>
  <c r="J74" i="43"/>
  <c r="AD695" i="27"/>
  <c r="AD692" i="27"/>
  <c r="AD693" i="27" s="1"/>
  <c r="AE689" i="27"/>
  <c r="AC56" i="28"/>
  <c r="AC323" i="28"/>
  <c r="AC282" i="28"/>
  <c r="AC175" i="28"/>
  <c r="AE534" i="27"/>
  <c r="AE544" i="27" s="1"/>
  <c r="AE540" i="27"/>
  <c r="I11" i="50"/>
  <c r="AB298" i="28"/>
  <c r="I5" i="60"/>
  <c r="AB90" i="32"/>
  <c r="AE518" i="27"/>
  <c r="AF637" i="27"/>
  <c r="AF648" i="27"/>
  <c r="J69" i="43"/>
  <c r="AC226" i="28"/>
  <c r="AC220" i="28"/>
  <c r="AC224" i="28"/>
  <c r="AC15" i="32"/>
  <c r="AE127" i="28"/>
  <c r="AE126" i="28"/>
  <c r="I5" i="59"/>
  <c r="AB55" i="32"/>
  <c r="AC12" i="32" l="1"/>
  <c r="AG636" i="27"/>
  <c r="J67" i="43"/>
  <c r="AF649" i="27"/>
  <c r="AE19" i="32"/>
  <c r="AE68" i="28"/>
  <c r="AE543" i="27"/>
  <c r="AE690" i="27"/>
  <c r="AE691" i="27"/>
  <c r="AE692" i="27" s="1"/>
  <c r="AD694" i="27"/>
  <c r="AD696" i="27"/>
  <c r="AD686" i="27" s="1"/>
  <c r="I11" i="59"/>
  <c r="AB70" i="32"/>
  <c r="AC53" i="32"/>
  <c r="AC222" i="28"/>
  <c r="AC86" i="32"/>
  <c r="AC225" i="28"/>
  <c r="AF51" i="28"/>
  <c r="J76" i="43"/>
  <c r="I11" i="60"/>
  <c r="AB105" i="32"/>
  <c r="AE112" i="28"/>
  <c r="AC354" i="28"/>
  <c r="AC313" i="28"/>
  <c r="AC312" i="28" s="1"/>
  <c r="AC324" i="28" s="1"/>
  <c r="AC325" i="28" s="1"/>
  <c r="AC339" i="28" s="1"/>
  <c r="AC273" i="28"/>
  <c r="AF28" i="28"/>
  <c r="AF172" i="28"/>
  <c r="J19" i="48" s="1"/>
  <c r="J24" i="44"/>
  <c r="AE67" i="32"/>
  <c r="AC39" i="28"/>
  <c r="AF355" i="28" l="1"/>
  <c r="AF129" i="28"/>
  <c r="J11" i="47" s="1"/>
  <c r="AF132" i="28"/>
  <c r="AF274" i="28"/>
  <c r="J7" i="50" s="1"/>
  <c r="J9" i="45"/>
  <c r="AC242" i="28"/>
  <c r="AC50" i="32"/>
  <c r="AE695" i="27"/>
  <c r="AE696" i="27" s="1"/>
  <c r="AE686" i="27" s="1"/>
  <c r="AE32" i="32"/>
  <c r="J25" i="44"/>
  <c r="AC272" i="28"/>
  <c r="AC247" i="28"/>
  <c r="AC85" i="32"/>
  <c r="AD35" i="28"/>
  <c r="AD687" i="27"/>
  <c r="AD711" i="27" s="1"/>
  <c r="AD372" i="27" s="1"/>
  <c r="AD371" i="27" s="1"/>
  <c r="AD709" i="27"/>
  <c r="AE693" i="27"/>
  <c r="AE315" i="28"/>
  <c r="AE275" i="28"/>
  <c r="J77" i="43"/>
  <c r="AF643" i="27"/>
  <c r="AF107" i="28"/>
  <c r="AF651" i="27"/>
  <c r="AF647" i="27"/>
  <c r="AF532" i="27" s="1"/>
  <c r="AG645" i="27"/>
  <c r="AG638" i="27"/>
  <c r="AC31" i="32"/>
  <c r="AC11" i="32"/>
  <c r="AD688" i="27" l="1"/>
  <c r="AD710" i="27" s="1"/>
  <c r="AD50" i="28" s="1"/>
  <c r="AE694" i="27"/>
  <c r="AG70" i="28"/>
  <c r="AF531" i="27"/>
  <c r="AF541" i="27"/>
  <c r="I20" i="42"/>
  <c r="AF31" i="28"/>
  <c r="J79" i="43"/>
  <c r="J71" i="43"/>
  <c r="AF140" i="28"/>
  <c r="J21" i="47" s="1"/>
  <c r="AD36" i="28"/>
  <c r="AD177" i="28"/>
  <c r="AD174" i="28"/>
  <c r="AC101" i="32"/>
  <c r="AC84" i="32"/>
  <c r="AC283" i="28"/>
  <c r="AC284" i="28" s="1"/>
  <c r="AC298" i="28" s="1"/>
  <c r="AC20" i="32"/>
  <c r="AC30" i="32"/>
  <c r="AG639" i="27"/>
  <c r="AG646" i="27"/>
  <c r="AF108" i="28"/>
  <c r="I28" i="46" s="1"/>
  <c r="I27" i="46"/>
  <c r="AF125" i="28"/>
  <c r="AD381" i="27"/>
  <c r="AD382" i="27" s="1"/>
  <c r="AD383" i="27" s="1"/>
  <c r="AD101" i="28"/>
  <c r="AD105" i="28" s="1"/>
  <c r="AE35" i="28"/>
  <c r="AE687" i="27"/>
  <c r="AE711" i="27" s="1"/>
  <c r="AE372" i="27" s="1"/>
  <c r="AE371" i="27" s="1"/>
  <c r="AE709" i="27"/>
  <c r="AC66" i="32"/>
  <c r="AC49" i="32"/>
  <c r="AF518" i="27"/>
  <c r="J14" i="47"/>
  <c r="AD215" i="28" l="1"/>
  <c r="AD15" i="32" s="1"/>
  <c r="AE688" i="27"/>
  <c r="AE215" i="28" s="1"/>
  <c r="AC65" i="32"/>
  <c r="AE710" i="27"/>
  <c r="AE50" i="28" s="1"/>
  <c r="AE56" i="28" s="1"/>
  <c r="AE381" i="27"/>
  <c r="AE382" i="27" s="1"/>
  <c r="AE383" i="27" s="1"/>
  <c r="AE101" i="28"/>
  <c r="AE105" i="28" s="1"/>
  <c r="AD220" i="28"/>
  <c r="AG27" i="28"/>
  <c r="AC35" i="32"/>
  <c r="AC90" i="32"/>
  <c r="AD175" i="28"/>
  <c r="AD111" i="28"/>
  <c r="AD38" i="28"/>
  <c r="AD182" i="28"/>
  <c r="J28" i="44"/>
  <c r="AF34" i="28"/>
  <c r="AF54" i="32"/>
  <c r="AF241" i="28"/>
  <c r="I27" i="42"/>
  <c r="AG317" i="28"/>
  <c r="AG133" i="28"/>
  <c r="AC55" i="32"/>
  <c r="AE174" i="28"/>
  <c r="AE175" i="28" s="1"/>
  <c r="AE36" i="28"/>
  <c r="AE177" i="28"/>
  <c r="AD56" i="28"/>
  <c r="AF126" i="28"/>
  <c r="J8" i="47" s="1"/>
  <c r="AF127" i="28"/>
  <c r="J9" i="47" s="1"/>
  <c r="J7" i="47"/>
  <c r="AG637" i="27"/>
  <c r="AG648" i="27"/>
  <c r="AC100" i="32"/>
  <c r="AD282" i="28"/>
  <c r="AD323" i="28"/>
  <c r="AF534" i="27"/>
  <c r="AF544" i="27" s="1"/>
  <c r="AF540" i="27"/>
  <c r="I19" i="42"/>
  <c r="AD224" i="28" l="1"/>
  <c r="AD53" i="32" s="1"/>
  <c r="AD226" i="28"/>
  <c r="AD225" i="28" s="1"/>
  <c r="AF19" i="32"/>
  <c r="AF68" i="28"/>
  <c r="I26" i="42"/>
  <c r="AF543" i="27"/>
  <c r="AG51" i="28"/>
  <c r="AH636" i="27"/>
  <c r="AG649" i="27"/>
  <c r="AE282" i="28"/>
  <c r="AE323" i="28"/>
  <c r="AC70" i="32"/>
  <c r="AF67" i="32"/>
  <c r="J10" i="59"/>
  <c r="AC105" i="32"/>
  <c r="AG28" i="28"/>
  <c r="AG172" i="28"/>
  <c r="AD86" i="32"/>
  <c r="AE15" i="32"/>
  <c r="AE226" i="28"/>
  <c r="AE224" i="28"/>
  <c r="AE220" i="28"/>
  <c r="AE12" i="32" s="1"/>
  <c r="AF112" i="28"/>
  <c r="I32" i="46" s="1"/>
  <c r="AD273" i="28"/>
  <c r="AD354" i="28"/>
  <c r="AD313" i="28"/>
  <c r="AD312" i="28" s="1"/>
  <c r="AD324" i="28" s="1"/>
  <c r="AD325" i="28" s="1"/>
  <c r="AD339" i="28" s="1"/>
  <c r="AE111" i="28"/>
  <c r="AE182" i="28"/>
  <c r="AE38" i="28"/>
  <c r="AF689" i="27"/>
  <c r="J31" i="44"/>
  <c r="AD39" i="28"/>
  <c r="AD222" i="28"/>
  <c r="AD12" i="32"/>
  <c r="AE354" i="28"/>
  <c r="AE313" i="28"/>
  <c r="AE312" i="28" s="1"/>
  <c r="AE324" i="28" s="1"/>
  <c r="AE273" i="28"/>
  <c r="AE272" i="28" s="1"/>
  <c r="AE283" i="28" s="1"/>
  <c r="AE325" i="28" l="1"/>
  <c r="AE339" i="28" s="1"/>
  <c r="AD11" i="32"/>
  <c r="AD31" i="32"/>
  <c r="AE11" i="32"/>
  <c r="AE31" i="32"/>
  <c r="AE86" i="32"/>
  <c r="AE225" i="28"/>
  <c r="AD247" i="28"/>
  <c r="AD85" i="32"/>
  <c r="AG643" i="27"/>
  <c r="AG140" i="28" s="1"/>
  <c r="AG107" i="28"/>
  <c r="AG651" i="27"/>
  <c r="AG647" i="27"/>
  <c r="I29" i="42"/>
  <c r="AF315" i="28"/>
  <c r="AF275" i="28"/>
  <c r="J8" i="50" s="1"/>
  <c r="J25" i="45"/>
  <c r="AD242" i="28"/>
  <c r="AD50" i="32"/>
  <c r="AF690" i="27"/>
  <c r="AF691" i="27"/>
  <c r="AE39" i="28"/>
  <c r="AD272" i="28"/>
  <c r="AE53" i="32"/>
  <c r="AE222" i="28"/>
  <c r="AH645" i="27"/>
  <c r="AH638" i="27"/>
  <c r="AG355" i="28"/>
  <c r="AG132" i="28"/>
  <c r="AG274" i="28"/>
  <c r="AG129" i="28"/>
  <c r="AF32" i="32"/>
  <c r="J13" i="58"/>
  <c r="AH646" i="27" l="1"/>
  <c r="AH639" i="27"/>
  <c r="AD283" i="28"/>
  <c r="AD284" i="28" s="1"/>
  <c r="AD66" i="32"/>
  <c r="AD49" i="32"/>
  <c r="AG31" i="28"/>
  <c r="AD20" i="32"/>
  <c r="AG518" i="27"/>
  <c r="AH70" i="28"/>
  <c r="AE242" i="28"/>
  <c r="AE50" i="32"/>
  <c r="AF695" i="27"/>
  <c r="AF692" i="27"/>
  <c r="AF693" i="27" s="1"/>
  <c r="K75" i="43"/>
  <c r="AG532" i="27"/>
  <c r="AG108" i="28"/>
  <c r="AG125" i="28"/>
  <c r="AD101" i="32"/>
  <c r="AD100" i="32" s="1"/>
  <c r="AD84" i="32"/>
  <c r="AE247" i="28"/>
  <c r="AE85" i="32"/>
  <c r="AD30" i="32"/>
  <c r="AE30" i="32"/>
  <c r="AE84" i="32" l="1"/>
  <c r="AE101" i="32"/>
  <c r="AH133" i="28"/>
  <c r="AH317" i="28"/>
  <c r="AE20" i="32"/>
  <c r="AD35" i="32"/>
  <c r="AE35" i="32"/>
  <c r="AD65" i="32"/>
  <c r="AD298" i="28"/>
  <c r="AE284" i="28"/>
  <c r="AE298" i="28" s="1"/>
  <c r="AH27" i="28"/>
  <c r="AD90" i="32"/>
  <c r="AG127" i="28"/>
  <c r="AG126" i="28"/>
  <c r="AG541" i="27"/>
  <c r="AG531" i="27"/>
  <c r="AF694" i="27"/>
  <c r="AF696" i="27"/>
  <c r="AF686" i="27" s="1"/>
  <c r="AE49" i="32"/>
  <c r="AE66" i="32"/>
  <c r="AG34" i="28"/>
  <c r="AD55" i="32"/>
  <c r="AH637" i="27"/>
  <c r="AH648" i="27"/>
  <c r="AH51" i="28" l="1"/>
  <c r="AE55" i="32"/>
  <c r="AD70" i="32"/>
  <c r="AE70" i="32"/>
  <c r="AG689" i="27"/>
  <c r="AF35" i="28"/>
  <c r="AF687" i="27"/>
  <c r="AF711" i="27" s="1"/>
  <c r="AF372" i="27" s="1"/>
  <c r="AF371" i="27" s="1"/>
  <c r="AF709" i="27"/>
  <c r="AF688" i="27"/>
  <c r="AG540" i="27"/>
  <c r="AG534" i="27"/>
  <c r="AG544" i="27" s="1"/>
  <c r="AG54" i="32"/>
  <c r="AG241" i="28"/>
  <c r="AH28" i="28"/>
  <c r="AH172" i="28"/>
  <c r="AI636" i="27"/>
  <c r="AH649" i="27"/>
  <c r="AE90" i="32"/>
  <c r="AD105" i="32"/>
  <c r="AE105" i="32"/>
  <c r="AE65" i="32"/>
  <c r="AE100" i="32"/>
  <c r="AH643" i="27" l="1"/>
  <c r="AH140" i="28" s="1"/>
  <c r="AH107" i="28"/>
  <c r="AH651" i="27"/>
  <c r="AH647" i="27"/>
  <c r="AH532" i="27" s="1"/>
  <c r="AF710" i="27"/>
  <c r="AF50" i="28" s="1"/>
  <c r="AF215" i="28"/>
  <c r="AF381" i="27"/>
  <c r="AF382" i="27" s="1"/>
  <c r="AF383" i="27" s="1"/>
  <c r="AF101" i="28"/>
  <c r="AG690" i="27"/>
  <c r="AI645" i="27"/>
  <c r="AI638" i="27"/>
  <c r="AG67" i="32"/>
  <c r="AG112" i="28"/>
  <c r="AG19" i="32"/>
  <c r="AG68" i="28"/>
  <c r="AG543" i="27"/>
  <c r="AF174" i="28"/>
  <c r="J32" i="44"/>
  <c r="AF36" i="28"/>
  <c r="AF177" i="28"/>
  <c r="AH355" i="28"/>
  <c r="AH274" i="28"/>
  <c r="AH129" i="28"/>
  <c r="AH132" i="28"/>
  <c r="AF111" i="28" l="1"/>
  <c r="I31" i="46" s="1"/>
  <c r="AF38" i="28"/>
  <c r="AF182" i="28"/>
  <c r="J29" i="48" s="1"/>
  <c r="J33" i="44"/>
  <c r="AF175" i="28"/>
  <c r="J22" i="48" s="1"/>
  <c r="J21" i="48"/>
  <c r="AG275" i="28"/>
  <c r="AG315" i="28"/>
  <c r="AI646" i="27"/>
  <c r="AI639" i="27"/>
  <c r="AI637" i="27" s="1"/>
  <c r="AF105" i="28"/>
  <c r="I25" i="46" s="1"/>
  <c r="I21" i="46"/>
  <c r="AF224" i="28"/>
  <c r="J8" i="49"/>
  <c r="AF15" i="32"/>
  <c r="J9" i="58" s="1"/>
  <c r="AF220" i="28"/>
  <c r="AF226" i="28"/>
  <c r="AH531" i="27"/>
  <c r="AH541" i="27"/>
  <c r="AH108" i="28"/>
  <c r="AH125" i="28"/>
  <c r="AH518" i="27"/>
  <c r="AF282" i="28"/>
  <c r="AF323" i="28"/>
  <c r="J24" i="48"/>
  <c r="AG32" i="32"/>
  <c r="AI70" i="28"/>
  <c r="AG691" i="27"/>
  <c r="J8" i="45"/>
  <c r="AF56" i="28"/>
  <c r="AH31" i="28"/>
  <c r="AH34" i="28" l="1"/>
  <c r="AG695" i="27"/>
  <c r="AG694" i="27" s="1"/>
  <c r="AG692" i="27"/>
  <c r="AH54" i="32"/>
  <c r="AH241" i="28"/>
  <c r="AF225" i="28"/>
  <c r="AF86" i="32"/>
  <c r="J7" i="60" s="1"/>
  <c r="J19" i="49"/>
  <c r="AF53" i="32"/>
  <c r="J9" i="59" s="1"/>
  <c r="AF222" i="28"/>
  <c r="J17" i="49"/>
  <c r="AJ636" i="27"/>
  <c r="AI649" i="27"/>
  <c r="AI648" i="27"/>
  <c r="AF313" i="28"/>
  <c r="AF312" i="28" s="1"/>
  <c r="AF324" i="28" s="1"/>
  <c r="AF325" i="28" s="1"/>
  <c r="AF339" i="28" s="1"/>
  <c r="J13" i="45"/>
  <c r="AF354" i="28"/>
  <c r="AF273" i="28"/>
  <c r="AI133" i="28"/>
  <c r="AI317" i="28"/>
  <c r="AH127" i="28"/>
  <c r="AH126" i="28"/>
  <c r="AH540" i="27"/>
  <c r="AH534" i="27"/>
  <c r="AH544" i="27" s="1"/>
  <c r="AF12" i="32"/>
  <c r="J13" i="49"/>
  <c r="AI27" i="28"/>
  <c r="J35" i="44"/>
  <c r="AF39" i="28"/>
  <c r="AG696" i="27" l="1"/>
  <c r="AG686" i="27" s="1"/>
  <c r="J36" i="44"/>
  <c r="AI28" i="28"/>
  <c r="AI172" i="28"/>
  <c r="AF31" i="32"/>
  <c r="AF11" i="32"/>
  <c r="J6" i="58"/>
  <c r="AH112" i="28"/>
  <c r="J6" i="50"/>
  <c r="AF272" i="28"/>
  <c r="AI647" i="27"/>
  <c r="AI532" i="27" s="1"/>
  <c r="AI107" i="28"/>
  <c r="AI643" i="27"/>
  <c r="AI140" i="28" s="1"/>
  <c r="AI651" i="27"/>
  <c r="AH67" i="32"/>
  <c r="AG693" i="27"/>
  <c r="AH689" i="27"/>
  <c r="AH19" i="32"/>
  <c r="AH68" i="28"/>
  <c r="AH543" i="27"/>
  <c r="AI51" i="28"/>
  <c r="AJ645" i="27"/>
  <c r="K66" i="43"/>
  <c r="AJ638" i="27"/>
  <c r="AF242" i="28"/>
  <c r="AF50" i="32"/>
  <c r="J15" i="49"/>
  <c r="AF247" i="28"/>
  <c r="AF85" i="32"/>
  <c r="J18" i="49"/>
  <c r="AG35" i="28"/>
  <c r="AG687" i="27"/>
  <c r="AG711" i="27" s="1"/>
  <c r="AG372" i="27" s="1"/>
  <c r="AG371" i="27" s="1"/>
  <c r="AG709" i="27"/>
  <c r="AG688" i="27" l="1"/>
  <c r="AG215" i="28" s="1"/>
  <c r="AG174" i="28"/>
  <c r="AG177" i="28"/>
  <c r="AG36" i="28"/>
  <c r="AF84" i="32"/>
  <c r="AF101" i="32"/>
  <c r="J6" i="60"/>
  <c r="AJ639" i="27"/>
  <c r="AJ646" i="27"/>
  <c r="AJ637" i="27"/>
  <c r="K68" i="43"/>
  <c r="AH315" i="28"/>
  <c r="AH275" i="28"/>
  <c r="AH691" i="27"/>
  <c r="AH692" i="27" s="1"/>
  <c r="AI31" i="28"/>
  <c r="AI34" i="28" s="1"/>
  <c r="AI108" i="28"/>
  <c r="AI125" i="28"/>
  <c r="AF283" i="28"/>
  <c r="AF284" i="28" s="1"/>
  <c r="J5" i="50"/>
  <c r="AF30" i="32"/>
  <c r="J23" i="58" s="1"/>
  <c r="AG710" i="27"/>
  <c r="AG50" i="28" s="1"/>
  <c r="AG381" i="27"/>
  <c r="AG382" i="27" s="1"/>
  <c r="AG383" i="27" s="1"/>
  <c r="AG101" i="28"/>
  <c r="AG105" i="28" s="1"/>
  <c r="AF49" i="32"/>
  <c r="AF66" i="32"/>
  <c r="AF65" i="32" s="1"/>
  <c r="J21" i="59" s="1"/>
  <c r="J6" i="59"/>
  <c r="AJ70" i="28"/>
  <c r="K73" i="43"/>
  <c r="AI355" i="28"/>
  <c r="AI274" i="28"/>
  <c r="AI132" i="28"/>
  <c r="AI129" i="28"/>
  <c r="AH32" i="32"/>
  <c r="AH690" i="27"/>
  <c r="AI531" i="27"/>
  <c r="AI541" i="27"/>
  <c r="J5" i="58"/>
  <c r="AF20" i="32"/>
  <c r="AH693" i="27" l="1"/>
  <c r="AH695" i="27"/>
  <c r="AH696" i="27" s="1"/>
  <c r="AH686" i="27" s="1"/>
  <c r="J14" i="58"/>
  <c r="AF35" i="32"/>
  <c r="AI540" i="27"/>
  <c r="AI534" i="27"/>
  <c r="AI544" i="27" s="1"/>
  <c r="AJ133" i="28"/>
  <c r="K15" i="47" s="1"/>
  <c r="AJ317" i="28"/>
  <c r="K27" i="45"/>
  <c r="AG15" i="32"/>
  <c r="AG224" i="28"/>
  <c r="AG220" i="28"/>
  <c r="AG226" i="28"/>
  <c r="J11" i="50"/>
  <c r="AF298" i="28"/>
  <c r="AK636" i="27"/>
  <c r="K67" i="43"/>
  <c r="AJ649" i="27"/>
  <c r="AJ647" i="27" s="1"/>
  <c r="AJ532" i="27" s="1"/>
  <c r="AJ648" i="27"/>
  <c r="K69" i="43"/>
  <c r="AF100" i="32"/>
  <c r="J21" i="60" s="1"/>
  <c r="AG111" i="28"/>
  <c r="AG38" i="28"/>
  <c r="AG182" i="28"/>
  <c r="AG175" i="28"/>
  <c r="AI689" i="27"/>
  <c r="AI54" i="32"/>
  <c r="AI241" i="28"/>
  <c r="AI518" i="27"/>
  <c r="J5" i="59"/>
  <c r="AF55" i="32"/>
  <c r="AG56" i="28"/>
  <c r="AI126" i="28"/>
  <c r="AI127" i="28"/>
  <c r="AJ27" i="28"/>
  <c r="K74" i="43"/>
  <c r="J5" i="60"/>
  <c r="AF90" i="32"/>
  <c r="AG323" i="28"/>
  <c r="AG282" i="28"/>
  <c r="AH694" i="27" l="1"/>
  <c r="J11" i="60"/>
  <c r="AF105" i="32"/>
  <c r="AJ172" i="28"/>
  <c r="K19" i="48" s="1"/>
  <c r="AJ28" i="28"/>
  <c r="K24" i="44"/>
  <c r="AG354" i="28"/>
  <c r="AG273" i="28"/>
  <c r="AG313" i="28"/>
  <c r="AG312" i="28" s="1"/>
  <c r="AG324" i="28" s="1"/>
  <c r="AG325" i="28" s="1"/>
  <c r="J11" i="59"/>
  <c r="AF70" i="32"/>
  <c r="AI67" i="32"/>
  <c r="AI690" i="27"/>
  <c r="AI691" i="27"/>
  <c r="AG39" i="28"/>
  <c r="AJ51" i="28"/>
  <c r="K76" i="43"/>
  <c r="AG12" i="32"/>
  <c r="AI112" i="28"/>
  <c r="AJ541" i="27"/>
  <c r="AJ531" i="27"/>
  <c r="J20" i="42"/>
  <c r="AH35" i="28"/>
  <c r="AH687" i="27"/>
  <c r="AH711" i="27" s="1"/>
  <c r="AH372" i="27" s="1"/>
  <c r="AH371" i="27" s="1"/>
  <c r="AH709" i="27"/>
  <c r="AJ651" i="27"/>
  <c r="K77" i="43"/>
  <c r="AJ643" i="27"/>
  <c r="AJ107" i="28"/>
  <c r="AK645" i="27"/>
  <c r="AK638" i="27"/>
  <c r="AG225" i="28"/>
  <c r="AG86" i="32"/>
  <c r="AG53" i="32"/>
  <c r="AG222" i="28"/>
  <c r="AI19" i="32"/>
  <c r="AI68" i="28"/>
  <c r="AI543" i="27"/>
  <c r="AH688" i="27" l="1"/>
  <c r="AH710" i="27" s="1"/>
  <c r="AH50" i="28" s="1"/>
  <c r="AI32" i="32"/>
  <c r="AG242" i="28"/>
  <c r="AG50" i="32"/>
  <c r="AK646" i="27"/>
  <c r="AK639" i="27"/>
  <c r="AJ108" i="28"/>
  <c r="J28" i="46" s="1"/>
  <c r="J27" i="46"/>
  <c r="AJ125" i="28"/>
  <c r="AH381" i="27"/>
  <c r="AH382" i="27" s="1"/>
  <c r="AH383" i="27" s="1"/>
  <c r="AH101" i="28"/>
  <c r="AH105" i="28" s="1"/>
  <c r="AJ534" i="27"/>
  <c r="AJ544" i="27" s="1"/>
  <c r="AJ540" i="27"/>
  <c r="AJ543" i="27" s="1"/>
  <c r="J19" i="42"/>
  <c r="AG11" i="32"/>
  <c r="AG31" i="32"/>
  <c r="AJ355" i="28"/>
  <c r="AJ132" i="28"/>
  <c r="AJ129" i="28"/>
  <c r="K11" i="47" s="1"/>
  <c r="AJ274" i="28"/>
  <c r="K7" i="50" s="1"/>
  <c r="K9" i="45"/>
  <c r="AG339" i="28"/>
  <c r="K25" i="44"/>
  <c r="AI315" i="28"/>
  <c r="AI275" i="28"/>
  <c r="AG247" i="28"/>
  <c r="AG85" i="32"/>
  <c r="AK70" i="28"/>
  <c r="K71" i="43"/>
  <c r="AJ140" i="28"/>
  <c r="K21" i="47" s="1"/>
  <c r="AJ31" i="28"/>
  <c r="K28" i="44" s="1"/>
  <c r="K79" i="43"/>
  <c r="AH174" i="28"/>
  <c r="AH36" i="28"/>
  <c r="AH177" i="28"/>
  <c r="AJ54" i="32"/>
  <c r="AJ241" i="28"/>
  <c r="J27" i="42"/>
  <c r="AI695" i="27"/>
  <c r="AI692" i="27"/>
  <c r="AG272" i="28"/>
  <c r="AH215" i="28" l="1"/>
  <c r="AH15" i="32" s="1"/>
  <c r="AG283" i="28"/>
  <c r="AG284" i="28" s="1"/>
  <c r="AI693" i="27"/>
  <c r="AH111" i="28"/>
  <c r="AH38" i="28"/>
  <c r="AH182" i="28"/>
  <c r="AK133" i="28"/>
  <c r="AK317" i="28"/>
  <c r="AG84" i="32"/>
  <c r="AG101" i="32"/>
  <c r="AG20" i="32"/>
  <c r="AJ112" i="28"/>
  <c r="J32" i="46" s="1"/>
  <c r="AH56" i="28"/>
  <c r="AI696" i="27"/>
  <c r="AI686" i="27" s="1"/>
  <c r="AI694" i="27"/>
  <c r="AJ67" i="32"/>
  <c r="K10" i="59"/>
  <c r="AH323" i="28"/>
  <c r="AH282" i="28"/>
  <c r="AH175" i="28"/>
  <c r="J29" i="42"/>
  <c r="AJ34" i="28"/>
  <c r="AJ518" i="27"/>
  <c r="K14" i="47"/>
  <c r="AG30" i="32"/>
  <c r="AJ19" i="32"/>
  <c r="AJ68" i="28"/>
  <c r="J26" i="42"/>
  <c r="AH226" i="28"/>
  <c r="AJ127" i="28"/>
  <c r="K9" i="47" s="1"/>
  <c r="AJ126" i="28"/>
  <c r="K8" i="47" s="1"/>
  <c r="K7" i="47"/>
  <c r="AK637" i="27"/>
  <c r="AK648" i="27"/>
  <c r="AK27" i="28"/>
  <c r="AG49" i="32"/>
  <c r="AG66" i="32"/>
  <c r="H441" i="23"/>
  <c r="AH220" i="28" l="1"/>
  <c r="AH12" i="32" s="1"/>
  <c r="AH224" i="28"/>
  <c r="AH53" i="32" s="1"/>
  <c r="AK51" i="28"/>
  <c r="AL636" i="27"/>
  <c r="AK649" i="27"/>
  <c r="AH225" i="28"/>
  <c r="AH86" i="32"/>
  <c r="AJ315" i="28"/>
  <c r="AJ275" i="28"/>
  <c r="K8" i="50" s="1"/>
  <c r="K25" i="45"/>
  <c r="AG35" i="32"/>
  <c r="AG100" i="32"/>
  <c r="AH39" i="28"/>
  <c r="AG65" i="32"/>
  <c r="AG55" i="32"/>
  <c r="AG70" i="32" s="1"/>
  <c r="AK172" i="28"/>
  <c r="AK28" i="28"/>
  <c r="AH222" i="28"/>
  <c r="AJ32" i="32"/>
  <c r="K13" i="58"/>
  <c r="AJ689" i="27"/>
  <c r="K31" i="44"/>
  <c r="AI35" i="28"/>
  <c r="AI687" i="27"/>
  <c r="AI711" i="27" s="1"/>
  <c r="AI372" i="27" s="1"/>
  <c r="AI371" i="27" s="1"/>
  <c r="AI709" i="27"/>
  <c r="AH354" i="28"/>
  <c r="AH273" i="28"/>
  <c r="AH313" i="28"/>
  <c r="AH312" i="28" s="1"/>
  <c r="AH324" i="28" s="1"/>
  <c r="AH325" i="28" s="1"/>
  <c r="AG90" i="32"/>
  <c r="AG298" i="28"/>
  <c r="I441" i="23"/>
  <c r="AI688" i="27" l="1"/>
  <c r="AI215" i="28" s="1"/>
  <c r="AH339" i="28"/>
  <c r="AI710" i="27"/>
  <c r="AI50" i="28" s="1"/>
  <c r="AI174" i="28"/>
  <c r="AI177" i="28"/>
  <c r="AI36" i="28"/>
  <c r="AJ690" i="27"/>
  <c r="AJ691" i="27"/>
  <c r="AK647" i="27"/>
  <c r="AK643" i="27"/>
  <c r="AK140" i="28" s="1"/>
  <c r="AK107" i="28"/>
  <c r="AK651" i="27"/>
  <c r="AG105" i="32"/>
  <c r="AH272" i="28"/>
  <c r="AI381" i="27"/>
  <c r="AI382" i="27" s="1"/>
  <c r="AI383" i="27" s="1"/>
  <c r="AI101" i="28"/>
  <c r="AI105" i="28" s="1"/>
  <c r="AH242" i="28"/>
  <c r="AH50" i="32"/>
  <c r="AH247" i="28"/>
  <c r="AH85" i="32"/>
  <c r="AH31" i="32"/>
  <c r="AH11" i="32"/>
  <c r="AL645" i="27"/>
  <c r="AL638" i="27"/>
  <c r="AK355" i="28"/>
  <c r="AK129" i="28"/>
  <c r="AK274" i="28"/>
  <c r="AK132" i="28"/>
  <c r="AL70" i="28" l="1"/>
  <c r="AH20" i="32"/>
  <c r="AH49" i="32"/>
  <c r="AH66" i="32"/>
  <c r="AK31" i="28"/>
  <c r="AI111" i="28"/>
  <c r="AI182" i="28"/>
  <c r="AI38" i="28"/>
  <c r="AI175" i="28"/>
  <c r="AI56" i="28"/>
  <c r="AK518" i="27"/>
  <c r="AL639" i="27"/>
  <c r="AL646" i="27"/>
  <c r="AL637" i="27"/>
  <c r="AH30" i="32"/>
  <c r="AH101" i="32"/>
  <c r="AH100" i="32" s="1"/>
  <c r="AH84" i="32"/>
  <c r="AH283" i="28"/>
  <c r="AH284" i="28" s="1"/>
  <c r="AK108" i="28"/>
  <c r="AK125" i="28"/>
  <c r="L75" i="43"/>
  <c r="AK532" i="27"/>
  <c r="AJ695" i="27"/>
  <c r="AJ694" i="27" s="1"/>
  <c r="AJ692" i="27"/>
  <c r="AJ693" i="27" s="1"/>
  <c r="AI282" i="28"/>
  <c r="AI323" i="28"/>
  <c r="AI220" i="28"/>
  <c r="AI15" i="32"/>
  <c r="AI226" i="28"/>
  <c r="AI224" i="28"/>
  <c r="AI222" i="28" l="1"/>
  <c r="AI53" i="32"/>
  <c r="AH298" i="28"/>
  <c r="AH90" i="32"/>
  <c r="AL648" i="27"/>
  <c r="AK34" i="28"/>
  <c r="AH65" i="32"/>
  <c r="AI86" i="32"/>
  <c r="AI225" i="28"/>
  <c r="AI12" i="32"/>
  <c r="AK541" i="27"/>
  <c r="AK531" i="27"/>
  <c r="AK127" i="28"/>
  <c r="AK126" i="28"/>
  <c r="AM636" i="27"/>
  <c r="AL649" i="27"/>
  <c r="AL27" i="28"/>
  <c r="AI354" i="28"/>
  <c r="AI273" i="28"/>
  <c r="AI313" i="28"/>
  <c r="AI312" i="28" s="1"/>
  <c r="AI324" i="28" s="1"/>
  <c r="AI325" i="28" s="1"/>
  <c r="AI339" i="28" s="1"/>
  <c r="AI39" i="28"/>
  <c r="AH55" i="32"/>
  <c r="AH70" i="32" s="1"/>
  <c r="AH35" i="32"/>
  <c r="AL133" i="28"/>
  <c r="AL317" i="28"/>
  <c r="AJ696" i="27"/>
  <c r="AJ686" i="27" s="1"/>
  <c r="AJ35" i="28" l="1"/>
  <c r="AJ687" i="27"/>
  <c r="AJ711" i="27" s="1"/>
  <c r="AJ372" i="27" s="1"/>
  <c r="AJ371" i="27" s="1"/>
  <c r="AJ709" i="27"/>
  <c r="AJ688" i="27"/>
  <c r="AL172" i="28"/>
  <c r="AL28" i="28"/>
  <c r="AM645" i="27"/>
  <c r="AM638" i="27"/>
  <c r="AK534" i="27"/>
  <c r="AK544" i="27" s="1"/>
  <c r="AK540" i="27"/>
  <c r="AK54" i="32"/>
  <c r="AK241" i="28"/>
  <c r="AI11" i="32"/>
  <c r="AI31" i="32"/>
  <c r="AI247" i="28"/>
  <c r="AI85" i="32"/>
  <c r="AK689" i="27"/>
  <c r="AL51" i="28"/>
  <c r="AH105" i="32"/>
  <c r="AI272" i="28"/>
  <c r="AL647" i="27"/>
  <c r="AL532" i="27" s="1"/>
  <c r="AL643" i="27"/>
  <c r="AL140" i="28" s="1"/>
  <c r="AL107" i="28"/>
  <c r="AL651" i="27"/>
  <c r="AI242" i="28"/>
  <c r="AI50" i="32"/>
  <c r="AL31" i="28" l="1"/>
  <c r="AL34" i="28" s="1"/>
  <c r="AI30" i="32"/>
  <c r="AM70" i="28"/>
  <c r="AJ710" i="27"/>
  <c r="AJ50" i="28" s="1"/>
  <c r="AJ215" i="28"/>
  <c r="AJ101" i="28"/>
  <c r="AJ381" i="27"/>
  <c r="AJ382" i="27" s="1"/>
  <c r="AJ383" i="27" s="1"/>
  <c r="AI66" i="32"/>
  <c r="AI49" i="32"/>
  <c r="AL108" i="28"/>
  <c r="AL125" i="28"/>
  <c r="AL541" i="27"/>
  <c r="AL531" i="27"/>
  <c r="AI283" i="28"/>
  <c r="AI284" i="28" s="1"/>
  <c r="AL355" i="28"/>
  <c r="AL274" i="28"/>
  <c r="AL129" i="28"/>
  <c r="AL132" i="28"/>
  <c r="AK690" i="27"/>
  <c r="AK691" i="27" s="1"/>
  <c r="AK692" i="27" s="1"/>
  <c r="AI84" i="32"/>
  <c r="AI101" i="32"/>
  <c r="AI20" i="32"/>
  <c r="AK67" i="32"/>
  <c r="AK68" i="28"/>
  <c r="AK19" i="32"/>
  <c r="AK543" i="27"/>
  <c r="AK112" i="28"/>
  <c r="AM639" i="27"/>
  <c r="AM646" i="27"/>
  <c r="AJ174" i="28"/>
  <c r="AJ36" i="28"/>
  <c r="AJ177" i="28"/>
  <c r="K32" i="44"/>
  <c r="AJ323" i="28" l="1"/>
  <c r="AJ282" i="28"/>
  <c r="K24" i="48"/>
  <c r="AJ175" i="28"/>
  <c r="K22" i="48" s="1"/>
  <c r="K21" i="48"/>
  <c r="AM637" i="27"/>
  <c r="AM648" i="27"/>
  <c r="AI35" i="32"/>
  <c r="AI90" i="32"/>
  <c r="AK693" i="27"/>
  <c r="AL518" i="27"/>
  <c r="AL54" i="32"/>
  <c r="AL241" i="28"/>
  <c r="AI55" i="32"/>
  <c r="AJ15" i="32"/>
  <c r="K9" i="58" s="1"/>
  <c r="AJ226" i="28"/>
  <c r="AJ220" i="28"/>
  <c r="AJ224" i="28"/>
  <c r="K8" i="49"/>
  <c r="AM317" i="28"/>
  <c r="AM133" i="28"/>
  <c r="AJ111" i="28"/>
  <c r="J31" i="46" s="1"/>
  <c r="AJ38" i="28"/>
  <c r="AJ182" i="28"/>
  <c r="K29" i="48" s="1"/>
  <c r="K33" i="44"/>
  <c r="AM27" i="28"/>
  <c r="AK32" i="32"/>
  <c r="AK275" i="28"/>
  <c r="AK315" i="28"/>
  <c r="AI100" i="32"/>
  <c r="AK695" i="27"/>
  <c r="AI298" i="28"/>
  <c r="AL540" i="27"/>
  <c r="AL534" i="27"/>
  <c r="AL544" i="27" s="1"/>
  <c r="AL127" i="28"/>
  <c r="AL126" i="28"/>
  <c r="AI65" i="32"/>
  <c r="AJ105" i="28"/>
  <c r="J25" i="46" s="1"/>
  <c r="J21" i="46"/>
  <c r="AJ56" i="28"/>
  <c r="K8" i="45"/>
  <c r="AL689" i="27"/>
  <c r="AL19" i="32" l="1"/>
  <c r="AL68" i="28"/>
  <c r="AK696" i="27"/>
  <c r="AK686" i="27" s="1"/>
  <c r="AK694" i="27"/>
  <c r="K35" i="44"/>
  <c r="AJ39" i="28"/>
  <c r="AJ53" i="32"/>
  <c r="K9" i="59" s="1"/>
  <c r="AJ222" i="28"/>
  <c r="K17" i="49"/>
  <c r="AJ86" i="32"/>
  <c r="K7" i="60" s="1"/>
  <c r="AJ225" i="28"/>
  <c r="K19" i="49"/>
  <c r="AL67" i="32"/>
  <c r="AI105" i="32"/>
  <c r="AN636" i="27"/>
  <c r="AM649" i="27"/>
  <c r="AL690" i="27"/>
  <c r="AL691" i="27"/>
  <c r="AJ313" i="28"/>
  <c r="AJ312" i="28" s="1"/>
  <c r="AJ324" i="28" s="1"/>
  <c r="AJ325" i="28" s="1"/>
  <c r="AJ339" i="28" s="1"/>
  <c r="AJ354" i="28"/>
  <c r="AJ273" i="28"/>
  <c r="K13" i="45"/>
  <c r="AL112" i="28"/>
  <c r="AM28" i="28"/>
  <c r="AM172" i="28"/>
  <c r="AJ12" i="32"/>
  <c r="K13" i="49"/>
  <c r="AI70" i="32"/>
  <c r="AL543" i="27"/>
  <c r="AM51" i="28"/>
  <c r="AM355" i="28" l="1"/>
  <c r="AM274" i="28"/>
  <c r="AM129" i="28"/>
  <c r="AM132" i="28"/>
  <c r="AJ11" i="32"/>
  <c r="AJ31" i="32"/>
  <c r="K6" i="58"/>
  <c r="AN645" i="27"/>
  <c r="L66" i="43"/>
  <c r="AN638" i="27"/>
  <c r="AJ242" i="28"/>
  <c r="AJ50" i="32"/>
  <c r="K15" i="49"/>
  <c r="K36" i="44"/>
  <c r="AL32" i="32"/>
  <c r="AJ272" i="28"/>
  <c r="K6" i="50"/>
  <c r="AL695" i="27"/>
  <c r="AL696" i="27" s="1"/>
  <c r="AL686" i="27" s="1"/>
  <c r="AL692" i="27"/>
  <c r="AM643" i="27"/>
  <c r="AM140" i="28" s="1"/>
  <c r="AM107" i="28"/>
  <c r="AM651" i="27"/>
  <c r="AM647" i="27"/>
  <c r="AM532" i="27" s="1"/>
  <c r="AJ247" i="28"/>
  <c r="AJ85" i="32"/>
  <c r="K18" i="49"/>
  <c r="AK35" i="28"/>
  <c r="AK687" i="27"/>
  <c r="AK711" i="27" s="1"/>
  <c r="AK372" i="27" s="1"/>
  <c r="AK371" i="27" s="1"/>
  <c r="AK709" i="27"/>
  <c r="AL315" i="28"/>
  <c r="AL275" i="28"/>
  <c r="AK688" i="27" l="1"/>
  <c r="AK174" i="28"/>
  <c r="AK177" i="28"/>
  <c r="AK36" i="28"/>
  <c r="AJ101" i="32"/>
  <c r="AJ84" i="32"/>
  <c r="K6" i="60"/>
  <c r="AM531" i="27"/>
  <c r="AM541" i="27"/>
  <c r="AM108" i="28"/>
  <c r="AM125" i="28"/>
  <c r="AN70" i="28"/>
  <c r="L73" i="43"/>
  <c r="K5" i="58"/>
  <c r="AJ20" i="32"/>
  <c r="AM518" i="27"/>
  <c r="AK381" i="27"/>
  <c r="AK382" i="27" s="1"/>
  <c r="AK383" i="27" s="1"/>
  <c r="AK101" i="28"/>
  <c r="AK105" i="28" s="1"/>
  <c r="AM31" i="28"/>
  <c r="AL35" i="28"/>
  <c r="AL687" i="27"/>
  <c r="AL711" i="27" s="1"/>
  <c r="AL372" i="27" s="1"/>
  <c r="AL371" i="27" s="1"/>
  <c r="AL709" i="27"/>
  <c r="AJ283" i="28"/>
  <c r="AJ284" i="28" s="1"/>
  <c r="K5" i="50"/>
  <c r="AL694" i="27"/>
  <c r="AJ49" i="32"/>
  <c r="AJ66" i="32"/>
  <c r="K6" i="59"/>
  <c r="AN646" i="27"/>
  <c r="AN639" i="27"/>
  <c r="L68" i="43"/>
  <c r="AN637" i="27"/>
  <c r="AL693" i="27"/>
  <c r="AJ30" i="32"/>
  <c r="K23" i="58" s="1"/>
  <c r="AL688" i="27" l="1"/>
  <c r="AL215" i="28" s="1"/>
  <c r="AO636" i="27"/>
  <c r="L67" i="43"/>
  <c r="AN649" i="27"/>
  <c r="AN648" i="27"/>
  <c r="L69" i="43"/>
  <c r="K5" i="59"/>
  <c r="AJ55" i="32"/>
  <c r="AL710" i="27"/>
  <c r="AL50" i="28" s="1"/>
  <c r="AL56" i="28" s="1"/>
  <c r="AL101" i="28"/>
  <c r="AL105" i="28" s="1"/>
  <c r="AL381" i="27"/>
  <c r="AL382" i="27" s="1"/>
  <c r="AL383" i="27" s="1"/>
  <c r="AN133" i="28"/>
  <c r="L15" i="47" s="1"/>
  <c r="AN317" i="28"/>
  <c r="L27" i="45"/>
  <c r="AM127" i="28"/>
  <c r="AM126" i="28"/>
  <c r="AM540" i="27"/>
  <c r="AM534" i="27"/>
  <c r="AM544" i="27" s="1"/>
  <c r="K5" i="60"/>
  <c r="AJ90" i="32"/>
  <c r="AK111" i="28"/>
  <c r="AK38" i="28"/>
  <c r="AK182" i="28"/>
  <c r="AK175" i="28"/>
  <c r="AK710" i="27"/>
  <c r="AK50" i="28" s="1"/>
  <c r="AK215" i="28"/>
  <c r="AN27" i="28"/>
  <c r="AN647" i="27"/>
  <c r="AN532" i="27" s="1"/>
  <c r="L74" i="43"/>
  <c r="AJ65" i="32"/>
  <c r="K21" i="59" s="1"/>
  <c r="K11" i="50"/>
  <c r="AJ298" i="28"/>
  <c r="AL174" i="28"/>
  <c r="AL175" i="28" s="1"/>
  <c r="AL177" i="28"/>
  <c r="AL36" i="28"/>
  <c r="AM34" i="28"/>
  <c r="K14" i="58"/>
  <c r="AJ35" i="32"/>
  <c r="AM54" i="32"/>
  <c r="AM241" i="28"/>
  <c r="AJ100" i="32"/>
  <c r="K21" i="60" s="1"/>
  <c r="AK282" i="28"/>
  <c r="AK323" i="28"/>
  <c r="B64" i="43"/>
  <c r="AL323" i="28" l="1"/>
  <c r="AL282" i="28"/>
  <c r="AN172" i="28"/>
  <c r="AN28" i="28"/>
  <c r="L24" i="44"/>
  <c r="AK224" i="28"/>
  <c r="AK220" i="28"/>
  <c r="AK15" i="32"/>
  <c r="AK226" i="28"/>
  <c r="K11" i="60"/>
  <c r="AJ105" i="32"/>
  <c r="AM19" i="32"/>
  <c r="AM68" i="28"/>
  <c r="AM543" i="27"/>
  <c r="AL354" i="28"/>
  <c r="AL313" i="28"/>
  <c r="AL312" i="28" s="1"/>
  <c r="AL324" i="28" s="1"/>
  <c r="AL273" i="28"/>
  <c r="AL272" i="28" s="1"/>
  <c r="AL283" i="28" s="1"/>
  <c r="AN51" i="28"/>
  <c r="L76" i="43"/>
  <c r="AM67" i="32"/>
  <c r="AM689" i="27"/>
  <c r="AL111" i="28"/>
  <c r="AL38" i="28"/>
  <c r="AL182" i="28"/>
  <c r="AN531" i="27"/>
  <c r="AN541" i="27"/>
  <c r="K20" i="42"/>
  <c r="AK56" i="28"/>
  <c r="AK39" i="28"/>
  <c r="AL39" i="28" s="1"/>
  <c r="AM112" i="28"/>
  <c r="AL15" i="32"/>
  <c r="AL226" i="28"/>
  <c r="AL220" i="28"/>
  <c r="AL12" i="32" s="1"/>
  <c r="AL224" i="28"/>
  <c r="K11" i="59"/>
  <c r="AJ70" i="32"/>
  <c r="AN651" i="27"/>
  <c r="L77" i="43"/>
  <c r="AN643" i="27"/>
  <c r="AN107" i="28"/>
  <c r="AO645" i="27"/>
  <c r="AO638" i="27"/>
  <c r="AO70" i="28" l="1"/>
  <c r="AN140" i="28"/>
  <c r="L21" i="47" s="1"/>
  <c r="L71" i="43"/>
  <c r="AN31" i="28"/>
  <c r="L28" i="44" s="1"/>
  <c r="L79" i="43"/>
  <c r="AL53" i="32"/>
  <c r="AL222" i="28"/>
  <c r="AL86" i="32"/>
  <c r="AL225" i="28"/>
  <c r="AN241" i="28"/>
  <c r="AN54" i="32"/>
  <c r="K27" i="42"/>
  <c r="AM690" i="27"/>
  <c r="AM691" i="27"/>
  <c r="AM692" i="27" s="1"/>
  <c r="AN355" i="28"/>
  <c r="AN132" i="28"/>
  <c r="AN129" i="28"/>
  <c r="L11" i="47" s="1"/>
  <c r="AN274" i="28"/>
  <c r="L7" i="50" s="1"/>
  <c r="L9" i="45"/>
  <c r="AM32" i="32"/>
  <c r="AK53" i="32"/>
  <c r="AK222" i="28"/>
  <c r="L19" i="48"/>
  <c r="AO639" i="27"/>
  <c r="AO646" i="27"/>
  <c r="AO637" i="27"/>
  <c r="AN108" i="28"/>
  <c r="K28" i="46" s="1"/>
  <c r="K27" i="46"/>
  <c r="AN125" i="28"/>
  <c r="AL31" i="32"/>
  <c r="AL11" i="32"/>
  <c r="AK354" i="28"/>
  <c r="AK273" i="28"/>
  <c r="AK313" i="28"/>
  <c r="AK312" i="28" s="1"/>
  <c r="AK324" i="28" s="1"/>
  <c r="AK325" i="28" s="1"/>
  <c r="AL325" i="28" s="1"/>
  <c r="AN534" i="27"/>
  <c r="AN544" i="27" s="1"/>
  <c r="AN540" i="27"/>
  <c r="AN543" i="27" s="1"/>
  <c r="K19" i="42"/>
  <c r="AM315" i="28"/>
  <c r="AM275" i="28"/>
  <c r="AK225" i="28"/>
  <c r="AK86" i="32"/>
  <c r="AK12" i="32"/>
  <c r="L25" i="44"/>
  <c r="AN34" i="28" l="1"/>
  <c r="AN689" i="27" s="1"/>
  <c r="AK31" i="32"/>
  <c r="AK11" i="32"/>
  <c r="K29" i="42"/>
  <c r="AN112" i="28"/>
  <c r="K32" i="46" s="1"/>
  <c r="AK272" i="28"/>
  <c r="AP636" i="27"/>
  <c r="AO649" i="27"/>
  <c r="AK242" i="28"/>
  <c r="AK50" i="32"/>
  <c r="AN518" i="27"/>
  <c r="L14" i="47"/>
  <c r="AM693" i="27"/>
  <c r="AN67" i="32"/>
  <c r="L10" i="59"/>
  <c r="AK247" i="28"/>
  <c r="AK85" i="32"/>
  <c r="AN19" i="32"/>
  <c r="AN68" i="28"/>
  <c r="K26" i="42"/>
  <c r="AK339" i="28"/>
  <c r="AL339" i="28"/>
  <c r="AN126" i="28"/>
  <c r="L8" i="47" s="1"/>
  <c r="AN127" i="28"/>
  <c r="L9" i="47" s="1"/>
  <c r="L7" i="47"/>
  <c r="AO27" i="28"/>
  <c r="AO648" i="27"/>
  <c r="AM695" i="27"/>
  <c r="AL247" i="28"/>
  <c r="AL85" i="32"/>
  <c r="AL242" i="28"/>
  <c r="AL50" i="32"/>
  <c r="AO133" i="28"/>
  <c r="AO317" i="28"/>
  <c r="L31" i="44" l="1"/>
  <c r="AO51" i="28"/>
  <c r="AO28" i="28"/>
  <c r="AO172" i="28"/>
  <c r="AN32" i="32"/>
  <c r="L13" i="58"/>
  <c r="AK66" i="32"/>
  <c r="AK49" i="32"/>
  <c r="AP645" i="27"/>
  <c r="AP638" i="27"/>
  <c r="AK20" i="32"/>
  <c r="AL66" i="32"/>
  <c r="AL49" i="32"/>
  <c r="AL101" i="32"/>
  <c r="AL84" i="32"/>
  <c r="AM696" i="27"/>
  <c r="AM686" i="27" s="1"/>
  <c r="AM694" i="27"/>
  <c r="AN315" i="28"/>
  <c r="AN275" i="28"/>
  <c r="L8" i="50" s="1"/>
  <c r="L25" i="45"/>
  <c r="AK101" i="32"/>
  <c r="AK84" i="32"/>
  <c r="AN690" i="27"/>
  <c r="AN691" i="27"/>
  <c r="AO647" i="27"/>
  <c r="AO107" i="28"/>
  <c r="AO643" i="27"/>
  <c r="AO140" i="28" s="1"/>
  <c r="AO651" i="27"/>
  <c r="AK283" i="28"/>
  <c r="AK284" i="28" s="1"/>
  <c r="AK30" i="32"/>
  <c r="AL30" i="32"/>
  <c r="AO31" i="28" l="1"/>
  <c r="AO34" i="28" s="1"/>
  <c r="AO108" i="28"/>
  <c r="AO125" i="28"/>
  <c r="AK100" i="32"/>
  <c r="AL100" i="32"/>
  <c r="AM35" i="28"/>
  <c r="AM687" i="27"/>
  <c r="AM711" i="27" s="1"/>
  <c r="AM372" i="27" s="1"/>
  <c r="AM371" i="27" s="1"/>
  <c r="AM709" i="27"/>
  <c r="AM688" i="27"/>
  <c r="AK35" i="32"/>
  <c r="AL20" i="32"/>
  <c r="AK55" i="32"/>
  <c r="AL55" i="32" s="1"/>
  <c r="AK298" i="28"/>
  <c r="AL284" i="28"/>
  <c r="M75" i="43"/>
  <c r="AO532" i="27"/>
  <c r="AN695" i="27"/>
  <c r="AN696" i="27" s="1"/>
  <c r="AN686" i="27" s="1"/>
  <c r="AN692" i="27"/>
  <c r="AN693" i="27" s="1"/>
  <c r="AK90" i="32"/>
  <c r="AP646" i="27"/>
  <c r="AP639" i="27"/>
  <c r="AP637" i="27" s="1"/>
  <c r="AP70" i="28"/>
  <c r="AK65" i="32"/>
  <c r="AL65" i="32"/>
  <c r="AO355" i="28"/>
  <c r="AO129" i="28"/>
  <c r="AO274" i="28"/>
  <c r="AO132" i="28"/>
  <c r="AN694" i="27" l="1"/>
  <c r="AN35" i="28"/>
  <c r="AN687" i="27"/>
  <c r="AN711" i="27" s="1"/>
  <c r="AN372" i="27" s="1"/>
  <c r="AN371" i="27" s="1"/>
  <c r="AN709" i="27"/>
  <c r="AQ636" i="27"/>
  <c r="AP649" i="27"/>
  <c r="AP648" i="27"/>
  <c r="AL90" i="32"/>
  <c r="AL105" i="32" s="1"/>
  <c r="AK105" i="32"/>
  <c r="AO531" i="27"/>
  <c r="AO541" i="27"/>
  <c r="AL298" i="28"/>
  <c r="AM710" i="27"/>
  <c r="AM50" i="28" s="1"/>
  <c r="AM215" i="28"/>
  <c r="AM381" i="27"/>
  <c r="AM382" i="27" s="1"/>
  <c r="AM383" i="27" s="1"/>
  <c r="AM101" i="28"/>
  <c r="AM105" i="28" s="1"/>
  <c r="AO127" i="28"/>
  <c r="AO126" i="28"/>
  <c r="AO518" i="27"/>
  <c r="AO689" i="27"/>
  <c r="AP133" i="28"/>
  <c r="AP317" i="28"/>
  <c r="AP27" i="28"/>
  <c r="AK70" i="32"/>
  <c r="AL70" i="32"/>
  <c r="AL35" i="32"/>
  <c r="AM174" i="28"/>
  <c r="L32" i="44"/>
  <c r="AM177" i="28"/>
  <c r="AM36" i="28"/>
  <c r="AN688" i="27" l="1"/>
  <c r="AN710" i="27" s="1"/>
  <c r="AN50" i="28" s="1"/>
  <c r="AN56" i="28" s="1"/>
  <c r="AM111" i="28"/>
  <c r="AM182" i="28"/>
  <c r="AM38" i="28"/>
  <c r="AP172" i="28"/>
  <c r="AP28" i="28"/>
  <c r="AM56" i="28"/>
  <c r="AP647" i="27"/>
  <c r="AP107" i="28"/>
  <c r="AP643" i="27"/>
  <c r="AP140" i="28" s="1"/>
  <c r="AP651" i="27"/>
  <c r="AN381" i="27"/>
  <c r="AN382" i="27" s="1"/>
  <c r="AN383" i="27" s="1"/>
  <c r="AN101" i="28"/>
  <c r="AM323" i="28"/>
  <c r="AM282" i="28"/>
  <c r="AM175" i="28"/>
  <c r="AO690" i="27"/>
  <c r="AM15" i="32"/>
  <c r="AM226" i="28"/>
  <c r="AM220" i="28"/>
  <c r="AM224" i="28"/>
  <c r="AO54" i="32"/>
  <c r="AO241" i="28"/>
  <c r="AO534" i="27"/>
  <c r="AO544" i="27" s="1"/>
  <c r="AO540" i="27"/>
  <c r="AP51" i="28"/>
  <c r="AQ645" i="27"/>
  <c r="AQ638" i="27"/>
  <c r="AN174" i="28"/>
  <c r="AN175" i="28" s="1"/>
  <c r="AN177" i="28"/>
  <c r="AN36" i="28"/>
  <c r="L33" i="44" s="1"/>
  <c r="AN215" i="28" l="1"/>
  <c r="L8" i="49" s="1"/>
  <c r="AN282" i="28"/>
  <c r="AN323" i="28"/>
  <c r="AQ70" i="28"/>
  <c r="AO19" i="32"/>
  <c r="AO68" i="28"/>
  <c r="AO543" i="27"/>
  <c r="AO67" i="32"/>
  <c r="AM12" i="32"/>
  <c r="L21" i="48"/>
  <c r="L24" i="48"/>
  <c r="AN313" i="28"/>
  <c r="AN312" i="28" s="1"/>
  <c r="AN324" i="28" s="1"/>
  <c r="AN354" i="28"/>
  <c r="AN273" i="28"/>
  <c r="AN272" i="28" s="1"/>
  <c r="AN283" i="28" s="1"/>
  <c r="AP532" i="27"/>
  <c r="AM354" i="28"/>
  <c r="AM273" i="28"/>
  <c r="AM313" i="28"/>
  <c r="AM312" i="28" s="1"/>
  <c r="AM324" i="28" s="1"/>
  <c r="AM325" i="28" s="1"/>
  <c r="L13" i="45"/>
  <c r="AN111" i="28"/>
  <c r="K31" i="46" s="1"/>
  <c r="AN182" i="28"/>
  <c r="L29" i="48" s="1"/>
  <c r="AN38" i="28"/>
  <c r="L35" i="44" s="1"/>
  <c r="AQ639" i="27"/>
  <c r="AQ646" i="27"/>
  <c r="AP355" i="28"/>
  <c r="AP274" i="28"/>
  <c r="AP132" i="28"/>
  <c r="AP129" i="28"/>
  <c r="AO112" i="28"/>
  <c r="AM222" i="28"/>
  <c r="AM53" i="32"/>
  <c r="AM225" i="28"/>
  <c r="AM86" i="32"/>
  <c r="AO691" i="27"/>
  <c r="L22" i="48"/>
  <c r="AN105" i="28"/>
  <c r="K25" i="46" s="1"/>
  <c r="K21" i="46"/>
  <c r="AP31" i="28"/>
  <c r="AP108" i="28"/>
  <c r="AP125" i="28"/>
  <c r="L8" i="45"/>
  <c r="AM39" i="28"/>
  <c r="AN220" i="28" l="1"/>
  <c r="AN12" i="32" s="1"/>
  <c r="AN11" i="32" s="1"/>
  <c r="AN226" i="28"/>
  <c r="L19" i="49" s="1"/>
  <c r="AN15" i="32"/>
  <c r="L9" i="58" s="1"/>
  <c r="AN224" i="28"/>
  <c r="L17" i="49" s="1"/>
  <c r="AN39" i="28"/>
  <c r="L36" i="44" s="1"/>
  <c r="AN86" i="32"/>
  <c r="L7" i="60" s="1"/>
  <c r="AO695" i="27"/>
  <c r="AO696" i="27" s="1"/>
  <c r="AO692" i="27"/>
  <c r="AM242" i="28"/>
  <c r="AM50" i="32"/>
  <c r="AQ637" i="27"/>
  <c r="AQ648" i="27"/>
  <c r="AM272" i="28"/>
  <c r="L6" i="50"/>
  <c r="AN325" i="28"/>
  <c r="AN339" i="28" s="1"/>
  <c r="AO32" i="32"/>
  <c r="AP126" i="28"/>
  <c r="AP127" i="28"/>
  <c r="AN222" i="28"/>
  <c r="AM247" i="28"/>
  <c r="AM85" i="32"/>
  <c r="AP518" i="27"/>
  <c r="AQ27" i="28"/>
  <c r="AP34" i="28"/>
  <c r="AM339" i="28"/>
  <c r="AP541" i="27"/>
  <c r="AP531" i="27"/>
  <c r="AM31" i="32"/>
  <c r="AM11" i="32"/>
  <c r="AO315" i="28"/>
  <c r="AO275" i="28"/>
  <c r="AQ317" i="28"/>
  <c r="AQ133" i="28"/>
  <c r="L13" i="49" l="1"/>
  <c r="AN31" i="32"/>
  <c r="L6" i="58"/>
  <c r="AN53" i="32"/>
  <c r="L9" i="59" s="1"/>
  <c r="AN225" i="28"/>
  <c r="L18" i="49" s="1"/>
  <c r="AM30" i="32"/>
  <c r="AN30" i="32"/>
  <c r="L23" i="58" s="1"/>
  <c r="AP54" i="32"/>
  <c r="AP241" i="28"/>
  <c r="AN242" i="28"/>
  <c r="AN50" i="32"/>
  <c r="AQ51" i="28"/>
  <c r="AM49" i="32"/>
  <c r="AM66" i="32"/>
  <c r="L6" i="59"/>
  <c r="AO693" i="27"/>
  <c r="L5" i="58"/>
  <c r="AM20" i="32"/>
  <c r="AP534" i="27"/>
  <c r="AP540" i="27"/>
  <c r="AP689" i="27"/>
  <c r="AQ172" i="28"/>
  <c r="AQ28" i="28"/>
  <c r="AM84" i="32"/>
  <c r="AM101" i="32"/>
  <c r="AM283" i="28"/>
  <c r="AM284" i="28" s="1"/>
  <c r="L5" i="50"/>
  <c r="AR636" i="27"/>
  <c r="AQ649" i="27"/>
  <c r="L15" i="49"/>
  <c r="AO686" i="27"/>
  <c r="AO694" i="27"/>
  <c r="AN247" i="28" l="1"/>
  <c r="AN85" i="32"/>
  <c r="L6" i="60" s="1"/>
  <c r="AO35" i="28"/>
  <c r="AO687" i="27"/>
  <c r="AO711" i="27" s="1"/>
  <c r="AO372" i="27" s="1"/>
  <c r="AO371" i="27" s="1"/>
  <c r="AO709" i="27"/>
  <c r="AO688" i="27"/>
  <c r="AQ107" i="28"/>
  <c r="AQ643" i="27"/>
  <c r="AQ140" i="28" s="1"/>
  <c r="AQ651" i="27"/>
  <c r="AQ647" i="27"/>
  <c r="AM100" i="32"/>
  <c r="AP690" i="27"/>
  <c r="AP691" i="27"/>
  <c r="AP692" i="27" s="1"/>
  <c r="AP544" i="27"/>
  <c r="AM65" i="32"/>
  <c r="AQ355" i="28"/>
  <c r="AQ274" i="28"/>
  <c r="AQ129" i="28"/>
  <c r="AQ132" i="28"/>
  <c r="AN66" i="32"/>
  <c r="AN65" i="32" s="1"/>
  <c r="L21" i="59" s="1"/>
  <c r="AN49" i="32"/>
  <c r="L5" i="59" s="1"/>
  <c r="AR645" i="27"/>
  <c r="AT636" i="27"/>
  <c r="M66" i="43"/>
  <c r="AR638" i="27"/>
  <c r="AM298" i="28"/>
  <c r="AN284" i="28"/>
  <c r="AM90" i="32"/>
  <c r="AP19" i="32"/>
  <c r="AP68" i="28"/>
  <c r="AP543" i="27"/>
  <c r="AN20" i="32"/>
  <c r="AN35" i="32" s="1"/>
  <c r="AM35" i="32"/>
  <c r="AN101" i="32"/>
  <c r="AM55" i="32"/>
  <c r="AP67" i="32"/>
  <c r="AN84" i="32" l="1"/>
  <c r="L5" i="60" s="1"/>
  <c r="AP695" i="27"/>
  <c r="AP694" i="27" s="1"/>
  <c r="AN55" i="32"/>
  <c r="AN70" i="32" s="1"/>
  <c r="AM70" i="32"/>
  <c r="L14" i="58"/>
  <c r="AP275" i="28"/>
  <c r="AP315" i="28"/>
  <c r="AM105" i="32"/>
  <c r="L11" i="50"/>
  <c r="AN298" i="28"/>
  <c r="AR70" i="28"/>
  <c r="AT645" i="27"/>
  <c r="N73" i="43" s="1"/>
  <c r="M73" i="43"/>
  <c r="AQ518" i="27"/>
  <c r="AP112" i="28"/>
  <c r="AQ31" i="28"/>
  <c r="AO174" i="28"/>
  <c r="AO36" i="28"/>
  <c r="AO177" i="28"/>
  <c r="AP32" i="32"/>
  <c r="AR639" i="27"/>
  <c r="AR637" i="27" s="1"/>
  <c r="AR646" i="27"/>
  <c r="M68" i="43"/>
  <c r="AT638" i="27"/>
  <c r="N66" i="43"/>
  <c r="B636" i="27"/>
  <c r="B66" i="43" s="1"/>
  <c r="AP693" i="27"/>
  <c r="AN100" i="32"/>
  <c r="L21" i="60" s="1"/>
  <c r="AQ532" i="27"/>
  <c r="AQ108" i="28"/>
  <c r="AQ125" i="28"/>
  <c r="AO710" i="27"/>
  <c r="AO215" i="28"/>
  <c r="AO101" i="28"/>
  <c r="AO105" i="28" s="1"/>
  <c r="AO381" i="27"/>
  <c r="AO382" i="27" s="1"/>
  <c r="AO383" i="27" s="1"/>
  <c r="AN90" i="32" l="1"/>
  <c r="AN105" i="32" s="1"/>
  <c r="AP696" i="27"/>
  <c r="AO50" i="28"/>
  <c r="AQ541" i="27"/>
  <c r="AQ531" i="27"/>
  <c r="M67" i="43"/>
  <c r="AR649" i="27"/>
  <c r="AR647" i="27" s="1"/>
  <c r="AR27" i="28"/>
  <c r="M74" i="43"/>
  <c r="AT646" i="27"/>
  <c r="N74" i="43" s="1"/>
  <c r="AO323" i="28"/>
  <c r="AO282" i="28"/>
  <c r="AO175" i="28"/>
  <c r="AO226" i="28"/>
  <c r="AO15" i="32"/>
  <c r="AO224" i="28"/>
  <c r="AO220" i="28"/>
  <c r="AQ126" i="28"/>
  <c r="AQ127" i="28"/>
  <c r="N68" i="43"/>
  <c r="B638" i="27"/>
  <c r="B68" i="43" s="1"/>
  <c r="AR648" i="27"/>
  <c r="AT639" i="27"/>
  <c r="M69" i="43"/>
  <c r="AO111" i="28"/>
  <c r="AO182" i="28"/>
  <c r="AO38" i="28"/>
  <c r="AQ34" i="28"/>
  <c r="AP686" i="27"/>
  <c r="B70" i="28"/>
  <c r="AR133" i="28"/>
  <c r="M15" i="47" s="1"/>
  <c r="AR317" i="28"/>
  <c r="AT317" i="28" s="1"/>
  <c r="AT70" i="28"/>
  <c r="M27" i="45"/>
  <c r="L11" i="59"/>
  <c r="L11" i="60" l="1"/>
  <c r="D351" i="23"/>
  <c r="N27" i="45"/>
  <c r="AQ689" i="27"/>
  <c r="AO39" i="28"/>
  <c r="AR51" i="28"/>
  <c r="M76" i="43"/>
  <c r="AT648" i="27"/>
  <c r="N76" i="43" s="1"/>
  <c r="AO222" i="28"/>
  <c r="AO53" i="32"/>
  <c r="AO225" i="28"/>
  <c r="AO86" i="32"/>
  <c r="AR532" i="27"/>
  <c r="B647" i="27"/>
  <c r="AR651" i="27"/>
  <c r="M77" i="43"/>
  <c r="AR107" i="28"/>
  <c r="AR643" i="27"/>
  <c r="AQ534" i="27"/>
  <c r="AQ540" i="27"/>
  <c r="B27" i="45"/>
  <c r="C351" i="23"/>
  <c r="AP35" i="28"/>
  <c r="AP687" i="27"/>
  <c r="AP711" i="27" s="1"/>
  <c r="AP372" i="27" s="1"/>
  <c r="AP371" i="27" s="1"/>
  <c r="AP709" i="27"/>
  <c r="B639" i="27"/>
  <c r="B69" i="43" s="1"/>
  <c r="N69" i="43"/>
  <c r="AO12" i="32"/>
  <c r="B27" i="28"/>
  <c r="AR172" i="28"/>
  <c r="AR28" i="28"/>
  <c r="AT27" i="28"/>
  <c r="M24" i="44"/>
  <c r="AQ54" i="32"/>
  <c r="AQ241" i="28"/>
  <c r="AO56" i="28"/>
  <c r="AP688" i="27" l="1"/>
  <c r="AP710" i="27" s="1"/>
  <c r="AO273" i="28"/>
  <c r="AO354" i="28"/>
  <c r="AO313" i="28"/>
  <c r="B28" i="28"/>
  <c r="M25" i="44"/>
  <c r="AT28" i="28"/>
  <c r="C314" i="23"/>
  <c r="B24" i="44"/>
  <c r="AP101" i="28"/>
  <c r="AP105" i="28" s="1"/>
  <c r="AP381" i="27"/>
  <c r="AP382" i="27" s="1"/>
  <c r="AP383" i="27" s="1"/>
  <c r="AQ19" i="32"/>
  <c r="AQ68" i="28"/>
  <c r="AQ543" i="27"/>
  <c r="M71" i="43"/>
  <c r="AR140" i="28"/>
  <c r="M21" i="47" s="1"/>
  <c r="B75" i="43"/>
  <c r="B223" i="1"/>
  <c r="AO242" i="28"/>
  <c r="AO50" i="32"/>
  <c r="AQ67" i="32"/>
  <c r="N24" i="44"/>
  <c r="D314" i="23"/>
  <c r="B172" i="28"/>
  <c r="B19" i="48" s="1"/>
  <c r="M19" i="48"/>
  <c r="AO11" i="32"/>
  <c r="AO31" i="32"/>
  <c r="AP174" i="28"/>
  <c r="AP177" i="28"/>
  <c r="AP36" i="28"/>
  <c r="AQ544" i="27"/>
  <c r="AR108" i="28"/>
  <c r="L28" i="46" s="1"/>
  <c r="L27" i="46"/>
  <c r="AR125" i="28"/>
  <c r="AR31" i="28"/>
  <c r="AR34" i="28" s="1"/>
  <c r="M79" i="43"/>
  <c r="AT651" i="27"/>
  <c r="N79" i="43" s="1"/>
  <c r="AR541" i="27"/>
  <c r="AR531" i="27"/>
  <c r="L20" i="42"/>
  <c r="AT532" i="27"/>
  <c r="AO247" i="28"/>
  <c r="AO85" i="32"/>
  <c r="AR355" i="28"/>
  <c r="AT355" i="28" s="1"/>
  <c r="B51" i="28"/>
  <c r="AR129" i="28"/>
  <c r="M11" i="47" s="1"/>
  <c r="AR132" i="28"/>
  <c r="AR274" i="28"/>
  <c r="M9" i="45"/>
  <c r="AT51" i="28"/>
  <c r="AQ690" i="27"/>
  <c r="AQ691" i="27"/>
  <c r="AQ692" i="27" s="1"/>
  <c r="AP215" i="28" l="1"/>
  <c r="AP224" i="28" s="1"/>
  <c r="AR689" i="27"/>
  <c r="B34" i="28"/>
  <c r="M31" i="44"/>
  <c r="AT34" i="28"/>
  <c r="AQ695" i="27"/>
  <c r="AQ693" i="27"/>
  <c r="N9" i="45"/>
  <c r="D333" i="23"/>
  <c r="AT274" i="28"/>
  <c r="N7" i="50" s="1"/>
  <c r="M7" i="50"/>
  <c r="AO84" i="32"/>
  <c r="AO101" i="32"/>
  <c r="AR54" i="32"/>
  <c r="AR241" i="28"/>
  <c r="AT241" i="28" s="1"/>
  <c r="B241" i="28" s="1"/>
  <c r="AT541" i="27"/>
  <c r="L27" i="42"/>
  <c r="AR126" i="28"/>
  <c r="M8" i="47" s="1"/>
  <c r="AR127" i="28"/>
  <c r="M9" i="47" s="1"/>
  <c r="M7" i="47"/>
  <c r="AQ112" i="28"/>
  <c r="AP323" i="28"/>
  <c r="AP282" i="28"/>
  <c r="AO20" i="32"/>
  <c r="AR224" i="1"/>
  <c r="AP224" i="1"/>
  <c r="AN224" i="1"/>
  <c r="AL224" i="1"/>
  <c r="AJ224" i="1"/>
  <c r="AH224" i="1"/>
  <c r="AF224" i="1"/>
  <c r="AD224" i="1"/>
  <c r="AB224" i="1"/>
  <c r="Z224" i="1"/>
  <c r="X224" i="1"/>
  <c r="V224" i="1"/>
  <c r="T224" i="1"/>
  <c r="R224" i="1"/>
  <c r="P224" i="1"/>
  <c r="N224" i="1"/>
  <c r="L224" i="1"/>
  <c r="J224" i="1"/>
  <c r="H224" i="1"/>
  <c r="F224" i="1"/>
  <c r="AQ224" i="1"/>
  <c r="AO224" i="1"/>
  <c r="AM224" i="1"/>
  <c r="AK224" i="1"/>
  <c r="AI224" i="1"/>
  <c r="AG224" i="1"/>
  <c r="AE224" i="1"/>
  <c r="AC224" i="1"/>
  <c r="AA224" i="1"/>
  <c r="Y224" i="1"/>
  <c r="W224" i="1"/>
  <c r="U224" i="1"/>
  <c r="S224" i="1"/>
  <c r="Q224" i="1"/>
  <c r="O224" i="1"/>
  <c r="M224" i="1"/>
  <c r="K224" i="1"/>
  <c r="I224" i="1"/>
  <c r="G224" i="1"/>
  <c r="E224" i="1"/>
  <c r="F225" i="1" s="1"/>
  <c r="G225" i="1" s="1"/>
  <c r="E407" i="23"/>
  <c r="B14" i="36"/>
  <c r="B350" i="28"/>
  <c r="AQ32" i="32"/>
  <c r="AP15" i="32"/>
  <c r="N25" i="44"/>
  <c r="D315" i="23"/>
  <c r="AO312" i="28"/>
  <c r="AO272" i="28"/>
  <c r="AR518" i="27"/>
  <c r="AT518" i="27" s="1"/>
  <c r="B518" i="27" s="1"/>
  <c r="M14" i="47"/>
  <c r="B9" i="45"/>
  <c r="C333" i="23"/>
  <c r="M20" i="42"/>
  <c r="B532" i="27"/>
  <c r="K200" i="23" s="1"/>
  <c r="AR534" i="27"/>
  <c r="AR540" i="27"/>
  <c r="AR543" i="27" s="1"/>
  <c r="L29" i="42" s="1"/>
  <c r="L19" i="42"/>
  <c r="AT531" i="27"/>
  <c r="B31" i="28"/>
  <c r="B28" i="44" s="1"/>
  <c r="M28" i="44"/>
  <c r="AT31" i="28"/>
  <c r="N28" i="44" s="1"/>
  <c r="AP111" i="28"/>
  <c r="AP38" i="28"/>
  <c r="AP182" i="28"/>
  <c r="AP175" i="28"/>
  <c r="AO30" i="32"/>
  <c r="AO49" i="32"/>
  <c r="AO66" i="32"/>
  <c r="AQ275" i="28"/>
  <c r="AQ315" i="28"/>
  <c r="AP50" i="28"/>
  <c r="C315" i="23"/>
  <c r="B25" i="44"/>
  <c r="AP220" i="28" l="1"/>
  <c r="AP12" i="32" s="1"/>
  <c r="AP226" i="28"/>
  <c r="AP225" i="28" s="1"/>
  <c r="AR691" i="27"/>
  <c r="AR692" i="27" s="1"/>
  <c r="H225" i="1"/>
  <c r="I225" i="1" s="1"/>
  <c r="J225" i="1" s="1"/>
  <c r="K225" i="1" s="1"/>
  <c r="L225" i="1" s="1"/>
  <c r="M225" i="1" s="1"/>
  <c r="N225" i="1" s="1"/>
  <c r="O225" i="1" s="1"/>
  <c r="P225" i="1" s="1"/>
  <c r="Q225" i="1" s="1"/>
  <c r="R225" i="1" s="1"/>
  <c r="S225" i="1" s="1"/>
  <c r="T225" i="1" s="1"/>
  <c r="U225" i="1" s="1"/>
  <c r="V225" i="1" s="1"/>
  <c r="W225" i="1" s="1"/>
  <c r="X225" i="1" s="1"/>
  <c r="Y225" i="1" s="1"/>
  <c r="Z225" i="1" s="1"/>
  <c r="AA225" i="1" s="1"/>
  <c r="AB225" i="1" s="1"/>
  <c r="AC225" i="1" s="1"/>
  <c r="AD225" i="1" s="1"/>
  <c r="AE225" i="1" s="1"/>
  <c r="AF225" i="1" s="1"/>
  <c r="AG225" i="1" s="1"/>
  <c r="AH225" i="1" s="1"/>
  <c r="AI225" i="1" s="1"/>
  <c r="AJ225" i="1" s="1"/>
  <c r="AK225" i="1" s="1"/>
  <c r="AL225" i="1" s="1"/>
  <c r="AM225" i="1" s="1"/>
  <c r="AN225" i="1" s="1"/>
  <c r="AO225" i="1" s="1"/>
  <c r="AP225" i="1" s="1"/>
  <c r="AQ225" i="1" s="1"/>
  <c r="AR225" i="1" s="1"/>
  <c r="AR544" i="27"/>
  <c r="AT534" i="27"/>
  <c r="B534" i="27" s="1"/>
  <c r="AO324" i="28"/>
  <c r="AO90" i="32"/>
  <c r="D319" i="23"/>
  <c r="N31" i="44"/>
  <c r="B31" i="44"/>
  <c r="C319" i="23"/>
  <c r="AO65" i="32"/>
  <c r="AP39" i="28"/>
  <c r="AP56" i="28"/>
  <c r="AO55" i="32"/>
  <c r="AO70" i="32" s="1"/>
  <c r="M19" i="42"/>
  <c r="B531" i="27"/>
  <c r="AR19" i="32"/>
  <c r="AR68" i="28"/>
  <c r="L26" i="42"/>
  <c r="AT540" i="27"/>
  <c r="AO283" i="28"/>
  <c r="AP86" i="32"/>
  <c r="AP222" i="28"/>
  <c r="AP53" i="32"/>
  <c r="AQ351" i="28"/>
  <c r="AO351" i="28"/>
  <c r="AM351" i="28"/>
  <c r="AK351" i="28"/>
  <c r="AI351" i="28"/>
  <c r="AG351" i="28"/>
  <c r="AE351" i="28"/>
  <c r="AC351" i="28"/>
  <c r="AA351" i="28"/>
  <c r="Y351" i="28"/>
  <c r="W351" i="28"/>
  <c r="U351" i="28"/>
  <c r="S351" i="28"/>
  <c r="Q351" i="28"/>
  <c r="O351" i="28"/>
  <c r="M351" i="28"/>
  <c r="K351" i="28"/>
  <c r="I351" i="28"/>
  <c r="G351" i="28"/>
  <c r="E351" i="28"/>
  <c r="AR351" i="28"/>
  <c r="AP351" i="28"/>
  <c r="AN351" i="28"/>
  <c r="AL351" i="28"/>
  <c r="AJ351" i="28"/>
  <c r="AH351" i="28"/>
  <c r="AF351" i="28"/>
  <c r="AD351" i="28"/>
  <c r="AB351" i="28"/>
  <c r="Z351" i="28"/>
  <c r="X351" i="28"/>
  <c r="V351" i="28"/>
  <c r="T351" i="28"/>
  <c r="R351" i="28"/>
  <c r="P351" i="28"/>
  <c r="N351" i="28"/>
  <c r="L351" i="28"/>
  <c r="J351" i="28"/>
  <c r="H351" i="28"/>
  <c r="I352" i="28" s="1"/>
  <c r="F351" i="28"/>
  <c r="AO35" i="32"/>
  <c r="M27" i="42"/>
  <c r="B541" i="27"/>
  <c r="B54" i="32"/>
  <c r="B10" i="59" s="1"/>
  <c r="AR67" i="32"/>
  <c r="AT67" i="32" s="1"/>
  <c r="M10" i="59"/>
  <c r="AT54" i="32"/>
  <c r="N10" i="59" s="1"/>
  <c r="AO100" i="32"/>
  <c r="AQ696" i="27"/>
  <c r="AQ694" i="27"/>
  <c r="AR690" i="27"/>
  <c r="AR693" i="27" s="1"/>
  <c r="AT689" i="27"/>
  <c r="J352" i="28" l="1"/>
  <c r="K352" i="28" s="1"/>
  <c r="L352" i="28" s="1"/>
  <c r="M352" i="28" s="1"/>
  <c r="N352" i="28" s="1"/>
  <c r="O352" i="28" s="1"/>
  <c r="P352" i="28" s="1"/>
  <c r="Q352" i="28" s="1"/>
  <c r="R352" i="28" s="1"/>
  <c r="S352" i="28" s="1"/>
  <c r="T352" i="28" s="1"/>
  <c r="U352" i="28" s="1"/>
  <c r="V352" i="28" s="1"/>
  <c r="W352" i="28" s="1"/>
  <c r="X352" i="28" s="1"/>
  <c r="AO284" i="28"/>
  <c r="B19" i="32"/>
  <c r="B13" i="58" s="1"/>
  <c r="AR32" i="32"/>
  <c r="AT32" i="32" s="1"/>
  <c r="M13" i="58"/>
  <c r="AT19" i="32"/>
  <c r="N13" i="58" s="1"/>
  <c r="AO105" i="32"/>
  <c r="AR695" i="27"/>
  <c r="AR694" i="27" s="1"/>
  <c r="AQ686" i="27"/>
  <c r="AP242" i="28"/>
  <c r="AP50" i="32"/>
  <c r="AP247" i="28"/>
  <c r="AP85" i="32"/>
  <c r="B543" i="27"/>
  <c r="M26" i="42"/>
  <c r="B68" i="28"/>
  <c r="AR515" i="27"/>
  <c r="L7" i="42" s="1"/>
  <c r="AR275" i="28"/>
  <c r="AR315" i="28"/>
  <c r="AT315" i="28" s="1"/>
  <c r="AT68" i="28"/>
  <c r="M25" i="45"/>
  <c r="AP354" i="28"/>
  <c r="AP313" i="28"/>
  <c r="AP273" i="28"/>
  <c r="AP11" i="32"/>
  <c r="AP31" i="32"/>
  <c r="AO325" i="28"/>
  <c r="AR112" i="28"/>
  <c r="L32" i="46" s="1"/>
  <c r="AT544" i="27"/>
  <c r="B544" i="27" s="1"/>
  <c r="D349" i="23" l="1"/>
  <c r="N25" i="45"/>
  <c r="AT275" i="28"/>
  <c r="N8" i="50" s="1"/>
  <c r="M8" i="50"/>
  <c r="AO339" i="28"/>
  <c r="AP20" i="32"/>
  <c r="AP312" i="28"/>
  <c r="AP101" i="32"/>
  <c r="AP84" i="32"/>
  <c r="AP66" i="32"/>
  <c r="AP49" i="32"/>
  <c r="AP30" i="32"/>
  <c r="AP272" i="28"/>
  <c r="B25" i="45"/>
  <c r="C349" i="23"/>
  <c r="AQ35" i="28"/>
  <c r="AQ687" i="27"/>
  <c r="AQ711" i="27" s="1"/>
  <c r="AQ372" i="27" s="1"/>
  <c r="AQ371" i="27" s="1"/>
  <c r="AQ709" i="27"/>
  <c r="AR696" i="27"/>
  <c r="AT695" i="27"/>
  <c r="AO298" i="28"/>
  <c r="Y352" i="28"/>
  <c r="AQ688" i="27" l="1"/>
  <c r="AQ710" i="27" s="1"/>
  <c r="AQ174" i="28"/>
  <c r="AQ177" i="28"/>
  <c r="AQ36" i="28"/>
  <c r="AP55" i="32"/>
  <c r="AP90" i="32"/>
  <c r="AP35" i="32"/>
  <c r="AR686" i="27"/>
  <c r="AT696" i="27"/>
  <c r="AQ101" i="28"/>
  <c r="AQ105" i="28" s="1"/>
  <c r="AQ381" i="27"/>
  <c r="AQ382" i="27" s="1"/>
  <c r="AQ383" i="27" s="1"/>
  <c r="AP283" i="28"/>
  <c r="AP65" i="32"/>
  <c r="AP100" i="32"/>
  <c r="AP324" i="28"/>
  <c r="Z352" i="28"/>
  <c r="AQ215" i="28" l="1"/>
  <c r="AQ15" i="32" s="1"/>
  <c r="AP325" i="28"/>
  <c r="AP284" i="28"/>
  <c r="AP105" i="32"/>
  <c r="AQ111" i="28"/>
  <c r="AQ38" i="28"/>
  <c r="AQ182" i="28"/>
  <c r="AQ175" i="28"/>
  <c r="AQ50" i="28"/>
  <c r="AR35" i="28"/>
  <c r="AR687" i="27"/>
  <c r="AR711" i="27" s="1"/>
  <c r="AR372" i="27" s="1"/>
  <c r="AR371" i="27" s="1"/>
  <c r="AR709" i="27"/>
  <c r="AT709" i="27" s="1"/>
  <c r="AR688" i="27"/>
  <c r="AT686" i="27"/>
  <c r="AP70" i="32"/>
  <c r="AQ282" i="28"/>
  <c r="AQ323" i="28"/>
  <c r="AA352" i="28"/>
  <c r="AQ226" i="28" l="1"/>
  <c r="AQ225" i="28" s="1"/>
  <c r="AQ220" i="28"/>
  <c r="AQ224" i="28"/>
  <c r="AQ53" i="32" s="1"/>
  <c r="AR710" i="27"/>
  <c r="AR215" i="28"/>
  <c r="AT688" i="27"/>
  <c r="AR101" i="28"/>
  <c r="AR381" i="27"/>
  <c r="AR382" i="27" s="1"/>
  <c r="AR383" i="27" s="1"/>
  <c r="AQ86" i="32"/>
  <c r="AQ12" i="32"/>
  <c r="B35" i="28"/>
  <c r="AR174" i="28"/>
  <c r="AR36" i="28"/>
  <c r="AR177" i="28"/>
  <c r="AT35" i="28"/>
  <c r="M32" i="44"/>
  <c r="AQ56" i="28"/>
  <c r="AQ39" i="28"/>
  <c r="AP298" i="28"/>
  <c r="AP339" i="28"/>
  <c r="AB352" i="28"/>
  <c r="AC352" i="28" s="1"/>
  <c r="AD352" i="28" s="1"/>
  <c r="AE352" i="28" s="1"/>
  <c r="AF352" i="28" s="1"/>
  <c r="AG352" i="28" s="1"/>
  <c r="AH352" i="28" s="1"/>
  <c r="AI352" i="28" s="1"/>
  <c r="AJ352" i="28" s="1"/>
  <c r="AK352" i="28" s="1"/>
  <c r="AL352" i="28" s="1"/>
  <c r="AM352" i="28" s="1"/>
  <c r="AN352" i="28" s="1"/>
  <c r="AO352" i="28" s="1"/>
  <c r="AP352" i="28" s="1"/>
  <c r="AQ352" i="28" s="1"/>
  <c r="AR352" i="28" s="1"/>
  <c r="AQ222" i="28" l="1"/>
  <c r="AQ242" i="28" s="1"/>
  <c r="AQ354" i="28"/>
  <c r="AQ313" i="28"/>
  <c r="AQ273" i="28"/>
  <c r="N32" i="44"/>
  <c r="D320" i="23"/>
  <c r="AR111" i="28"/>
  <c r="L31" i="46" s="1"/>
  <c r="B36" i="28"/>
  <c r="AR38" i="28"/>
  <c r="AR39" i="28" s="1"/>
  <c r="M36" i="44" s="1"/>
  <c r="AR182" i="28"/>
  <c r="M29" i="48" s="1"/>
  <c r="M33" i="44"/>
  <c r="AT36" i="28"/>
  <c r="B32" i="44"/>
  <c r="C320" i="23"/>
  <c r="AQ11" i="32"/>
  <c r="AQ31" i="32"/>
  <c r="AR50" i="28"/>
  <c r="AT710" i="27"/>
  <c r="B177" i="28"/>
  <c r="B24" i="48" s="1"/>
  <c r="AR282" i="28"/>
  <c r="AT282" i="28" s="1"/>
  <c r="AR323" i="28"/>
  <c r="AT323" i="28" s="1"/>
  <c r="M24" i="48"/>
  <c r="B174" i="28"/>
  <c r="B21" i="48" s="1"/>
  <c r="AR175" i="28"/>
  <c r="M21" i="48"/>
  <c r="AQ247" i="28"/>
  <c r="AQ85" i="32"/>
  <c r="L21" i="46"/>
  <c r="AR105" i="28"/>
  <c r="L25" i="46" s="1"/>
  <c r="AR15" i="32"/>
  <c r="B215" i="28"/>
  <c r="B8" i="49" s="1"/>
  <c r="AR220" i="28"/>
  <c r="AR226" i="28"/>
  <c r="AR224" i="28"/>
  <c r="M8" i="49"/>
  <c r="AT215" i="28"/>
  <c r="N8" i="49" s="1"/>
  <c r="AT515" i="27"/>
  <c r="AQ50" i="32" l="1"/>
  <c r="AQ49" i="32" s="1"/>
  <c r="AQ101" i="32"/>
  <c r="AQ84" i="32"/>
  <c r="B50" i="28"/>
  <c r="AR56" i="28"/>
  <c r="AT50" i="28"/>
  <c r="M8" i="45"/>
  <c r="AQ20" i="32"/>
  <c r="B38" i="28"/>
  <c r="M35" i="44"/>
  <c r="AT38" i="28"/>
  <c r="AQ312" i="28"/>
  <c r="AR86" i="32"/>
  <c r="B226" i="28"/>
  <c r="B19" i="49" s="1"/>
  <c r="AR225" i="28"/>
  <c r="M19" i="49"/>
  <c r="AT226" i="28"/>
  <c r="N19" i="49" s="1"/>
  <c r="AR222" i="28"/>
  <c r="B224" i="28"/>
  <c r="B17" i="49" s="1"/>
  <c r="AR53" i="32"/>
  <c r="M17" i="49"/>
  <c r="AT224" i="28"/>
  <c r="N17" i="49" s="1"/>
  <c r="B220" i="28"/>
  <c r="B13" i="49" s="1"/>
  <c r="AR12" i="32"/>
  <c r="M13" i="49"/>
  <c r="AT220" i="28"/>
  <c r="N13" i="49" s="1"/>
  <c r="B15" i="32"/>
  <c r="B9" i="58" s="1"/>
  <c r="AT15" i="32"/>
  <c r="N9" i="58" s="1"/>
  <c r="M9" i="58"/>
  <c r="B175" i="28"/>
  <c r="B22" i="48" s="1"/>
  <c r="M22" i="48"/>
  <c r="AQ30" i="32"/>
  <c r="D321" i="23"/>
  <c r="N33" i="44"/>
  <c r="B33" i="44"/>
  <c r="B182" i="28"/>
  <c r="C321" i="23"/>
  <c r="AQ272" i="28"/>
  <c r="B515" i="27"/>
  <c r="M7" i="42"/>
  <c r="AQ66" i="32" l="1"/>
  <c r="C363" i="23"/>
  <c r="B29" i="48"/>
  <c r="AQ55" i="32"/>
  <c r="AQ65" i="32"/>
  <c r="AR11" i="32"/>
  <c r="B12" i="32"/>
  <c r="B6" i="58" s="1"/>
  <c r="AR31" i="32"/>
  <c r="AT12" i="32"/>
  <c r="N6" i="58" s="1"/>
  <c r="M6" i="58"/>
  <c r="AR247" i="28"/>
  <c r="AT247" i="28" s="1"/>
  <c r="B247" i="28" s="1"/>
  <c r="B225" i="28"/>
  <c r="AR85" i="32"/>
  <c r="AT225" i="28"/>
  <c r="M18" i="49"/>
  <c r="B86" i="32"/>
  <c r="B7" i="60" s="1"/>
  <c r="AT86" i="32"/>
  <c r="N7" i="60" s="1"/>
  <c r="M7" i="60"/>
  <c r="AQ324" i="28"/>
  <c r="AQ35" i="32"/>
  <c r="N8" i="45"/>
  <c r="D332" i="23"/>
  <c r="B8" i="45"/>
  <c r="C332" i="23"/>
  <c r="AQ90" i="32"/>
  <c r="AQ283" i="28"/>
  <c r="B53" i="32"/>
  <c r="B9" i="59" s="1"/>
  <c r="AT53" i="32"/>
  <c r="N9" i="59" s="1"/>
  <c r="M9" i="59"/>
  <c r="AR242" i="28"/>
  <c r="AT242" i="28" s="1"/>
  <c r="B242" i="28" s="1"/>
  <c r="B222" i="28"/>
  <c r="AR50" i="32"/>
  <c r="AT222" i="28"/>
  <c r="M15" i="49"/>
  <c r="D323" i="23"/>
  <c r="N35" i="44"/>
  <c r="B35" i="44"/>
  <c r="C323" i="23"/>
  <c r="B56" i="28"/>
  <c r="AR313" i="28"/>
  <c r="AR354" i="28"/>
  <c r="AT354" i="28" s="1"/>
  <c r="AR273" i="28"/>
  <c r="AT56" i="28"/>
  <c r="M13" i="45"/>
  <c r="AQ100" i="32"/>
  <c r="E514" i="27"/>
  <c r="D337" i="23" l="1"/>
  <c r="N13" i="45"/>
  <c r="C389" i="23"/>
  <c r="B15" i="49"/>
  <c r="E537" i="27"/>
  <c r="E67" i="28" s="1"/>
  <c r="AR272" i="28"/>
  <c r="AT273" i="28"/>
  <c r="N6" i="50" s="1"/>
  <c r="M6" i="50"/>
  <c r="AR312" i="28"/>
  <c r="AT313" i="28"/>
  <c r="B50" i="32"/>
  <c r="B6" i="59" s="1"/>
  <c r="AR66" i="32"/>
  <c r="AR49" i="32"/>
  <c r="AR55" i="32" s="1"/>
  <c r="M11" i="59" s="1"/>
  <c r="M6" i="59"/>
  <c r="AT50" i="32"/>
  <c r="N6" i="59" s="1"/>
  <c r="AQ105" i="32"/>
  <c r="AQ325" i="28"/>
  <c r="AQ339" i="28" s="1"/>
  <c r="AR84" i="32"/>
  <c r="B85" i="32"/>
  <c r="B6" i="60" s="1"/>
  <c r="AR101" i="32"/>
  <c r="AT85" i="32"/>
  <c r="N6" i="60" s="1"/>
  <c r="M6" i="60"/>
  <c r="C337" i="23"/>
  <c r="B13" i="45"/>
  <c r="N15" i="49"/>
  <c r="D389" i="23"/>
  <c r="AQ284" i="28"/>
  <c r="D390" i="23"/>
  <c r="N18" i="49"/>
  <c r="B18" i="49"/>
  <c r="C390" i="23"/>
  <c r="AR30" i="32"/>
  <c r="M23" i="58" s="1"/>
  <c r="AT31" i="32"/>
  <c r="B30" i="32" s="1"/>
  <c r="B23" i="58" s="1"/>
  <c r="AR20" i="32"/>
  <c r="AT11" i="32"/>
  <c r="N5" i="58" s="1"/>
  <c r="M5" i="58"/>
  <c r="AQ70" i="32"/>
  <c r="E538" i="27"/>
  <c r="AT49" i="32" l="1"/>
  <c r="N5" i="59" s="1"/>
  <c r="M5" i="59"/>
  <c r="AR324" i="28"/>
  <c r="AT312" i="28"/>
  <c r="AQ298" i="28"/>
  <c r="AR70" i="32"/>
  <c r="B70" i="32" s="1"/>
  <c r="M14" i="58"/>
  <c r="AR35" i="32"/>
  <c r="B35" i="32" s="1"/>
  <c r="AR100" i="32"/>
  <c r="M21" i="60" s="1"/>
  <c r="AT101" i="32"/>
  <c r="AR90" i="32"/>
  <c r="M5" i="60"/>
  <c r="AT84" i="32"/>
  <c r="N5" i="60" s="1"/>
  <c r="AT66" i="32"/>
  <c r="B65" i="32" s="1"/>
  <c r="B21" i="59" s="1"/>
  <c r="AR65" i="32"/>
  <c r="M21" i="59" s="1"/>
  <c r="AR283" i="28"/>
  <c r="M5" i="50"/>
  <c r="AT272" i="28"/>
  <c r="N5" i="50" s="1"/>
  <c r="E110" i="28"/>
  <c r="E147" i="28"/>
  <c r="E73" i="28"/>
  <c r="E358" i="28"/>
  <c r="AG71" i="32" l="1"/>
  <c r="K71" i="32"/>
  <c r="AA71" i="32"/>
  <c r="AD71" i="32"/>
  <c r="G71" i="32"/>
  <c r="AO71" i="32"/>
  <c r="AQ71" i="32"/>
  <c r="AE71" i="32"/>
  <c r="V71" i="32"/>
  <c r="U71" i="32"/>
  <c r="B69" i="32"/>
  <c r="B23" i="59" s="1"/>
  <c r="AC71" i="32"/>
  <c r="R71" i="32"/>
  <c r="N71" i="32"/>
  <c r="W71" i="32"/>
  <c r="L71" i="32"/>
  <c r="AM71" i="32"/>
  <c r="AI71" i="32"/>
  <c r="AN71" i="32"/>
  <c r="Q71" i="32"/>
  <c r="I71" i="32"/>
  <c r="AJ71" i="32"/>
  <c r="AB71" i="32"/>
  <c r="Y71" i="32"/>
  <c r="X71" i="32"/>
  <c r="F71" i="32"/>
  <c r="J71" i="32"/>
  <c r="E71" i="32"/>
  <c r="O71" i="32"/>
  <c r="T71" i="32"/>
  <c r="AK71" i="32"/>
  <c r="Z71" i="32"/>
  <c r="AL71" i="32"/>
  <c r="P71" i="32"/>
  <c r="AF71" i="32"/>
  <c r="M71" i="32"/>
  <c r="AR71" i="32"/>
  <c r="H71" i="32"/>
  <c r="AP71" i="32"/>
  <c r="AH71" i="32"/>
  <c r="S71" i="32"/>
  <c r="AR284" i="28"/>
  <c r="AT283" i="28"/>
  <c r="B283" i="28" s="1"/>
  <c r="Q36" i="32"/>
  <c r="AG36" i="32"/>
  <c r="AI36" i="32"/>
  <c r="T36" i="32"/>
  <c r="AH36" i="32"/>
  <c r="AO36" i="32"/>
  <c r="AP36" i="32"/>
  <c r="AD36" i="32"/>
  <c r="V36" i="32"/>
  <c r="AJ36" i="32"/>
  <c r="H36" i="32"/>
  <c r="AC36" i="32"/>
  <c r="AL36" i="32"/>
  <c r="B34" i="32"/>
  <c r="B25" i="58" s="1"/>
  <c r="I36" i="32"/>
  <c r="Z36" i="32"/>
  <c r="AA36" i="32"/>
  <c r="AE36" i="32"/>
  <c r="E36" i="32"/>
  <c r="G36" i="32"/>
  <c r="K36" i="32"/>
  <c r="J36" i="32"/>
  <c r="X36" i="32"/>
  <c r="AF36" i="32"/>
  <c r="R36" i="32"/>
  <c r="P36" i="32"/>
  <c r="N36" i="32"/>
  <c r="Y36" i="32"/>
  <c r="O36" i="32"/>
  <c r="F36" i="32"/>
  <c r="AR36" i="32"/>
  <c r="S36" i="32"/>
  <c r="AN36" i="32"/>
  <c r="AK36" i="32"/>
  <c r="AB36" i="32"/>
  <c r="AM36" i="32"/>
  <c r="W36" i="32"/>
  <c r="L36" i="32"/>
  <c r="M36" i="32"/>
  <c r="AQ36" i="32"/>
  <c r="U36" i="32"/>
  <c r="M11" i="60"/>
  <c r="AR105" i="32"/>
  <c r="B105" i="32" s="1"/>
  <c r="AR325" i="28"/>
  <c r="AR339" i="28" s="1"/>
  <c r="B339" i="28" s="1"/>
  <c r="AT324" i="28"/>
  <c r="B324" i="28" s="1"/>
  <c r="E75" i="28"/>
  <c r="E353" i="28"/>
  <c r="E148" i="28"/>
  <c r="E114" i="28"/>
  <c r="G340" i="28" l="1"/>
  <c r="Q340" i="28"/>
  <c r="AR340" i="28"/>
  <c r="U340" i="28"/>
  <c r="AC340" i="28"/>
  <c r="Z340" i="28"/>
  <c r="P340" i="28"/>
  <c r="M340" i="28"/>
  <c r="Y340" i="28"/>
  <c r="W340" i="28"/>
  <c r="L340" i="28"/>
  <c r="AA340" i="28"/>
  <c r="S340" i="28"/>
  <c r="AK340" i="28"/>
  <c r="E340" i="28"/>
  <c r="N340" i="28"/>
  <c r="O340" i="28"/>
  <c r="X340" i="28"/>
  <c r="AH340" i="28"/>
  <c r="AI340" i="28"/>
  <c r="J340" i="28"/>
  <c r="AM340" i="28"/>
  <c r="AB340" i="28"/>
  <c r="AO340" i="28"/>
  <c r="K340" i="28"/>
  <c r="AE340" i="28"/>
  <c r="V340" i="28"/>
  <c r="T340" i="28"/>
  <c r="AQ340" i="28"/>
  <c r="AF340" i="28"/>
  <c r="H340" i="28"/>
  <c r="AL340" i="28"/>
  <c r="R340" i="28"/>
  <c r="F340" i="28"/>
  <c r="AJ340" i="28"/>
  <c r="AD340" i="28"/>
  <c r="I340" i="28"/>
  <c r="AN340" i="28"/>
  <c r="AG340" i="28"/>
  <c r="AP340" i="28"/>
  <c r="AF106" i="32"/>
  <c r="AB106" i="32"/>
  <c r="AP106" i="32"/>
  <c r="F106" i="32"/>
  <c r="L106" i="32"/>
  <c r="Q106" i="32"/>
  <c r="I106" i="32"/>
  <c r="AN106" i="32"/>
  <c r="K106" i="32"/>
  <c r="J106" i="32"/>
  <c r="M106" i="32"/>
  <c r="AR106" i="32"/>
  <c r="AE106" i="32"/>
  <c r="AC106" i="32"/>
  <c r="AI106" i="32"/>
  <c r="AJ106" i="32"/>
  <c r="W106" i="32"/>
  <c r="AQ106" i="32"/>
  <c r="B104" i="32"/>
  <c r="B23" i="60" s="1"/>
  <c r="G106" i="32"/>
  <c r="V106" i="32"/>
  <c r="H106" i="32"/>
  <c r="AM106" i="32"/>
  <c r="S106" i="32"/>
  <c r="AA106" i="32"/>
  <c r="R106" i="32"/>
  <c r="AH106" i="32"/>
  <c r="T106" i="32"/>
  <c r="AG106" i="32"/>
  <c r="AL106" i="32"/>
  <c r="E106" i="32"/>
  <c r="AK106" i="32"/>
  <c r="AD106" i="32"/>
  <c r="Y106" i="32"/>
  <c r="U106" i="32"/>
  <c r="AO106" i="32"/>
  <c r="X106" i="32"/>
  <c r="O106" i="32"/>
  <c r="P106" i="32"/>
  <c r="Z106" i="32"/>
  <c r="N106" i="32"/>
  <c r="M11" i="50"/>
  <c r="AR298" i="28"/>
  <c r="B298" i="28" s="1"/>
  <c r="E189" i="28"/>
  <c r="E144" i="28"/>
  <c r="E116" i="28"/>
  <c r="E188" i="28"/>
  <c r="E187" i="28"/>
  <c r="E360" i="28"/>
  <c r="E131" i="28"/>
  <c r="E77" i="28"/>
  <c r="AG299" i="28" l="1"/>
  <c r="AI299" i="28"/>
  <c r="AQ299" i="28"/>
  <c r="R299" i="28"/>
  <c r="AN299" i="28"/>
  <c r="E299" i="28"/>
  <c r="AE299" i="28"/>
  <c r="AO299" i="28"/>
  <c r="T299" i="28"/>
  <c r="AA299" i="28"/>
  <c r="Q299" i="28"/>
  <c r="M299" i="28"/>
  <c r="AP299" i="28"/>
  <c r="AM299" i="28"/>
  <c r="Z299" i="28"/>
  <c r="U299" i="28"/>
  <c r="J299" i="28"/>
  <c r="W299" i="28"/>
  <c r="S299" i="28"/>
  <c r="AC299" i="28"/>
  <c r="I299" i="28"/>
  <c r="V299" i="28"/>
  <c r="AL299" i="28"/>
  <c r="AJ299" i="28"/>
  <c r="AH299" i="28"/>
  <c r="X299" i="28"/>
  <c r="P299" i="28"/>
  <c r="AR299" i="28"/>
  <c r="N299" i="28"/>
  <c r="Y299" i="28"/>
  <c r="AK299" i="28"/>
  <c r="AF299" i="28"/>
  <c r="F299" i="28"/>
  <c r="L299" i="28"/>
  <c r="H299" i="28"/>
  <c r="K299" i="28"/>
  <c r="AD299" i="28"/>
  <c r="O299" i="28"/>
  <c r="AB299" i="28"/>
  <c r="G299" i="28"/>
  <c r="AT340" i="28"/>
  <c r="F76" i="28"/>
  <c r="E141" i="28"/>
  <c r="E653" i="27"/>
  <c r="E550" i="27"/>
  <c r="E83" i="28"/>
  <c r="E139" i="28"/>
  <c r="E361" i="28"/>
  <c r="E134" i="28"/>
  <c r="E138" i="28"/>
  <c r="F514" i="27"/>
  <c r="F537" i="27" l="1"/>
  <c r="F538" i="27" s="1"/>
  <c r="B340" i="28"/>
  <c r="B338" i="28"/>
  <c r="D404" i="23" s="1"/>
  <c r="AT299" i="28"/>
  <c r="F67" i="28"/>
  <c r="E128" i="28"/>
  <c r="E142" i="28"/>
  <c r="E194" i="28"/>
  <c r="E91" i="28"/>
  <c r="E654" i="27"/>
  <c r="F110" i="28" l="1"/>
  <c r="F114" i="28" s="1"/>
  <c r="F116" i="28" s="1"/>
  <c r="B299" i="28"/>
  <c r="B297" i="28"/>
  <c r="F358" i="28"/>
  <c r="F353" i="28" s="1"/>
  <c r="F147" i="28"/>
  <c r="F73" i="28"/>
  <c r="E193" i="28"/>
  <c r="E99" i="28"/>
  <c r="F188" i="28" l="1"/>
  <c r="F189" i="28"/>
  <c r="F187" i="28"/>
  <c r="F144" i="28"/>
  <c r="F75" i="28"/>
  <c r="F148" i="28"/>
  <c r="B22" i="50"/>
  <c r="C404" i="23"/>
  <c r="F360" i="28"/>
  <c r="F131" i="28"/>
  <c r="E203" i="28"/>
  <c r="E190" i="28"/>
  <c r="E117" i="28"/>
  <c r="F77" i="28" l="1"/>
  <c r="F134" i="28"/>
  <c r="F138" i="28"/>
  <c r="F139" i="28"/>
  <c r="F361" i="28"/>
  <c r="F369" i="28" s="1"/>
  <c r="F128" i="28" l="1"/>
  <c r="G516" i="27"/>
  <c r="F83" i="28"/>
  <c r="F653" i="27"/>
  <c r="G76" i="28"/>
  <c r="F141" i="28"/>
  <c r="F142" i="28" s="1"/>
  <c r="F550" i="27"/>
  <c r="F654" i="27"/>
  <c r="F194" i="28" l="1"/>
  <c r="F91" i="28"/>
  <c r="G517" i="27"/>
  <c r="G514" i="27"/>
  <c r="F193" i="28" l="1"/>
  <c r="F99" i="28"/>
  <c r="G537" i="27"/>
  <c r="G67" i="28" l="1"/>
  <c r="G538" i="27"/>
  <c r="G110" i="28"/>
  <c r="G114" i="28" s="1"/>
  <c r="F117" i="28"/>
  <c r="F203" i="28"/>
  <c r="F190" i="28"/>
  <c r="G144" i="28" l="1"/>
  <c r="G189" i="28"/>
  <c r="G187" i="28"/>
  <c r="G188" i="28"/>
  <c r="G116" i="28"/>
  <c r="G73" i="28"/>
  <c r="G358" i="28"/>
  <c r="G353" i="28" s="1"/>
  <c r="G147" i="28"/>
  <c r="G360" i="28" l="1"/>
  <c r="G131" i="28"/>
  <c r="G148" i="28"/>
  <c r="G75" i="28"/>
  <c r="G77" i="28" l="1"/>
  <c r="G134" i="28"/>
  <c r="G138" i="28"/>
  <c r="G139" i="28"/>
  <c r="G361" i="28"/>
  <c r="G369" i="28" s="1"/>
  <c r="G128" i="28" l="1"/>
  <c r="H516" i="27"/>
  <c r="G653" i="27"/>
  <c r="H76" i="28"/>
  <c r="G550" i="27"/>
  <c r="G141" i="28"/>
  <c r="G83" i="28"/>
  <c r="G142" i="28"/>
  <c r="G654" i="27"/>
  <c r="G194" i="28" l="1"/>
  <c r="G91" i="28"/>
  <c r="H517" i="27"/>
  <c r="C8" i="42"/>
  <c r="H514" i="27"/>
  <c r="C6" i="42" l="1"/>
  <c r="H537" i="27"/>
  <c r="D435" i="23"/>
  <c r="D436" i="23" s="1"/>
  <c r="D442" i="23"/>
  <c r="D443" i="23" s="1"/>
  <c r="G99" i="28"/>
  <c r="G193" i="28"/>
  <c r="G117" i="28" l="1"/>
  <c r="G203" i="28"/>
  <c r="G190" i="28"/>
  <c r="D444" i="23"/>
  <c r="D446" i="23" s="1"/>
  <c r="C23" i="42"/>
  <c r="H67" i="28"/>
  <c r="H538" i="27"/>
  <c r="C24" i="42" s="1"/>
  <c r="H110" i="28"/>
  <c r="C30" i="46" l="1"/>
  <c r="H114" i="28"/>
  <c r="D24" i="45"/>
  <c r="H358" i="28"/>
  <c r="H353" i="28" s="1"/>
  <c r="H147" i="28"/>
  <c r="H73" i="28"/>
  <c r="D29" i="45" l="1"/>
  <c r="H75" i="28"/>
  <c r="H360" i="28"/>
  <c r="H131" i="28"/>
  <c r="C34" i="46"/>
  <c r="H189" i="28"/>
  <c r="D36" i="48" s="1"/>
  <c r="H188" i="28"/>
  <c r="D35" i="48" s="1"/>
  <c r="H144" i="28"/>
  <c r="D25" i="47" s="1"/>
  <c r="H187" i="28"/>
  <c r="D34" i="48" s="1"/>
  <c r="H116" i="28"/>
  <c r="C36" i="46" s="1"/>
  <c r="D28" i="47"/>
  <c r="H148" i="28"/>
  <c r="D29" i="47" s="1"/>
  <c r="D13" i="47" l="1"/>
  <c r="H138" i="28"/>
  <c r="H134" i="28"/>
  <c r="D31" i="45"/>
  <c r="H77" i="28"/>
  <c r="H139" i="28"/>
  <c r="H361" i="28"/>
  <c r="H369" i="28" s="1"/>
  <c r="D20" i="47" l="1"/>
  <c r="D19" i="47"/>
  <c r="H128" i="28"/>
  <c r="D10" i="47" s="1"/>
  <c r="I516" i="27"/>
  <c r="D33" i="45"/>
  <c r="I76" i="28"/>
  <c r="E32" i="45" s="1"/>
  <c r="H141" i="28"/>
  <c r="D22" i="47" s="1"/>
  <c r="H550" i="27"/>
  <c r="C31" i="42" s="1"/>
  <c r="H653" i="27"/>
  <c r="D81" i="43" s="1"/>
  <c r="H83" i="28"/>
  <c r="D16" i="47"/>
  <c r="E135" i="28"/>
  <c r="G135" i="28"/>
  <c r="H654" i="27"/>
  <c r="D82" i="43" s="1"/>
  <c r="F135" i="28"/>
  <c r="H135" i="28"/>
  <c r="C3" i="46" l="1"/>
  <c r="H91" i="28"/>
  <c r="H194" i="28"/>
  <c r="D41" i="48" s="1"/>
  <c r="H142" i="28"/>
  <c r="D23" i="47" s="1"/>
  <c r="I517" i="27"/>
  <c r="I514" i="27"/>
  <c r="C11" i="46" l="1"/>
  <c r="H99" i="28"/>
  <c r="H193" i="28"/>
  <c r="D40" i="48" s="1"/>
  <c r="I537" i="27"/>
  <c r="C19" i="46" l="1"/>
  <c r="H117" i="28"/>
  <c r="H203" i="28"/>
  <c r="H190" i="28"/>
  <c r="D37" i="48" s="1"/>
  <c r="I538" i="27"/>
  <c r="I110" i="28"/>
  <c r="I114" i="28" s="1"/>
  <c r="I67" i="28"/>
  <c r="I147" i="28" l="1"/>
  <c r="I73" i="28"/>
  <c r="I358" i="28"/>
  <c r="I353" i="28" s="1"/>
  <c r="I116" i="28"/>
  <c r="I189" i="28"/>
  <c r="I188" i="28"/>
  <c r="I187" i="28"/>
  <c r="I144" i="28"/>
  <c r="I360" i="28" l="1"/>
  <c r="I131" i="28"/>
  <c r="I148" i="28"/>
  <c r="I75" i="28"/>
  <c r="I77" i="28" l="1"/>
  <c r="I134" i="28"/>
  <c r="I138" i="28"/>
  <c r="I139" i="28"/>
  <c r="I361" i="28"/>
  <c r="I369" i="28" s="1"/>
  <c r="I128" i="28" l="1"/>
  <c r="J516" i="27"/>
  <c r="I141" i="28"/>
  <c r="I142" i="28" s="1"/>
  <c r="J76" i="28"/>
  <c r="I550" i="27"/>
  <c r="I83" i="28"/>
  <c r="I653" i="27"/>
  <c r="I654" i="27"/>
  <c r="I194" i="28" l="1"/>
  <c r="I91" i="28"/>
  <c r="J517" i="27"/>
  <c r="J514" i="27"/>
  <c r="J537" i="27" l="1"/>
  <c r="I193" i="28"/>
  <c r="I99" i="28"/>
  <c r="J538" i="27" l="1"/>
  <c r="J110" i="28"/>
  <c r="J114" i="28" s="1"/>
  <c r="J67" i="28"/>
  <c r="I190" i="28"/>
  <c r="I117" i="28"/>
  <c r="I203" i="28"/>
  <c r="J187" i="28" l="1"/>
  <c r="J144" i="28"/>
  <c r="J188" i="28"/>
  <c r="J189" i="28"/>
  <c r="J116" i="28"/>
  <c r="J147" i="28"/>
  <c r="J73" i="28"/>
  <c r="J358" i="28"/>
  <c r="J353" i="28" s="1"/>
  <c r="J75" i="28" l="1"/>
  <c r="J131" i="28"/>
  <c r="J360" i="28"/>
  <c r="J148" i="28"/>
  <c r="J361" i="28" l="1"/>
  <c r="J369" i="28" s="1"/>
  <c r="J139" i="28"/>
  <c r="J77" i="28"/>
  <c r="J138" i="28"/>
  <c r="J134" i="28"/>
  <c r="J654" i="27" l="1"/>
  <c r="J128" i="28"/>
  <c r="K516" i="27"/>
  <c r="J653" i="27"/>
  <c r="J550" i="27"/>
  <c r="J141" i="28"/>
  <c r="J142" i="28" s="1"/>
  <c r="J83" i="28"/>
  <c r="K76" i="28"/>
  <c r="J194" i="28" l="1"/>
  <c r="J91" i="28"/>
  <c r="K517" i="27"/>
  <c r="K514" i="27"/>
  <c r="K537" i="27" l="1"/>
  <c r="J193" i="28"/>
  <c r="J99" i="28"/>
  <c r="K538" i="27" l="1"/>
  <c r="K110" i="28"/>
  <c r="K114" i="28" s="1"/>
  <c r="K67" i="28"/>
  <c r="J190" i="28"/>
  <c r="J203" i="28"/>
  <c r="J117" i="28"/>
  <c r="K189" i="28" l="1"/>
  <c r="K116" i="28"/>
  <c r="K188" i="28"/>
  <c r="K187" i="28"/>
  <c r="K144" i="28"/>
  <c r="K358" i="28"/>
  <c r="K353" i="28" s="1"/>
  <c r="K147" i="28"/>
  <c r="K73" i="28"/>
  <c r="K131" i="28" l="1"/>
  <c r="K360" i="28"/>
  <c r="K75" i="28"/>
  <c r="K148" i="28"/>
  <c r="K361" i="28" l="1"/>
  <c r="K369" i="28" s="1"/>
  <c r="K139" i="28"/>
  <c r="K77" i="28"/>
  <c r="K134" i="28"/>
  <c r="K138" i="28"/>
  <c r="K128" i="28" l="1"/>
  <c r="K654" i="27"/>
  <c r="L516" i="27"/>
  <c r="K141" i="28"/>
  <c r="K142" i="28" s="1"/>
  <c r="K550" i="27"/>
  <c r="K653" i="27"/>
  <c r="L76" i="28"/>
  <c r="K83" i="28"/>
  <c r="L517" i="27" l="1"/>
  <c r="D8" i="42"/>
  <c r="L514" i="27"/>
  <c r="K194" i="28"/>
  <c r="K91" i="28"/>
  <c r="K193" i="28" l="1"/>
  <c r="K99" i="28"/>
  <c r="E442" i="23"/>
  <c r="E443" i="23" s="1"/>
  <c r="E435" i="23"/>
  <c r="E436" i="23" s="1"/>
  <c r="D6" i="42"/>
  <c r="L537" i="27"/>
  <c r="D23" i="42" l="1"/>
  <c r="L67" i="28"/>
  <c r="L538" i="27"/>
  <c r="D24" i="42" s="1"/>
  <c r="L110" i="28"/>
  <c r="E444" i="23"/>
  <c r="K117" i="28"/>
  <c r="K190" i="28"/>
  <c r="K203" i="28"/>
  <c r="E446" i="23"/>
  <c r="D30" i="46" l="1"/>
  <c r="L114" i="28"/>
  <c r="E24" i="45"/>
  <c r="L147" i="28"/>
  <c r="L73" i="28"/>
  <c r="L358" i="28"/>
  <c r="L353" i="28" s="1"/>
  <c r="E29" i="45" l="1"/>
  <c r="L75" i="28"/>
  <c r="L131" i="28"/>
  <c r="L360" i="28"/>
  <c r="E28" i="47"/>
  <c r="L148" i="28"/>
  <c r="E29" i="47" s="1"/>
  <c r="D34" i="46"/>
  <c r="L189" i="28"/>
  <c r="E36" i="48" s="1"/>
  <c r="L116" i="28"/>
  <c r="D36" i="46" s="1"/>
  <c r="L187" i="28"/>
  <c r="E34" i="48" s="1"/>
  <c r="L144" i="28"/>
  <c r="E25" i="47" s="1"/>
  <c r="L188" i="28"/>
  <c r="E35" i="48" s="1"/>
  <c r="L361" i="28" l="1"/>
  <c r="L369" i="28" s="1"/>
  <c r="L139" i="28"/>
  <c r="E31" i="45"/>
  <c r="L77" i="28"/>
  <c r="E13" i="47"/>
  <c r="L134" i="28"/>
  <c r="L138" i="28"/>
  <c r="E16" i="47" l="1"/>
  <c r="L654" i="27"/>
  <c r="E82" i="43" s="1"/>
  <c r="J135" i="28"/>
  <c r="K135" i="28"/>
  <c r="I135" i="28"/>
  <c r="L135" i="28"/>
  <c r="M516" i="27"/>
  <c r="M514" i="27" s="1"/>
  <c r="E33" i="45"/>
  <c r="M76" i="28"/>
  <c r="F32" i="45" s="1"/>
  <c r="L83" i="28"/>
  <c r="L653" i="27"/>
  <c r="E81" i="43" s="1"/>
  <c r="L141" i="28"/>
  <c r="E22" i="47" s="1"/>
  <c r="L550" i="27"/>
  <c r="D31" i="42" s="1"/>
  <c r="E20" i="47"/>
  <c r="E19" i="47"/>
  <c r="L128" i="28"/>
  <c r="E10" i="47" s="1"/>
  <c r="L142" i="28" l="1"/>
  <c r="E23" i="47" s="1"/>
  <c r="D3" i="46"/>
  <c r="L194" i="28"/>
  <c r="E41" i="48" s="1"/>
  <c r="L91" i="28"/>
  <c r="M517" i="27"/>
  <c r="M537" i="27"/>
  <c r="D11" i="46" l="1"/>
  <c r="L193" i="28"/>
  <c r="E40" i="48" s="1"/>
  <c r="L99" i="28"/>
  <c r="M538" i="27"/>
  <c r="M110" i="28"/>
  <c r="M67" i="28"/>
  <c r="D19" i="46" l="1"/>
  <c r="L117" i="28"/>
  <c r="L190" i="28"/>
  <c r="E37" i="48" s="1"/>
  <c r="L203" i="28"/>
  <c r="M114" i="28"/>
  <c r="M147" i="28"/>
  <c r="M73" i="28"/>
  <c r="M358" i="28"/>
  <c r="M353" i="28" l="1"/>
  <c r="M148" i="28"/>
  <c r="M75" i="28"/>
  <c r="M116" i="28"/>
  <c r="M187" i="28"/>
  <c r="M189" i="28"/>
  <c r="M144" i="28"/>
  <c r="M188" i="28"/>
  <c r="M77" i="28" l="1"/>
  <c r="N516" i="27" s="1"/>
  <c r="M360" i="28"/>
  <c r="M131" i="28"/>
  <c r="N517" i="27" l="1"/>
  <c r="M139" i="28"/>
  <c r="M361" i="28"/>
  <c r="M138" i="28"/>
  <c r="M134" i="28"/>
  <c r="M653" i="27"/>
  <c r="M141" i="28"/>
  <c r="N76" i="28"/>
  <c r="M550" i="27"/>
  <c r="M83" i="28"/>
  <c r="M128" i="28" l="1"/>
  <c r="M369" i="28"/>
  <c r="M142" i="28"/>
  <c r="N514" i="27"/>
  <c r="M194" i="28"/>
  <c r="M91" i="28"/>
  <c r="M654" i="27"/>
  <c r="M193" i="28" l="1"/>
  <c r="M99" i="28"/>
  <c r="N537" i="27"/>
  <c r="N538" i="27" l="1"/>
  <c r="N67" i="28"/>
  <c r="N110" i="28"/>
  <c r="M203" i="28"/>
  <c r="M190" i="28"/>
  <c r="M117" i="28"/>
  <c r="N147" i="28" l="1"/>
  <c r="N358" i="28"/>
  <c r="N73" i="28"/>
  <c r="N114" i="28"/>
  <c r="N189" i="28" l="1"/>
  <c r="N187" i="28"/>
  <c r="N116" i="28"/>
  <c r="N188" i="28"/>
  <c r="N144" i="28"/>
  <c r="N75" i="28"/>
  <c r="N353" i="28"/>
  <c r="N148" i="28"/>
  <c r="N77" i="28" l="1"/>
  <c r="O516" i="27" s="1"/>
  <c r="N131" i="28"/>
  <c r="N360" i="28"/>
  <c r="O517" i="27" l="1"/>
  <c r="N134" i="28"/>
  <c r="N138" i="28"/>
  <c r="N361" i="28"/>
  <c r="N139" i="28"/>
  <c r="N653" i="27"/>
  <c r="O76" i="28"/>
  <c r="N141" i="28"/>
  <c r="N83" i="28"/>
  <c r="N550" i="27"/>
  <c r="N142" i="28" l="1"/>
  <c r="N128" i="28"/>
  <c r="O514" i="27"/>
  <c r="N91" i="28"/>
  <c r="N194" i="28"/>
  <c r="N369" i="28"/>
  <c r="N654" i="27"/>
  <c r="N99" i="28" l="1"/>
  <c r="N193" i="28"/>
  <c r="O537" i="27"/>
  <c r="O538" i="27" l="1"/>
  <c r="O67" i="28"/>
  <c r="O110" i="28"/>
  <c r="N117" i="28"/>
  <c r="N190" i="28"/>
  <c r="N203" i="28"/>
  <c r="O147" i="28" l="1"/>
  <c r="O358" i="28"/>
  <c r="O73" i="28"/>
  <c r="O114" i="28"/>
  <c r="O189" i="28" l="1"/>
  <c r="O188" i="28"/>
  <c r="O187" i="28"/>
  <c r="O116" i="28"/>
  <c r="O144" i="28"/>
  <c r="O75" i="28"/>
  <c r="O148" i="28"/>
  <c r="O353" i="28"/>
  <c r="O131" i="28" l="1"/>
  <c r="O360" i="28"/>
  <c r="O77" i="28"/>
  <c r="P516" i="27" s="1"/>
  <c r="P517" i="27" l="1"/>
  <c r="E8" i="42"/>
  <c r="O141" i="28"/>
  <c r="O83" i="28"/>
  <c r="O653" i="27"/>
  <c r="P76" i="28"/>
  <c r="O550" i="27"/>
  <c r="O139" i="28"/>
  <c r="O361" i="28"/>
  <c r="O134" i="28"/>
  <c r="O138" i="28"/>
  <c r="O369" i="28" l="1"/>
  <c r="O128" i="28"/>
  <c r="O142" i="28"/>
  <c r="P514" i="27"/>
  <c r="E6" i="42" s="1"/>
  <c r="O194" i="28"/>
  <c r="O91" i="28"/>
  <c r="O654" i="27"/>
  <c r="O193" i="28" l="1"/>
  <c r="O99" i="28"/>
  <c r="F435" i="23"/>
  <c r="F442" i="23"/>
  <c r="P537" i="27"/>
  <c r="E23" i="42" s="1"/>
  <c r="F443" i="23" l="1"/>
  <c r="O117" i="28"/>
  <c r="O190" i="28"/>
  <c r="O203" i="28"/>
  <c r="P538" i="27"/>
  <c r="E24" i="42" s="1"/>
  <c r="P67" i="28"/>
  <c r="F24" i="45" s="1"/>
  <c r="P110" i="28"/>
  <c r="E30" i="46" s="1"/>
  <c r="F436" i="23"/>
  <c r="P147" i="28" l="1"/>
  <c r="F28" i="47" s="1"/>
  <c r="P358" i="28"/>
  <c r="P73" i="28"/>
  <c r="F29" i="45" s="1"/>
  <c r="F444" i="23"/>
  <c r="F446" i="23" s="1"/>
  <c r="P114" i="28"/>
  <c r="E34" i="46" s="1"/>
  <c r="P353" i="28" l="1"/>
  <c r="P144" i="28"/>
  <c r="F25" i="47" s="1"/>
  <c r="P189" i="28"/>
  <c r="F36" i="48" s="1"/>
  <c r="P187" i="28"/>
  <c r="F34" i="48" s="1"/>
  <c r="P188" i="28"/>
  <c r="F35" i="48" s="1"/>
  <c r="P116" i="28"/>
  <c r="E36" i="46" s="1"/>
  <c r="P75" i="28"/>
  <c r="F31" i="45" s="1"/>
  <c r="P148" i="28"/>
  <c r="F29" i="47" s="1"/>
  <c r="P77" i="28" l="1"/>
  <c r="P131" i="28"/>
  <c r="F13" i="47" s="1"/>
  <c r="P360" i="28"/>
  <c r="Q516" i="27" l="1"/>
  <c r="F33" i="45"/>
  <c r="P138" i="28"/>
  <c r="F19" i="47" s="1"/>
  <c r="P134" i="28"/>
  <c r="F16" i="47" s="1"/>
  <c r="P139" i="28"/>
  <c r="F20" i="47" s="1"/>
  <c r="P361" i="28"/>
  <c r="P653" i="27"/>
  <c r="F81" i="43" s="1"/>
  <c r="Q76" i="28"/>
  <c r="G32" i="45" s="1"/>
  <c r="P83" i="28"/>
  <c r="E3" i="46" s="1"/>
  <c r="P141" i="28"/>
  <c r="F22" i="47" s="1"/>
  <c r="P550" i="27"/>
  <c r="E31" i="42" s="1"/>
  <c r="Q517" i="27" l="1"/>
  <c r="P194" i="28"/>
  <c r="F41" i="48" s="1"/>
  <c r="P91" i="28"/>
  <c r="E11" i="46" s="1"/>
  <c r="P142" i="28"/>
  <c r="F23" i="47" s="1"/>
  <c r="P654" i="27"/>
  <c r="F82" i="43" s="1"/>
  <c r="P135" i="28"/>
  <c r="O135" i="28"/>
  <c r="N135" i="28"/>
  <c r="M135" i="28"/>
  <c r="Q514" i="27"/>
  <c r="P369" i="28"/>
  <c r="P128" i="28"/>
  <c r="F10" i="47" s="1"/>
  <c r="Q537" i="27" l="1"/>
  <c r="P99" i="28"/>
  <c r="E19" i="46" s="1"/>
  <c r="P193" i="28"/>
  <c r="F40" i="48" s="1"/>
  <c r="Q538" i="27" l="1"/>
  <c r="Q67" i="28"/>
  <c r="Q110" i="28"/>
  <c r="P117" i="28"/>
  <c r="P203" i="28"/>
  <c r="P190" i="28"/>
  <c r="F37" i="48" s="1"/>
  <c r="Q114" i="28" l="1"/>
  <c r="Q358" i="28"/>
  <c r="Q147" i="28"/>
  <c r="Q73" i="28"/>
  <c r="Q148" i="28" l="1"/>
  <c r="Q75" i="28"/>
  <c r="Q353" i="28"/>
  <c r="Q116" i="28"/>
  <c r="Q188" i="28"/>
  <c r="Q144" i="28"/>
  <c r="Q189" i="28"/>
  <c r="Q187" i="28"/>
  <c r="Q360" i="28" l="1"/>
  <c r="Q131" i="28"/>
  <c r="Q77" i="28"/>
  <c r="R516" i="27" s="1"/>
  <c r="R517" i="27" l="1"/>
  <c r="Q134" i="28"/>
  <c r="Q138" i="28"/>
  <c r="Q653" i="27"/>
  <c r="R76" i="28"/>
  <c r="Q141" i="28"/>
  <c r="Q550" i="27"/>
  <c r="Q83" i="28"/>
  <c r="Q361" i="28"/>
  <c r="Q139" i="28"/>
  <c r="Q369" i="28" l="1"/>
  <c r="R514" i="27"/>
  <c r="Q142" i="28"/>
  <c r="Q194" i="28"/>
  <c r="Q91" i="28"/>
  <c r="Q654" i="27"/>
  <c r="Q128" i="28"/>
  <c r="Q99" i="28" l="1"/>
  <c r="Q193" i="28"/>
  <c r="R537" i="27"/>
  <c r="R538" i="27" l="1"/>
  <c r="R67" i="28"/>
  <c r="R110" i="28"/>
  <c r="Q117" i="28"/>
  <c r="Q203" i="28"/>
  <c r="Q190" i="28"/>
  <c r="R114" i="28" l="1"/>
  <c r="R147" i="28"/>
  <c r="R358" i="28"/>
  <c r="R353" i="28" s="1"/>
  <c r="R73" i="28"/>
  <c r="R360" i="28" l="1"/>
  <c r="R131" i="28"/>
  <c r="R75" i="28"/>
  <c r="R148" i="28"/>
  <c r="R189" i="28"/>
  <c r="R188" i="28"/>
  <c r="R116" i="28"/>
  <c r="R187" i="28"/>
  <c r="R144" i="28"/>
  <c r="R138" i="28" l="1"/>
  <c r="R134" i="28"/>
  <c r="R77" i="28"/>
  <c r="S516" i="27" s="1"/>
  <c r="R139" i="28"/>
  <c r="R361" i="28"/>
  <c r="S517" i="27" l="1"/>
  <c r="R369" i="28"/>
  <c r="R128" i="28"/>
  <c r="R141" i="28"/>
  <c r="R142" i="28" s="1"/>
  <c r="R550" i="27"/>
  <c r="R653" i="27"/>
  <c r="S76" i="28"/>
  <c r="R83" i="28"/>
  <c r="R654" i="27"/>
  <c r="S514" i="27" l="1"/>
  <c r="R194" i="28"/>
  <c r="R91" i="28"/>
  <c r="S537" i="27" l="1"/>
  <c r="R193" i="28"/>
  <c r="R99" i="28"/>
  <c r="R117" i="28" l="1"/>
  <c r="R190" i="28"/>
  <c r="R203" i="28"/>
  <c r="S538" i="27"/>
  <c r="S67" i="28"/>
  <c r="S110" i="28"/>
  <c r="S114" i="28" l="1"/>
  <c r="S147" i="28"/>
  <c r="S358" i="28"/>
  <c r="S353" i="28" s="1"/>
  <c r="S73" i="28"/>
  <c r="S360" i="28" l="1"/>
  <c r="S131" i="28"/>
  <c r="S75" i="28"/>
  <c r="S148" i="28"/>
  <c r="S188" i="28"/>
  <c r="S187" i="28"/>
  <c r="S144" i="28"/>
  <c r="S189" i="28"/>
  <c r="S116" i="28"/>
  <c r="S138" i="28" l="1"/>
  <c r="S134" i="28"/>
  <c r="S77" i="28"/>
  <c r="T516" i="27" s="1"/>
  <c r="S361" i="28"/>
  <c r="S139" i="28"/>
  <c r="T517" i="27" l="1"/>
  <c r="F8" i="42"/>
  <c r="S369" i="28"/>
  <c r="S653" i="27"/>
  <c r="S550" i="27"/>
  <c r="S83" i="28"/>
  <c r="S141" i="28"/>
  <c r="S142" i="28" s="1"/>
  <c r="T76" i="28"/>
  <c r="S654" i="27"/>
  <c r="S128" i="28"/>
  <c r="T514" i="27" l="1"/>
  <c r="F6" i="42" s="1"/>
  <c r="S194" i="28"/>
  <c r="S91" i="28"/>
  <c r="G442" i="23" l="1"/>
  <c r="G435" i="23"/>
  <c r="S193" i="28"/>
  <c r="S99" i="28"/>
  <c r="T537" i="27"/>
  <c r="F23" i="42" s="1"/>
  <c r="T538" i="27" l="1"/>
  <c r="F24" i="42" s="1"/>
  <c r="T67" i="28"/>
  <c r="G24" i="45" s="1"/>
  <c r="T110" i="28"/>
  <c r="F30" i="46" s="1"/>
  <c r="G443" i="23"/>
  <c r="S203" i="28"/>
  <c r="S190" i="28"/>
  <c r="S117" i="28"/>
  <c r="G436" i="23"/>
  <c r="G444" i="23" l="1"/>
  <c r="G446" i="23" s="1"/>
  <c r="T114" i="28"/>
  <c r="F34" i="46" s="1"/>
  <c r="T147" i="28"/>
  <c r="G28" i="47" s="1"/>
  <c r="T358" i="28"/>
  <c r="T353" i="28" s="1"/>
  <c r="T73" i="28"/>
  <c r="G29" i="45" s="1"/>
  <c r="T75" i="28" l="1"/>
  <c r="G31" i="45" s="1"/>
  <c r="T131" i="28"/>
  <c r="G13" i="47" s="1"/>
  <c r="T360" i="28"/>
  <c r="T148" i="28"/>
  <c r="G29" i="47" s="1"/>
  <c r="T189" i="28"/>
  <c r="G36" i="48" s="1"/>
  <c r="T188" i="28"/>
  <c r="G35" i="48" s="1"/>
  <c r="T144" i="28"/>
  <c r="G25" i="47" s="1"/>
  <c r="T187" i="28"/>
  <c r="G34" i="48" s="1"/>
  <c r="T116" i="28"/>
  <c r="F36" i="46" s="1"/>
  <c r="T138" i="28" l="1"/>
  <c r="G19" i="47" s="1"/>
  <c r="T134" i="28"/>
  <c r="G16" i="47" s="1"/>
  <c r="T77" i="28"/>
  <c r="T139" i="28"/>
  <c r="G20" i="47" s="1"/>
  <c r="T361" i="28"/>
  <c r="U516" i="27" l="1"/>
  <c r="G33" i="45"/>
  <c r="T369" i="28"/>
  <c r="T141" i="28"/>
  <c r="G22" i="47" s="1"/>
  <c r="T83" i="28"/>
  <c r="F3" i="46" s="1"/>
  <c r="T653" i="27"/>
  <c r="G81" i="43" s="1"/>
  <c r="T550" i="27"/>
  <c r="F31" i="42" s="1"/>
  <c r="U76" i="28"/>
  <c r="T654" i="27"/>
  <c r="G82" i="43" s="1"/>
  <c r="Q135" i="28"/>
  <c r="T135" i="28"/>
  <c r="R135" i="28"/>
  <c r="S135" i="28"/>
  <c r="T128" i="28"/>
  <c r="G10" i="47" s="1"/>
  <c r="H32" i="45" l="1"/>
  <c r="U517" i="27"/>
  <c r="U514" i="27"/>
  <c r="T194" i="28"/>
  <c r="G41" i="48" s="1"/>
  <c r="T91" i="28"/>
  <c r="F11" i="46" s="1"/>
  <c r="T142" i="28"/>
  <c r="G23" i="47" s="1"/>
  <c r="U537" i="27" l="1"/>
  <c r="T193" i="28"/>
  <c r="G40" i="48" s="1"/>
  <c r="T99" i="28"/>
  <c r="F19" i="46" s="1"/>
  <c r="U538" i="27" l="1"/>
  <c r="U67" i="28"/>
  <c r="U110" i="28"/>
  <c r="T203" i="28"/>
  <c r="T190" i="28"/>
  <c r="G37" i="48" s="1"/>
  <c r="T117" i="28"/>
  <c r="U114" i="28" l="1"/>
  <c r="U147" i="28"/>
  <c r="U358" i="28"/>
  <c r="U353" i="28" s="1"/>
  <c r="U73" i="28"/>
  <c r="U148" i="28" l="1"/>
  <c r="U75" i="28"/>
  <c r="U360" i="28"/>
  <c r="U131" i="28"/>
  <c r="U116" i="28"/>
  <c r="U144" i="28"/>
  <c r="U187" i="28"/>
  <c r="U188" i="28"/>
  <c r="U189" i="28"/>
  <c r="U361" i="28" l="1"/>
  <c r="U139" i="28"/>
  <c r="U138" i="28"/>
  <c r="U134" i="28"/>
  <c r="U77" i="28"/>
  <c r="V516" i="27" l="1"/>
  <c r="U141" i="28"/>
  <c r="U142" i="28" s="1"/>
  <c r="U550" i="27"/>
  <c r="V76" i="28"/>
  <c r="U653" i="27"/>
  <c r="U83" i="28"/>
  <c r="U128" i="28"/>
  <c r="U654" i="27"/>
  <c r="U369" i="28"/>
  <c r="V517" i="27" l="1"/>
  <c r="U194" i="28"/>
  <c r="U91" i="28"/>
  <c r="V514" i="27"/>
  <c r="U193" i="28" l="1"/>
  <c r="U99" i="28"/>
  <c r="V537" i="27"/>
  <c r="U117" i="28" l="1"/>
  <c r="U190" i="28"/>
  <c r="U203" i="28"/>
  <c r="V538" i="27"/>
  <c r="V67" i="28"/>
  <c r="V110" i="28"/>
  <c r="V114" i="28" l="1"/>
  <c r="V147" i="28"/>
  <c r="V358" i="28"/>
  <c r="V353" i="28" s="1"/>
  <c r="V73" i="28"/>
  <c r="V131" i="28" l="1"/>
  <c r="V360" i="28"/>
  <c r="V75" i="28"/>
  <c r="V148" i="28"/>
  <c r="V144" i="28"/>
  <c r="V116" i="28"/>
  <c r="V189" i="28"/>
  <c r="V187" i="28"/>
  <c r="V188" i="28"/>
  <c r="V139" i="28" l="1"/>
  <c r="V361" i="28"/>
  <c r="V77" i="28"/>
  <c r="V134" i="28"/>
  <c r="V138" i="28"/>
  <c r="W516" i="27" l="1"/>
  <c r="V128" i="28"/>
  <c r="V654" i="27"/>
  <c r="V369" i="28"/>
  <c r="V653" i="27"/>
  <c r="V550" i="27"/>
  <c r="V141" i="28"/>
  <c r="V142" i="28" s="1"/>
  <c r="W76" i="28"/>
  <c r="V83" i="28"/>
  <c r="W517" i="27" l="1"/>
  <c r="W514" i="27"/>
  <c r="V91" i="28"/>
  <c r="V194" i="28"/>
  <c r="V193" i="28" l="1"/>
  <c r="V99" i="28"/>
  <c r="W537" i="27"/>
  <c r="V190" i="28" l="1"/>
  <c r="V203" i="28"/>
  <c r="V117" i="28"/>
  <c r="W538" i="27"/>
  <c r="W67" i="28"/>
  <c r="W110" i="28"/>
  <c r="W114" i="28" l="1"/>
  <c r="W358" i="28"/>
  <c r="W353" i="28" s="1"/>
  <c r="W147" i="28"/>
  <c r="W73" i="28"/>
  <c r="W75" i="28" l="1"/>
  <c r="W148" i="28"/>
  <c r="W131" i="28"/>
  <c r="W360" i="28"/>
  <c r="W188" i="28"/>
  <c r="W144" i="28"/>
  <c r="W187" i="28"/>
  <c r="W116" i="28"/>
  <c r="W189" i="28"/>
  <c r="W138" i="28" l="1"/>
  <c r="W134" i="28"/>
  <c r="W139" i="28"/>
  <c r="W361" i="28"/>
  <c r="W77" i="28"/>
  <c r="X516" i="27" l="1"/>
  <c r="W369" i="28"/>
  <c r="W141" i="28"/>
  <c r="W142" i="28" s="1"/>
  <c r="W653" i="27"/>
  <c r="W550" i="27"/>
  <c r="W83" i="28"/>
  <c r="X76" i="28"/>
  <c r="W128" i="28"/>
  <c r="W654" i="27"/>
  <c r="X517" i="27" l="1"/>
  <c r="G8" i="42"/>
  <c r="X514" i="27"/>
  <c r="G6" i="42" s="1"/>
  <c r="W194" i="28"/>
  <c r="W91" i="28"/>
  <c r="H435" i="23" l="1"/>
  <c r="H442" i="23"/>
  <c r="X537" i="27"/>
  <c r="G23" i="42" s="1"/>
  <c r="W193" i="28"/>
  <c r="W99" i="28"/>
  <c r="H443" i="23" l="1"/>
  <c r="I442" i="23"/>
  <c r="W190" i="28"/>
  <c r="W117" i="28"/>
  <c r="W203" i="28"/>
  <c r="X538" i="27"/>
  <c r="G24" i="42" s="1"/>
  <c r="X67" i="28"/>
  <c r="X110" i="28"/>
  <c r="G30" i="46" s="1"/>
  <c r="H436" i="23"/>
  <c r="I435" i="23"/>
  <c r="H24" i="45" l="1"/>
  <c r="X114" i="28"/>
  <c r="G34" i="46" s="1"/>
  <c r="X147" i="28"/>
  <c r="H28" i="47" s="1"/>
  <c r="X358" i="28"/>
  <c r="X353" i="28" s="1"/>
  <c r="X73" i="28"/>
  <c r="H444" i="23"/>
  <c r="I444" i="23" s="1"/>
  <c r="I436" i="23"/>
  <c r="I443" i="23"/>
  <c r="H29" i="45" l="1"/>
  <c r="H446" i="23"/>
  <c r="I446" i="23" s="1"/>
  <c r="X75" i="28"/>
  <c r="X144" i="28"/>
  <c r="H25" i="47" s="1"/>
  <c r="X187" i="28"/>
  <c r="X116" i="28"/>
  <c r="G36" i="46" s="1"/>
  <c r="X188" i="28"/>
  <c r="X189" i="28"/>
  <c r="X131" i="28"/>
  <c r="H13" i="47" s="1"/>
  <c r="X360" i="28"/>
  <c r="X148" i="28"/>
  <c r="H29" i="47" s="1"/>
  <c r="H34" i="48" l="1"/>
  <c r="H35" i="48"/>
  <c r="H31" i="45"/>
  <c r="H36" i="48"/>
  <c r="X134" i="28"/>
  <c r="H16" i="47" s="1"/>
  <c r="X138" i="28"/>
  <c r="H19" i="47" s="1"/>
  <c r="X361" i="28"/>
  <c r="X139" i="28"/>
  <c r="H20" i="47" s="1"/>
  <c r="X77" i="28"/>
  <c r="Y516" i="27" l="1"/>
  <c r="H33" i="45"/>
  <c r="X369" i="28"/>
  <c r="X128" i="28"/>
  <c r="H10" i="47" s="1"/>
  <c r="X141" i="28"/>
  <c r="H22" i="47" s="1"/>
  <c r="Y76" i="28"/>
  <c r="I32" i="45" s="1"/>
  <c r="X83" i="28"/>
  <c r="G3" i="46" s="1"/>
  <c r="X653" i="27"/>
  <c r="H81" i="43" s="1"/>
  <c r="X550" i="27"/>
  <c r="G31" i="42" s="1"/>
  <c r="X654" i="27"/>
  <c r="H82" i="43" s="1"/>
  <c r="W135" i="28"/>
  <c r="U135" i="28"/>
  <c r="X135" i="28"/>
  <c r="V135" i="28"/>
  <c r="X142" i="28" l="1"/>
  <c r="H23" i="47" s="1"/>
  <c r="Y517" i="27"/>
  <c r="X91" i="28"/>
  <c r="G11" i="46" s="1"/>
  <c r="X194" i="28"/>
  <c r="Y514" i="27"/>
  <c r="H41" i="48" l="1"/>
  <c r="X193" i="28"/>
  <c r="X99" i="28"/>
  <c r="G19" i="46" s="1"/>
  <c r="Y537" i="27"/>
  <c r="H40" i="48" l="1"/>
  <c r="Y538" i="27"/>
  <c r="Y67" i="28"/>
  <c r="Y110" i="28"/>
  <c r="X117" i="28"/>
  <c r="X203" i="28"/>
  <c r="X190" i="28"/>
  <c r="H37" i="48" l="1"/>
  <c r="Y114" i="28"/>
  <c r="Y358" i="28"/>
  <c r="Y353" i="28" s="1"/>
  <c r="Y147" i="28"/>
  <c r="Y73" i="28"/>
  <c r="Y75" i="28" l="1"/>
  <c r="Y131" i="28"/>
  <c r="Y360" i="28"/>
  <c r="Y148" i="28"/>
  <c r="Y116" i="28"/>
  <c r="Y188" i="28"/>
  <c r="Y187" i="28"/>
  <c r="Y189" i="28"/>
  <c r="Y144" i="28"/>
  <c r="Y361" i="28" l="1"/>
  <c r="Y139" i="28"/>
  <c r="Y134" i="28"/>
  <c r="Y138" i="28"/>
  <c r="Y77" i="28"/>
  <c r="Z516" i="27" l="1"/>
  <c r="Y369" i="28"/>
  <c r="Y654" i="27"/>
  <c r="Y141" i="28"/>
  <c r="Z76" i="28"/>
  <c r="Y653" i="27"/>
  <c r="Y550" i="27"/>
  <c r="Y83" i="28"/>
  <c r="Y128" i="28"/>
  <c r="Y142" i="28"/>
  <c r="Z517" i="27" l="1"/>
  <c r="Z514" i="27"/>
  <c r="Y194" i="28"/>
  <c r="Y91" i="28"/>
  <c r="Y193" i="28" l="1"/>
  <c r="Y99" i="28"/>
  <c r="Z537" i="27"/>
  <c r="Y117" i="28" l="1"/>
  <c r="Y190" i="28"/>
  <c r="Y203" i="28"/>
  <c r="Z538" i="27"/>
  <c r="Z67" i="28"/>
  <c r="Z110" i="28"/>
  <c r="Z114" i="28" l="1"/>
  <c r="Z147" i="28"/>
  <c r="Z358" i="28"/>
  <c r="Z353" i="28" s="1"/>
  <c r="Z73" i="28"/>
  <c r="Z131" i="28" l="1"/>
  <c r="Z360" i="28"/>
  <c r="Z75" i="28"/>
  <c r="Z148" i="28"/>
  <c r="Z189" i="28"/>
  <c r="Z188" i="28"/>
  <c r="Z116" i="28"/>
  <c r="Z187" i="28"/>
  <c r="Z144" i="28"/>
  <c r="Z139" i="28" l="1"/>
  <c r="Z361" i="28"/>
  <c r="Z77" i="28"/>
  <c r="Z138" i="28"/>
  <c r="Z134" i="28"/>
  <c r="AA516" i="27" l="1"/>
  <c r="Z654" i="27"/>
  <c r="Z128" i="28"/>
  <c r="Z653" i="27"/>
  <c r="Z83" i="28"/>
  <c r="AA76" i="28"/>
  <c r="Z141" i="28"/>
  <c r="Z142" i="28" s="1"/>
  <c r="Z550" i="27"/>
  <c r="Z369" i="28"/>
  <c r="AA517" i="27" l="1"/>
  <c r="AA514" i="27"/>
  <c r="Z91" i="28"/>
  <c r="Z194" i="28"/>
  <c r="Z193" i="28" l="1"/>
  <c r="Z99" i="28"/>
  <c r="AA537" i="27"/>
  <c r="AA538" i="27" l="1"/>
  <c r="AA67" i="28"/>
  <c r="AA110" i="28"/>
  <c r="Z203" i="28"/>
  <c r="Z117" i="28"/>
  <c r="Z190" i="28"/>
  <c r="AA114" i="28" l="1"/>
  <c r="AA147" i="28"/>
  <c r="AA358" i="28"/>
  <c r="AA353" i="28" s="1"/>
  <c r="AA73" i="28"/>
  <c r="AA131" i="28" l="1"/>
  <c r="AA360" i="28"/>
  <c r="AA75" i="28"/>
  <c r="AA148" i="28"/>
  <c r="AA116" i="28"/>
  <c r="AA189" i="28"/>
  <c r="AA188" i="28"/>
  <c r="AA187" i="28"/>
  <c r="AA144" i="28"/>
  <c r="AA139" i="28" l="1"/>
  <c r="AA361" i="28"/>
  <c r="AA77" i="28"/>
  <c r="AA138" i="28"/>
  <c r="AA134" i="28"/>
  <c r="AB516" i="27" l="1"/>
  <c r="AA654" i="27"/>
  <c r="AA128" i="28"/>
  <c r="AA653" i="27"/>
  <c r="AA141" i="28"/>
  <c r="AA142" i="28" s="1"/>
  <c r="AB76" i="28"/>
  <c r="AA550" i="27"/>
  <c r="AA83" i="28"/>
  <c r="AA369" i="28"/>
  <c r="AB517" i="27" l="1"/>
  <c r="H8" i="42"/>
  <c r="AB514" i="27"/>
  <c r="H6" i="42" s="1"/>
  <c r="AA91" i="28"/>
  <c r="AA194" i="28"/>
  <c r="AA99" i="28" l="1"/>
  <c r="AA193" i="28"/>
  <c r="AB537" i="27"/>
  <c r="H23" i="42" s="1"/>
  <c r="AB538" i="27" l="1"/>
  <c r="H24" i="42" s="1"/>
  <c r="AB67" i="28"/>
  <c r="I24" i="45" s="1"/>
  <c r="AB110" i="28"/>
  <c r="H30" i="46" s="1"/>
  <c r="AA190" i="28"/>
  <c r="AA117" i="28"/>
  <c r="AA203" i="28"/>
  <c r="AB114" i="28" l="1"/>
  <c r="H34" i="46" s="1"/>
  <c r="AB358" i="28"/>
  <c r="AB353" i="28" s="1"/>
  <c r="AB147" i="28"/>
  <c r="I28" i="47" s="1"/>
  <c r="AB73" i="28"/>
  <c r="I29" i="45" s="1"/>
  <c r="AB131" i="28" l="1"/>
  <c r="I13" i="47" s="1"/>
  <c r="AB360" i="28"/>
  <c r="AB75" i="28"/>
  <c r="I31" i="45" s="1"/>
  <c r="AB148" i="28"/>
  <c r="I29" i="47" s="1"/>
  <c r="AB144" i="28"/>
  <c r="I25" i="47" s="1"/>
  <c r="AB189" i="28"/>
  <c r="I36" i="48" s="1"/>
  <c r="AB187" i="28"/>
  <c r="I34" i="48" s="1"/>
  <c r="AB188" i="28"/>
  <c r="I35" i="48" s="1"/>
  <c r="AB116" i="28"/>
  <c r="H36" i="46" s="1"/>
  <c r="AB361" i="28" l="1"/>
  <c r="AB139" i="28"/>
  <c r="I20" i="47" s="1"/>
  <c r="AB77" i="28"/>
  <c r="I33" i="45" s="1"/>
  <c r="AB138" i="28"/>
  <c r="I19" i="47" s="1"/>
  <c r="AB134" i="28"/>
  <c r="I16" i="47" s="1"/>
  <c r="AC516" i="27" l="1"/>
  <c r="AB128" i="28"/>
  <c r="I10" i="47" s="1"/>
  <c r="AB654" i="27"/>
  <c r="I82" i="43" s="1"/>
  <c r="AA135" i="28"/>
  <c r="Y135" i="28"/>
  <c r="Z135" i="28"/>
  <c r="AB135" i="28"/>
  <c r="AC76" i="28"/>
  <c r="J32" i="45" s="1"/>
  <c r="AB83" i="28"/>
  <c r="H3" i="46" s="1"/>
  <c r="AB141" i="28"/>
  <c r="I22" i="47" s="1"/>
  <c r="AB653" i="27"/>
  <c r="I81" i="43" s="1"/>
  <c r="AB550" i="27"/>
  <c r="H31" i="42" s="1"/>
  <c r="AB369" i="28"/>
  <c r="AC517" i="27" l="1"/>
  <c r="AC514" i="27"/>
  <c r="AB194" i="28"/>
  <c r="I41" i="48" s="1"/>
  <c r="AB91" i="28"/>
  <c r="H11" i="46" s="1"/>
  <c r="AB142" i="28"/>
  <c r="I23" i="47" s="1"/>
  <c r="AB193" i="28" l="1"/>
  <c r="I40" i="48" s="1"/>
  <c r="AB99" i="28"/>
  <c r="H19" i="46" s="1"/>
  <c r="AC537" i="27"/>
  <c r="AC538" i="27" l="1"/>
  <c r="AC67" i="28"/>
  <c r="AC110" i="28"/>
  <c r="AB190" i="28"/>
  <c r="I37" i="48" s="1"/>
  <c r="AB203" i="28"/>
  <c r="AB117" i="28"/>
  <c r="AC114" i="28" l="1"/>
  <c r="AC358" i="28"/>
  <c r="AC353" i="28" s="1"/>
  <c r="AC147" i="28"/>
  <c r="AC73" i="28"/>
  <c r="AC75" i="28" l="1"/>
  <c r="AC131" i="28"/>
  <c r="AC360" i="28"/>
  <c r="AC148" i="28"/>
  <c r="AC189" i="28"/>
  <c r="AC116" i="28"/>
  <c r="AC144" i="28"/>
  <c r="AC188" i="28"/>
  <c r="AC187" i="28"/>
  <c r="AC361" i="28" l="1"/>
  <c r="AC139" i="28"/>
  <c r="AC77" i="28"/>
  <c r="AC134" i="28"/>
  <c r="AC138" i="28"/>
  <c r="AD516" i="27" l="1"/>
  <c r="AC654" i="27"/>
  <c r="AD76" i="28"/>
  <c r="AC550" i="27"/>
  <c r="AC141" i="28"/>
  <c r="AC142" i="28" s="1"/>
  <c r="AC653" i="27"/>
  <c r="AC83" i="28"/>
  <c r="AC128" i="28"/>
  <c r="AC369" i="28"/>
  <c r="AD517" i="27" l="1"/>
  <c r="AD514" i="27"/>
  <c r="AC194" i="28"/>
  <c r="AC91" i="28"/>
  <c r="AC193" i="28" l="1"/>
  <c r="AC99" i="28"/>
  <c r="AD537" i="27"/>
  <c r="AD538" i="27" l="1"/>
  <c r="AD67" i="28"/>
  <c r="AD110" i="28"/>
  <c r="AC117" i="28"/>
  <c r="AC203" i="28"/>
  <c r="AC190" i="28"/>
  <c r="AD114" i="28" l="1"/>
  <c r="AD147" i="28"/>
  <c r="AD358" i="28"/>
  <c r="AD353" i="28" s="1"/>
  <c r="AD73" i="28"/>
  <c r="AD75" i="28" l="1"/>
  <c r="AD148" i="28"/>
  <c r="AD131" i="28"/>
  <c r="AD360" i="28"/>
  <c r="AD144" i="28"/>
  <c r="AD189" i="28"/>
  <c r="AD188" i="28"/>
  <c r="AD116" i="28"/>
  <c r="AD187" i="28"/>
  <c r="AD139" i="28" l="1"/>
  <c r="AD361" i="28"/>
  <c r="AD134" i="28"/>
  <c r="AD138" i="28"/>
  <c r="AD77" i="28"/>
  <c r="AE516" i="27" l="1"/>
  <c r="AD128" i="28"/>
  <c r="AD141" i="28"/>
  <c r="AD142" i="28" s="1"/>
  <c r="AD653" i="27"/>
  <c r="AE76" i="28"/>
  <c r="AD550" i="27"/>
  <c r="AD83" i="28"/>
  <c r="AD654" i="27"/>
  <c r="AD369" i="28"/>
  <c r="AE517" i="27" l="1"/>
  <c r="AE514" i="27"/>
  <c r="AD194" i="28"/>
  <c r="AD91" i="28"/>
  <c r="AD99" i="28" l="1"/>
  <c r="AD193" i="28"/>
  <c r="AE537" i="27"/>
  <c r="AE538" i="27" l="1"/>
  <c r="AE67" i="28"/>
  <c r="AE110" i="28"/>
  <c r="AD117" i="28"/>
  <c r="AD190" i="28"/>
  <c r="AD203" i="28"/>
  <c r="AE114" i="28" l="1"/>
  <c r="AE147" i="28"/>
  <c r="AE358" i="28"/>
  <c r="AE353" i="28" s="1"/>
  <c r="AE73" i="28"/>
  <c r="AE75" i="28" l="1"/>
  <c r="AE187" i="28"/>
  <c r="AE188" i="28"/>
  <c r="AE189" i="28"/>
  <c r="AE116" i="28"/>
  <c r="AE144" i="28"/>
  <c r="AE131" i="28"/>
  <c r="AE360" i="28"/>
  <c r="AE148" i="28"/>
  <c r="AE138" i="28" l="1"/>
  <c r="AE134" i="28"/>
  <c r="AE139" i="28"/>
  <c r="AE361" i="28"/>
  <c r="AE77" i="28"/>
  <c r="AF516" i="27" l="1"/>
  <c r="AE653" i="27"/>
  <c r="AE141" i="28"/>
  <c r="AE550" i="27"/>
  <c r="AF76" i="28"/>
  <c r="AE83" i="28"/>
  <c r="AE369" i="28"/>
  <c r="AE654" i="27"/>
  <c r="AE142" i="28"/>
  <c r="AE128" i="28"/>
  <c r="AF517" i="27" l="1"/>
  <c r="I8" i="42"/>
  <c r="AF514" i="27"/>
  <c r="I6" i="42" s="1"/>
  <c r="AE91" i="28"/>
  <c r="AE194" i="28"/>
  <c r="AE99" i="28" l="1"/>
  <c r="AE193" i="28"/>
  <c r="AF537" i="27"/>
  <c r="I23" i="42" s="1"/>
  <c r="AF538" i="27" l="1"/>
  <c r="I24" i="42" s="1"/>
  <c r="AF67" i="28"/>
  <c r="J24" i="45" s="1"/>
  <c r="AF110" i="28"/>
  <c r="I30" i="46" s="1"/>
  <c r="AE203" i="28"/>
  <c r="AE117" i="28"/>
  <c r="AE190" i="28"/>
  <c r="AF114" i="28" l="1"/>
  <c r="I34" i="46" s="1"/>
  <c r="AF147" i="28"/>
  <c r="J28" i="47" s="1"/>
  <c r="AF358" i="28"/>
  <c r="AF353" i="28" s="1"/>
  <c r="AF73" i="28"/>
  <c r="J29" i="45" s="1"/>
  <c r="AF148" i="28" l="1"/>
  <c r="J29" i="47" s="1"/>
  <c r="AF75" i="28"/>
  <c r="J31" i="45" s="1"/>
  <c r="AF189" i="28"/>
  <c r="J36" i="48" s="1"/>
  <c r="AF187" i="28"/>
  <c r="J34" i="48" s="1"/>
  <c r="AF188" i="28"/>
  <c r="J35" i="48" s="1"/>
  <c r="AF144" i="28"/>
  <c r="J25" i="47" s="1"/>
  <c r="AF116" i="28"/>
  <c r="I36" i="46" s="1"/>
  <c r="AF131" i="28"/>
  <c r="J13" i="47" s="1"/>
  <c r="AF360" i="28"/>
  <c r="AF139" i="28" l="1"/>
  <c r="J20" i="47" s="1"/>
  <c r="AF361" i="28"/>
  <c r="AF138" i="28"/>
  <c r="J19" i="47" s="1"/>
  <c r="AF134" i="28"/>
  <c r="J16" i="47" s="1"/>
  <c r="AF77" i="28"/>
  <c r="J33" i="45" s="1"/>
  <c r="AG516" i="27" l="1"/>
  <c r="AG76" i="28"/>
  <c r="K32" i="45" s="1"/>
  <c r="AF83" i="28"/>
  <c r="I3" i="46" s="1"/>
  <c r="AF653" i="27"/>
  <c r="J81" i="43" s="1"/>
  <c r="AF141" i="28"/>
  <c r="J22" i="47" s="1"/>
  <c r="AF550" i="27"/>
  <c r="I31" i="42" s="1"/>
  <c r="AF654" i="27"/>
  <c r="J82" i="43" s="1"/>
  <c r="AC135" i="28"/>
  <c r="AD135" i="28"/>
  <c r="AF135" i="28"/>
  <c r="AE135" i="28"/>
  <c r="AF369" i="28"/>
  <c r="AF128" i="28"/>
  <c r="J10" i="47" s="1"/>
  <c r="AG517" i="27" l="1"/>
  <c r="AG514" i="27"/>
  <c r="AF194" i="28"/>
  <c r="J41" i="48" s="1"/>
  <c r="AF91" i="28"/>
  <c r="I11" i="46" s="1"/>
  <c r="AF142" i="28"/>
  <c r="J23" i="47" s="1"/>
  <c r="AF193" i="28" l="1"/>
  <c r="J40" i="48" s="1"/>
  <c r="AF99" i="28"/>
  <c r="I19" i="46" s="1"/>
  <c r="AG537" i="27"/>
  <c r="AG538" i="27" l="1"/>
  <c r="AG67" i="28"/>
  <c r="AG110" i="28"/>
  <c r="AF203" i="28"/>
  <c r="AF117" i="28"/>
  <c r="AF190" i="28"/>
  <c r="J37" i="48" s="1"/>
  <c r="AG114" i="28" l="1"/>
  <c r="AG358" i="28"/>
  <c r="AG353" i="28" s="1"/>
  <c r="AG147" i="28"/>
  <c r="AG73" i="28"/>
  <c r="AG148" i="28" l="1"/>
  <c r="AG75" i="28"/>
  <c r="AG360" i="28"/>
  <c r="AG131" i="28"/>
  <c r="AG116" i="28"/>
  <c r="AG188" i="28"/>
  <c r="AG189" i="28"/>
  <c r="AG144" i="28"/>
  <c r="AG187" i="28"/>
  <c r="AG134" i="28" l="1"/>
  <c r="AG138" i="28"/>
  <c r="AG77" i="28"/>
  <c r="AG139" i="28"/>
  <c r="AG361" i="28"/>
  <c r="AH516" i="27" l="1"/>
  <c r="AG369" i="28"/>
  <c r="AG654" i="27"/>
  <c r="AH76" i="28"/>
  <c r="AG141" i="28"/>
  <c r="AG142" i="28" s="1"/>
  <c r="AG83" i="28"/>
  <c r="AG653" i="27"/>
  <c r="AG550" i="27"/>
  <c r="AG128" i="28"/>
  <c r="AH517" i="27" l="1"/>
  <c r="AG194" i="28"/>
  <c r="AG91" i="28"/>
  <c r="AH514" i="27"/>
  <c r="AH537" i="27" l="1"/>
  <c r="AG99" i="28"/>
  <c r="AG193" i="28"/>
  <c r="AG117" i="28" l="1"/>
  <c r="AG190" i="28"/>
  <c r="AG203" i="28"/>
  <c r="AH538" i="27"/>
  <c r="AH67" i="28"/>
  <c r="AH110" i="28"/>
  <c r="AH114" i="28" l="1"/>
  <c r="AH147" i="28"/>
  <c r="AH358" i="28"/>
  <c r="AH353" i="28" s="1"/>
  <c r="AH73" i="28"/>
  <c r="AH131" i="28" l="1"/>
  <c r="AH360" i="28"/>
  <c r="AH75" i="28"/>
  <c r="AH148" i="28"/>
  <c r="AH144" i="28"/>
  <c r="AH116" i="28"/>
  <c r="AH187" i="28"/>
  <c r="AH188" i="28"/>
  <c r="AH189" i="28"/>
  <c r="AH361" i="28" l="1"/>
  <c r="AH139" i="28"/>
  <c r="AH77" i="28"/>
  <c r="AH138" i="28"/>
  <c r="AH134" i="28"/>
  <c r="AI516" i="27" l="1"/>
  <c r="AH128" i="28"/>
  <c r="AI76" i="28"/>
  <c r="AH141" i="28"/>
  <c r="AH142" i="28" s="1"/>
  <c r="AH653" i="27"/>
  <c r="AH83" i="28"/>
  <c r="AH550" i="27"/>
  <c r="AH654" i="27"/>
  <c r="AH369" i="28"/>
  <c r="AI517" i="27" l="1"/>
  <c r="AI514" i="27"/>
  <c r="AH194" i="28"/>
  <c r="AH91" i="28"/>
  <c r="AH99" i="28" l="1"/>
  <c r="AH193" i="28"/>
  <c r="AI537" i="27"/>
  <c r="AI538" i="27" l="1"/>
  <c r="AI67" i="28"/>
  <c r="AI110" i="28"/>
  <c r="AH117" i="28"/>
  <c r="AH190" i="28"/>
  <c r="AH203" i="28"/>
  <c r="AI114" i="28" l="1"/>
  <c r="AI358" i="28"/>
  <c r="AI353" i="28" s="1"/>
  <c r="AI147" i="28"/>
  <c r="AI73" i="28"/>
  <c r="AI75" i="28" l="1"/>
  <c r="AI131" i="28"/>
  <c r="AI360" i="28"/>
  <c r="AI116" i="28"/>
  <c r="AI144" i="28"/>
  <c r="AI189" i="28"/>
  <c r="AI187" i="28"/>
  <c r="AI188" i="28"/>
  <c r="AI148" i="28"/>
  <c r="AI139" i="28" l="1"/>
  <c r="AI361" i="28"/>
  <c r="AI134" i="28"/>
  <c r="AI138" i="28"/>
  <c r="AI77" i="28"/>
  <c r="AJ516" i="27" l="1"/>
  <c r="AI653" i="27"/>
  <c r="AJ76" i="28"/>
  <c r="AI550" i="27"/>
  <c r="AI83" i="28"/>
  <c r="AI141" i="28"/>
  <c r="AI142" i="28" s="1"/>
  <c r="AI128" i="28"/>
  <c r="AI654" i="27"/>
  <c r="AI369" i="28"/>
  <c r="AJ517" i="27" l="1"/>
  <c r="J8" i="42"/>
  <c r="AJ514" i="27"/>
  <c r="J6" i="42" s="1"/>
  <c r="AI194" i="28"/>
  <c r="AI91" i="28"/>
  <c r="AI193" i="28" l="1"/>
  <c r="AI99" i="28"/>
  <c r="AJ537" i="27"/>
  <c r="J23" i="42" s="1"/>
  <c r="AJ538" i="27" l="1"/>
  <c r="J24" i="42" s="1"/>
  <c r="AJ67" i="28"/>
  <c r="K24" i="45" s="1"/>
  <c r="AJ110" i="28"/>
  <c r="J30" i="46" s="1"/>
  <c r="AI203" i="28"/>
  <c r="AI190" i="28"/>
  <c r="AI117" i="28"/>
  <c r="AJ114" i="28" l="1"/>
  <c r="J34" i="46" s="1"/>
  <c r="AJ147" i="28"/>
  <c r="K28" i="47" s="1"/>
  <c r="AJ358" i="28"/>
  <c r="AJ353" i="28" s="1"/>
  <c r="AJ73" i="28"/>
  <c r="K29" i="45" s="1"/>
  <c r="AJ148" i="28" l="1"/>
  <c r="K29" i="47" s="1"/>
  <c r="AJ187" i="28"/>
  <c r="K34" i="48" s="1"/>
  <c r="AJ189" i="28"/>
  <c r="K36" i="48" s="1"/>
  <c r="AJ188" i="28"/>
  <c r="K35" i="48" s="1"/>
  <c r="AJ144" i="28"/>
  <c r="K25" i="47" s="1"/>
  <c r="AJ116" i="28"/>
  <c r="J36" i="46" s="1"/>
  <c r="AJ75" i="28"/>
  <c r="K31" i="45" s="1"/>
  <c r="AJ360" i="28"/>
  <c r="AJ131" i="28"/>
  <c r="K13" i="47" s="1"/>
  <c r="AJ134" i="28" l="1"/>
  <c r="K16" i="47" s="1"/>
  <c r="AJ138" i="28"/>
  <c r="K19" i="47" s="1"/>
  <c r="AJ139" i="28"/>
  <c r="K20" i="47" s="1"/>
  <c r="AJ361" i="28"/>
  <c r="AJ77" i="28"/>
  <c r="K33" i="45" s="1"/>
  <c r="AK516" i="27" l="1"/>
  <c r="AJ369" i="28"/>
  <c r="AJ141" i="28"/>
  <c r="K22" i="47" s="1"/>
  <c r="AJ83" i="28"/>
  <c r="J3" i="46" s="1"/>
  <c r="AK76" i="28"/>
  <c r="L32" i="45" s="1"/>
  <c r="AJ550" i="27"/>
  <c r="J31" i="42" s="1"/>
  <c r="AJ653" i="27"/>
  <c r="K81" i="43" s="1"/>
  <c r="AJ128" i="28"/>
  <c r="K10" i="47" s="1"/>
  <c r="AJ654" i="27"/>
  <c r="K82" i="43" s="1"/>
  <c r="AH135" i="28"/>
  <c r="AG135" i="28"/>
  <c r="AJ135" i="28"/>
  <c r="AI135" i="28"/>
  <c r="AJ142" i="28" l="1"/>
  <c r="K23" i="47" s="1"/>
  <c r="AK517" i="27"/>
  <c r="AJ194" i="28"/>
  <c r="K41" i="48" s="1"/>
  <c r="AJ91" i="28"/>
  <c r="J11" i="46" s="1"/>
  <c r="AK514" i="27"/>
  <c r="AK537" i="27" l="1"/>
  <c r="AJ99" i="28"/>
  <c r="J19" i="46" s="1"/>
  <c r="AJ193" i="28"/>
  <c r="K40" i="48" s="1"/>
  <c r="AJ203" i="28" l="1"/>
  <c r="AJ190" i="28"/>
  <c r="K37" i="48" s="1"/>
  <c r="AJ117" i="28"/>
  <c r="AK538" i="27"/>
  <c r="AK67" i="28"/>
  <c r="AK110" i="28"/>
  <c r="AK147" i="28" l="1"/>
  <c r="AK358" i="28"/>
  <c r="AK353" i="28" s="1"/>
  <c r="AK73" i="28"/>
  <c r="AK114" i="28"/>
  <c r="AK75" i="28" l="1"/>
  <c r="AK148" i="28"/>
  <c r="AK116" i="28"/>
  <c r="AK188" i="28"/>
  <c r="AK189" i="28"/>
  <c r="AK187" i="28"/>
  <c r="AK144" i="28"/>
  <c r="AK131" i="28"/>
  <c r="AK360" i="28"/>
  <c r="AK138" i="28" l="1"/>
  <c r="AK134" i="28"/>
  <c r="AK77" i="28"/>
  <c r="AK361" i="28"/>
  <c r="AK139" i="28"/>
  <c r="AL516" i="27" l="1"/>
  <c r="AK369" i="28"/>
  <c r="AK653" i="27"/>
  <c r="AL76" i="28"/>
  <c r="AK141" i="28"/>
  <c r="AK142" i="28" s="1"/>
  <c r="AK550" i="27"/>
  <c r="AK83" i="28"/>
  <c r="AK128" i="28"/>
  <c r="AK654" i="27"/>
  <c r="AL517" i="27" l="1"/>
  <c r="AL514" i="27"/>
  <c r="AK91" i="28"/>
  <c r="AK194" i="28"/>
  <c r="AL537" i="27" l="1"/>
  <c r="AK193" i="28"/>
  <c r="AK99" i="28"/>
  <c r="AK203" i="28" l="1"/>
  <c r="AK117" i="28"/>
  <c r="AK190" i="28"/>
  <c r="AL538" i="27"/>
  <c r="AL67" i="28"/>
  <c r="AL110" i="28"/>
  <c r="AL114" i="28" l="1"/>
  <c r="AL147" i="28"/>
  <c r="AL358" i="28"/>
  <c r="AL353" i="28" s="1"/>
  <c r="AL73" i="28"/>
  <c r="AL131" i="28" l="1"/>
  <c r="AL360" i="28"/>
  <c r="AL75" i="28"/>
  <c r="AL189" i="28"/>
  <c r="AL188" i="28"/>
  <c r="AL144" i="28"/>
  <c r="AL187" i="28"/>
  <c r="AL116" i="28"/>
  <c r="AL148" i="28"/>
  <c r="AL361" i="28" l="1"/>
  <c r="AL139" i="28"/>
  <c r="AL77" i="28"/>
  <c r="AL138" i="28"/>
  <c r="AL134" i="28"/>
  <c r="AM516" i="27" l="1"/>
  <c r="AL654" i="27"/>
  <c r="AL128" i="28"/>
  <c r="AM76" i="28"/>
  <c r="AL653" i="27"/>
  <c r="AL141" i="28"/>
  <c r="AL142" i="28" s="1"/>
  <c r="AL550" i="27"/>
  <c r="AL83" i="28"/>
  <c r="AL369" i="28"/>
  <c r="AM517" i="27" l="1"/>
  <c r="AM514" i="27"/>
  <c r="AL194" i="28"/>
  <c r="AL91" i="28"/>
  <c r="AL193" i="28" l="1"/>
  <c r="AL99" i="28"/>
  <c r="AM537" i="27"/>
  <c r="AM538" i="27" l="1"/>
  <c r="AM67" i="28"/>
  <c r="AM110" i="28"/>
  <c r="AL190" i="28"/>
  <c r="AL117" i="28"/>
  <c r="AL203" i="28"/>
  <c r="AM114" i="28" l="1"/>
  <c r="AM147" i="28"/>
  <c r="AM358" i="28"/>
  <c r="AM353" i="28" s="1"/>
  <c r="AM73" i="28"/>
  <c r="AM75" i="28" l="1"/>
  <c r="AM148" i="28"/>
  <c r="AM144" i="28"/>
  <c r="AM116" i="28"/>
  <c r="AM189" i="28"/>
  <c r="AM187" i="28"/>
  <c r="AM188" i="28"/>
  <c r="AM131" i="28"/>
  <c r="AM360" i="28"/>
  <c r="AM134" i="28" l="1"/>
  <c r="AM138" i="28"/>
  <c r="AM361" i="28"/>
  <c r="AM139" i="28"/>
  <c r="AM77" i="28"/>
  <c r="AN516" i="27" l="1"/>
  <c r="AM128" i="28"/>
  <c r="AN76" i="28"/>
  <c r="AM141" i="28"/>
  <c r="AM142" i="28" s="1"/>
  <c r="AM83" i="28"/>
  <c r="AM653" i="27"/>
  <c r="AM550" i="27"/>
  <c r="AM369" i="28"/>
  <c r="AM654" i="27"/>
  <c r="AN517" i="27" l="1"/>
  <c r="K8" i="42"/>
  <c r="AN514" i="27"/>
  <c r="K6" i="42" s="1"/>
  <c r="AM194" i="28"/>
  <c r="AM91" i="28"/>
  <c r="AM193" i="28" l="1"/>
  <c r="AM99" i="28"/>
  <c r="AN537" i="27"/>
  <c r="K23" i="42" s="1"/>
  <c r="AN538" i="27" l="1"/>
  <c r="K24" i="42" s="1"/>
  <c r="AN67" i="28"/>
  <c r="L24" i="45" s="1"/>
  <c r="AN110" i="28"/>
  <c r="K30" i="46" s="1"/>
  <c r="AM190" i="28"/>
  <c r="AM117" i="28"/>
  <c r="AM203" i="28"/>
  <c r="AN114" i="28" l="1"/>
  <c r="K34" i="46" s="1"/>
  <c r="AN358" i="28"/>
  <c r="AN353" i="28" s="1"/>
  <c r="AN147" i="28"/>
  <c r="L28" i="47" s="1"/>
  <c r="AN73" i="28"/>
  <c r="L29" i="45" s="1"/>
  <c r="AN131" i="28" l="1"/>
  <c r="L13" i="47" s="1"/>
  <c r="AN360" i="28"/>
  <c r="AN148" i="28"/>
  <c r="L29" i="47" s="1"/>
  <c r="AN75" i="28"/>
  <c r="L31" i="45" s="1"/>
  <c r="AN144" i="28"/>
  <c r="L25" i="47" s="1"/>
  <c r="AN187" i="28"/>
  <c r="L34" i="48" s="1"/>
  <c r="AN116" i="28"/>
  <c r="K36" i="46" s="1"/>
  <c r="AN188" i="28"/>
  <c r="L35" i="48" s="1"/>
  <c r="AN189" i="28"/>
  <c r="L36" i="48" s="1"/>
  <c r="AN139" i="28" l="1"/>
  <c r="L20" i="47" s="1"/>
  <c r="AN361" i="28"/>
  <c r="AN77" i="28"/>
  <c r="L33" i="45" s="1"/>
  <c r="AN138" i="28"/>
  <c r="L19" i="47" s="1"/>
  <c r="AN134" i="28"/>
  <c r="L16" i="47" s="1"/>
  <c r="AO516" i="27" l="1"/>
  <c r="AN128" i="28"/>
  <c r="L10" i="47" s="1"/>
  <c r="AN653" i="27"/>
  <c r="L81" i="43" s="1"/>
  <c r="AN141" i="28"/>
  <c r="L22" i="47" s="1"/>
  <c r="AO76" i="28"/>
  <c r="M32" i="45" s="1"/>
  <c r="AN83" i="28"/>
  <c r="K3" i="46" s="1"/>
  <c r="AN550" i="27"/>
  <c r="K31" i="42" s="1"/>
  <c r="AN654" i="27"/>
  <c r="L82" i="43" s="1"/>
  <c r="AL135" i="28"/>
  <c r="AM135" i="28"/>
  <c r="AN135" i="28"/>
  <c r="AK135" i="28"/>
  <c r="AN369" i="28"/>
  <c r="AO517" i="27" l="1"/>
  <c r="AN142" i="28"/>
  <c r="L23" i="47" s="1"/>
  <c r="AO514" i="27"/>
  <c r="AN194" i="28"/>
  <c r="L41" i="48" s="1"/>
  <c r="AN91" i="28"/>
  <c r="K11" i="46" s="1"/>
  <c r="AN193" i="28" l="1"/>
  <c r="L40" i="48" s="1"/>
  <c r="AN99" i="28"/>
  <c r="K19" i="46" s="1"/>
  <c r="AO537" i="27"/>
  <c r="AO538" i="27" l="1"/>
  <c r="AO67" i="28"/>
  <c r="AO110" i="28"/>
  <c r="AN117" i="28"/>
  <c r="AN190" i="28"/>
  <c r="L37" i="48" s="1"/>
  <c r="AN203" i="28"/>
  <c r="AO114" i="28" l="1"/>
  <c r="AO147" i="28"/>
  <c r="AO358" i="28"/>
  <c r="AO353" i="28" s="1"/>
  <c r="AO73" i="28"/>
  <c r="AO360" i="28" l="1"/>
  <c r="AO131" i="28"/>
  <c r="AO75" i="28"/>
  <c r="AO148" i="28"/>
  <c r="AO116" i="28"/>
  <c r="AO144" i="28"/>
  <c r="AO189" i="28"/>
  <c r="AO187" i="28"/>
  <c r="AO188" i="28"/>
  <c r="AO77" i="28" l="1"/>
  <c r="AO134" i="28"/>
  <c r="AO138" i="28"/>
  <c r="AO361" i="28"/>
  <c r="AO139" i="28"/>
  <c r="AP516" i="27" l="1"/>
  <c r="AO369" i="28"/>
  <c r="AO128" i="28"/>
  <c r="AO654" i="27"/>
  <c r="AP76" i="28"/>
  <c r="AO141" i="28"/>
  <c r="AO142" i="28" s="1"/>
  <c r="AO653" i="27"/>
  <c r="AO550" i="27"/>
  <c r="AO83" i="28"/>
  <c r="AP517" i="27" l="1"/>
  <c r="AO194" i="28"/>
  <c r="AO91" i="28"/>
  <c r="AP514" i="27"/>
  <c r="AP537" i="27" l="1"/>
  <c r="AO99" i="28"/>
  <c r="AO193" i="28"/>
  <c r="AO117" i="28" l="1"/>
  <c r="AO203" i="28"/>
  <c r="AO190" i="28"/>
  <c r="AP538" i="27"/>
  <c r="AP67" i="28"/>
  <c r="AP110" i="28"/>
  <c r="AP114" i="28" l="1"/>
  <c r="AP147" i="28"/>
  <c r="AP358" i="28"/>
  <c r="AP353" i="28" s="1"/>
  <c r="AP73" i="28"/>
  <c r="AP75" i="28" l="1"/>
  <c r="AP148" i="28"/>
  <c r="AP131" i="28"/>
  <c r="AP360" i="28"/>
  <c r="AP187" i="28"/>
  <c r="AP188" i="28"/>
  <c r="AP116" i="28"/>
  <c r="AP189" i="28"/>
  <c r="AP144" i="28"/>
  <c r="AP361" i="28" l="1"/>
  <c r="AP139" i="28"/>
  <c r="AP138" i="28"/>
  <c r="AP134" i="28"/>
  <c r="AP77" i="28"/>
  <c r="AQ516" i="27" l="1"/>
  <c r="AP141" i="28"/>
  <c r="AP142" i="28" s="1"/>
  <c r="AP653" i="27"/>
  <c r="AP83" i="28"/>
  <c r="AQ76" i="28"/>
  <c r="AP550" i="27"/>
  <c r="AP654" i="27"/>
  <c r="AP369" i="28"/>
  <c r="AP128" i="28"/>
  <c r="AQ517" i="27" l="1"/>
  <c r="AQ514" i="27"/>
  <c r="AP194" i="28"/>
  <c r="AP91" i="28"/>
  <c r="AP99" i="28" l="1"/>
  <c r="AP193" i="28"/>
  <c r="AQ537" i="27"/>
  <c r="AQ538" i="27" l="1"/>
  <c r="AQ67" i="28"/>
  <c r="AQ110" i="28"/>
  <c r="AP203" i="28"/>
  <c r="AP190" i="28"/>
  <c r="AP117" i="28"/>
  <c r="AQ114" i="28" l="1"/>
  <c r="AQ147" i="28"/>
  <c r="AQ358" i="28"/>
  <c r="AQ353" i="28" s="1"/>
  <c r="AQ73" i="28"/>
  <c r="AQ131" i="28" l="1"/>
  <c r="AQ360" i="28"/>
  <c r="AQ75" i="28"/>
  <c r="AQ148" i="28"/>
  <c r="AQ144" i="28"/>
  <c r="AQ187" i="28"/>
  <c r="AQ188" i="28"/>
  <c r="AQ116" i="28"/>
  <c r="AQ189" i="28"/>
  <c r="AQ361" i="28" l="1"/>
  <c r="AQ139" i="28"/>
  <c r="AQ77" i="28"/>
  <c r="AQ134" i="28"/>
  <c r="AQ138" i="28"/>
  <c r="AR516" i="27" l="1"/>
  <c r="AQ654" i="27"/>
  <c r="AQ141" i="28"/>
  <c r="AQ142" i="28" s="1"/>
  <c r="AQ653" i="27"/>
  <c r="AQ83" i="28"/>
  <c r="AR76" i="28"/>
  <c r="AQ550" i="27"/>
  <c r="AQ128" i="28"/>
  <c r="AQ369" i="28"/>
  <c r="AR517" i="27" l="1"/>
  <c r="L8" i="42"/>
  <c r="B76" i="28"/>
  <c r="B32" i="45" s="1"/>
  <c r="AR514" i="27"/>
  <c r="L6" i="42" s="1"/>
  <c r="AT516" i="27"/>
  <c r="AQ194" i="28"/>
  <c r="AQ91" i="28"/>
  <c r="AQ99" i="28" l="1"/>
  <c r="AQ193" i="28"/>
  <c r="AR537" i="27"/>
  <c r="L23" i="42" s="1"/>
  <c r="AT514" i="27"/>
  <c r="M8" i="42"/>
  <c r="B516" i="27"/>
  <c r="M6" i="42" l="1"/>
  <c r="B514" i="27"/>
  <c r="AR538" i="27"/>
  <c r="L24" i="42" s="1"/>
  <c r="AR67" i="28"/>
  <c r="AT537" i="27"/>
  <c r="AR110" i="28"/>
  <c r="L30" i="46" s="1"/>
  <c r="AQ117" i="28"/>
  <c r="AQ203" i="28"/>
  <c r="AQ190" i="28"/>
  <c r="B67" i="28" l="1"/>
  <c r="M24" i="45"/>
  <c r="AR114" i="28"/>
  <c r="L34" i="46" s="1"/>
  <c r="M23" i="42"/>
  <c r="B537" i="27"/>
  <c r="AR147" i="28"/>
  <c r="M28" i="47" s="1"/>
  <c r="AR358" i="28"/>
  <c r="AR73" i="28"/>
  <c r="AT67" i="28"/>
  <c r="B73" i="28" l="1"/>
  <c r="M29" i="45"/>
  <c r="C348" i="23"/>
  <c r="B24" i="45"/>
  <c r="D348" i="23"/>
  <c r="N24" i="45"/>
  <c r="B147" i="28"/>
  <c r="AR353" i="28"/>
  <c r="AT358" i="28"/>
  <c r="AR144" i="28"/>
  <c r="M25" i="47" s="1"/>
  <c r="AR189" i="28"/>
  <c r="AR188" i="28"/>
  <c r="AR187" i="28"/>
  <c r="AR116" i="28"/>
  <c r="L36" i="46" s="1"/>
  <c r="AR75" i="28"/>
  <c r="AT73" i="28"/>
  <c r="AR148" i="28"/>
  <c r="M29" i="47" s="1"/>
  <c r="B75" i="28" l="1"/>
  <c r="M31" i="45"/>
  <c r="B187" i="28"/>
  <c r="M34" i="48"/>
  <c r="B189" i="28"/>
  <c r="M36" i="48"/>
  <c r="B188" i="28"/>
  <c r="M35" i="48"/>
  <c r="N29" i="45"/>
  <c r="D353" i="23"/>
  <c r="C353" i="23"/>
  <c r="B29" i="45"/>
  <c r="AR77" i="28"/>
  <c r="AT75" i="28"/>
  <c r="AR360" i="28"/>
  <c r="AR131" i="28"/>
  <c r="M13" i="47" s="1"/>
  <c r="AT353" i="28"/>
  <c r="B353" i="28" s="1"/>
  <c r="B365" i="28"/>
  <c r="E403" i="23" s="1"/>
  <c r="B366" i="28"/>
  <c r="B28" i="47"/>
  <c r="B148" i="28"/>
  <c r="M33" i="45" l="1"/>
  <c r="C79" i="28"/>
  <c r="B77" i="28"/>
  <c r="B33" i="45" s="1"/>
  <c r="AR134" i="28"/>
  <c r="M16" i="47" s="1"/>
  <c r="AR138" i="28"/>
  <c r="M19" i="47" s="1"/>
  <c r="N31" i="45"/>
  <c r="D355" i="23"/>
  <c r="B29" i="47"/>
  <c r="B236" i="1"/>
  <c r="AR361" i="28"/>
  <c r="AR369" i="28" s="1"/>
  <c r="B369" i="28" s="1"/>
  <c r="AR139" i="28"/>
  <c r="M20" i="47" s="1"/>
  <c r="AT360" i="28"/>
  <c r="B36" i="48"/>
  <c r="C370" i="23"/>
  <c r="B34" i="48"/>
  <c r="C368" i="23"/>
  <c r="C355" i="23"/>
  <c r="B31" i="45"/>
  <c r="AR141" i="28"/>
  <c r="M22" i="47" s="1"/>
  <c r="AR550" i="27"/>
  <c r="L31" i="42" s="1"/>
  <c r="AR83" i="28"/>
  <c r="L3" i="46" s="1"/>
  <c r="AR653" i="27"/>
  <c r="M81" i="43" s="1"/>
  <c r="C369" i="23"/>
  <c r="B35" i="48"/>
  <c r="AR142" i="28" l="1"/>
  <c r="M23" i="47" s="1"/>
  <c r="AT517" i="27"/>
  <c r="B517" i="27" s="1"/>
  <c r="AR91" i="28"/>
  <c r="L11" i="46" s="1"/>
  <c r="AR194" i="28"/>
  <c r="B360" i="28"/>
  <c r="B363" i="28"/>
  <c r="E402" i="23" s="1"/>
  <c r="I370" i="28"/>
  <c r="N370" i="28"/>
  <c r="V370" i="28"/>
  <c r="G370" i="28"/>
  <c r="AN370" i="28"/>
  <c r="AD370" i="28"/>
  <c r="AB370" i="28"/>
  <c r="Z370" i="28"/>
  <c r="AM370" i="28"/>
  <c r="AA370" i="28"/>
  <c r="P370" i="28"/>
  <c r="M370" i="28"/>
  <c r="T370" i="28"/>
  <c r="Y370" i="28"/>
  <c r="F370" i="28"/>
  <c r="AR370" i="28"/>
  <c r="K370" i="28"/>
  <c r="AG370" i="28"/>
  <c r="AI370" i="28"/>
  <c r="R370" i="28"/>
  <c r="U370" i="28"/>
  <c r="S370" i="28"/>
  <c r="AO370" i="28"/>
  <c r="H370" i="28"/>
  <c r="AE370" i="28"/>
  <c r="AJ370" i="28"/>
  <c r="W370" i="28"/>
  <c r="B368" i="28"/>
  <c r="E405" i="23" s="1"/>
  <c r="E370" i="28"/>
  <c r="AC370" i="28"/>
  <c r="AF370" i="28"/>
  <c r="X370" i="28"/>
  <c r="AP370" i="28"/>
  <c r="AQ370" i="28"/>
  <c r="AL370" i="28"/>
  <c r="Q370" i="28"/>
  <c r="AH370" i="28"/>
  <c r="O370" i="28"/>
  <c r="AK370" i="28"/>
  <c r="L370" i="28"/>
  <c r="J370" i="28"/>
  <c r="AR128" i="28"/>
  <c r="M10" i="47" s="1"/>
  <c r="B23" i="36"/>
  <c r="B238" i="1"/>
  <c r="AR654" i="27"/>
  <c r="M82" i="43" s="1"/>
  <c r="AO135" i="28"/>
  <c r="AR135" i="28"/>
  <c r="AP135" i="28"/>
  <c r="AQ135" i="28"/>
  <c r="B194" i="28" l="1"/>
  <c r="M41" i="48"/>
  <c r="AT370" i="28"/>
  <c r="B370" i="28" s="1"/>
  <c r="AR193" i="28"/>
  <c r="AR99" i="28"/>
  <c r="L19" i="46" s="1"/>
  <c r="B25" i="36"/>
  <c r="B239" i="1"/>
  <c r="B269" i="28" l="1"/>
  <c r="B8" i="32"/>
  <c r="B309" i="28"/>
  <c r="B209" i="28"/>
  <c r="AR241" i="1"/>
  <c r="AP241" i="1"/>
  <c r="AN241" i="1"/>
  <c r="AL241" i="1"/>
  <c r="AJ241" i="1"/>
  <c r="AH241" i="1"/>
  <c r="AF241" i="1"/>
  <c r="AD241" i="1"/>
  <c r="AB241" i="1"/>
  <c r="Z241" i="1"/>
  <c r="X241" i="1"/>
  <c r="V241" i="1"/>
  <c r="T241" i="1"/>
  <c r="R241" i="1"/>
  <c r="P241" i="1"/>
  <c r="N241" i="1"/>
  <c r="L241" i="1"/>
  <c r="J241" i="1"/>
  <c r="H241" i="1"/>
  <c r="F241" i="1"/>
  <c r="B252" i="1"/>
  <c r="AQ241" i="1"/>
  <c r="AO241" i="1"/>
  <c r="AM241" i="1"/>
  <c r="AK241" i="1"/>
  <c r="AI241" i="1"/>
  <c r="AG241" i="1"/>
  <c r="AE241" i="1"/>
  <c r="AC241" i="1"/>
  <c r="AA241" i="1"/>
  <c r="Y241" i="1"/>
  <c r="W241" i="1"/>
  <c r="U241" i="1"/>
  <c r="S241" i="1"/>
  <c r="Q241" i="1"/>
  <c r="O241" i="1"/>
  <c r="M241" i="1"/>
  <c r="K241" i="1"/>
  <c r="I241" i="1"/>
  <c r="G241" i="1"/>
  <c r="E241" i="1"/>
  <c r="B193" i="28"/>
  <c r="M40" i="48"/>
  <c r="B26" i="36"/>
  <c r="C407" i="23"/>
  <c r="AR190" i="28"/>
  <c r="AR203" i="28"/>
  <c r="B203" i="28" s="1"/>
  <c r="AR117" i="28"/>
  <c r="C117" i="28" s="1"/>
  <c r="B41" i="48"/>
  <c r="C375" i="23"/>
  <c r="B190" i="28" l="1"/>
  <c r="M37" i="48"/>
  <c r="AQ210" i="28"/>
  <c r="AO210" i="28"/>
  <c r="AM210" i="28"/>
  <c r="AK210" i="28"/>
  <c r="AI210" i="28"/>
  <c r="AG210" i="28"/>
  <c r="AE210" i="28"/>
  <c r="AC210" i="28"/>
  <c r="AA210" i="28"/>
  <c r="Y210" i="28"/>
  <c r="W210" i="28"/>
  <c r="U210" i="28"/>
  <c r="S210" i="28"/>
  <c r="Q210" i="28"/>
  <c r="O210" i="28"/>
  <c r="M210" i="28"/>
  <c r="K210" i="28"/>
  <c r="I210" i="28"/>
  <c r="G210" i="28"/>
  <c r="E210" i="28"/>
  <c r="AR210" i="28"/>
  <c r="AP210" i="28"/>
  <c r="AN210" i="28"/>
  <c r="AL210" i="28"/>
  <c r="AJ210" i="28"/>
  <c r="AH210" i="28"/>
  <c r="AF210" i="28"/>
  <c r="AD210" i="28"/>
  <c r="AB210" i="28"/>
  <c r="Z210" i="28"/>
  <c r="X210" i="28"/>
  <c r="V210" i="28"/>
  <c r="T210" i="28"/>
  <c r="R210" i="28"/>
  <c r="P210" i="28"/>
  <c r="N210" i="28"/>
  <c r="L210" i="28"/>
  <c r="J210" i="28"/>
  <c r="H210" i="28"/>
  <c r="F210" i="28"/>
  <c r="AR9" i="32"/>
  <c r="AP9" i="32"/>
  <c r="AN9" i="32"/>
  <c r="AL9" i="32"/>
  <c r="AJ9" i="32"/>
  <c r="AH9" i="32"/>
  <c r="AF9" i="32"/>
  <c r="AD9" i="32"/>
  <c r="AB9" i="32"/>
  <c r="Z9" i="32"/>
  <c r="X9" i="32"/>
  <c r="V9" i="32"/>
  <c r="T9" i="32"/>
  <c r="R9" i="32"/>
  <c r="P9" i="32"/>
  <c r="N9" i="32"/>
  <c r="L9" i="32"/>
  <c r="J9" i="32"/>
  <c r="H9" i="32"/>
  <c r="I10" i="32" s="1"/>
  <c r="F9" i="32"/>
  <c r="AQ9" i="32"/>
  <c r="AO9" i="32"/>
  <c r="AM9" i="32"/>
  <c r="AK9" i="32"/>
  <c r="AI9" i="32"/>
  <c r="AG9" i="32"/>
  <c r="AE9" i="32"/>
  <c r="AC9" i="32"/>
  <c r="AA9" i="32"/>
  <c r="Y9" i="32"/>
  <c r="W9" i="32"/>
  <c r="U9" i="32"/>
  <c r="S9" i="32"/>
  <c r="Q9" i="32"/>
  <c r="O9" i="32"/>
  <c r="M9" i="32"/>
  <c r="K9" i="32"/>
  <c r="I9" i="32"/>
  <c r="G9" i="32"/>
  <c r="E9" i="32"/>
  <c r="AQ253" i="1"/>
  <c r="AO253" i="1"/>
  <c r="AM253" i="1"/>
  <c r="AK253" i="1"/>
  <c r="AI253" i="1"/>
  <c r="AG253" i="1"/>
  <c r="AE253" i="1"/>
  <c r="AC253" i="1"/>
  <c r="AA253" i="1"/>
  <c r="Y253" i="1"/>
  <c r="W253" i="1"/>
  <c r="U253" i="1"/>
  <c r="S253" i="1"/>
  <c r="Q253" i="1"/>
  <c r="O253" i="1"/>
  <c r="M253" i="1"/>
  <c r="K253" i="1"/>
  <c r="I253" i="1"/>
  <c r="G253" i="1"/>
  <c r="E253" i="1"/>
  <c r="AR253" i="1"/>
  <c r="AP253" i="1"/>
  <c r="AN253" i="1"/>
  <c r="AL253" i="1"/>
  <c r="AJ253" i="1"/>
  <c r="AH253" i="1"/>
  <c r="AF253" i="1"/>
  <c r="AD253" i="1"/>
  <c r="AB253" i="1"/>
  <c r="Z253" i="1"/>
  <c r="X253" i="1"/>
  <c r="V253" i="1"/>
  <c r="T253" i="1"/>
  <c r="R253" i="1"/>
  <c r="P253" i="1"/>
  <c r="N253" i="1"/>
  <c r="L253" i="1"/>
  <c r="J253" i="1"/>
  <c r="H253" i="1"/>
  <c r="F253" i="1"/>
  <c r="AQ310" i="28"/>
  <c r="AO310" i="28"/>
  <c r="AM310" i="28"/>
  <c r="AK310" i="28"/>
  <c r="AI310" i="28"/>
  <c r="AG310" i="28"/>
  <c r="AE310" i="28"/>
  <c r="AC310" i="28"/>
  <c r="AA310" i="28"/>
  <c r="Y310" i="28"/>
  <c r="W310" i="28"/>
  <c r="U310" i="28"/>
  <c r="S310" i="28"/>
  <c r="Q310" i="28"/>
  <c r="O310" i="28"/>
  <c r="M310" i="28"/>
  <c r="K310" i="28"/>
  <c r="I310" i="28"/>
  <c r="G310" i="28"/>
  <c r="E310" i="28"/>
  <c r="AR310" i="28"/>
  <c r="AP310" i="28"/>
  <c r="AN310" i="28"/>
  <c r="AL310" i="28"/>
  <c r="AJ310" i="28"/>
  <c r="AH310" i="28"/>
  <c r="AF310" i="28"/>
  <c r="AD310" i="28"/>
  <c r="AB310" i="28"/>
  <c r="Z310" i="28"/>
  <c r="X310" i="28"/>
  <c r="V310" i="28"/>
  <c r="T310" i="28"/>
  <c r="R310" i="28"/>
  <c r="P310" i="28"/>
  <c r="N310" i="28"/>
  <c r="L310" i="28"/>
  <c r="J310" i="28"/>
  <c r="H310" i="28"/>
  <c r="F310" i="28"/>
  <c r="AQ270" i="28"/>
  <c r="AO270" i="28"/>
  <c r="AM270" i="28"/>
  <c r="AK270" i="28"/>
  <c r="AI270" i="28"/>
  <c r="AG270" i="28"/>
  <c r="AE270" i="28"/>
  <c r="AC270" i="28"/>
  <c r="AA270" i="28"/>
  <c r="Y270" i="28"/>
  <c r="W270" i="28"/>
  <c r="U270" i="28"/>
  <c r="S270" i="28"/>
  <c r="Q270" i="28"/>
  <c r="O270" i="28"/>
  <c r="M270" i="28"/>
  <c r="K270" i="28"/>
  <c r="I270" i="28"/>
  <c r="G270" i="28"/>
  <c r="E270" i="28"/>
  <c r="AR270" i="28"/>
  <c r="AP270" i="28"/>
  <c r="AN270" i="28"/>
  <c r="AL270" i="28"/>
  <c r="AJ270" i="28"/>
  <c r="AH270" i="28"/>
  <c r="AF270" i="28"/>
  <c r="AD270" i="28"/>
  <c r="AB270" i="28"/>
  <c r="Z270" i="28"/>
  <c r="X270" i="28"/>
  <c r="V270" i="28"/>
  <c r="T270" i="28"/>
  <c r="R270" i="28"/>
  <c r="P270" i="28"/>
  <c r="N270" i="28"/>
  <c r="L270" i="28"/>
  <c r="J270" i="28"/>
  <c r="H270" i="28"/>
  <c r="F270" i="28"/>
  <c r="B40" i="48"/>
  <c r="C374" i="23"/>
  <c r="B3" i="50"/>
  <c r="D411" i="29"/>
  <c r="E461" i="29" s="1"/>
  <c r="B291" i="28"/>
  <c r="B18" i="50" s="1"/>
  <c r="B290" i="28"/>
  <c r="B28" i="32"/>
  <c r="B3" i="58"/>
  <c r="B27" i="32"/>
  <c r="B21" i="58" s="1"/>
  <c r="D333" i="33"/>
  <c r="E383" i="33" s="1"/>
  <c r="B116" i="32"/>
  <c r="B46" i="32"/>
  <c r="B81" i="32"/>
  <c r="F242" i="1"/>
  <c r="B3" i="49"/>
  <c r="B332" i="28"/>
  <c r="B331" i="28"/>
  <c r="D403" i="23" s="1"/>
  <c r="D407" i="23"/>
  <c r="AR82" i="32" l="1"/>
  <c r="AP82" i="32"/>
  <c r="AN82" i="32"/>
  <c r="AL82" i="32"/>
  <c r="AJ82" i="32"/>
  <c r="AH82" i="32"/>
  <c r="AF82" i="32"/>
  <c r="AD82" i="32"/>
  <c r="AB82" i="32"/>
  <c r="Z82" i="32"/>
  <c r="X82" i="32"/>
  <c r="V82" i="32"/>
  <c r="T82" i="32"/>
  <c r="R82" i="32"/>
  <c r="P82" i="32"/>
  <c r="N82" i="32"/>
  <c r="L82" i="32"/>
  <c r="J82" i="32"/>
  <c r="H82" i="32"/>
  <c r="F82" i="32"/>
  <c r="AQ82" i="32"/>
  <c r="AO82" i="32"/>
  <c r="AM82" i="32"/>
  <c r="AK82" i="32"/>
  <c r="AI82" i="32"/>
  <c r="AG82" i="32"/>
  <c r="AE82" i="32"/>
  <c r="AC82" i="32"/>
  <c r="AA82" i="32"/>
  <c r="Y82" i="32"/>
  <c r="W82" i="32"/>
  <c r="U82" i="32"/>
  <c r="S82" i="32"/>
  <c r="Q82" i="32"/>
  <c r="O82" i="32"/>
  <c r="M82" i="32"/>
  <c r="K82" i="32"/>
  <c r="I82" i="32"/>
  <c r="G82" i="32"/>
  <c r="E82" i="32"/>
  <c r="AR47" i="32"/>
  <c r="AP47" i="32"/>
  <c r="AN47" i="32"/>
  <c r="AL47" i="32"/>
  <c r="AJ47" i="32"/>
  <c r="AH47" i="32"/>
  <c r="AF47" i="32"/>
  <c r="AD47" i="32"/>
  <c r="AB47" i="32"/>
  <c r="Z47" i="32"/>
  <c r="X47" i="32"/>
  <c r="V47" i="32"/>
  <c r="T47" i="32"/>
  <c r="R47" i="32"/>
  <c r="P47" i="32"/>
  <c r="N47" i="32"/>
  <c r="L47" i="32"/>
  <c r="J47" i="32"/>
  <c r="H47" i="32"/>
  <c r="I48" i="32" s="1"/>
  <c r="F47" i="32"/>
  <c r="AQ47" i="32"/>
  <c r="AO47" i="32"/>
  <c r="AM47" i="32"/>
  <c r="AK47" i="32"/>
  <c r="AI47" i="32"/>
  <c r="AG47" i="32"/>
  <c r="AE47" i="32"/>
  <c r="AC47" i="32"/>
  <c r="AA47" i="32"/>
  <c r="Y47" i="32"/>
  <c r="W47" i="32"/>
  <c r="U47" i="32"/>
  <c r="S47" i="32"/>
  <c r="Q47" i="32"/>
  <c r="O47" i="32"/>
  <c r="M47" i="32"/>
  <c r="K47" i="32"/>
  <c r="I47" i="32"/>
  <c r="G47" i="32"/>
  <c r="E47" i="32"/>
  <c r="AR117" i="32"/>
  <c r="AP117" i="32"/>
  <c r="AN117" i="32"/>
  <c r="AL117" i="32"/>
  <c r="AJ117" i="32"/>
  <c r="AH117" i="32"/>
  <c r="AF117" i="32"/>
  <c r="AD117" i="32"/>
  <c r="AB117" i="32"/>
  <c r="Z117" i="32"/>
  <c r="X117" i="32"/>
  <c r="V117" i="32"/>
  <c r="T117" i="32"/>
  <c r="R117" i="32"/>
  <c r="P117" i="32"/>
  <c r="N117" i="32"/>
  <c r="L117" i="32"/>
  <c r="J117" i="32"/>
  <c r="H117" i="32"/>
  <c r="I118" i="32" s="1"/>
  <c r="F117" i="32"/>
  <c r="AQ117" i="32"/>
  <c r="AO117" i="32"/>
  <c r="AM117" i="32"/>
  <c r="AK117" i="32"/>
  <c r="AI117" i="32"/>
  <c r="AG117" i="32"/>
  <c r="AE117" i="32"/>
  <c r="AC117" i="32"/>
  <c r="AA117" i="32"/>
  <c r="Y117" i="32"/>
  <c r="W117" i="32"/>
  <c r="U117" i="32"/>
  <c r="S117" i="32"/>
  <c r="Q117" i="32"/>
  <c r="O117" i="32"/>
  <c r="M117" i="32"/>
  <c r="K117" i="32"/>
  <c r="I117" i="32"/>
  <c r="G117" i="32"/>
  <c r="E117" i="32"/>
  <c r="F211" i="28"/>
  <c r="G242" i="1"/>
  <c r="H242" i="1" s="1"/>
  <c r="I242" i="1" s="1"/>
  <c r="B3" i="59"/>
  <c r="B63" i="32"/>
  <c r="B19" i="59" s="1"/>
  <c r="B62" i="32"/>
  <c r="B18" i="59" s="1"/>
  <c r="B3" i="61"/>
  <c r="B130" i="32"/>
  <c r="B16" i="61" s="1"/>
  <c r="B131" i="32"/>
  <c r="B17" i="61" s="1"/>
  <c r="B17" i="50"/>
  <c r="D409" i="29"/>
  <c r="C403" i="23"/>
  <c r="I271" i="28"/>
  <c r="I311" i="28"/>
  <c r="F254" i="1"/>
  <c r="B97" i="32"/>
  <c r="B18" i="60" s="1"/>
  <c r="B98" i="32"/>
  <c r="B19" i="60" s="1"/>
  <c r="B3" i="60"/>
  <c r="I83" i="32"/>
  <c r="J10" i="32"/>
  <c r="I22" i="32"/>
  <c r="C371" i="23"/>
  <c r="B37" i="48"/>
  <c r="C384" i="23"/>
  <c r="G494" i="29" l="1"/>
  <c r="F472" i="29"/>
  <c r="F450" i="29"/>
  <c r="F428" i="29"/>
  <c r="G483" i="29"/>
  <c r="G461" i="29"/>
  <c r="F439" i="29"/>
  <c r="F417" i="29"/>
  <c r="G254" i="1"/>
  <c r="H254" i="1" s="1"/>
  <c r="I254" i="1" s="1"/>
  <c r="I318" i="28"/>
  <c r="I326" i="28"/>
  <c r="I335" i="28"/>
  <c r="I336" i="28"/>
  <c r="J311" i="28"/>
  <c r="I295" i="28"/>
  <c r="I277" i="28"/>
  <c r="J271" i="28"/>
  <c r="I294" i="28"/>
  <c r="I285" i="28"/>
  <c r="I125" i="32"/>
  <c r="J118" i="32"/>
  <c r="J242" i="1"/>
  <c r="K242" i="1" s="1"/>
  <c r="L242" i="1" s="1"/>
  <c r="M242" i="1" s="1"/>
  <c r="F257" i="28"/>
  <c r="G211" i="28"/>
  <c r="F248" i="28"/>
  <c r="F243" i="28"/>
  <c r="F253" i="28"/>
  <c r="J22" i="32"/>
  <c r="K10" i="32"/>
  <c r="I23" i="32"/>
  <c r="J83" i="32"/>
  <c r="I92" i="32"/>
  <c r="J48" i="32"/>
  <c r="I57" i="32"/>
  <c r="I58" i="32" l="1"/>
  <c r="J57" i="32"/>
  <c r="K48" i="32"/>
  <c r="I93" i="32"/>
  <c r="J23" i="32"/>
  <c r="J39" i="32" s="1"/>
  <c r="F244" i="28"/>
  <c r="G257" i="28"/>
  <c r="G248" i="28"/>
  <c r="G243" i="28"/>
  <c r="G253" i="28"/>
  <c r="H211" i="28"/>
  <c r="D4" i="49" s="1"/>
  <c r="N242" i="1"/>
  <c r="O242" i="1" s="1"/>
  <c r="P242" i="1" s="1"/>
  <c r="Q242" i="1" s="1"/>
  <c r="I126" i="32"/>
  <c r="I286" i="28"/>
  <c r="J294" i="28"/>
  <c r="J295" i="28"/>
  <c r="J277" i="28"/>
  <c r="J285" i="28"/>
  <c r="K271" i="28"/>
  <c r="I327" i="28"/>
  <c r="J254" i="1"/>
  <c r="K254" i="1" s="1"/>
  <c r="L254" i="1" s="1"/>
  <c r="M254" i="1" s="1"/>
  <c r="J92" i="32"/>
  <c r="K83" i="32"/>
  <c r="I39" i="32"/>
  <c r="K22" i="32"/>
  <c r="L10" i="32"/>
  <c r="E4" i="58" s="1"/>
  <c r="F254" i="28"/>
  <c r="F249" i="28"/>
  <c r="F258" i="28"/>
  <c r="J125" i="32"/>
  <c r="K118" i="32"/>
  <c r="I278" i="28"/>
  <c r="J335" i="28"/>
  <c r="J336" i="28"/>
  <c r="J318" i="28"/>
  <c r="J326" i="28"/>
  <c r="K311" i="28"/>
  <c r="I319" i="28"/>
  <c r="J126" i="32" l="1"/>
  <c r="J142" i="32" s="1"/>
  <c r="J286" i="28"/>
  <c r="J327" i="28"/>
  <c r="J343" i="28" s="1"/>
  <c r="J58" i="32"/>
  <c r="J74" i="32" s="1"/>
  <c r="G244" i="28"/>
  <c r="K125" i="32"/>
  <c r="L118" i="32"/>
  <c r="E4" i="61" s="1"/>
  <c r="L22" i="32"/>
  <c r="E16" i="58" s="1"/>
  <c r="M10" i="32"/>
  <c r="K92" i="32"/>
  <c r="L83" i="32"/>
  <c r="E4" i="60" s="1"/>
  <c r="J302" i="28"/>
  <c r="I302" i="28"/>
  <c r="R242" i="1"/>
  <c r="S242" i="1" s="1"/>
  <c r="T242" i="1" s="1"/>
  <c r="U242" i="1" s="1"/>
  <c r="H257" i="28"/>
  <c r="H243" i="28"/>
  <c r="H248" i="28"/>
  <c r="H253" i="28"/>
  <c r="I211" i="28"/>
  <c r="G258" i="28"/>
  <c r="I109" i="32"/>
  <c r="K57" i="32"/>
  <c r="L48" i="32"/>
  <c r="E4" i="59" s="1"/>
  <c r="K335" i="28"/>
  <c r="K336" i="28"/>
  <c r="K318" i="28"/>
  <c r="K326" i="28"/>
  <c r="K327" i="28" s="1"/>
  <c r="K343" i="28" s="1"/>
  <c r="L311" i="28"/>
  <c r="J319" i="28"/>
  <c r="K23" i="32"/>
  <c r="K39" i="32" s="1"/>
  <c r="J93" i="32"/>
  <c r="J109" i="32" s="1"/>
  <c r="N254" i="1"/>
  <c r="O254" i="1" s="1"/>
  <c r="P254" i="1" s="1"/>
  <c r="Q254" i="1" s="1"/>
  <c r="I343" i="28"/>
  <c r="K294" i="28"/>
  <c r="K295" i="28"/>
  <c r="K285" i="28"/>
  <c r="K277" i="28"/>
  <c r="L271" i="28"/>
  <c r="E4" i="50" s="1"/>
  <c r="J278" i="28"/>
  <c r="I142" i="32"/>
  <c r="G254" i="28"/>
  <c r="G249" i="28"/>
  <c r="I74" i="32"/>
  <c r="H244" i="28" l="1"/>
  <c r="K286" i="28"/>
  <c r="K302" i="28" s="1"/>
  <c r="K58" i="32"/>
  <c r="K74" i="32" s="1"/>
  <c r="K278" i="28"/>
  <c r="L336" i="28"/>
  <c r="L318" i="28"/>
  <c r="L335" i="28"/>
  <c r="L326" i="28"/>
  <c r="L327" i="28" s="1"/>
  <c r="L343" i="28" s="1"/>
  <c r="M311" i="28"/>
  <c r="K319" i="28"/>
  <c r="I257" i="28"/>
  <c r="I253" i="28"/>
  <c r="I248" i="28"/>
  <c r="I243" i="28"/>
  <c r="J211" i="28"/>
  <c r="H249" i="28"/>
  <c r="H258" i="28"/>
  <c r="K93" i="32"/>
  <c r="K109" i="32" s="1"/>
  <c r="K126" i="32"/>
  <c r="L294" i="28"/>
  <c r="L295" i="28"/>
  <c r="L277" i="28"/>
  <c r="L285" i="28"/>
  <c r="E12" i="50" s="1"/>
  <c r="M271" i="28"/>
  <c r="R254" i="1"/>
  <c r="S254" i="1" s="1"/>
  <c r="T254" i="1" s="1"/>
  <c r="U254" i="1" s="1"/>
  <c r="L57" i="32"/>
  <c r="E13" i="59" s="1"/>
  <c r="M48" i="32"/>
  <c r="H254" i="28"/>
  <c r="V242" i="1"/>
  <c r="W242" i="1" s="1"/>
  <c r="X242" i="1" s="1"/>
  <c r="Y242" i="1" s="1"/>
  <c r="L92" i="32"/>
  <c r="E13" i="60" s="1"/>
  <c r="M83" i="32"/>
  <c r="M22" i="32"/>
  <c r="N10" i="32"/>
  <c r="L23" i="32"/>
  <c r="E17" i="58" s="1"/>
  <c r="L125" i="32"/>
  <c r="E11" i="61" s="1"/>
  <c r="M118" i="32"/>
  <c r="L278" i="28" l="1"/>
  <c r="M92" i="32"/>
  <c r="N83" i="32"/>
  <c r="L93" i="32"/>
  <c r="E14" i="60" s="1"/>
  <c r="M125" i="32"/>
  <c r="N118" i="32"/>
  <c r="M23" i="32"/>
  <c r="M39" i="32" s="1"/>
  <c r="Z242" i="1"/>
  <c r="AA242" i="1" s="1"/>
  <c r="AB242" i="1" s="1"/>
  <c r="AC242" i="1" s="1"/>
  <c r="L58" i="32"/>
  <c r="E14" i="59" s="1"/>
  <c r="V254" i="1"/>
  <c r="W254" i="1" s="1"/>
  <c r="X254" i="1" s="1"/>
  <c r="Y254" i="1" s="1"/>
  <c r="L286" i="28"/>
  <c r="E13" i="50" s="1"/>
  <c r="K142" i="32"/>
  <c r="J243" i="28"/>
  <c r="J257" i="28"/>
  <c r="J248" i="28"/>
  <c r="J253" i="28"/>
  <c r="K211" i="28"/>
  <c r="I249" i="28"/>
  <c r="I258" i="28"/>
  <c r="L319" i="28"/>
  <c r="L126" i="32"/>
  <c r="N22" i="32"/>
  <c r="O10" i="32"/>
  <c r="M57" i="32"/>
  <c r="N48" i="32"/>
  <c r="M277" i="28"/>
  <c r="M294" i="28"/>
  <c r="M295" i="28"/>
  <c r="M285" i="28"/>
  <c r="N271" i="28"/>
  <c r="I244" i="28"/>
  <c r="I254" i="28"/>
  <c r="M335" i="28"/>
  <c r="M336" i="28"/>
  <c r="M318" i="28"/>
  <c r="M326" i="28"/>
  <c r="N311" i="28"/>
  <c r="L39" i="32"/>
  <c r="L109" i="32" l="1"/>
  <c r="L142" i="32"/>
  <c r="E12" i="61"/>
  <c r="J244" i="28"/>
  <c r="N335" i="28"/>
  <c r="N318" i="28"/>
  <c r="N326" i="28"/>
  <c r="N336" i="28"/>
  <c r="O311" i="28"/>
  <c r="M286" i="28"/>
  <c r="M302" i="28" s="1"/>
  <c r="N57" i="32"/>
  <c r="O48" i="32"/>
  <c r="O22" i="32"/>
  <c r="P10" i="32"/>
  <c r="F4" i="58" s="1"/>
  <c r="K248" i="28"/>
  <c r="K243" i="28"/>
  <c r="K253" i="28"/>
  <c r="K257" i="28"/>
  <c r="L211" i="28"/>
  <c r="E4" i="49" s="1"/>
  <c r="J249" i="28"/>
  <c r="Z254" i="1"/>
  <c r="AA254" i="1" s="1"/>
  <c r="AB254" i="1" s="1"/>
  <c r="AC254" i="1" s="1"/>
  <c r="M327" i="28"/>
  <c r="N295" i="28"/>
  <c r="N294" i="28"/>
  <c r="N285" i="28"/>
  <c r="N277" i="28"/>
  <c r="O271" i="28"/>
  <c r="M278" i="28"/>
  <c r="M58" i="32"/>
  <c r="M74" i="32" s="1"/>
  <c r="N23" i="32"/>
  <c r="N39" i="32" s="1"/>
  <c r="J254" i="28"/>
  <c r="J258" i="28"/>
  <c r="L302" i="28"/>
  <c r="L74" i="32"/>
  <c r="AD242" i="1"/>
  <c r="AE242" i="1" s="1"/>
  <c r="AF242" i="1" s="1"/>
  <c r="AG242" i="1" s="1"/>
  <c r="N125" i="32"/>
  <c r="O118" i="32"/>
  <c r="N92" i="32"/>
  <c r="O83" i="32"/>
  <c r="M319" i="28"/>
  <c r="M126" i="32"/>
  <c r="M93" i="32"/>
  <c r="N286" i="28" l="1"/>
  <c r="N302" i="28" s="1"/>
  <c r="O92" i="32"/>
  <c r="P83" i="32"/>
  <c r="F4" i="60" s="1"/>
  <c r="O125" i="32"/>
  <c r="P118" i="32"/>
  <c r="F4" i="61" s="1"/>
  <c r="M142" i="32"/>
  <c r="O294" i="28"/>
  <c r="O295" i="28"/>
  <c r="O277" i="28"/>
  <c r="O285" i="28"/>
  <c r="P271" i="28"/>
  <c r="F4" i="50" s="1"/>
  <c r="M343" i="28"/>
  <c r="L243" i="28"/>
  <c r="L253" i="28"/>
  <c r="L248" i="28"/>
  <c r="L257" i="28"/>
  <c r="M211" i="28"/>
  <c r="K254" i="28"/>
  <c r="K249" i="28"/>
  <c r="P22" i="32"/>
  <c r="F16" i="58" s="1"/>
  <c r="Q10" i="32"/>
  <c r="O57" i="32"/>
  <c r="P48" i="32"/>
  <c r="F4" i="59" s="1"/>
  <c r="O336" i="28"/>
  <c r="O335" i="28"/>
  <c r="O318" i="28"/>
  <c r="O326" i="28"/>
  <c r="P311" i="28"/>
  <c r="N327" i="28"/>
  <c r="N343" i="28" s="1"/>
  <c r="M109" i="32"/>
  <c r="N93" i="32"/>
  <c r="N126" i="32"/>
  <c r="AH242" i="1"/>
  <c r="AI242" i="1" s="1"/>
  <c r="AJ242" i="1" s="1"/>
  <c r="AK242" i="1" s="1"/>
  <c r="N278" i="28"/>
  <c r="AD254" i="1"/>
  <c r="AE254" i="1" s="1"/>
  <c r="AF254" i="1" s="1"/>
  <c r="AG254" i="1" s="1"/>
  <c r="K258" i="28"/>
  <c r="K244" i="28"/>
  <c r="O23" i="32"/>
  <c r="O39" i="32" s="1"/>
  <c r="N58" i="32"/>
  <c r="N319" i="28"/>
  <c r="O286" i="28" l="1"/>
  <c r="O302" i="28" s="1"/>
  <c r="O278" i="28"/>
  <c r="N109" i="32"/>
  <c r="P57" i="32"/>
  <c r="F13" i="59" s="1"/>
  <c r="Q48" i="32"/>
  <c r="L258" i="28"/>
  <c r="L254" i="28"/>
  <c r="P285" i="28"/>
  <c r="F12" i="50" s="1"/>
  <c r="P295" i="28"/>
  <c r="P294" i="28"/>
  <c r="P277" i="28"/>
  <c r="Q271" i="28"/>
  <c r="AH254" i="1"/>
  <c r="AI254" i="1" s="1"/>
  <c r="AJ254" i="1" s="1"/>
  <c r="AK254" i="1" s="1"/>
  <c r="AL242" i="1"/>
  <c r="AM242" i="1" s="1"/>
  <c r="AN242" i="1" s="1"/>
  <c r="AO242" i="1" s="1"/>
  <c r="P335" i="28"/>
  <c r="P326" i="28"/>
  <c r="P336" i="28"/>
  <c r="P318" i="28"/>
  <c r="Q311" i="28"/>
  <c r="O319" i="28"/>
  <c r="O58" i="32"/>
  <c r="O74" i="32" s="1"/>
  <c r="P23" i="32"/>
  <c r="M248" i="28"/>
  <c r="M253" i="28"/>
  <c r="M243" i="28"/>
  <c r="M257" i="28"/>
  <c r="N211" i="28"/>
  <c r="L249" i="28"/>
  <c r="L244" i="28"/>
  <c r="N74" i="32"/>
  <c r="P125" i="32"/>
  <c r="F11" i="61" s="1"/>
  <c r="Q118" i="32"/>
  <c r="P92" i="32"/>
  <c r="F13" i="60" s="1"/>
  <c r="Q83" i="32"/>
  <c r="N142" i="32"/>
  <c r="O327" i="28"/>
  <c r="O343" i="28" s="1"/>
  <c r="Q22" i="32"/>
  <c r="R10" i="32"/>
  <c r="O126" i="32"/>
  <c r="O93" i="32"/>
  <c r="O109" i="32" s="1"/>
  <c r="P39" i="32" l="1"/>
  <c r="F17" i="58"/>
  <c r="Q92" i="32"/>
  <c r="R83" i="32"/>
  <c r="P126" i="32"/>
  <c r="F12" i="61" s="1"/>
  <c r="Q336" i="28"/>
  <c r="Q335" i="28"/>
  <c r="Q318" i="28"/>
  <c r="Q326" i="28"/>
  <c r="R311" i="28"/>
  <c r="R22" i="32"/>
  <c r="S10" i="32"/>
  <c r="P93" i="32"/>
  <c r="Q125" i="32"/>
  <c r="R118" i="32"/>
  <c r="N248" i="28"/>
  <c r="N253" i="28"/>
  <c r="N257" i="28"/>
  <c r="N243" i="28"/>
  <c r="O211" i="28"/>
  <c r="M244" i="28"/>
  <c r="M249" i="28"/>
  <c r="P319" i="28"/>
  <c r="P327" i="28"/>
  <c r="P343" i="28" s="1"/>
  <c r="O142" i="32"/>
  <c r="AP242" i="1"/>
  <c r="AQ242" i="1" s="1"/>
  <c r="AR242" i="1" s="1"/>
  <c r="Q294" i="28"/>
  <c r="Q277" i="28"/>
  <c r="Q285" i="28"/>
  <c r="Q295" i="28"/>
  <c r="R271" i="28"/>
  <c r="P286" i="28"/>
  <c r="F13" i="50" s="1"/>
  <c r="Q57" i="32"/>
  <c r="R48" i="32"/>
  <c r="P58" i="32"/>
  <c r="F14" i="59" s="1"/>
  <c r="Q23" i="32"/>
  <c r="Q39" i="32" s="1"/>
  <c r="M258" i="28"/>
  <c r="M254" i="28"/>
  <c r="AL254" i="1"/>
  <c r="AM254" i="1" s="1"/>
  <c r="AN254" i="1" s="1"/>
  <c r="AO254" i="1" s="1"/>
  <c r="P278" i="28"/>
  <c r="P109" i="32" l="1"/>
  <c r="F14" i="60"/>
  <c r="N258" i="28"/>
  <c r="Q327" i="28"/>
  <c r="Q343" i="28" s="1"/>
  <c r="AP254" i="1"/>
  <c r="AQ254" i="1" s="1"/>
  <c r="AR254" i="1" s="1"/>
  <c r="O257" i="28"/>
  <c r="O248" i="28"/>
  <c r="O243" i="28"/>
  <c r="O253" i="28"/>
  <c r="P211" i="28"/>
  <c r="F4" i="49" s="1"/>
  <c r="N249" i="28"/>
  <c r="Q126" i="32"/>
  <c r="Q142" i="32" s="1"/>
  <c r="Q58" i="32"/>
  <c r="P302" i="28"/>
  <c r="Q278" i="28"/>
  <c r="P74" i="32"/>
  <c r="N244" i="28"/>
  <c r="N254" i="28"/>
  <c r="R125" i="32"/>
  <c r="S118" i="32"/>
  <c r="R23" i="32"/>
  <c r="R335" i="28"/>
  <c r="R336" i="28"/>
  <c r="R326" i="28"/>
  <c r="R318" i="28"/>
  <c r="S311" i="28"/>
  <c r="Q319" i="28"/>
  <c r="Q93" i="32"/>
  <c r="P142" i="32"/>
  <c r="R57" i="32"/>
  <c r="S48" i="32"/>
  <c r="R295" i="28"/>
  <c r="R277" i="28"/>
  <c r="R285" i="28"/>
  <c r="R294" i="28"/>
  <c r="S271" i="28"/>
  <c r="Q286" i="28"/>
  <c r="S22" i="32"/>
  <c r="T10" i="32"/>
  <c r="G4" i="58" s="1"/>
  <c r="R92" i="32"/>
  <c r="S83" i="32"/>
  <c r="R327" i="28" l="1"/>
  <c r="R343" i="28" s="1"/>
  <c r="R126" i="32"/>
  <c r="R58" i="32"/>
  <c r="R74" i="32" s="1"/>
  <c r="T22" i="32"/>
  <c r="G16" i="58" s="1"/>
  <c r="U10" i="32"/>
  <c r="R286" i="28"/>
  <c r="R302" i="28" s="1"/>
  <c r="R93" i="32"/>
  <c r="R109" i="32" s="1"/>
  <c r="S23" i="32"/>
  <c r="R278" i="28"/>
  <c r="S57" i="32"/>
  <c r="T48" i="32"/>
  <c r="G4" i="59" s="1"/>
  <c r="R39" i="32"/>
  <c r="R319" i="28"/>
  <c r="R142" i="32"/>
  <c r="P248" i="28"/>
  <c r="P243" i="28"/>
  <c r="P257" i="28"/>
  <c r="P253" i="28"/>
  <c r="Q211" i="28"/>
  <c r="O244" i="28"/>
  <c r="O258" i="28"/>
  <c r="S92" i="32"/>
  <c r="T83" i="32"/>
  <c r="G4" i="60" s="1"/>
  <c r="S295" i="28"/>
  <c r="S294" i="28"/>
  <c r="S277" i="28"/>
  <c r="S285" i="28"/>
  <c r="T271" i="28"/>
  <c r="G4" i="50" s="1"/>
  <c r="S336" i="28"/>
  <c r="S335" i="28"/>
  <c r="S318" i="28"/>
  <c r="S326" i="28"/>
  <c r="T311" i="28"/>
  <c r="Q109" i="32"/>
  <c r="S125" i="32"/>
  <c r="T118" i="32"/>
  <c r="G4" i="61" s="1"/>
  <c r="Q302" i="28"/>
  <c r="Q74" i="32"/>
  <c r="O254" i="28"/>
  <c r="O249" i="28"/>
  <c r="S58" i="32" l="1"/>
  <c r="S74" i="32" s="1"/>
  <c r="S327" i="28"/>
  <c r="S343" i="28" s="1"/>
  <c r="S286" i="28"/>
  <c r="S302" i="28" s="1"/>
  <c r="S319" i="28"/>
  <c r="S278" i="28"/>
  <c r="P258" i="28"/>
  <c r="S93" i="32"/>
  <c r="S109" i="32" s="1"/>
  <c r="T125" i="32"/>
  <c r="G11" i="61" s="1"/>
  <c r="U118" i="32"/>
  <c r="T285" i="28"/>
  <c r="T295" i="28"/>
  <c r="T294" i="28"/>
  <c r="T277" i="28"/>
  <c r="T278" i="28" s="1"/>
  <c r="U271" i="28"/>
  <c r="Q257" i="28"/>
  <c r="Q253" i="28"/>
  <c r="Q248" i="28"/>
  <c r="Q243" i="28"/>
  <c r="R211" i="28"/>
  <c r="P249" i="28"/>
  <c r="S39" i="32"/>
  <c r="T23" i="32"/>
  <c r="S126" i="32"/>
  <c r="T335" i="28"/>
  <c r="T336" i="28"/>
  <c r="T318" i="28"/>
  <c r="T326" i="28"/>
  <c r="U311" i="28"/>
  <c r="T92" i="32"/>
  <c r="G13" i="60" s="1"/>
  <c r="U83" i="32"/>
  <c r="P254" i="28"/>
  <c r="P244" i="28"/>
  <c r="T57" i="32"/>
  <c r="G13" i="59" s="1"/>
  <c r="U48" i="32"/>
  <c r="U22" i="32"/>
  <c r="V10" i="32"/>
  <c r="T327" i="28" l="1"/>
  <c r="T343" i="28" s="1"/>
  <c r="T286" i="28"/>
  <c r="T302" i="28" s="1"/>
  <c r="T39" i="32"/>
  <c r="G17" i="58"/>
  <c r="G12" i="50"/>
  <c r="T93" i="32"/>
  <c r="G14" i="60" s="1"/>
  <c r="T319" i="28"/>
  <c r="V22" i="32"/>
  <c r="W10" i="32"/>
  <c r="U57" i="32"/>
  <c r="V48" i="32"/>
  <c r="R248" i="28"/>
  <c r="R243" i="28"/>
  <c r="R253" i="28"/>
  <c r="R257" i="28"/>
  <c r="S211" i="28"/>
  <c r="Q249" i="28"/>
  <c r="Q258" i="28"/>
  <c r="U277" i="28"/>
  <c r="U294" i="28"/>
  <c r="U285" i="28"/>
  <c r="U295" i="28"/>
  <c r="V271" i="28"/>
  <c r="U125" i="32"/>
  <c r="V118" i="32"/>
  <c r="T126" i="32"/>
  <c r="G12" i="61" s="1"/>
  <c r="U23" i="32"/>
  <c r="U39" i="32" s="1"/>
  <c r="T58" i="32"/>
  <c r="G14" i="59" s="1"/>
  <c r="U92" i="32"/>
  <c r="V83" i="32"/>
  <c r="U336" i="28"/>
  <c r="U326" i="28"/>
  <c r="U335" i="28"/>
  <c r="U318" i="28"/>
  <c r="V311" i="28"/>
  <c r="S142" i="32"/>
  <c r="Q244" i="28"/>
  <c r="Q254" i="28"/>
  <c r="T142" i="32" l="1"/>
  <c r="U319" i="28"/>
  <c r="U327" i="28"/>
  <c r="G13" i="50"/>
  <c r="T109" i="32"/>
  <c r="R249" i="28"/>
  <c r="V23" i="32"/>
  <c r="V39" i="32" s="1"/>
  <c r="V125" i="32"/>
  <c r="W118" i="32"/>
  <c r="S253" i="28"/>
  <c r="S257" i="28"/>
  <c r="S243" i="28"/>
  <c r="S248" i="28"/>
  <c r="T211" i="28"/>
  <c r="G4" i="49" s="1"/>
  <c r="V57" i="32"/>
  <c r="W48" i="32"/>
  <c r="V336" i="28"/>
  <c r="V326" i="28"/>
  <c r="V335" i="28"/>
  <c r="V318" i="28"/>
  <c r="V319" i="28" s="1"/>
  <c r="W311" i="28"/>
  <c r="V92" i="32"/>
  <c r="W83" i="32"/>
  <c r="T74" i="32"/>
  <c r="U126" i="32"/>
  <c r="V295" i="28"/>
  <c r="V285" i="28"/>
  <c r="V294" i="28"/>
  <c r="V277" i="28"/>
  <c r="W271" i="28"/>
  <c r="U286" i="28"/>
  <c r="U278" i="28"/>
  <c r="R258" i="28"/>
  <c r="R244" i="28"/>
  <c r="U343" i="28"/>
  <c r="U58" i="32"/>
  <c r="U74" i="32" s="1"/>
  <c r="W22" i="32"/>
  <c r="X10" i="32"/>
  <c r="H4" i="58" s="1"/>
  <c r="U93" i="32"/>
  <c r="R254" i="28"/>
  <c r="V327" i="28" l="1"/>
  <c r="V278" i="28"/>
  <c r="V286" i="28"/>
  <c r="V302" i="28" s="1"/>
  <c r="W23" i="32"/>
  <c r="U109" i="32"/>
  <c r="X22" i="32"/>
  <c r="X23" i="32" s="1"/>
  <c r="H17" i="58" s="1"/>
  <c r="Y10" i="32"/>
  <c r="U302" i="28"/>
  <c r="W295" i="28"/>
  <c r="W277" i="28"/>
  <c r="W294" i="28"/>
  <c r="W285" i="28"/>
  <c r="X271" i="28"/>
  <c r="H4" i="50" s="1"/>
  <c r="V93" i="32"/>
  <c r="W57" i="32"/>
  <c r="X48" i="32"/>
  <c r="H4" i="59" s="1"/>
  <c r="T257" i="28"/>
  <c r="T248" i="28"/>
  <c r="T253" i="28"/>
  <c r="T243" i="28"/>
  <c r="U211" i="28"/>
  <c r="S244" i="28"/>
  <c r="S254" i="28"/>
  <c r="W125" i="32"/>
  <c r="X118" i="32"/>
  <c r="H4" i="61" s="1"/>
  <c r="V343" i="28"/>
  <c r="U142" i="32"/>
  <c r="W92" i="32"/>
  <c r="X83" i="32"/>
  <c r="H4" i="60" s="1"/>
  <c r="W318" i="28"/>
  <c r="W319" i="28" s="1"/>
  <c r="W335" i="28"/>
  <c r="W336" i="28"/>
  <c r="W326" i="28"/>
  <c r="W327" i="28" s="1"/>
  <c r="X311" i="28"/>
  <c r="V58" i="32"/>
  <c r="S249" i="28"/>
  <c r="S258" i="28"/>
  <c r="V126" i="32"/>
  <c r="H16" i="58" l="1"/>
  <c r="X92" i="32"/>
  <c r="H13" i="60" s="1"/>
  <c r="Y83" i="32"/>
  <c r="W126" i="32"/>
  <c r="W142" i="32" s="1"/>
  <c r="U248" i="28"/>
  <c r="U253" i="28"/>
  <c r="U257" i="28"/>
  <c r="U243" i="28"/>
  <c r="V211" i="28"/>
  <c r="T254" i="28"/>
  <c r="T258" i="28"/>
  <c r="X57" i="32"/>
  <c r="H13" i="59" s="1"/>
  <c r="Y48" i="32"/>
  <c r="W286" i="28"/>
  <c r="W278" i="28"/>
  <c r="Y22" i="32"/>
  <c r="Z10" i="32"/>
  <c r="V109" i="32"/>
  <c r="X39" i="32"/>
  <c r="W39" i="32"/>
  <c r="X336" i="28"/>
  <c r="X326" i="28"/>
  <c r="X327" i="28" s="1"/>
  <c r="X335" i="28"/>
  <c r="X318" i="28"/>
  <c r="X319" i="28" s="1"/>
  <c r="Y311" i="28"/>
  <c r="W93" i="32"/>
  <c r="V142" i="32"/>
  <c r="V74" i="32"/>
  <c r="X125" i="32"/>
  <c r="H11" i="61" s="1"/>
  <c r="Y118" i="32"/>
  <c r="T244" i="28"/>
  <c r="T249" i="28"/>
  <c r="W58" i="32"/>
  <c r="W74" i="32" s="1"/>
  <c r="W343" i="28"/>
  <c r="X295" i="28"/>
  <c r="X277" i="28"/>
  <c r="X294" i="28"/>
  <c r="X285" i="28"/>
  <c r="H12" i="50" s="1"/>
  <c r="Y271" i="28"/>
  <c r="X286" i="28" l="1"/>
  <c r="H13" i="50" s="1"/>
  <c r="X278" i="28"/>
  <c r="X126" i="32"/>
  <c r="H12" i="61" s="1"/>
  <c r="Y125" i="32"/>
  <c r="Z118" i="32"/>
  <c r="Y23" i="32"/>
  <c r="W109" i="32"/>
  <c r="Y57" i="32"/>
  <c r="Z48" i="32"/>
  <c r="X58" i="32"/>
  <c r="V257" i="28"/>
  <c r="V253" i="28"/>
  <c r="V243" i="28"/>
  <c r="V248" i="28"/>
  <c r="W211" i="28"/>
  <c r="U258" i="28"/>
  <c r="U249" i="28"/>
  <c r="Y92" i="32"/>
  <c r="Z83" i="32"/>
  <c r="Y277" i="28"/>
  <c r="Y295" i="28"/>
  <c r="Y285" i="28"/>
  <c r="Y294" i="28"/>
  <c r="Z271" i="28"/>
  <c r="Y335" i="28"/>
  <c r="Y318" i="28"/>
  <c r="Y319" i="28" s="1"/>
  <c r="Y336" i="28"/>
  <c r="Y326" i="28"/>
  <c r="Y327" i="28" s="1"/>
  <c r="Z311" i="28"/>
  <c r="Z22" i="32"/>
  <c r="AA10" i="32"/>
  <c r="W302" i="28"/>
  <c r="U244" i="28"/>
  <c r="U254" i="28"/>
  <c r="X93" i="32"/>
  <c r="H14" i="60" s="1"/>
  <c r="X343" i="28"/>
  <c r="X74" i="32" l="1"/>
  <c r="H14" i="59"/>
  <c r="X302" i="28"/>
  <c r="Z23" i="32"/>
  <c r="Z39" i="32" s="1"/>
  <c r="X142" i="32"/>
  <c r="V258" i="28"/>
  <c r="AB10" i="32"/>
  <c r="I4" i="58" s="1"/>
  <c r="AA22" i="32"/>
  <c r="Z295" i="28"/>
  <c r="Z277" i="28"/>
  <c r="Z294" i="28"/>
  <c r="Z285" i="28"/>
  <c r="AA271" i="28"/>
  <c r="Y286" i="28"/>
  <c r="Y278" i="28"/>
  <c r="AA83" i="32"/>
  <c r="Z92" i="32"/>
  <c r="V249" i="28"/>
  <c r="V254" i="28"/>
  <c r="Y58" i="32"/>
  <c r="Y74" i="32" s="1"/>
  <c r="Y39" i="32"/>
  <c r="Y343" i="28"/>
  <c r="Z125" i="32"/>
  <c r="AA118" i="32"/>
  <c r="Z336" i="28"/>
  <c r="Z318" i="28"/>
  <c r="Z319" i="28" s="1"/>
  <c r="Z335" i="28"/>
  <c r="AA311" i="28"/>
  <c r="Z326" i="28"/>
  <c r="Z327" i="28" s="1"/>
  <c r="Y93" i="32"/>
  <c r="W253" i="28"/>
  <c r="W257" i="28"/>
  <c r="W248" i="28"/>
  <c r="W243" i="28"/>
  <c r="X211" i="28"/>
  <c r="H4" i="49" s="1"/>
  <c r="V244" i="28"/>
  <c r="Z57" i="32"/>
  <c r="AA48" i="32"/>
  <c r="X109" i="32"/>
  <c r="Y126" i="32"/>
  <c r="AA23" i="32" l="1"/>
  <c r="AA39" i="32" s="1"/>
  <c r="Z58" i="32"/>
  <c r="Z74" i="32" s="1"/>
  <c r="AA57" i="32"/>
  <c r="AB48" i="32"/>
  <c r="I4" i="59" s="1"/>
  <c r="W244" i="28"/>
  <c r="W258" i="28"/>
  <c r="AA335" i="28"/>
  <c r="AA336" i="28"/>
  <c r="AA318" i="28"/>
  <c r="AA319" i="28" s="1"/>
  <c r="AA326" i="28"/>
  <c r="AA327" i="28" s="1"/>
  <c r="AA343" i="28" s="1"/>
  <c r="AB311" i="28"/>
  <c r="AA125" i="32"/>
  <c r="AB118" i="32"/>
  <c r="I4" i="61" s="1"/>
  <c r="Z93" i="32"/>
  <c r="Z109" i="32" s="1"/>
  <c r="Y302" i="28"/>
  <c r="AA295" i="28"/>
  <c r="AA294" i="28"/>
  <c r="AA277" i="28"/>
  <c r="AB271" i="28"/>
  <c r="I4" i="50" s="1"/>
  <c r="AA285" i="28"/>
  <c r="Y142" i="32"/>
  <c r="X243" i="28"/>
  <c r="X253" i="28"/>
  <c r="X248" i="28"/>
  <c r="X257" i="28"/>
  <c r="Y211" i="28"/>
  <c r="W249" i="28"/>
  <c r="W254" i="28"/>
  <c r="Z126" i="32"/>
  <c r="Z142" i="32" s="1"/>
  <c r="AA92" i="32"/>
  <c r="AB83" i="32"/>
  <c r="I4" i="60" s="1"/>
  <c r="Z286" i="28"/>
  <c r="Z278" i="28"/>
  <c r="Z343" i="28"/>
  <c r="AB22" i="32"/>
  <c r="I16" i="58" s="1"/>
  <c r="AC10" i="32"/>
  <c r="Y109" i="32"/>
  <c r="X258" i="28" l="1"/>
  <c r="AA58" i="32"/>
  <c r="AA74" i="32" s="1"/>
  <c r="X244" i="28"/>
  <c r="AB23" i="32"/>
  <c r="I17" i="58" s="1"/>
  <c r="AA93" i="32"/>
  <c r="AA109" i="32" s="1"/>
  <c r="Y253" i="28"/>
  <c r="Y248" i="28"/>
  <c r="Z211" i="28"/>
  <c r="Y243" i="28"/>
  <c r="Y257" i="28"/>
  <c r="X249" i="28"/>
  <c r="AA286" i="28"/>
  <c r="AA302" i="28" s="1"/>
  <c r="AA278" i="28"/>
  <c r="Z302" i="28"/>
  <c r="AA126" i="32"/>
  <c r="AA142" i="32" s="1"/>
  <c r="AC22" i="32"/>
  <c r="AD10" i="32"/>
  <c r="AB92" i="32"/>
  <c r="I13" i="60" s="1"/>
  <c r="AC83" i="32"/>
  <c r="X254" i="28"/>
  <c r="AB295" i="28"/>
  <c r="AB294" i="28"/>
  <c r="AB277" i="28"/>
  <c r="AB285" i="28"/>
  <c r="AC271" i="28"/>
  <c r="AB125" i="32"/>
  <c r="I11" i="61" s="1"/>
  <c r="AC118" i="32"/>
  <c r="AB336" i="28"/>
  <c r="AB335" i="28"/>
  <c r="AB318" i="28"/>
  <c r="AB319" i="28" s="1"/>
  <c r="AB326" i="28"/>
  <c r="AB327" i="28" s="1"/>
  <c r="AC311" i="28"/>
  <c r="AB57" i="32"/>
  <c r="I13" i="59" s="1"/>
  <c r="AC48" i="32"/>
  <c r="AB286" i="28" l="1"/>
  <c r="I13" i="50" s="1"/>
  <c r="I12" i="50"/>
  <c r="AB93" i="32"/>
  <c r="I14" i="60" s="1"/>
  <c r="AB126" i="32"/>
  <c r="I12" i="61" s="1"/>
  <c r="AB278" i="28"/>
  <c r="AC57" i="32"/>
  <c r="AD48" i="32"/>
  <c r="AC125" i="32"/>
  <c r="AD118" i="32"/>
  <c r="AC294" i="28"/>
  <c r="AC285" i="28"/>
  <c r="AC295" i="28"/>
  <c r="AD271" i="28"/>
  <c r="AC277" i="28"/>
  <c r="AD22" i="32"/>
  <c r="AE10" i="32"/>
  <c r="Y244" i="28"/>
  <c r="Y249" i="28"/>
  <c r="AB39" i="32"/>
  <c r="AB58" i="32"/>
  <c r="I14" i="59" s="1"/>
  <c r="AC335" i="28"/>
  <c r="AC336" i="28"/>
  <c r="AC318" i="28"/>
  <c r="AC319" i="28" s="1"/>
  <c r="AC326" i="28"/>
  <c r="AC327" i="28" s="1"/>
  <c r="AD311" i="28"/>
  <c r="AC92" i="32"/>
  <c r="AD83" i="32"/>
  <c r="AC23" i="32"/>
  <c r="AB343" i="28"/>
  <c r="AB302" i="28"/>
  <c r="Y258" i="28"/>
  <c r="Z257" i="28"/>
  <c r="Z253" i="28"/>
  <c r="Z248" i="28"/>
  <c r="Z243" i="28"/>
  <c r="AA211" i="28"/>
  <c r="Y254" i="28"/>
  <c r="AB109" i="32" l="1"/>
  <c r="AB142" i="32"/>
  <c r="Z249" i="28"/>
  <c r="Z258" i="28"/>
  <c r="Z244" i="28"/>
  <c r="AA243" i="28"/>
  <c r="AA248" i="28"/>
  <c r="AA257" i="28"/>
  <c r="AA253" i="28"/>
  <c r="AB211" i="28"/>
  <c r="I4" i="49" s="1"/>
  <c r="AD92" i="32"/>
  <c r="AE83" i="32"/>
  <c r="AD335" i="28"/>
  <c r="AD336" i="28"/>
  <c r="AD326" i="28"/>
  <c r="AD327" i="28" s="1"/>
  <c r="AD343" i="28" s="1"/>
  <c r="AE311" i="28"/>
  <c r="AD318" i="28"/>
  <c r="AD319" i="28" s="1"/>
  <c r="AB74" i="32"/>
  <c r="AC39" i="32"/>
  <c r="AE22" i="32"/>
  <c r="AF10" i="32"/>
  <c r="J4" i="58" s="1"/>
  <c r="AC278" i="28"/>
  <c r="AC126" i="32"/>
  <c r="AD57" i="32"/>
  <c r="AE48" i="32"/>
  <c r="Z254" i="28"/>
  <c r="AC93" i="32"/>
  <c r="AD23" i="32"/>
  <c r="AD295" i="28"/>
  <c r="AD294" i="28"/>
  <c r="AD285" i="28"/>
  <c r="AD277" i="28"/>
  <c r="AE271" i="28"/>
  <c r="AC286" i="28"/>
  <c r="AD125" i="32"/>
  <c r="AE118" i="32"/>
  <c r="AC343" i="28"/>
  <c r="AC58" i="32"/>
  <c r="AA249" i="28" l="1"/>
  <c r="AD278" i="28"/>
  <c r="AD126" i="32"/>
  <c r="AD142" i="32" s="1"/>
  <c r="AA244" i="28"/>
  <c r="AE125" i="32"/>
  <c r="AF118" i="32"/>
  <c r="J4" i="61" s="1"/>
  <c r="AE294" i="28"/>
  <c r="AE277" i="28"/>
  <c r="AE278" i="28" s="1"/>
  <c r="AE295" i="28"/>
  <c r="AE285" i="28"/>
  <c r="AF271" i="28"/>
  <c r="J4" i="50" s="1"/>
  <c r="AD286" i="28"/>
  <c r="AD302" i="28" s="1"/>
  <c r="AD58" i="32"/>
  <c r="AD74" i="32" s="1"/>
  <c r="AE23" i="32"/>
  <c r="AE39" i="32" s="1"/>
  <c r="AD93" i="32"/>
  <c r="AD109" i="32" s="1"/>
  <c r="AB253" i="28"/>
  <c r="AB248" i="28"/>
  <c r="AB243" i="28"/>
  <c r="AB257" i="28"/>
  <c r="AC211" i="28"/>
  <c r="AA258" i="28"/>
  <c r="AC302" i="28"/>
  <c r="AC109" i="32"/>
  <c r="AF48" i="32"/>
  <c r="J4" i="59" s="1"/>
  <c r="AE57" i="32"/>
  <c r="AC142" i="32"/>
  <c r="AF22" i="32"/>
  <c r="J16" i="58" s="1"/>
  <c r="AG10" i="32"/>
  <c r="AC74" i="32"/>
  <c r="AE336" i="28"/>
  <c r="AE335" i="28"/>
  <c r="AE326" i="28"/>
  <c r="AE327" i="28" s="1"/>
  <c r="AE318" i="28"/>
  <c r="AE319" i="28" s="1"/>
  <c r="AF311" i="28"/>
  <c r="AE92" i="32"/>
  <c r="AF83" i="32"/>
  <c r="J4" i="60" s="1"/>
  <c r="AD39" i="32"/>
  <c r="AA254" i="28"/>
  <c r="AE126" i="32" l="1"/>
  <c r="AE142" i="32" s="1"/>
  <c r="AF23" i="32"/>
  <c r="AG22" i="32"/>
  <c r="AH10" i="32"/>
  <c r="AF92" i="32"/>
  <c r="J13" i="60" s="1"/>
  <c r="AG83" i="32"/>
  <c r="AF335" i="28"/>
  <c r="AF336" i="28"/>
  <c r="AF318" i="28"/>
  <c r="AF319" i="28" s="1"/>
  <c r="AG311" i="28"/>
  <c r="AF326" i="28"/>
  <c r="AF327" i="28" s="1"/>
  <c r="AF343" i="28" s="1"/>
  <c r="AE58" i="32"/>
  <c r="AE74" i="32" s="1"/>
  <c r="AB258" i="28"/>
  <c r="AB249" i="28"/>
  <c r="AE343" i="28"/>
  <c r="AE286" i="28"/>
  <c r="AE302" i="28" s="1"/>
  <c r="AG118" i="32"/>
  <c r="AF125" i="32"/>
  <c r="J11" i="61" s="1"/>
  <c r="AE93" i="32"/>
  <c r="AE109" i="32" s="1"/>
  <c r="AF57" i="32"/>
  <c r="J13" i="59" s="1"/>
  <c r="AG48" i="32"/>
  <c r="AC257" i="28"/>
  <c r="AC248" i="28"/>
  <c r="AD211" i="28"/>
  <c r="AC253" i="28"/>
  <c r="AC243" i="28"/>
  <c r="AB244" i="28"/>
  <c r="AB254" i="28"/>
  <c r="AF294" i="28"/>
  <c r="AF295" i="28"/>
  <c r="AF277" i="28"/>
  <c r="AF285" i="28"/>
  <c r="J12" i="50" s="1"/>
  <c r="AG271" i="28"/>
  <c r="AF39" i="32" l="1"/>
  <c r="J17" i="58"/>
  <c r="AF286" i="28"/>
  <c r="J13" i="50" s="1"/>
  <c r="AF58" i="32"/>
  <c r="J14" i="59" s="1"/>
  <c r="AG295" i="28"/>
  <c r="AH271" i="28"/>
  <c r="AG294" i="28"/>
  <c r="AG277" i="28"/>
  <c r="AG285" i="28"/>
  <c r="AF278" i="28"/>
  <c r="AC244" i="28"/>
  <c r="AD248" i="28"/>
  <c r="AD243" i="28"/>
  <c r="AD253" i="28"/>
  <c r="AD257" i="28"/>
  <c r="AE211" i="28"/>
  <c r="AC258" i="28"/>
  <c r="AG57" i="32"/>
  <c r="AH48" i="32"/>
  <c r="AF126" i="32"/>
  <c r="J12" i="61" s="1"/>
  <c r="AG125" i="32"/>
  <c r="AH118" i="32"/>
  <c r="AF302" i="28"/>
  <c r="AG336" i="28"/>
  <c r="AG335" i="28"/>
  <c r="AG318" i="28"/>
  <c r="AG319" i="28" s="1"/>
  <c r="AG326" i="28"/>
  <c r="AG327" i="28" s="1"/>
  <c r="AG343" i="28" s="1"/>
  <c r="AH311" i="28"/>
  <c r="AF93" i="32"/>
  <c r="AG23" i="32"/>
  <c r="AC254" i="28"/>
  <c r="AC249" i="28"/>
  <c r="AG92" i="32"/>
  <c r="AH83" i="32"/>
  <c r="AH22" i="32"/>
  <c r="AI10" i="32"/>
  <c r="AF109" i="32" l="1"/>
  <c r="J14" i="60"/>
  <c r="AD244" i="28"/>
  <c r="AH23" i="32"/>
  <c r="AH39" i="32" s="1"/>
  <c r="AF74" i="32"/>
  <c r="AG93" i="32"/>
  <c r="AG109" i="32" s="1"/>
  <c r="AI22" i="32"/>
  <c r="AJ10" i="32"/>
  <c r="K4" i="58" s="1"/>
  <c r="AI83" i="32"/>
  <c r="AH92" i="32"/>
  <c r="AH336" i="28"/>
  <c r="AH318" i="28"/>
  <c r="AH319" i="28" s="1"/>
  <c r="AI311" i="28"/>
  <c r="AH335" i="28"/>
  <c r="AH326" i="28"/>
  <c r="AH327" i="28" s="1"/>
  <c r="AH343" i="28" s="1"/>
  <c r="AI118" i="32"/>
  <c r="AH125" i="32"/>
  <c r="AH57" i="32"/>
  <c r="AI48" i="32"/>
  <c r="AE257" i="28"/>
  <c r="AE253" i="28"/>
  <c r="AF211" i="28"/>
  <c r="J4" i="49" s="1"/>
  <c r="AE248" i="28"/>
  <c r="AE243" i="28"/>
  <c r="AD254" i="28"/>
  <c r="AD249" i="28"/>
  <c r="AG278" i="28"/>
  <c r="AH295" i="28"/>
  <c r="AH294" i="28"/>
  <c r="AH285" i="28"/>
  <c r="AH277" i="28"/>
  <c r="AH278" i="28" s="1"/>
  <c r="AI271" i="28"/>
  <c r="AG39" i="32"/>
  <c r="AG126" i="32"/>
  <c r="AG142" i="32" s="1"/>
  <c r="AF142" i="32"/>
  <c r="AG58" i="32"/>
  <c r="AD258" i="28"/>
  <c r="AG286" i="28"/>
  <c r="AE244" i="28" l="1"/>
  <c r="AH93" i="32"/>
  <c r="AH109" i="32" s="1"/>
  <c r="AI23" i="32"/>
  <c r="AI39" i="32" s="1"/>
  <c r="AG302" i="28"/>
  <c r="AI295" i="28"/>
  <c r="AI294" i="28"/>
  <c r="AI285" i="28"/>
  <c r="AJ271" i="28"/>
  <c r="K4" i="50" s="1"/>
  <c r="AI277" i="28"/>
  <c r="AI278" i="28" s="1"/>
  <c r="AH286" i="28"/>
  <c r="AE249" i="28"/>
  <c r="AE254" i="28"/>
  <c r="AJ48" i="32"/>
  <c r="K4" i="59" s="1"/>
  <c r="AI57" i="32"/>
  <c r="AH126" i="32"/>
  <c r="AI335" i="28"/>
  <c r="AI318" i="28"/>
  <c r="AI319" i="28" s="1"/>
  <c r="AI326" i="28"/>
  <c r="AI327" i="28" s="1"/>
  <c r="AI343" i="28" s="1"/>
  <c r="AI336" i="28"/>
  <c r="AJ311" i="28"/>
  <c r="AJ22" i="32"/>
  <c r="K16" i="58" s="1"/>
  <c r="AK10" i="32"/>
  <c r="AG74" i="32"/>
  <c r="AF248" i="28"/>
  <c r="AF243" i="28"/>
  <c r="AF253" i="28"/>
  <c r="AF257" i="28"/>
  <c r="AG211" i="28"/>
  <c r="AE258" i="28"/>
  <c r="AH58" i="32"/>
  <c r="AI125" i="32"/>
  <c r="AJ118" i="32"/>
  <c r="K4" i="61" s="1"/>
  <c r="AI92" i="32"/>
  <c r="AJ83" i="32"/>
  <c r="K4" i="60" s="1"/>
  <c r="AF254" i="28" l="1"/>
  <c r="AF249" i="28"/>
  <c r="AJ92" i="32"/>
  <c r="K13" i="60" s="1"/>
  <c r="AK83" i="32"/>
  <c r="AG243" i="28"/>
  <c r="AG257" i="28"/>
  <c r="AH211" i="28"/>
  <c r="AG248" i="28"/>
  <c r="AG253" i="28"/>
  <c r="AI93" i="32"/>
  <c r="AI126" i="32"/>
  <c r="AF258" i="28"/>
  <c r="AF244" i="28"/>
  <c r="AJ23" i="32"/>
  <c r="K17" i="58" s="1"/>
  <c r="AI58" i="32"/>
  <c r="AJ294" i="28"/>
  <c r="AJ285" i="28"/>
  <c r="K12" i="50" s="1"/>
  <c r="AJ295" i="28"/>
  <c r="AJ277" i="28"/>
  <c r="AK271" i="28"/>
  <c r="AK118" i="32"/>
  <c r="AJ125" i="32"/>
  <c r="K11" i="61" s="1"/>
  <c r="AH74" i="32"/>
  <c r="AL10" i="32"/>
  <c r="AK22" i="32"/>
  <c r="AJ335" i="28"/>
  <c r="AK311" i="28"/>
  <c r="AJ336" i="28"/>
  <c r="AJ318" i="28"/>
  <c r="AJ319" i="28" s="1"/>
  <c r="AJ326" i="28"/>
  <c r="AJ327" i="28" s="1"/>
  <c r="AJ343" i="28" s="1"/>
  <c r="AI142" i="32"/>
  <c r="AJ57" i="32"/>
  <c r="K13" i="59" s="1"/>
  <c r="AK48" i="32"/>
  <c r="AI286" i="28"/>
  <c r="AI302" i="28" s="1"/>
  <c r="AH142" i="32"/>
  <c r="AH302" i="28"/>
  <c r="AJ58" i="32" l="1"/>
  <c r="K14" i="59" s="1"/>
  <c r="AJ126" i="32"/>
  <c r="K12" i="61" s="1"/>
  <c r="AL48" i="32"/>
  <c r="AK57" i="32"/>
  <c r="AK335" i="28"/>
  <c r="AK326" i="28"/>
  <c r="AK327" i="28" s="1"/>
  <c r="AK343" i="28" s="1"/>
  <c r="AK336" i="28"/>
  <c r="AK318" i="28"/>
  <c r="AK319" i="28" s="1"/>
  <c r="AL311" i="28"/>
  <c r="AK23" i="32"/>
  <c r="AK39" i="32" s="1"/>
  <c r="AK125" i="32"/>
  <c r="AL118" i="32"/>
  <c r="AK294" i="28"/>
  <c r="AK277" i="28"/>
  <c r="AL271" i="28"/>
  <c r="AK285" i="28"/>
  <c r="AK295" i="28"/>
  <c r="AJ39" i="32"/>
  <c r="AG254" i="28"/>
  <c r="AH257" i="28"/>
  <c r="AH253" i="28"/>
  <c r="AH254" i="28" s="1"/>
  <c r="AH248" i="28"/>
  <c r="AH243" i="28"/>
  <c r="AI211" i="28"/>
  <c r="AG244" i="28"/>
  <c r="AJ93" i="32"/>
  <c r="AL22" i="32"/>
  <c r="AM10" i="32"/>
  <c r="AJ278" i="28"/>
  <c r="AJ286" i="28"/>
  <c r="K13" i="50" s="1"/>
  <c r="AI109" i="32"/>
  <c r="AG249" i="28"/>
  <c r="AG258" i="28"/>
  <c r="AI74" i="32"/>
  <c r="AK92" i="32"/>
  <c r="AL83" i="32"/>
  <c r="AJ74" i="32" l="1"/>
  <c r="AJ109" i="32"/>
  <c r="K14" i="60"/>
  <c r="AJ142" i="32"/>
  <c r="AL23" i="32"/>
  <c r="AL39" i="32" s="1"/>
  <c r="AL92" i="32"/>
  <c r="AM83" i="32"/>
  <c r="AK93" i="32"/>
  <c r="AK109" i="32" s="1"/>
  <c r="AJ302" i="28"/>
  <c r="AI248" i="28"/>
  <c r="AI253" i="28"/>
  <c r="AI254" i="28" s="1"/>
  <c r="AI243" i="28"/>
  <c r="AJ211" i="28"/>
  <c r="K4" i="49" s="1"/>
  <c r="AI257" i="28"/>
  <c r="AH249" i="28"/>
  <c r="AH258" i="28"/>
  <c r="AK286" i="28"/>
  <c r="AK278" i="28"/>
  <c r="AL125" i="32"/>
  <c r="AM118" i="32"/>
  <c r="AL336" i="28"/>
  <c r="AL318" i="28"/>
  <c r="AL319" i="28" s="1"/>
  <c r="AL326" i="28"/>
  <c r="AL327" i="28" s="1"/>
  <c r="AL343" i="28" s="1"/>
  <c r="AM311" i="28"/>
  <c r="AL335" i="28"/>
  <c r="AL57" i="32"/>
  <c r="AM48" i="32"/>
  <c r="AN10" i="32"/>
  <c r="L4" i="58" s="1"/>
  <c r="AM22" i="32"/>
  <c r="AH244" i="28"/>
  <c r="AL294" i="28"/>
  <c r="AL277" i="28"/>
  <c r="AL295" i="28"/>
  <c r="AL285" i="28"/>
  <c r="AM271" i="28"/>
  <c r="AK126" i="32"/>
  <c r="AK58" i="32"/>
  <c r="AL278" i="28" l="1"/>
  <c r="AL286" i="28"/>
  <c r="AL302" i="28" s="1"/>
  <c r="AM23" i="32"/>
  <c r="AM39" i="32" s="1"/>
  <c r="AL93" i="32"/>
  <c r="AL109" i="32" s="1"/>
  <c r="AM294" i="28"/>
  <c r="AM277" i="28"/>
  <c r="AN271" i="28"/>
  <c r="L4" i="50" s="1"/>
  <c r="AM295" i="28"/>
  <c r="AM285" i="28"/>
  <c r="AK74" i="32"/>
  <c r="AK142" i="32"/>
  <c r="AM57" i="32"/>
  <c r="AN48" i="32"/>
  <c r="L4" i="59" s="1"/>
  <c r="AM125" i="32"/>
  <c r="AN118" i="32"/>
  <c r="L4" i="61" s="1"/>
  <c r="AJ257" i="28"/>
  <c r="AJ248" i="28"/>
  <c r="AJ243" i="28"/>
  <c r="AJ253" i="28"/>
  <c r="AK211" i="28"/>
  <c r="AM92" i="32"/>
  <c r="AN83" i="32"/>
  <c r="L4" i="60" s="1"/>
  <c r="AN22" i="32"/>
  <c r="L16" i="58" s="1"/>
  <c r="AO10" i="32"/>
  <c r="AL58" i="32"/>
  <c r="AL74" i="32" s="1"/>
  <c r="AM335" i="28"/>
  <c r="AM336" i="28"/>
  <c r="AM318" i="28"/>
  <c r="AM319" i="28" s="1"/>
  <c r="AM326" i="28"/>
  <c r="AM327" i="28" s="1"/>
  <c r="AN311" i="28"/>
  <c r="AL126" i="32"/>
  <c r="AI258" i="28"/>
  <c r="AI244" i="28"/>
  <c r="AI249" i="28"/>
  <c r="AK302" i="28"/>
  <c r="AM278" i="28" l="1"/>
  <c r="AN23" i="32"/>
  <c r="AM286" i="28"/>
  <c r="AM302" i="28" s="1"/>
  <c r="AN336" i="28"/>
  <c r="AN318" i="28"/>
  <c r="AN319" i="28" s="1"/>
  <c r="AO311" i="28"/>
  <c r="AN335" i="28"/>
  <c r="AN326" i="28"/>
  <c r="AN327" i="28" s="1"/>
  <c r="AN343" i="28" s="1"/>
  <c r="AP10" i="32"/>
  <c r="AO22" i="32"/>
  <c r="AM93" i="32"/>
  <c r="AK257" i="28"/>
  <c r="AK248" i="28"/>
  <c r="AL211" i="28"/>
  <c r="AK253" i="28"/>
  <c r="AK243" i="28"/>
  <c r="AJ249" i="28"/>
  <c r="AM126" i="32"/>
  <c r="AO48" i="32"/>
  <c r="AN57" i="32"/>
  <c r="L13" i="59" s="1"/>
  <c r="AL142" i="32"/>
  <c r="AN92" i="32"/>
  <c r="L13" i="60" s="1"/>
  <c r="AO83" i="32"/>
  <c r="AJ254" i="28"/>
  <c r="AJ244" i="28"/>
  <c r="AJ258" i="28"/>
  <c r="AN125" i="32"/>
  <c r="L11" i="61" s="1"/>
  <c r="AO118" i="32"/>
  <c r="AM343" i="28"/>
  <c r="AM58" i="32"/>
  <c r="AN277" i="28"/>
  <c r="AO271" i="28"/>
  <c r="AN295" i="28"/>
  <c r="AN294" i="28"/>
  <c r="AN285" i="28"/>
  <c r="L12" i="50" s="1"/>
  <c r="AN39" i="32" l="1"/>
  <c r="L17" i="58"/>
  <c r="AN126" i="32"/>
  <c r="L12" i="61" s="1"/>
  <c r="AN93" i="32"/>
  <c r="L14" i="60" s="1"/>
  <c r="AO295" i="28"/>
  <c r="AO294" i="28"/>
  <c r="AO285" i="28"/>
  <c r="AO277" i="28"/>
  <c r="AP271" i="28"/>
  <c r="AO92" i="32"/>
  <c r="AP83" i="32"/>
  <c r="AN58" i="32"/>
  <c r="L14" i="59" s="1"/>
  <c r="AN142" i="32"/>
  <c r="AK254" i="28"/>
  <c r="AK249" i="28"/>
  <c r="AO23" i="32"/>
  <c r="AO335" i="28"/>
  <c r="AO336" i="28"/>
  <c r="AO318" i="28"/>
  <c r="AO319" i="28" s="1"/>
  <c r="AO326" i="28"/>
  <c r="AO327" i="28" s="1"/>
  <c r="AP311" i="28"/>
  <c r="AN286" i="28"/>
  <c r="L13" i="50" s="1"/>
  <c r="AN278" i="28"/>
  <c r="AP118" i="32"/>
  <c r="AO125" i="32"/>
  <c r="AM74" i="32"/>
  <c r="AO57" i="32"/>
  <c r="AP48" i="32"/>
  <c r="AK244" i="28"/>
  <c r="AL248" i="28"/>
  <c r="AL257" i="28"/>
  <c r="AL253" i="28"/>
  <c r="AL243" i="28"/>
  <c r="AM211" i="28"/>
  <c r="AK258" i="28"/>
  <c r="AM109" i="32"/>
  <c r="AP22" i="32"/>
  <c r="AQ10" i="32"/>
  <c r="AM142" i="32"/>
  <c r="AN74" i="32" l="1"/>
  <c r="AN109" i="32"/>
  <c r="AL254" i="28"/>
  <c r="AP23" i="32"/>
  <c r="AP39" i="32" s="1"/>
  <c r="AL249" i="28"/>
  <c r="AR10" i="32"/>
  <c r="M4" i="58" s="1"/>
  <c r="AQ22" i="32"/>
  <c r="AL244" i="28"/>
  <c r="AL258" i="28"/>
  <c r="AP57" i="32"/>
  <c r="AQ48" i="32"/>
  <c r="AP125" i="32"/>
  <c r="AQ118" i="32"/>
  <c r="AN302" i="28"/>
  <c r="AO343" i="28"/>
  <c r="AO39" i="32"/>
  <c r="AP92" i="32"/>
  <c r="AQ83" i="32"/>
  <c r="AO278" i="28"/>
  <c r="AN211" i="28"/>
  <c r="L4" i="49" s="1"/>
  <c r="AM257" i="28"/>
  <c r="AM248" i="28"/>
  <c r="AM243" i="28"/>
  <c r="AM253" i="28"/>
  <c r="AO58" i="32"/>
  <c r="AO74" i="32" s="1"/>
  <c r="AO126" i="32"/>
  <c r="AP336" i="28"/>
  <c r="AP318" i="28"/>
  <c r="AP319" i="28" s="1"/>
  <c r="AP326" i="28"/>
  <c r="AP327" i="28" s="1"/>
  <c r="AQ311" i="28"/>
  <c r="AP335" i="28"/>
  <c r="AO93" i="32"/>
  <c r="AP295" i="28"/>
  <c r="AP285" i="28"/>
  <c r="AQ271" i="28"/>
  <c r="AP294" i="28"/>
  <c r="AP277" i="28"/>
  <c r="AO286" i="28"/>
  <c r="AP278" i="28" l="1"/>
  <c r="AM254" i="28"/>
  <c r="AM249" i="28"/>
  <c r="AM244" i="28"/>
  <c r="AQ23" i="32"/>
  <c r="AQ39" i="32" s="1"/>
  <c r="AP286" i="28"/>
  <c r="AP302" i="28" s="1"/>
  <c r="AQ295" i="28"/>
  <c r="AQ294" i="28"/>
  <c r="AQ277" i="28"/>
  <c r="AQ278" i="28" s="1"/>
  <c r="AR271" i="28"/>
  <c r="M4" i="50" s="1"/>
  <c r="AQ285" i="28"/>
  <c r="AO109" i="32"/>
  <c r="AM258" i="28"/>
  <c r="AQ92" i="32"/>
  <c r="AR83" i="32"/>
  <c r="M4" i="60" s="1"/>
  <c r="AP343" i="28"/>
  <c r="AO302" i="28"/>
  <c r="AR118" i="32"/>
  <c r="M4" i="61" s="1"/>
  <c r="AQ125" i="32"/>
  <c r="AP58" i="32"/>
  <c r="AP74" i="32" s="1"/>
  <c r="AQ335" i="28"/>
  <c r="AQ336" i="28"/>
  <c r="AQ318" i="28"/>
  <c r="AQ319" i="28" s="1"/>
  <c r="AQ326" i="28"/>
  <c r="AQ327" i="28" s="1"/>
  <c r="AR311" i="28"/>
  <c r="AO142" i="32"/>
  <c r="AN243" i="28"/>
  <c r="AN248" i="28"/>
  <c r="AN253" i="28"/>
  <c r="AN257" i="28"/>
  <c r="AO211" i="28"/>
  <c r="AP93" i="32"/>
  <c r="AP126" i="32"/>
  <c r="AQ57" i="32"/>
  <c r="AR48" i="32"/>
  <c r="M4" i="59" s="1"/>
  <c r="AR22" i="32"/>
  <c r="M16" i="58" s="1"/>
  <c r="AN249" i="28" l="1"/>
  <c r="AN244" i="28"/>
  <c r="AN258" i="28"/>
  <c r="AR23" i="32"/>
  <c r="M17" i="58" s="1"/>
  <c r="AT22" i="32"/>
  <c r="AR57" i="32"/>
  <c r="M13" i="59" s="1"/>
  <c r="AO257" i="28"/>
  <c r="AP211" i="28"/>
  <c r="AO248" i="28"/>
  <c r="AO253" i="28"/>
  <c r="AO243" i="28"/>
  <c r="AP142" i="32"/>
  <c r="AR125" i="32"/>
  <c r="M11" i="61" s="1"/>
  <c r="AR92" i="32"/>
  <c r="M13" i="60" s="1"/>
  <c r="AQ343" i="28"/>
  <c r="AQ286" i="28"/>
  <c r="AQ58" i="32"/>
  <c r="AN254" i="28"/>
  <c r="AR336" i="28"/>
  <c r="AT336" i="28" s="1"/>
  <c r="AR326" i="28"/>
  <c r="AR335" i="28"/>
  <c r="AT335" i="28" s="1"/>
  <c r="AR318" i="28"/>
  <c r="AQ126" i="32"/>
  <c r="AQ142" i="32" s="1"/>
  <c r="AQ93" i="32"/>
  <c r="AP109" i="32"/>
  <c r="AR295" i="28"/>
  <c r="AT295" i="28" s="1"/>
  <c r="AR294" i="28"/>
  <c r="AT294" i="28" s="1"/>
  <c r="AR277" i="28"/>
  <c r="AR285" i="28"/>
  <c r="M12" i="50" s="1"/>
  <c r="AR286" i="28" l="1"/>
  <c r="M13" i="50" s="1"/>
  <c r="AT285" i="28"/>
  <c r="AR278" i="28"/>
  <c r="AT277" i="28"/>
  <c r="B293" i="28"/>
  <c r="B334" i="28"/>
  <c r="D406" i="23" s="1"/>
  <c r="AR93" i="32"/>
  <c r="M14" i="60" s="1"/>
  <c r="AT92" i="32"/>
  <c r="AO244" i="28"/>
  <c r="AO249" i="28"/>
  <c r="AO258" i="28"/>
  <c r="B25" i="32"/>
  <c r="B19" i="58" s="1"/>
  <c r="N16" i="58"/>
  <c r="AR319" i="28"/>
  <c r="AT318" i="28"/>
  <c r="B320" i="28" s="1"/>
  <c r="AR327" i="28"/>
  <c r="AR343" i="28" s="1"/>
  <c r="B343" i="28" s="1"/>
  <c r="AT326" i="28"/>
  <c r="AQ302" i="28"/>
  <c r="AR126" i="32"/>
  <c r="M12" i="61" s="1"/>
  <c r="AT125" i="32"/>
  <c r="AQ74" i="32"/>
  <c r="AO254" i="28"/>
  <c r="AP253" i="28"/>
  <c r="AP257" i="28"/>
  <c r="AP248" i="28"/>
  <c r="AP243" i="28"/>
  <c r="AQ211" i="28"/>
  <c r="AQ109" i="32"/>
  <c r="AR58" i="32"/>
  <c r="M14" i="59" s="1"/>
  <c r="AT57" i="32"/>
  <c r="AR39" i="32"/>
  <c r="AP244" i="28" l="1"/>
  <c r="AP258" i="28"/>
  <c r="AP249" i="28"/>
  <c r="AR302" i="28"/>
  <c r="B302" i="28" s="1"/>
  <c r="AR109" i="32"/>
  <c r="AP254" i="28"/>
  <c r="B39" i="32"/>
  <c r="N13" i="59"/>
  <c r="B60" i="32"/>
  <c r="B326" i="28"/>
  <c r="B329" i="28"/>
  <c r="D402" i="23" s="1"/>
  <c r="AR142" i="32"/>
  <c r="B279" i="28"/>
  <c r="B285" i="28"/>
  <c r="B12" i="50" s="1"/>
  <c r="B288" i="28"/>
  <c r="N12" i="50"/>
  <c r="AQ253" i="28"/>
  <c r="AR211" i="28"/>
  <c r="M4" i="49" s="1"/>
  <c r="AQ257" i="28"/>
  <c r="AQ248" i="28"/>
  <c r="AQ243" i="28"/>
  <c r="N11" i="61"/>
  <c r="B128" i="32"/>
  <c r="AR74" i="32"/>
  <c r="B74" i="32" s="1"/>
  <c r="X344" i="28"/>
  <c r="AQ344" i="28"/>
  <c r="O344" i="28"/>
  <c r="AJ344" i="28"/>
  <c r="AE344" i="28"/>
  <c r="AH344" i="28"/>
  <c r="H344" i="28"/>
  <c r="I344" i="28"/>
  <c r="AI344" i="28"/>
  <c r="S344" i="28"/>
  <c r="AF344" i="28"/>
  <c r="AO344" i="28"/>
  <c r="Z344" i="28"/>
  <c r="AB344" i="28"/>
  <c r="AD344" i="28"/>
  <c r="Q344" i="28"/>
  <c r="Y344" i="28"/>
  <c r="AK344" i="28"/>
  <c r="AR344" i="28"/>
  <c r="T344" i="28"/>
  <c r="E344" i="28"/>
  <c r="V344" i="28"/>
  <c r="AM344" i="28"/>
  <c r="J344" i="28"/>
  <c r="W344" i="28"/>
  <c r="AG344" i="28"/>
  <c r="AL344" i="28"/>
  <c r="G344" i="28"/>
  <c r="F344" i="28"/>
  <c r="U344" i="28"/>
  <c r="K344" i="28"/>
  <c r="AP344" i="28"/>
  <c r="AN344" i="28"/>
  <c r="N344" i="28"/>
  <c r="R344" i="28"/>
  <c r="M344" i="28"/>
  <c r="P344" i="28"/>
  <c r="L344" i="28"/>
  <c r="AA344" i="28"/>
  <c r="AC344" i="28"/>
  <c r="B95" i="32"/>
  <c r="N13" i="60"/>
  <c r="B20" i="50"/>
  <c r="C406" i="23"/>
  <c r="AQ258" i="28" l="1"/>
  <c r="AQ254" i="28"/>
  <c r="AQ249" i="28"/>
  <c r="B109" i="32"/>
  <c r="AF110" i="32" s="1"/>
  <c r="AQ244" i="28"/>
  <c r="AM303" i="28"/>
  <c r="AD303" i="28"/>
  <c r="AQ303" i="28"/>
  <c r="S303" i="28"/>
  <c r="G303" i="28"/>
  <c r="W303" i="28"/>
  <c r="AN303" i="28"/>
  <c r="J303" i="28"/>
  <c r="M303" i="28"/>
  <c r="L303" i="28"/>
  <c r="AR303" i="28"/>
  <c r="AI303" i="28"/>
  <c r="V303" i="28"/>
  <c r="X303" i="28"/>
  <c r="AL303" i="28"/>
  <c r="AA303" i="28"/>
  <c r="I303" i="28"/>
  <c r="AO303" i="28"/>
  <c r="AK303" i="28"/>
  <c r="E303" i="28"/>
  <c r="H303" i="28"/>
  <c r="R303" i="28"/>
  <c r="AH303" i="28"/>
  <c r="P303" i="28"/>
  <c r="K303" i="28"/>
  <c r="F303" i="28"/>
  <c r="AE303" i="28"/>
  <c r="AF303" i="28"/>
  <c r="Y303" i="28"/>
  <c r="T303" i="28"/>
  <c r="N303" i="28"/>
  <c r="AP303" i="28"/>
  <c r="AB303" i="28"/>
  <c r="O303" i="28"/>
  <c r="Z303" i="28"/>
  <c r="AJ303" i="28"/>
  <c r="AG303" i="28"/>
  <c r="AC303" i="28"/>
  <c r="U303" i="28"/>
  <c r="Q303" i="28"/>
  <c r="AT344" i="28"/>
  <c r="AR257" i="28"/>
  <c r="AR243" i="28"/>
  <c r="AR248" i="28"/>
  <c r="AR253" i="28"/>
  <c r="B16" i="59"/>
  <c r="D330" i="33"/>
  <c r="B16" i="60"/>
  <c r="D331" i="33"/>
  <c r="AF75" i="32"/>
  <c r="Z75" i="32"/>
  <c r="P75" i="32"/>
  <c r="AJ75" i="32"/>
  <c r="AP75" i="32"/>
  <c r="AD75" i="32"/>
  <c r="AE75" i="32"/>
  <c r="AN75" i="32"/>
  <c r="X75" i="32"/>
  <c r="AA75" i="32"/>
  <c r="K75" i="32"/>
  <c r="AI75" i="32"/>
  <c r="R75" i="32"/>
  <c r="AR75" i="32"/>
  <c r="AL75" i="32"/>
  <c r="AG75" i="32"/>
  <c r="I75" i="32"/>
  <c r="AK75" i="32"/>
  <c r="V75" i="32"/>
  <c r="G75" i="32"/>
  <c r="N75" i="32"/>
  <c r="T75" i="32"/>
  <c r="J75" i="32"/>
  <c r="AQ75" i="32"/>
  <c r="F75" i="32"/>
  <c r="S75" i="32"/>
  <c r="O75" i="32"/>
  <c r="L75" i="32"/>
  <c r="AB75" i="32"/>
  <c r="AH75" i="32"/>
  <c r="AM75" i="32"/>
  <c r="W75" i="32"/>
  <c r="H75" i="32"/>
  <c r="U75" i="32"/>
  <c r="B73" i="32"/>
  <c r="B25" i="59" s="1"/>
  <c r="M75" i="32"/>
  <c r="AO75" i="32"/>
  <c r="Y75" i="32"/>
  <c r="Q75" i="32"/>
  <c r="AC75" i="32"/>
  <c r="E75" i="32"/>
  <c r="B14" i="61"/>
  <c r="D332" i="33"/>
  <c r="B15" i="50"/>
  <c r="C402" i="23"/>
  <c r="D408" i="29"/>
  <c r="B142" i="32"/>
  <c r="G40" i="32"/>
  <c r="AP40" i="32"/>
  <c r="AA40" i="32"/>
  <c r="AJ40" i="32"/>
  <c r="T40" i="32"/>
  <c r="K40" i="32"/>
  <c r="AM40" i="32"/>
  <c r="AQ40" i="32"/>
  <c r="AF40" i="32"/>
  <c r="W40" i="32"/>
  <c r="AD40" i="32"/>
  <c r="O40" i="32"/>
  <c r="N40" i="32"/>
  <c r="H40" i="32"/>
  <c r="AB40" i="32"/>
  <c r="AG40" i="32"/>
  <c r="AO40" i="32"/>
  <c r="AN40" i="32"/>
  <c r="R40" i="32"/>
  <c r="J40" i="32"/>
  <c r="AE40" i="32"/>
  <c r="AI40" i="32"/>
  <c r="Z40" i="32"/>
  <c r="AR40" i="32"/>
  <c r="F40" i="32"/>
  <c r="X40" i="32"/>
  <c r="AL40" i="32"/>
  <c r="P40" i="32"/>
  <c r="S40" i="32"/>
  <c r="AH40" i="32"/>
  <c r="V40" i="32"/>
  <c r="L40" i="32"/>
  <c r="B38" i="32"/>
  <c r="B27" i="58" s="1"/>
  <c r="M40" i="32"/>
  <c r="U40" i="32"/>
  <c r="I40" i="32"/>
  <c r="Q40" i="32"/>
  <c r="AC40" i="32"/>
  <c r="AK40" i="32"/>
  <c r="Y40" i="32"/>
  <c r="E40" i="32"/>
  <c r="H416" i="33" l="1"/>
  <c r="G394" i="33"/>
  <c r="G372" i="33"/>
  <c r="G350" i="33"/>
  <c r="H405" i="33"/>
  <c r="H383" i="33"/>
  <c r="G361" i="33"/>
  <c r="G339" i="33"/>
  <c r="F494" i="29"/>
  <c r="E472" i="29"/>
  <c r="E450" i="29"/>
  <c r="E428" i="29"/>
  <c r="F483" i="29"/>
  <c r="F461" i="29"/>
  <c r="E439" i="29"/>
  <c r="E417" i="29"/>
  <c r="G416" i="33"/>
  <c r="F394" i="33"/>
  <c r="F372" i="33"/>
  <c r="F350" i="33"/>
  <c r="G405" i="33"/>
  <c r="G383" i="33"/>
  <c r="F361" i="33"/>
  <c r="F339" i="33"/>
  <c r="F416" i="33"/>
  <c r="E394" i="33"/>
  <c r="E372" i="33"/>
  <c r="E350" i="33"/>
  <c r="F405" i="33"/>
  <c r="F383" i="33"/>
  <c r="E361" i="33"/>
  <c r="E339" i="33"/>
  <c r="H110" i="32"/>
  <c r="M110" i="32"/>
  <c r="S110" i="32"/>
  <c r="I110" i="32"/>
  <c r="O110" i="32"/>
  <c r="J110" i="32"/>
  <c r="E110" i="32"/>
  <c r="AP110" i="32"/>
  <c r="AM110" i="32"/>
  <c r="L110" i="32"/>
  <c r="K110" i="32"/>
  <c r="Y110" i="32"/>
  <c r="AO110" i="32"/>
  <c r="AL110" i="32"/>
  <c r="AD110" i="32"/>
  <c r="AE110" i="32"/>
  <c r="Z110" i="32"/>
  <c r="AH110" i="32"/>
  <c r="V110" i="32"/>
  <c r="AB110" i="32"/>
  <c r="R110" i="32"/>
  <c r="AK110" i="32"/>
  <c r="AC110" i="32"/>
  <c r="Q110" i="32"/>
  <c r="U110" i="32"/>
  <c r="AG110" i="32"/>
  <c r="B108" i="32"/>
  <c r="B25" i="60" s="1"/>
  <c r="W110" i="32"/>
  <c r="AR110" i="32"/>
  <c r="G110" i="32"/>
  <c r="T110" i="32"/>
  <c r="N110" i="32"/>
  <c r="P110" i="32"/>
  <c r="AN110" i="32"/>
  <c r="AQ110" i="32"/>
  <c r="X110" i="32"/>
  <c r="AI110" i="32"/>
  <c r="AA110" i="32"/>
  <c r="AJ110" i="32"/>
  <c r="F110" i="32"/>
  <c r="AT303" i="28"/>
  <c r="B303" i="28" s="1"/>
  <c r="AT40" i="32"/>
  <c r="AR249" i="28"/>
  <c r="AT248" i="28"/>
  <c r="AR244" i="28"/>
  <c r="AT243" i="28"/>
  <c r="N143" i="32"/>
  <c r="AN143" i="32"/>
  <c r="X143" i="32"/>
  <c r="AF143" i="32"/>
  <c r="O143" i="32"/>
  <c r="V143" i="32"/>
  <c r="AM143" i="32"/>
  <c r="AR143" i="32"/>
  <c r="F143" i="32"/>
  <c r="G143" i="32"/>
  <c r="AH143" i="32"/>
  <c r="W143" i="32"/>
  <c r="L143" i="32"/>
  <c r="AJ143" i="32"/>
  <c r="B141" i="32"/>
  <c r="B23" i="61" s="1"/>
  <c r="AK143" i="32"/>
  <c r="M143" i="32"/>
  <c r="AO143" i="32"/>
  <c r="Q143" i="32"/>
  <c r="U143" i="32"/>
  <c r="E143" i="32"/>
  <c r="K143" i="32"/>
  <c r="AL143" i="32"/>
  <c r="AQ143" i="32"/>
  <c r="AD143" i="32"/>
  <c r="AP143" i="32"/>
  <c r="AA143" i="32"/>
  <c r="P143" i="32"/>
  <c r="AE143" i="32"/>
  <c r="T143" i="32"/>
  <c r="S143" i="32"/>
  <c r="AI143" i="32"/>
  <c r="Z143" i="32"/>
  <c r="AB143" i="32"/>
  <c r="J143" i="32"/>
  <c r="R143" i="32"/>
  <c r="H143" i="32"/>
  <c r="Y143" i="32"/>
  <c r="AG143" i="32"/>
  <c r="I143" i="32"/>
  <c r="AC143" i="32"/>
  <c r="AT75" i="32"/>
  <c r="AR254" i="28"/>
  <c r="AT253" i="28"/>
  <c r="AR258" i="28"/>
  <c r="AT257" i="28"/>
  <c r="B344" i="28"/>
  <c r="B342" i="28"/>
  <c r="D405" i="23" s="1"/>
  <c r="AT110" i="32" l="1"/>
  <c r="B110" i="32" s="1"/>
  <c r="B301" i="28"/>
  <c r="D410" i="29" s="1"/>
  <c r="B253" i="28"/>
  <c r="B262" i="28"/>
  <c r="B75" i="32"/>
  <c r="AT143" i="32"/>
  <c r="B260" i="28"/>
  <c r="B243" i="28"/>
  <c r="B248" i="28"/>
  <c r="B261" i="28"/>
  <c r="B40" i="32"/>
  <c r="B263" i="28"/>
  <c r="B24" i="50" l="1"/>
  <c r="H494" i="29"/>
  <c r="G472" i="29"/>
  <c r="G450" i="29"/>
  <c r="G428" i="29"/>
  <c r="H483" i="29"/>
  <c r="H461" i="29"/>
  <c r="G439" i="29"/>
  <c r="G417" i="29"/>
  <c r="C405" i="23"/>
  <c r="C397" i="23"/>
  <c r="C395" i="23"/>
  <c r="B143" i="32"/>
  <c r="C396" i="23"/>
  <c r="C394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A528" authorId="0" shapeId="0" xr:uid="{00000000-0006-0000-0300-000001000000}">
      <text>
        <r>
          <rPr>
            <sz val="8"/>
            <color indexed="81"/>
            <rFont val="Tahoma"/>
            <family val="2"/>
            <charset val="204"/>
          </rPr>
          <t xml:space="preserve">Не увеличивает базу по налогу на прибыль, отражается в пассивах целевым финансированием
</t>
        </r>
      </text>
    </comment>
    <comment ref="A529" authorId="0" shapeId="0" xr:uid="{00000000-0006-0000-0300-000002000000}">
      <text>
        <r>
          <rPr>
            <sz val="8"/>
            <color indexed="81"/>
            <rFont val="Tahoma"/>
            <family val="2"/>
            <charset val="204"/>
          </rPr>
          <t>Увеличивет базу по налогу на прибыль, отжажается в пассивах косвенно, в составе прибыли</t>
        </r>
      </text>
    </comment>
    <comment ref="A534" authorId="0" shapeId="0" xr:uid="{00000000-0006-0000-0300-000003000000}">
      <text>
        <r>
          <rPr>
            <sz val="8"/>
            <color indexed="81"/>
            <rFont val="Tahoma"/>
            <family val="2"/>
            <charset val="204"/>
          </rPr>
          <t xml:space="preserve">Не увеличивает базу по налогу на прибыль, отражается в пассивах целевым финансированием
</t>
        </r>
      </text>
    </comment>
    <comment ref="A535" authorId="0" shapeId="0" xr:uid="{00000000-0006-0000-0300-000004000000}">
      <text>
        <r>
          <rPr>
            <sz val="8"/>
            <color indexed="81"/>
            <rFont val="Tahoma"/>
            <family val="2"/>
            <charset val="204"/>
          </rPr>
          <t>Увеличивет базу по налогу на прибыль, отжажается в пассивах косвенно, в составе прибыли</t>
        </r>
      </text>
    </comment>
    <comment ref="A544" authorId="0" shapeId="0" xr:uid="{00000000-0006-0000-0300-000005000000}">
      <text>
        <r>
          <rPr>
            <sz val="8"/>
            <color indexed="81"/>
            <rFont val="Tahoma"/>
            <family val="2"/>
            <charset val="204"/>
          </rPr>
          <t xml:space="preserve">Не увеличивает базу по налогу на прибыль, отражается в пассивах целевым финансированием
</t>
        </r>
      </text>
    </comment>
    <comment ref="A545" authorId="0" shapeId="0" xr:uid="{00000000-0006-0000-0300-000006000000}">
      <text>
        <r>
          <rPr>
            <sz val="8"/>
            <color indexed="81"/>
            <rFont val="Tahoma"/>
            <family val="2"/>
            <charset val="204"/>
          </rPr>
          <t>Увеличивет базу по налогу на прибыль, отражается в пассивах косвенно, в составе прибыли</t>
        </r>
      </text>
    </comment>
  </commentList>
</comments>
</file>

<file path=xl/sharedStrings.xml><?xml version="1.0" encoding="utf-8"?>
<sst xmlns="http://schemas.openxmlformats.org/spreadsheetml/2006/main" count="2456" uniqueCount="1099">
  <si>
    <t>ИТОГО</t>
  </si>
  <si>
    <t>%</t>
  </si>
  <si>
    <t>лет</t>
  </si>
  <si>
    <t>период</t>
  </si>
  <si>
    <t>Шаг планирования</t>
  </si>
  <si>
    <t>Длительность шага планирования</t>
  </si>
  <si>
    <t>Основная валюта расчетов</t>
  </si>
  <si>
    <t>Вторая валюта</t>
  </si>
  <si>
    <t>Третья валюта</t>
  </si>
  <si>
    <t>Год начала проекта</t>
  </si>
  <si>
    <t>Месяц начала проекта</t>
  </si>
  <si>
    <t>Дата начала периода</t>
  </si>
  <si>
    <t>Номер периода</t>
  </si>
  <si>
    <t>Длительность периода в днях</t>
  </si>
  <si>
    <t>% в год</t>
  </si>
  <si>
    <t>Название проекта</t>
  </si>
  <si>
    <t>Суммарная ставка налога на прибыль</t>
  </si>
  <si>
    <t>мес.</t>
  </si>
  <si>
    <t>Стандартная ставка налога</t>
  </si>
  <si>
    <t>периодов</t>
  </si>
  <si>
    <t>Ставка страхования от несчастных случаев</t>
  </si>
  <si>
    <t>СТАВКИ ДИСКОНТИРОВАНИЯ</t>
  </si>
  <si>
    <t>Расчет средневзвешенной ставки:</t>
  </si>
  <si>
    <t>Доля собственного капитала в расчете ставки, We</t>
  </si>
  <si>
    <t>Доля заемного капитала в расчете ставки, Wd</t>
  </si>
  <si>
    <t>Ставка налога на прибыль, T</t>
  </si>
  <si>
    <t>Ставка для собственного капитала, Re</t>
  </si>
  <si>
    <t>Долгосрочные темпы роста в постпрогнозный период</t>
  </si>
  <si>
    <t>Валюта, используемая при расчете эффективности</t>
  </si>
  <si>
    <t>Ставка реинвестирования доходов (для расчета MIRR)</t>
  </si>
  <si>
    <t>Графики</t>
  </si>
  <si>
    <t>кв.</t>
  </si>
  <si>
    <t>Длительность периода в месяцах</t>
  </si>
  <si>
    <t>Дата конца периода</t>
  </si>
  <si>
    <t>янв</t>
  </si>
  <si>
    <t>Налоги</t>
  </si>
  <si>
    <t>Налог на добавленную стоимость</t>
  </si>
  <si>
    <t>Налог на прибыль</t>
  </si>
  <si>
    <t>Налог на имущество</t>
  </si>
  <si>
    <t>Периодичность выплаты налога, месяцев</t>
  </si>
  <si>
    <t>Ставка налога</t>
  </si>
  <si>
    <t>Здания и сооружения</t>
  </si>
  <si>
    <t>Нематериальные активы</t>
  </si>
  <si>
    <t>незавершенные инвестиции</t>
  </si>
  <si>
    <t>кредиторская задолженность</t>
  </si>
  <si>
    <t>балансовая стоимость</t>
  </si>
  <si>
    <t>график оплаты, без НДС</t>
  </si>
  <si>
    <t>ранее осуществленные инвестиции, без НДС</t>
  </si>
  <si>
    <t>суммы в осн. валюте: график оплаты, без НДС</t>
  </si>
  <si>
    <t xml:space="preserve">срок полезного использования </t>
  </si>
  <si>
    <t>амортизация (бухгалтерская)</t>
  </si>
  <si>
    <t>балансовая стоимость (бухгалтерская)</t>
  </si>
  <si>
    <t>ставка НДС</t>
  </si>
  <si>
    <t>выплаченный НДС</t>
  </si>
  <si>
    <t>выручка от продажи актива, без НДС</t>
  </si>
  <si>
    <t>прибыль/убыток от продажи актива (бухгалтерская)</t>
  </si>
  <si>
    <t>НДС к выручке от продажи актива</t>
  </si>
  <si>
    <t>ставка на расчетный период</t>
  </si>
  <si>
    <t>Производственные издержки</t>
  </si>
  <si>
    <t>Коммерческие издержки</t>
  </si>
  <si>
    <t>Управленческие издержки</t>
  </si>
  <si>
    <t>Итого: Производственные издержки, с НДС</t>
  </si>
  <si>
    <t>Всего постоянных издержек, с НДС</t>
  </si>
  <si>
    <t>период появления затрат</t>
  </si>
  <si>
    <t>НДС начисленный</t>
  </si>
  <si>
    <t>дней</t>
  </si>
  <si>
    <t>квартал</t>
  </si>
  <si>
    <t>выручка от реализации, без НДС</t>
  </si>
  <si>
    <t>дебиторская задолженность</t>
  </si>
  <si>
    <t xml:space="preserve">авансы полученные </t>
  </si>
  <si>
    <t>средний период предоплаты</t>
  </si>
  <si>
    <t>средний период отсрочки платежа</t>
  </si>
  <si>
    <t>численность</t>
  </si>
  <si>
    <t>человек</t>
  </si>
  <si>
    <t>средний оклад, в месяц</t>
  </si>
  <si>
    <t>заработная плата</t>
  </si>
  <si>
    <t>за период</t>
  </si>
  <si>
    <t>Производственный персонал</t>
  </si>
  <si>
    <t>Коммерческий персонал</t>
  </si>
  <si>
    <t>Административный персонал</t>
  </si>
  <si>
    <t>списано на продажи</t>
  </si>
  <si>
    <t>задолженность по заработной плате</t>
  </si>
  <si>
    <t>периодичность выплаты заработной платы</t>
  </si>
  <si>
    <t>задолженность перед внебюджетными фондами</t>
  </si>
  <si>
    <t>оплата расходов на заработную плату</t>
  </si>
  <si>
    <t>КРЕДИТЫ</t>
  </si>
  <si>
    <t>Долгосрочные кредиты</t>
  </si>
  <si>
    <t>Краткосрочные кредиты</t>
  </si>
  <si>
    <t>ставка процентов по кредиту</t>
  </si>
  <si>
    <t>отсрочка выплаты процентов</t>
  </si>
  <si>
    <t>поступление денег от кредита</t>
  </si>
  <si>
    <t>погашение кредита</t>
  </si>
  <si>
    <t>начисленные проценты</t>
  </si>
  <si>
    <t>выплаченные проценты</t>
  </si>
  <si>
    <t>задолженность по кредиту</t>
  </si>
  <si>
    <t>период начала кредитования</t>
  </si>
  <si>
    <t>Итого:</t>
  </si>
  <si>
    <t>периода</t>
  </si>
  <si>
    <t>график оплаты (без НДС)</t>
  </si>
  <si>
    <t>в том числе НДС</t>
  </si>
  <si>
    <t>ОТЧЕТ О ПРИБЫЛЯХ И УБЫТКАХ</t>
  </si>
  <si>
    <t>Выручка</t>
  </si>
  <si>
    <t>Себестоимость:</t>
  </si>
  <si>
    <t>Валовая прибыль</t>
  </si>
  <si>
    <t>EBITDA</t>
  </si>
  <si>
    <t>Прибыль (убыток) от операционной деятельности</t>
  </si>
  <si>
    <t>Чистая прибыль (убыток)</t>
  </si>
  <si>
    <t>ОТЧЕТ О ДВИЖЕНИИ ДЕНЕЖНЫХ СРЕДСТВ</t>
  </si>
  <si>
    <t>Денежные потоки от операционной деятельности</t>
  </si>
  <si>
    <t>Денежные потоки от инвестиционной деятельности</t>
  </si>
  <si>
    <t>Денежные потоки от финансовой деятельности</t>
  </si>
  <si>
    <t>Суммарный денежный поток за период</t>
  </si>
  <si>
    <t>Денежные средства на начало периода</t>
  </si>
  <si>
    <t>Денежные средства на конец периода</t>
  </si>
  <si>
    <t>БАЛАНС</t>
  </si>
  <si>
    <t>Суммарные оборотные активы</t>
  </si>
  <si>
    <t>Суммарные внеоборотные активы</t>
  </si>
  <si>
    <t>ИТОГО АКТИВОВ</t>
  </si>
  <si>
    <t>Суммарные краткосрочные обязательства</t>
  </si>
  <si>
    <t>Суммарные долгосрочные обязательства</t>
  </si>
  <si>
    <t>Суммарный собственный капитал</t>
  </si>
  <si>
    <t>ИТОГО ПАССИВОВ</t>
  </si>
  <si>
    <t>ПОКАЗАТЕЛИ ДОЛГА</t>
  </si>
  <si>
    <t>Покрытие выплаты долга, DSCR</t>
  </si>
  <si>
    <t>Отношение Долг / Собственный капитал</t>
  </si>
  <si>
    <t>РЕНТАБЕЛЬНОСТЬ И ОБОРАЧИВАЕМОСТЬ</t>
  </si>
  <si>
    <t>Рентабельность продаж по чистой прибыли, NPM</t>
  </si>
  <si>
    <t>Рентабельность продаж по EBITDA</t>
  </si>
  <si>
    <t>Рентабельность собственного капитала, ROE</t>
  </si>
  <si>
    <t>Рентабельность инвестированного капитала, ROIC</t>
  </si>
  <si>
    <t>Рентабельность суммарных активов, ROTA</t>
  </si>
  <si>
    <t>Рентабельность внеоборотных активов, ROFA</t>
  </si>
  <si>
    <t>Оборачиваемость внеоборотных активов</t>
  </si>
  <si>
    <t>раз</t>
  </si>
  <si>
    <t>Скорректированные проценты по кредитам, * (1 - налог)</t>
  </si>
  <si>
    <t>Свободный денежный поток компании, FCFF</t>
  </si>
  <si>
    <t>Дисконтированный денежный поток</t>
  </si>
  <si>
    <t>Дисконтированный поток нарастающим итогом</t>
  </si>
  <si>
    <t>Чистая приведенная стоимость, NPV</t>
  </si>
  <si>
    <t>Внутренняя норма рентабельности, IRR</t>
  </si>
  <si>
    <t>Модифицированная IRR, MIRR</t>
  </si>
  <si>
    <t>Административные расходы</t>
  </si>
  <si>
    <t>Коммерческие расходы</t>
  </si>
  <si>
    <t>Налоги и сборы</t>
  </si>
  <si>
    <t>Лизинговые платежи</t>
  </si>
  <si>
    <t>Амортизация</t>
  </si>
  <si>
    <t>Доходы от реализации внеоборотных активов</t>
  </si>
  <si>
    <t>Прочие доходы</t>
  </si>
  <si>
    <t>Прочие расходы</t>
  </si>
  <si>
    <t>Поступления кредитов</t>
  </si>
  <si>
    <t>Поступления собственного капитала</t>
  </si>
  <si>
    <t>раз в год</t>
  </si>
  <si>
    <t>Валюта отчетности и ее курс к основной валюте</t>
  </si>
  <si>
    <t>сумма без НДС</t>
  </si>
  <si>
    <t>Итого: Коммерческие издержки, с НДС</t>
  </si>
  <si>
    <t>Итого: Управленческие издержки, с НДС</t>
  </si>
  <si>
    <t>Контроль сходимости баланса</t>
  </si>
  <si>
    <t>Земельные участки</t>
  </si>
  <si>
    <t>Оборудование и прочие активы</t>
  </si>
  <si>
    <t>Долгосрочные финансовые вложения</t>
  </si>
  <si>
    <t>Проценты к уплате</t>
  </si>
  <si>
    <t>Дебиторская задолженность</t>
  </si>
  <si>
    <t>Авансы полученные</t>
  </si>
  <si>
    <t>Выручка в отчете о прибылях и убытках, без НДС</t>
  </si>
  <si>
    <t>Акцизы начисленные</t>
  </si>
  <si>
    <t>ОБОРОТНЫЙ КАПИТАЛ</t>
  </si>
  <si>
    <t>НДС уплаченный на сырье и материалы</t>
  </si>
  <si>
    <t>Итого, баланс расчетов по НДС</t>
  </si>
  <si>
    <t>Незавершенное производство</t>
  </si>
  <si>
    <t>Запасы готовой продукции</t>
  </si>
  <si>
    <t>Авансы уплаченные</t>
  </si>
  <si>
    <t>средний период оборачиваемости</t>
  </si>
  <si>
    <t>Запасы материалов и комплектующих</t>
  </si>
  <si>
    <t>Задолженность по заработной плате</t>
  </si>
  <si>
    <t>Административный и коммерческий персонал</t>
  </si>
  <si>
    <t>НДС уплаченный с постоянными издержками</t>
  </si>
  <si>
    <t>оплата постоянных издержек, с НДС</t>
  </si>
  <si>
    <t>Выплата основного долга</t>
  </si>
  <si>
    <t>Проценты начисленные</t>
  </si>
  <si>
    <t>Проценты уплаченные</t>
  </si>
  <si>
    <t>Долгосрочные кредиты на конец периода</t>
  </si>
  <si>
    <t>Краткосрочные кредиты на конец периода</t>
  </si>
  <si>
    <t>Итого: Задолженность на конец периода</t>
  </si>
  <si>
    <t>списано на продажи в отчете о прибылях и убытках</t>
  </si>
  <si>
    <t>Прочие долгосрочные кредиты</t>
  </si>
  <si>
    <t>Прочие краткосрочные кредиты</t>
  </si>
  <si>
    <t>Долгосрочные кредиты на начало периода</t>
  </si>
  <si>
    <t>Краткосрочные кредиты на начало периода</t>
  </si>
  <si>
    <t>Учет активов начального баланса</t>
  </si>
  <si>
    <t>Стоимость чистых активов стартового баланса</t>
  </si>
  <si>
    <t>Рыночная стоимость (для анализа эффективности)</t>
  </si>
  <si>
    <t>NOPLAT</t>
  </si>
  <si>
    <t>Расчет окупаемости в месяцах</t>
  </si>
  <si>
    <t>Оборачиваемость суммарных активов</t>
  </si>
  <si>
    <t>Структура затрат:</t>
  </si>
  <si>
    <t>НДС полученный при продаже основных средств</t>
  </si>
  <si>
    <t>Начисленный налог на имущество</t>
  </si>
  <si>
    <t>Свободный денежный поток акционеров, FCFE</t>
  </si>
  <si>
    <t>Денежный поток, доступный для погашения долга (CFADS)</t>
  </si>
  <si>
    <t>Флаг периода окупаемости (число целых периодов)</t>
  </si>
  <si>
    <t>Расчет выполняется в номинальных ценах</t>
  </si>
  <si>
    <t>Справочно: Остаток денег на счете</t>
  </si>
  <si>
    <t>Импортная пошлина на оборудование</t>
  </si>
  <si>
    <t>Отложенный возврат НДС</t>
  </si>
  <si>
    <t>Начисленный НДС</t>
  </si>
  <si>
    <t>Начисленные социальные взносы</t>
  </si>
  <si>
    <t>Ставка взносов в пенсионный фонд</t>
  </si>
  <si>
    <t>Ставка взносов на медицинское страхование</t>
  </si>
  <si>
    <t>Ставка взносов в фонд социального страхования</t>
  </si>
  <si>
    <t>Ставка других социальных взносов</t>
  </si>
  <si>
    <t>Суммарная ставка социальных взносов</t>
  </si>
  <si>
    <t>оплата социальных взносов</t>
  </si>
  <si>
    <t>периодичность социальных взносов</t>
  </si>
  <si>
    <t>Затраты на производственный персонал, с соц. взносами</t>
  </si>
  <si>
    <t>Затраты на административный персонал, с соц. взносами</t>
  </si>
  <si>
    <t>Итого: затраты на персонал, с соц. взносами</t>
  </si>
  <si>
    <t>Начисленный налог на прибыль</t>
  </si>
  <si>
    <t>Прибыль для налогообложения</t>
  </si>
  <si>
    <t>уплаченный НДС</t>
  </si>
  <si>
    <t>задолженность по налогу</t>
  </si>
  <si>
    <t>уплаченный налог на имущество</t>
  </si>
  <si>
    <t>задолженность по взносам</t>
  </si>
  <si>
    <t>уплаченные социальные взносы</t>
  </si>
  <si>
    <t>Задолженность перед бюджетом и внебюджетными фондами</t>
  </si>
  <si>
    <t>уплаченный налог на прибыль</t>
  </si>
  <si>
    <t>задолженность учредителей по взносам в уставный капитал</t>
  </si>
  <si>
    <t>СТАРТОВЫЙ БАЛАНС</t>
  </si>
  <si>
    <t>СУЩЕСТВУЮЩИЕ ОСНОВНЫЕ СРЕДСТВА</t>
  </si>
  <si>
    <t>СУЩЕСТВУЮЩИЕ КРЕДИТЫ</t>
  </si>
  <si>
    <t>коэффициент дисконта на начало периода</t>
  </si>
  <si>
    <t>Курсовые разницы</t>
  </si>
  <si>
    <t>величина из стартового баланса</t>
  </si>
  <si>
    <t>влияние стартового баланса на денежные средства</t>
  </si>
  <si>
    <t>величина из плана затрат</t>
  </si>
  <si>
    <t>величина из плана продаж и затрат</t>
  </si>
  <si>
    <t>поступление денежных средств, с НДС</t>
  </si>
  <si>
    <t>НДС полученный с авансов</t>
  </si>
  <si>
    <t>Ранее осуществленные инвестиции, с НДС</t>
  </si>
  <si>
    <t>Зачет НДС из активов стартового баланса</t>
  </si>
  <si>
    <t>Краткосрочные финансовые вложения</t>
  </si>
  <si>
    <t>Кредиторская задолженность перед поставщиками</t>
  </si>
  <si>
    <t>Кредиторская задолженность за внеоборотные активы</t>
  </si>
  <si>
    <t>Денежные средства</t>
  </si>
  <si>
    <t>Авансы уплаченные поставщикам</t>
  </si>
  <si>
    <t>Готовая продукция на складе</t>
  </si>
  <si>
    <t>НДС на приобретенные товары</t>
  </si>
  <si>
    <t>Прочие оборотные активы</t>
  </si>
  <si>
    <t>Незавершенные капиталовложения</t>
  </si>
  <si>
    <t>Прочие внеоборотные активы</t>
  </si>
  <si>
    <t>Расчеты с бюджетом</t>
  </si>
  <si>
    <t>Расчеты с персоналом</t>
  </si>
  <si>
    <t>Полученные авансы покупателей</t>
  </si>
  <si>
    <t>Прочие краткосрочные обязательства</t>
  </si>
  <si>
    <t>Прочие долгосрочные обязательства</t>
  </si>
  <si>
    <t>Акционерный капитал</t>
  </si>
  <si>
    <t>Нераспределенная прибыль</t>
  </si>
  <si>
    <t>Прочий собственный капитал</t>
  </si>
  <si>
    <t>Возврат кредитов</t>
  </si>
  <si>
    <t>Оплата материалов и комплектующих</t>
  </si>
  <si>
    <t>Заработная плата</t>
  </si>
  <si>
    <t>Постоянные издержки</t>
  </si>
  <si>
    <t>Выплата процентов по кредитам</t>
  </si>
  <si>
    <t>Прочие поступления</t>
  </si>
  <si>
    <t>Прочие затраты</t>
  </si>
  <si>
    <t>Инвестиции в земельные участки</t>
  </si>
  <si>
    <t>Инвестиции в оборудование и прочие активы</t>
  </si>
  <si>
    <t>Инвестиции в нематериальные активы</t>
  </si>
  <si>
    <t>Инвестиции в финансовые активы</t>
  </si>
  <si>
    <t>Выручка от реализации активов</t>
  </si>
  <si>
    <t>Выплата дивидендов</t>
  </si>
  <si>
    <t>Расчеты с бюджетом и внебюджетными фондами</t>
  </si>
  <si>
    <t>Выплаты процентов</t>
  </si>
  <si>
    <t>Выплаты основной суммы долга</t>
  </si>
  <si>
    <t>Суммарные привлеченные кредиты</t>
  </si>
  <si>
    <t>Социальные взносы</t>
  </si>
  <si>
    <t>в пересчете на шаг планирования</t>
  </si>
  <si>
    <t>Итого оборотные активы</t>
  </si>
  <si>
    <t>Итого краткосрочные обязательства</t>
  </si>
  <si>
    <t>Чистый оборотный капитал</t>
  </si>
  <si>
    <t>Изменение чистого оборотного капитала</t>
  </si>
  <si>
    <t>Денежный поток для расчета эффективности</t>
  </si>
  <si>
    <t>Поступление бюджетного финансирования в проект</t>
  </si>
  <si>
    <t>Бюджетное финансирование</t>
  </si>
  <si>
    <t>(с учетом инфляции, номинальная)</t>
  </si>
  <si>
    <t>Ставка для заемного капитала, Rd</t>
  </si>
  <si>
    <t>Задолженность перед бюджетом и фондами</t>
  </si>
  <si>
    <t>Нераспределенная чистая прибыль за период</t>
  </si>
  <si>
    <t>выручка от реализации, без учета инфляции, без НДС</t>
  </si>
  <si>
    <t>Темпы изменения цен в отдельных категориях:</t>
  </si>
  <si>
    <t>график постановки на баланс, без НДС</t>
  </si>
  <si>
    <t>кадастровая стоимость</t>
  </si>
  <si>
    <t>Итого инвестиции, с НДС и пошлинами</t>
  </si>
  <si>
    <t>в том числе НДС по инвестициям</t>
  </si>
  <si>
    <t>в том числе НДС по капвложениям</t>
  </si>
  <si>
    <t>в том числе капвложения, с НДС и пошлинами</t>
  </si>
  <si>
    <t>НДС полученный с доходами от реализации</t>
  </si>
  <si>
    <t>НДС как актив по инвестициям в ОС</t>
  </si>
  <si>
    <t>Собственный (акционерный) капитал</t>
  </si>
  <si>
    <t>СОБСТВЕННЫЙ КАПИТАЛ И ФИНАНСИРОВАНИЕ</t>
  </si>
  <si>
    <t>график признания внереализационным доходом</t>
  </si>
  <si>
    <t>Собственный капитал</t>
  </si>
  <si>
    <t>Финансирование</t>
  </si>
  <si>
    <t>Средняя остаточная стоимость зданий и сооружений, облагаемых от остаточной стоимости</t>
  </si>
  <si>
    <t>Ставка налога для недвижимости, облагаемой от кадастровой стоимости</t>
  </si>
  <si>
    <t>Ставка налога к уплате в федеральный бюджет</t>
  </si>
  <si>
    <t>Ставка налога к уплате в бюджет субъекта РФ</t>
  </si>
  <si>
    <t>зачисляется по нормативу 100% в федеральный бюджет</t>
  </si>
  <si>
    <t>зачисляется по нормативу 100% в бюджет субъекта РФ</t>
  </si>
  <si>
    <t xml:space="preserve">зачисляется по нормативу 100% в местный бюджет </t>
  </si>
  <si>
    <t>Норматив зачисления в бюджет субъекта РФ</t>
  </si>
  <si>
    <t>Норматив зачисления в местный бюджет</t>
  </si>
  <si>
    <t>Условное количество дней в году</t>
  </si>
  <si>
    <t>Начисленный земельный налог</t>
  </si>
  <si>
    <t>уплаченный налог</t>
  </si>
  <si>
    <t>Начисленные налоги, сборы и платежи</t>
  </si>
  <si>
    <t>Уплаченные налоги, сборы и платежи</t>
  </si>
  <si>
    <t>ВЫРУЧКА И ОБЪЕМ РЕАЛИЗАЦИИ</t>
  </si>
  <si>
    <t xml:space="preserve">WACC = Re * We + Rf * Wf + Rd * Wd * (1-T) = </t>
  </si>
  <si>
    <t xml:space="preserve">Расчет соответствует Методике расчета показателей и применения критериев эффективности региональных инвестиционных проектов, претендующих на получение государственной поддержки за счет бюджетных ассигнований Инвестиционного фонда Российской Федерации, утвержденной Приказом Минрегиона РФ от 30.10.2009 N 493 </t>
  </si>
  <si>
    <t>Земельный налог</t>
  </si>
  <si>
    <t>Доходы федерального бюджета</t>
  </si>
  <si>
    <t>Доходы бюджета субъекта РФ</t>
  </si>
  <si>
    <t>Доходы местного бюджета</t>
  </si>
  <si>
    <t>НДФЛ</t>
  </si>
  <si>
    <t>Финансирование из федерального бюджета</t>
  </si>
  <si>
    <t>Финансирование из бюджета субъекта РФ</t>
  </si>
  <si>
    <t>Финансирование из местного бюджета</t>
  </si>
  <si>
    <t>Денежный поток федерального бюджета</t>
  </si>
  <si>
    <t>Денежный поток бюджета субъекта РФ</t>
  </si>
  <si>
    <t>Денежный поток местного бюджета</t>
  </si>
  <si>
    <t>Денежный поток нарастающим итогом</t>
  </si>
  <si>
    <t>Дисконтированные притоки</t>
  </si>
  <si>
    <t>Дисконтированные оттоки</t>
  </si>
  <si>
    <t>Количество шагов планирования</t>
  </si>
  <si>
    <t>Количество шагов планирования в инвестиционной фазе</t>
  </si>
  <si>
    <t>Кол-во месяцев в шаге планирования</t>
  </si>
  <si>
    <t>Сервисные параметры расчетов</t>
  </si>
  <si>
    <t>Параметры расчетов</t>
  </si>
  <si>
    <t>EBIT</t>
  </si>
  <si>
    <t>Справочно:</t>
  </si>
  <si>
    <t>Суммарная задолженность 
(долгосрочные и краткосрочные обязательства), TD</t>
  </si>
  <si>
    <t>TD / EBITDA*</t>
  </si>
  <si>
    <t>* - для отмеченных показателей принимается к расчету среднее значение за текущий период</t>
  </si>
  <si>
    <t>EBIT* / Проценты (ICR)</t>
  </si>
  <si>
    <t>Расчет LLCR</t>
  </si>
  <si>
    <t>CFADS</t>
  </si>
  <si>
    <t>PV(CFADS)</t>
  </si>
  <si>
    <t>Остаток задолженности</t>
  </si>
  <si>
    <t>Остаток денежных средств</t>
  </si>
  <si>
    <t>LLCR</t>
  </si>
  <si>
    <t>TD / CFADS*</t>
  </si>
  <si>
    <t>Рентабельность продаж по валовой прибыли, ROS</t>
  </si>
  <si>
    <t>Рентабельность задействованного капитала, ROCE</t>
  </si>
  <si>
    <t>Период оборачиваемости кредиторской задолженности</t>
  </si>
  <si>
    <t>Период оборачиваемости дебиторской задолженности</t>
  </si>
  <si>
    <t>Финансово-экономическая модель</t>
  </si>
  <si>
    <t>Оглавление</t>
  </si>
  <si>
    <t>Номер таблицы</t>
  </si>
  <si>
    <t>Описание</t>
  </si>
  <si>
    <t>Доходы внебюджетных фондов</t>
  </si>
  <si>
    <t>Денежный поток внебюджетных фондов</t>
  </si>
  <si>
    <t>Эффективная ставка налога на прибыль</t>
  </si>
  <si>
    <t>Доля постоянных затрат</t>
  </si>
  <si>
    <t>ставка дисконтирования на расчетный период</t>
  </si>
  <si>
    <t>Инвестиции</t>
  </si>
  <si>
    <t>Импортные, экспортные пошлины и акцизы устанавливаются индивидуально для каждого вида товаров. По этой причине ставки акцизов, импортных и экспортных пошлин целесообразно отражать в сведениях о ценах готовой продукции, сырья, материалов и приобретаемых ОС.</t>
  </si>
  <si>
    <t>остаточная стоимость для налогообложения</t>
  </si>
  <si>
    <t>Доходы бюджетов</t>
  </si>
  <si>
    <t>единиц</t>
  </si>
  <si>
    <t>НДС в лизиннговых платежах</t>
  </si>
  <si>
    <t>Лизинговые платежи без НДС</t>
  </si>
  <si>
    <t>БАЗОВЫЕ ПАРАМЕТРЫ</t>
  </si>
  <si>
    <t>Валюты расчетов</t>
  </si>
  <si>
    <t>Ед. изм.</t>
  </si>
  <si>
    <t>Объем реализации</t>
  </si>
  <si>
    <t>Коэффициент, применяемый к инвестиционным издержкам</t>
  </si>
  <si>
    <t>Параметры и показатели:</t>
  </si>
  <si>
    <t>Значения исходных параметров:</t>
  </si>
  <si>
    <t>Переменные затраты</t>
  </si>
  <si>
    <t>Постоянные затраты</t>
  </si>
  <si>
    <t>К размеру инвестиций</t>
  </si>
  <si>
    <t>График чувствительности NPV проекта (FCFF)</t>
  </si>
  <si>
    <t xml:space="preserve">График чувствительности IRR проекта </t>
  </si>
  <si>
    <t xml:space="preserve">График чувствительности DPBP проекта </t>
  </si>
  <si>
    <t xml:space="preserve">CFADS (денежный поток, доступный для погашения долга) </t>
  </si>
  <si>
    <t>Коэффициент текущей ликвидности</t>
  </si>
  <si>
    <t>Коэффициент быстрой ликвидности</t>
  </si>
  <si>
    <t>Цикл обращения денежных средств</t>
  </si>
  <si>
    <t>Денежные потоки от операционной деятельности, 
включая проценты уплаченные</t>
  </si>
  <si>
    <t>Чистые процентные платежи 
(проценты уплаченные - проценты полученные)</t>
  </si>
  <si>
    <t>Валюта №</t>
  </si>
  <si>
    <t>дефлятор</t>
  </si>
  <si>
    <t>Коэффициент-дефлятор к началу проекта</t>
  </si>
  <si>
    <t>К ставке дисконтирования</t>
  </si>
  <si>
    <t xml:space="preserve">Ставка дисконтирования </t>
  </si>
  <si>
    <t>Коэффициент, применяемый к ставке дисконтирования проекта</t>
  </si>
  <si>
    <t>График чувствительности NPV к ставке дисконтирования</t>
  </si>
  <si>
    <t>График чувствительности DPBP к ставке дисконтирования</t>
  </si>
  <si>
    <t>Отчисления во внебюджетные фонды с ФЗП</t>
  </si>
  <si>
    <t>график признания целевым финансированием</t>
  </si>
  <si>
    <t>Создано рабочих мест за период</t>
  </si>
  <si>
    <t>Выручка в отчете о движении денежных средств, с НДС</t>
  </si>
  <si>
    <t>Выручка от реализации</t>
  </si>
  <si>
    <t>Создано рабочих мест итого</t>
  </si>
  <si>
    <t>ранее осуществленные инвестиции, без НДС в осн. валюте</t>
  </si>
  <si>
    <t>НДС к ранее осуществленным инвестициям  в осн. валюте</t>
  </si>
  <si>
    <t>график постановки на баланс, без НДС  в осн. валюте</t>
  </si>
  <si>
    <t>Контроль отсутствия кассовых разрывов</t>
  </si>
  <si>
    <t>Ставка налога для недвижимости, облагаемой от остаточной стоимости</t>
  </si>
  <si>
    <t>Ставка налога для движимого имущества</t>
  </si>
  <si>
    <t>НДС начисленный к зачету</t>
  </si>
  <si>
    <t>TD / EBIT*</t>
  </si>
  <si>
    <t>Cырье и материалы</t>
  </si>
  <si>
    <t>Прочие производственные расходы</t>
  </si>
  <si>
    <t>Итого затраты, % от выручки</t>
  </si>
  <si>
    <t>NPV федерального бюджета</t>
  </si>
  <si>
    <t>Норма доходности дисконтированных затрат (PI)</t>
  </si>
  <si>
    <t>Простой срок окупаемости (PBP)</t>
  </si>
  <si>
    <t>Дисконтированный срок окупаемости (DPBP)</t>
  </si>
  <si>
    <t>коэффициент дисконта</t>
  </si>
  <si>
    <t>Цена</t>
  </si>
  <si>
    <t>NPV</t>
  </si>
  <si>
    <t>DPBP, лет</t>
  </si>
  <si>
    <t>IRR, %</t>
  </si>
  <si>
    <t xml:space="preserve">Инвестиции </t>
  </si>
  <si>
    <t>Налог на дивиденды</t>
  </si>
  <si>
    <t>Ставка для резидентов</t>
  </si>
  <si>
    <t>Ставка для нерезидентов</t>
  </si>
  <si>
    <t>Выплата дивидендов (включая налог на дивиденды)</t>
  </si>
  <si>
    <t xml:space="preserve">Чистая приведенная стоимость потоков </t>
  </si>
  <si>
    <t>Период оборачиваемости запасов готовой продукции</t>
  </si>
  <si>
    <t>Период оборачиваемости запасов сырья и материалов</t>
  </si>
  <si>
    <t>Коэффициент, применяемый к курсам валют</t>
  </si>
  <si>
    <t>К курсам валют</t>
  </si>
  <si>
    <t>Коэффициент, применяемый к инфляции</t>
  </si>
  <si>
    <t>К инфляции</t>
  </si>
  <si>
    <t>Изменение курсов валют</t>
  </si>
  <si>
    <t>Изменения инфляции и коэффициентов-дефляторов</t>
  </si>
  <si>
    <t>Метод расчетов: 
0 - постоянные цены, 1 - текущие (прогнозные) цены</t>
  </si>
  <si>
    <t>График чувствительности NPV к изменению курсов валют</t>
  </si>
  <si>
    <t>График чувствительности NPV к изменению инфляции</t>
  </si>
  <si>
    <t>Рентабельность продаж по EBIT</t>
  </si>
  <si>
    <t>Дата начала расчетов</t>
  </si>
  <si>
    <t>Инфляция</t>
  </si>
  <si>
    <t>Темп годового роста цен (инфляция в валюте)</t>
  </si>
  <si>
    <t>Изменение курса к основной валюте</t>
  </si>
  <si>
    <t>Итого: Финансирование за счет собственных средств</t>
  </si>
  <si>
    <t>собственный (акционерный) капитал 
с учетом начального баланса нарастающим итогом</t>
  </si>
  <si>
    <t>нарастающим итогом</t>
  </si>
  <si>
    <t>Убытки текущего года</t>
  </si>
  <si>
    <t>Списание убытков текущего года</t>
  </si>
  <si>
    <t>Убытки предыдущих лет</t>
  </si>
  <si>
    <t>Списание убытков предыдущих лет</t>
  </si>
  <si>
    <t>График оплаты</t>
  </si>
  <si>
    <t>НДС уплаченный</t>
  </si>
  <si>
    <t>тыс. руб.</t>
  </si>
  <si>
    <t>Себестоимость реализованных площадей</t>
  </si>
  <si>
    <t>НДС уплаченный по инвестициям в ОС и строительству</t>
  </si>
  <si>
    <t>НДС зачтенный по инвестициям в ОС и строительству</t>
  </si>
  <si>
    <t>Зачет переплаченного НДС:
1 - зачет при будущих расчетах
2 - возмещение из бюджета</t>
  </si>
  <si>
    <t xml:space="preserve"> </t>
  </si>
  <si>
    <t>Изменение ставки дисконтирования</t>
  </si>
  <si>
    <t>Анализ чувствительности</t>
  </si>
  <si>
    <t>Учитывать рыночную стоимость начальных активов:
0 - не учитывать
1 - учитывать</t>
  </si>
  <si>
    <t>Учитывать продленную стоимость:
0 - не учитывать
1 - учитывать</t>
  </si>
  <si>
    <t>Ячейка-источник NPV</t>
  </si>
  <si>
    <t>Ячейка-источник IRR</t>
  </si>
  <si>
    <t>Ячейка-источник DPBP</t>
  </si>
  <si>
    <t>Ячейка-источник ставки дисконтирования</t>
  </si>
  <si>
    <t>NPV бюджета субъекта РФ</t>
  </si>
  <si>
    <t>NPV местного бюджета</t>
  </si>
  <si>
    <t>NPV внебюджетных фондов</t>
  </si>
  <si>
    <t>Флаг периода окупаемости (число периодов)</t>
  </si>
  <si>
    <t>Кол-во месяцев в первом периоде после инвестфазы</t>
  </si>
  <si>
    <t xml:space="preserve">Инвестиционная фаза </t>
  </si>
  <si>
    <t>капитализация невыплаченных процентов
1 - учитывать, 0 - не учитывать</t>
  </si>
  <si>
    <t>Суммарные доходы бюджетов всех уровней</t>
  </si>
  <si>
    <t>затраты с учетом инфляции, без НДС</t>
  </si>
  <si>
    <t xml:space="preserve">ПАРАМЕТРЫ </t>
  </si>
  <si>
    <t xml:space="preserve">Пересчет выполняется непосредственно после внесения изменений в модель, если установлено значение:
Файл-Параметры-Формулы-Вычисления в книге: автоматически.
Если такой режим приводит к длительному открытию или сохранению файла или задержкам в работе формул, значит ресурсов Вашей системы недостаточно. В таком случае выберите режим: Файл-Параметры-Формулы-Вычисления в книге: автоматически, кроме таблиц данных.
Красным цветом автоматически отмечаются "негативные" результаты. Для IRR негативным результатом считается значение ниже установленной ставки дисконтирования по проекту. </t>
  </si>
  <si>
    <t>НАЛОГИ И ДОХОДЫ БЮДЖЕТОВ</t>
  </si>
  <si>
    <t>поступление средств</t>
  </si>
  <si>
    <t>Численность персонала (среднесписочная)</t>
  </si>
  <si>
    <t>взносы в пенсионный фонд</t>
  </si>
  <si>
    <t>взносы в фонд соцстрахования</t>
  </si>
  <si>
    <t>взносы в фонд медстрахования</t>
  </si>
  <si>
    <t>итого социальные взносы</t>
  </si>
  <si>
    <t>прочие социальные взносы</t>
  </si>
  <si>
    <t>Cредняя заработная плата</t>
  </si>
  <si>
    <t>Итого</t>
  </si>
  <si>
    <t>Всего</t>
  </si>
  <si>
    <t>Применяемый коэффициент-дефлятор</t>
  </si>
  <si>
    <t>% за период</t>
  </si>
  <si>
    <t>то же, в пересчете на текущий период</t>
  </si>
  <si>
    <t>Тип шага планирования 
(1 - месяц, 2 - квартал, 3 - год; 4 - полугодие)</t>
  </si>
  <si>
    <t>Базовые тарифы</t>
  </si>
  <si>
    <t>возмещать суммы не менее</t>
  </si>
  <si>
    <t>возмещать из бюджета начиная с</t>
  </si>
  <si>
    <t>га</t>
  </si>
  <si>
    <t>не списанные убытки текущего года</t>
  </si>
  <si>
    <t>Денежные потоки бюджетов</t>
  </si>
  <si>
    <t>КАЛЕНДАРЬ</t>
  </si>
  <si>
    <t>Квартал года (от начала расчетов)</t>
  </si>
  <si>
    <t>Полугодие (от начала расчетов)</t>
  </si>
  <si>
    <t>Год периода (от начала расчетов)</t>
  </si>
  <si>
    <t>Месяц начала периода (от начала расчетов)</t>
  </si>
  <si>
    <t>Заголовки таблиц (от начала расчетов)</t>
  </si>
  <si>
    <t>УСЛОВИЯ НАЛОГООБЛОЖЕНИЯ</t>
  </si>
  <si>
    <t>ИНДЕКСЫ-ДЕФЛЯТОРЫ И КУРСЫ ВАЛЮТ</t>
  </si>
  <si>
    <t>ПЕРСОНАЛ И ЗАРАБОТНАЯ ПЛАТА</t>
  </si>
  <si>
    <t>РАСЧЕТ НАЛОГОВ, СБОРОВ И ПЛАТЕЖЕЙ</t>
  </si>
  <si>
    <t>Календарные периоды - 1, Периоды от начала расчетов - 2</t>
  </si>
  <si>
    <t>Квартал года (календарный)</t>
  </si>
  <si>
    <t>Полугодие (календарное)</t>
  </si>
  <si>
    <t>Год периода (календарный)</t>
  </si>
  <si>
    <t>Месяц начала периода (календарный)</t>
  </si>
  <si>
    <t>Заголовки таблиц (календарные)</t>
  </si>
  <si>
    <t>1 - для каждого шага расчетов, 2 - по календарным годам, 3 - по годам от начала расчетов, 4 - по календарным полугодиям, 5 - по полугодиям от начала расчетов</t>
  </si>
  <si>
    <t>Режим индексации доходов и затрат:</t>
  </si>
  <si>
    <t>Размер списания убытков прошлых лет (% от прибыли)</t>
  </si>
  <si>
    <t>кв.м.</t>
  </si>
  <si>
    <t>срок погашения кредита</t>
  </si>
  <si>
    <t>отсрочка по погашению основного долга</t>
  </si>
  <si>
    <t>Год начала расчета среднегодовых показателей</t>
  </si>
  <si>
    <t xml:space="preserve">Коэффицент учета неполного периода </t>
  </si>
  <si>
    <t>Точка безубыточности, без НДС за период</t>
  </si>
  <si>
    <t>Точка безубыточности, % от объема реализации за период</t>
  </si>
  <si>
    <t>Цель по инфляции (I)</t>
  </si>
  <si>
    <t>Ключевая ставка (С)</t>
  </si>
  <si>
    <t>Премия за риск (R)</t>
  </si>
  <si>
    <t>обоснование в тексте бизнес-плана</t>
  </si>
  <si>
    <t>для расчета в постоянных ценах</t>
  </si>
  <si>
    <t>приравнена к ставке для собственного капитала, Re</t>
  </si>
  <si>
    <t>нераспределеная чистая прибыль нарастающим итогом</t>
  </si>
  <si>
    <t>Прибыль до налогообложения (по бухгалтерскому учету)</t>
  </si>
  <si>
    <t>в том числе на цели капвложений</t>
  </si>
  <si>
    <t>в том числе на финансирование оборотных средств</t>
  </si>
  <si>
    <t>Расчетные показатели</t>
  </si>
  <si>
    <t>Базовая ставка</t>
  </si>
  <si>
    <t>Льготная ставка</t>
  </si>
  <si>
    <t>Режим налогообложения:
0 - общий, 1 - льготный</t>
  </si>
  <si>
    <t>ЭФФЕКТИВНОСТЬ ДОЛГОВОГО ФИНАНСИРОВАНИЯ (CFADS)</t>
  </si>
  <si>
    <t xml:space="preserve"> - год выхода на проектную мощность</t>
  </si>
  <si>
    <t>Срок реализации проекта, лет</t>
  </si>
  <si>
    <t>ОПЕРАЦИОННЫЕ РАСХОДЫ</t>
  </si>
  <si>
    <t xml:space="preserve">коэффициент дисконта </t>
  </si>
  <si>
    <t>Ставка для бюджетных средств, Rf</t>
  </si>
  <si>
    <t>Доля бюджетных средств, Wf</t>
  </si>
  <si>
    <t>Корректировка в соответствии с Приказом Минэкономразвития России от 30.11.2015 N 894 «Об утверждении Методики оценки эффективности проекта государственно-частного партнерства, проекта муниципально-частного партнерства и определения их сравнительного преимущества» (R)</t>
  </si>
  <si>
    <t>Доходность к погашению по облигациям федерального займа со сроком, близким к срокам реализации проекта (C)</t>
  </si>
  <si>
    <t>Rf = C+R</t>
  </si>
  <si>
    <t>период завершения кредитования</t>
  </si>
  <si>
    <t>Итого: Бюджетное финансирование</t>
  </si>
  <si>
    <t>в том числе федеральный бюджет</t>
  </si>
  <si>
    <t>в том числе региональный бюджет</t>
  </si>
  <si>
    <t>всего нарастающим итогом</t>
  </si>
  <si>
    <t>поступление денежных средств от продажи актива, без НДС</t>
  </si>
  <si>
    <t>продажа актива (списание с баланса)</t>
  </si>
  <si>
    <t>начальная балансовая стоимость</t>
  </si>
  <si>
    <t>Изменение цен в обрабатывающей промышленности</t>
  </si>
  <si>
    <t>Изменение тарифов на электроэнергию, газ</t>
  </si>
  <si>
    <t>Изменение тарифов водоснабжения/отведения, утилизации отходов и т.п.</t>
  </si>
  <si>
    <t>Изменение стоимости инвестиций в основной капитал</t>
  </si>
  <si>
    <t>Изменение заработной платы</t>
  </si>
  <si>
    <t>Изменение цен в строительстве</t>
  </si>
  <si>
    <t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t>
  </si>
  <si>
    <t>http://economy.gov.ru/minec/about/structure/depmacro/201828113</t>
  </si>
  <si>
    <t>Параметры парка</t>
  </si>
  <si>
    <t>1-й год</t>
  </si>
  <si>
    <t>2-й год</t>
  </si>
  <si>
    <t>3-й год</t>
  </si>
  <si>
    <t>4-й год</t>
  </si>
  <si>
    <t>5-й год</t>
  </si>
  <si>
    <t>6-й год</t>
  </si>
  <si>
    <t>7-й год</t>
  </si>
  <si>
    <t>8-й год</t>
  </si>
  <si>
    <t>9-й год</t>
  </si>
  <si>
    <t>10-й год</t>
  </si>
  <si>
    <t>Итого резидентов</t>
  </si>
  <si>
    <t>Ставки и тарифы на услуги Управляющей компании</t>
  </si>
  <si>
    <t>Комиссия с доходов аутсорсинговых компаний на территории парка</t>
  </si>
  <si>
    <t>от стомиости оказанных резидентам услуг</t>
  </si>
  <si>
    <t>Расходы Управляющей компании</t>
  </si>
  <si>
    <t>Нормативы производственных расходов:</t>
  </si>
  <si>
    <t>Расход электроэнергии на наружное освещение территорий общего пользования</t>
  </si>
  <si>
    <t>Стоимость комплексного обслуживания территорий общего пользования (в том числе механизированная уборка, отвал/вывоз снега с привлечением спецтехники)</t>
  </si>
  <si>
    <t>тыс. руб./га в год (по объектам-аналогам)</t>
  </si>
  <si>
    <t>от начальной балансовой стоимости в год</t>
  </si>
  <si>
    <t>Услуги ЧОП</t>
  </si>
  <si>
    <t>тыс. руб. в год с НДС</t>
  </si>
  <si>
    <t>и далее</t>
  </si>
  <si>
    <t>Тарифы поставщиков ресурсов:</t>
  </si>
  <si>
    <t>Электроэнергия</t>
  </si>
  <si>
    <t xml:space="preserve">руб./кВт*ч с НДС </t>
  </si>
  <si>
    <t>Административно-управленческие расходы</t>
  </si>
  <si>
    <t>Персонал Управляющей компании</t>
  </si>
  <si>
    <t>Средняя зарплата, тыс. руб./мес.</t>
  </si>
  <si>
    <t>График набора персонала</t>
  </si>
  <si>
    <t>Персонал АУП и ИТР</t>
  </si>
  <si>
    <t>Капвложения Управляющей компании</t>
  </si>
  <si>
    <t>Срок амортизации, лет</t>
  </si>
  <si>
    <t>Инфраструктура</t>
  </si>
  <si>
    <t>Показатели деятельности резидентов</t>
  </si>
  <si>
    <t>квартала(ов)</t>
  </si>
  <si>
    <t>Рентабельность активов</t>
  </si>
  <si>
    <t>Срок амортизации оборудования</t>
  </si>
  <si>
    <t xml:space="preserve"> лет</t>
  </si>
  <si>
    <t>Срок амортизации недвижимости</t>
  </si>
  <si>
    <t>Средняя площадь помещений на одно рабочее место, кв.м.</t>
  </si>
  <si>
    <t>Средняя заработная плата (в месяц)</t>
  </si>
  <si>
    <t>Доля аутсорсинговых услуг в себестоимости товаров резидентов</t>
  </si>
  <si>
    <t>Общая площадь территории парка, га</t>
  </si>
  <si>
    <t>Индустриальные корпусы</t>
  </si>
  <si>
    <t>Электроснабжение</t>
  </si>
  <si>
    <t>Водоснабжение</t>
  </si>
  <si>
    <t>Водоотведение</t>
  </si>
  <si>
    <t>Газоснабжение</t>
  </si>
  <si>
    <t>Транспортная инфраструктура</t>
  </si>
  <si>
    <t>Стоимость, тыс. руб. с НДС</t>
  </si>
  <si>
    <t>Бизнес-пространство с ЦОД</t>
  </si>
  <si>
    <t>Корпус В3</t>
  </si>
  <si>
    <t xml:space="preserve"> - </t>
  </si>
  <si>
    <t>Прочие обеспечивающие объекты инфраструктуры (ограждения, КПП, сети связи, ОПС, наблюдения и т.п.)</t>
  </si>
  <si>
    <t>Заполнение парка резидентами нарастающим итогом, единиц</t>
  </si>
  <si>
    <t>Пощади территорий, арендованные резидентами, нарастающим итогом:</t>
  </si>
  <si>
    <t>тыс. руб./мес./га с НДС</t>
  </si>
  <si>
    <t>Инженерно-эксплуатационные расходы, коммунальные услуги в части помещений, занятых УК</t>
  </si>
  <si>
    <t>Обеспечение финансово-хозяйственной деятельности (расчетно-кассовое обслуживание, спецодежда, связь, канцтовары, командировочные и представительские расходы, прочие услуги сторонних организаций)</t>
  </si>
  <si>
    <t>Вооотведение</t>
  </si>
  <si>
    <t>Категории</t>
  </si>
  <si>
    <t>Корпусы</t>
  </si>
  <si>
    <t>Длительность инвестиционной фазы резидентов 
(период оснащения арендованных помещений оборудованием)</t>
  </si>
  <si>
    <t>Сведения по предприятиям обрабатывающей промышленности Ленинградской области за 2020 год (Росстат)</t>
  </si>
  <si>
    <t>в том числе территория общего пользования, га</t>
  </si>
  <si>
    <t>Дефляторы и прочие базовые параметры</t>
  </si>
  <si>
    <t>Ставка земельного налога, % кадастровой стоимости</t>
  </si>
  <si>
    <t>Ставка страховых взносов УК в ФСС от НСиПЗ</t>
  </si>
  <si>
    <t>5-й класс профриска</t>
  </si>
  <si>
    <t xml:space="preserve">Проект создания ИП «Бугры» на территории Ленинградской области. Управляющая компания.
</t>
  </si>
  <si>
    <t xml:space="preserve">Проект создания ИП «Бугры» на территории Ленинградской области
</t>
  </si>
  <si>
    <t>Курс USD</t>
  </si>
  <si>
    <t>Курс EUR</t>
  </si>
  <si>
    <t>Инвестиции в оборудование нарастающим итогом</t>
  </si>
  <si>
    <t>Ставка аренды, руб. / мес. / кв.м. без НДС</t>
  </si>
  <si>
    <t>сдано в аренду</t>
  </si>
  <si>
    <t>Здания и инфраструктура</t>
  </si>
  <si>
    <t>Содержание и обслуживание территорий</t>
  </si>
  <si>
    <t>Инженерно-эксплуатационные расходы УК в части собственных нужд</t>
  </si>
  <si>
    <t>Обеспечение финансово-хозяйственной деятельности</t>
  </si>
  <si>
    <t>Ввод в эксплуатацию</t>
  </si>
  <si>
    <t>4 кв. 2022</t>
  </si>
  <si>
    <t xml:space="preserve">Прочие объекты инфраструктуры </t>
  </si>
  <si>
    <t>Инфраструктура (без учета НДС)</t>
  </si>
  <si>
    <t>4 кв. 2021</t>
  </si>
  <si>
    <t>Инвестиции Управляющей компании за период</t>
  </si>
  <si>
    <t>Инвестиции Управляющей компании нарастающим итогом</t>
  </si>
  <si>
    <t>Итого внебюджетные инвестиции</t>
  </si>
  <si>
    <t>Итого внебюджетные инвестиции нарастающим итогом</t>
  </si>
  <si>
    <t>Внебюджетные инвестиции на 1 рабочее место нарастающим итогом</t>
  </si>
  <si>
    <t>Внебюджетные инвестиции на 1 га площади парка нарастающим итогом</t>
  </si>
  <si>
    <t>Рабочие места</t>
  </si>
  <si>
    <t xml:space="preserve">Среднее кол-во рабочих мест, созданных каждым резидентом </t>
  </si>
  <si>
    <t>Средняя заработная плата</t>
  </si>
  <si>
    <t>Выручка резидентов</t>
  </si>
  <si>
    <t>Налоговые отчисления резидентов по уровням бюджетов</t>
  </si>
  <si>
    <t>Доходы муниципального бюджета</t>
  </si>
  <si>
    <t>Создано рабочих мест на 1 га общей парка</t>
  </si>
  <si>
    <t>ОСНОВНЫЕ ПОКАЗАТЕЛИ ДЕЯТЕЛЬНОСТИ ПАРКА</t>
  </si>
  <si>
    <t>РАСЧЕТ НАЛОГА НА ПРИБЫЛЬ РЕЗИДЕНТОВ И АМОРТИЗАЦИИ ИМУЩЕСТВА</t>
  </si>
  <si>
    <t>Расчетный капитал резидентов нарастающим итогом (без НДС)</t>
  </si>
  <si>
    <t>Налог на прибыль начисленный</t>
  </si>
  <si>
    <t>Расчет амортизации оборудования</t>
  </si>
  <si>
    <t>Ввод основных средств по годам:</t>
  </si>
  <si>
    <t>Начальная стоимость оборудования</t>
  </si>
  <si>
    <t>Срок амортизации</t>
  </si>
  <si>
    <t>Амортизация основных средств, введеных в году:</t>
  </si>
  <si>
    <t>Итого амортизация оборудования</t>
  </si>
  <si>
    <t>Расчет амортизации недвижимости</t>
  </si>
  <si>
    <t>Начальная стоимость недвижимости</t>
  </si>
  <si>
    <t>Итого амортизация недвижимости</t>
  </si>
  <si>
    <t>кварталов</t>
  </si>
  <si>
    <t>Налог на прибыль уплаченный в федеральный бюджет</t>
  </si>
  <si>
    <t>Налог на прибыль уплаченный в бюджет субъекта РФ</t>
  </si>
  <si>
    <t>РАСЧЕТ НАЛОГА НА ИМУЩЕСТВО РЕЗИДЕНТОВ</t>
  </si>
  <si>
    <t>Финансовый результат</t>
  </si>
  <si>
    <t>Финансовый результат с учетом инфляции</t>
  </si>
  <si>
    <t>Налог на имущество начисленный</t>
  </si>
  <si>
    <t>Налог на имущество уплаченный</t>
  </si>
  <si>
    <t>Начисленная заработная плата</t>
  </si>
  <si>
    <t>Начисленная заработная плата с учетом инфляции</t>
  </si>
  <si>
    <t>Начисленные страховые взносы</t>
  </si>
  <si>
    <t>Уплаченные страховые взносы</t>
  </si>
  <si>
    <t>НДФЛ уплаченный</t>
  </si>
  <si>
    <t>Потенциальные рабочие места новых резидентов нарастающим итогом</t>
  </si>
  <si>
    <t>РАСЧЕТ НАЛОГА НА ДОБАВЛЕННУЮ СТОИМОСТЬ РЕЗИДЕНТОВ</t>
  </si>
  <si>
    <t>Добавленная стоимость</t>
  </si>
  <si>
    <t>НДС начисленный по операционной деятельности</t>
  </si>
  <si>
    <t>НДС к зачету по инвестиционным вложениям</t>
  </si>
  <si>
    <t>Баланс расчетов по НДС</t>
  </si>
  <si>
    <t>НАЛОГОВЫЕ ДОХОДЫ БЮДЖЕТОВ ОТ ДЕЯТЕЛЬНОСТИ РЕЗИДЕНТОВ</t>
  </si>
  <si>
    <t>РАСЧЕТ СТРАХОВЫХ ВЗНОСОВ И НДФЛ РЕЗИДЕНТОВ</t>
  </si>
  <si>
    <t>Финансирование согласно Постановлению №1119</t>
  </si>
  <si>
    <t>Финансирование согласно Постановлению №831</t>
  </si>
  <si>
    <t>Постановление 1119</t>
  </si>
  <si>
    <t>Лимит на 1 га общей площади</t>
  </si>
  <si>
    <t xml:space="preserve">тыс. руб. </t>
  </si>
  <si>
    <t>Срок финансирования</t>
  </si>
  <si>
    <t>п. 29 Правил</t>
  </si>
  <si>
    <t xml:space="preserve">руб./куб.м. с НДС </t>
  </si>
  <si>
    <t>кВт*ч/мес./га (по объектам-аналогам)</t>
  </si>
  <si>
    <t>Доля импортного оборудования</t>
  </si>
  <si>
    <t>Средний размер таможенной пошлины на импортное оборудование</t>
  </si>
  <si>
    <t>сведения по предприятиям обрабатывающей промышленности Ленинградской области за 2019 год (Росстат)</t>
  </si>
  <si>
    <t>сведения по предприятиям обрабатывающей промышленности за 2018 год (Росстат)</t>
  </si>
  <si>
    <t>доля импортного оборудования в обрабатывающей промышленности РФ (https://www.rbc.ru/economics/16/12/2019/5df395a29a79475abf277d33)</t>
  </si>
  <si>
    <t>Инвестиции в импортное оборудование</t>
  </si>
  <si>
    <t>Ввозные (импортные) пошлины уплаченные</t>
  </si>
  <si>
    <t>Лимит таможенных пошлин к возмещению</t>
  </si>
  <si>
    <t>п. 9 Правил</t>
  </si>
  <si>
    <t>Квартал первого транша возмещения расходов</t>
  </si>
  <si>
    <t>2 кв. 2021</t>
  </si>
  <si>
    <t>Учитывать финансирование по Постановлению 1119
0 - не учитывать (расчет без субсидий)
1 - учитывать (расчет с субсидиями)</t>
  </si>
  <si>
    <t>Целевое (бюджетное) финансирование</t>
  </si>
  <si>
    <t>Создано рабочих мест резидентами нарастающим итогом</t>
  </si>
  <si>
    <t>Численность резидентов</t>
  </si>
  <si>
    <t>Пощади территорий, арендованных резидентами
(нарастающим итогом)</t>
  </si>
  <si>
    <t xml:space="preserve">п.12. а) Правил = </t>
  </si>
  <si>
    <t>ЭФФЕКТИВНОСТЬ ДЛЯ КОНСОЛИДИРОВАННОГО БЮДЖЕТА РФ</t>
  </si>
  <si>
    <t>Денежный поток</t>
  </si>
  <si>
    <t>Налоги и страховые взносы</t>
  </si>
  <si>
    <t>Финансирование проекта</t>
  </si>
  <si>
    <t xml:space="preserve">Налоги УК:
0 - не учитывать 
1 - учитывать </t>
  </si>
  <si>
    <t>Коэффициент бюджетной эффективности</t>
  </si>
  <si>
    <t>ЭФФЕКТИВНОСТЬ ДЛЯ ФЕДЕРАЛЬНОГО БЮДЖЕТА</t>
  </si>
  <si>
    <t xml:space="preserve">Налоги </t>
  </si>
  <si>
    <t>ЭФФЕКТИВНОСТЬ ДЛЯ БЮДЖЕТА СУБЪЕКТА РФ</t>
  </si>
  <si>
    <t>ЭФФЕКТИВНОСТЬ ДЛЯ МУНИЦИПАЛЬНОГО БЮДЖЕТА</t>
  </si>
  <si>
    <t>поступление кредита</t>
  </si>
  <si>
    <t>Поступление кредита</t>
  </si>
  <si>
    <t>задолженность по кредиту на начало периода</t>
  </si>
  <si>
    <t>задолженность по кредиту на конец периода</t>
  </si>
  <si>
    <t>РАСЧЕТ ТАМОЖЕННЫХ ПОШЛИН РЕЗИДЕНТОВ</t>
  </si>
  <si>
    <t>(покрытие автодорог, торуаров) подлежит содержанию и обслуживанию за счет УК</t>
  </si>
  <si>
    <t>Корпус А4</t>
  </si>
  <si>
    <t>Корпус B2</t>
  </si>
  <si>
    <t>Площади, предоставленные резидентам для аренды без выкупа</t>
  </si>
  <si>
    <t>Площади, предоставленные резидентам для аренды с выкупом</t>
  </si>
  <si>
    <t>Объект II очереди</t>
  </si>
  <si>
    <t>БП с ЦОД</t>
  </si>
  <si>
    <t>Количество резидентов нарастающим итогом</t>
  </si>
  <si>
    <t>Количество новых резидентов за период</t>
  </si>
  <si>
    <t>Арендовано нарастающим итогом, га</t>
  </si>
  <si>
    <t>Ставка аренды, тыс. руб./кв.м./мес.</t>
  </si>
  <si>
    <t>Расчетная доля площадей корпусов, занятых резидентами, %</t>
  </si>
  <si>
    <t>Условия передачи корпусов в аренду с выкупом</t>
  </si>
  <si>
    <t>Цена продажи объекта, тыс. руб.с НДС</t>
  </si>
  <si>
    <t>Объекты парка</t>
  </si>
  <si>
    <t xml:space="preserve">Корпус А4 </t>
  </si>
  <si>
    <t>Корпус В1</t>
  </si>
  <si>
    <t>Корпус В2</t>
  </si>
  <si>
    <t>Площадь, кв.м.</t>
  </si>
  <si>
    <t>Цена продажи объекта, тыс. руб.с НДС за 1 кв.м.</t>
  </si>
  <si>
    <t>Ставка аренды территорий, участков</t>
  </si>
  <si>
    <t>Обслуживание инженерных сетей и зданий, арендованных резидентами</t>
  </si>
  <si>
    <t>Корпус А4 *</t>
  </si>
  <si>
    <t>* - часть капвложений осуществлена в 2019 году</t>
  </si>
  <si>
    <t>3 кв. 2020</t>
  </si>
  <si>
    <t>1 кв. 2023</t>
  </si>
  <si>
    <t>1 кв. 2024</t>
  </si>
  <si>
    <t>1 кв. 2022</t>
  </si>
  <si>
    <t>Аренда площадей (без выкупа)</t>
  </si>
  <si>
    <t>Площади корпусов, занятые резидентами
(нарастающим итогом на конец периода)</t>
  </si>
  <si>
    <t>ставка аренды за единицу (га), без НДС в мес.</t>
  </si>
  <si>
    <t>Аренда площадей с выкупом</t>
  </si>
  <si>
    <t>Мероприятия по привлечению резидентов и маркетинговому продвижению парка до 100% заполнения площадей</t>
  </si>
  <si>
    <t>Здания (график оплаты без учета НДС)</t>
  </si>
  <si>
    <t>Стоимость объекта, тыс. руб с НДС</t>
  </si>
  <si>
    <t>Принятие к учету на баланс</t>
  </si>
  <si>
    <t>итого график постановки на баланс, без НДС</t>
  </si>
  <si>
    <t>КАПВЛОЖЕНИЯ И ОПЕРАЦИИ С АКТИВАМИ</t>
  </si>
  <si>
    <t>итого передано в аренду с выкупом</t>
  </si>
  <si>
    <t>Передача объектов в собственность резидентов</t>
  </si>
  <si>
    <t>итого передано в собственность резидентов</t>
  </si>
  <si>
    <t>Корпус B1</t>
  </si>
  <si>
    <t>Корпус B3</t>
  </si>
  <si>
    <t>итого поступление денежных средств от продажи активов, без НДС</t>
  </si>
  <si>
    <t>суммы в осн. валюте: график капвложений, без НДС</t>
  </si>
  <si>
    <t>только аренда без выкупа</t>
  </si>
  <si>
    <t>Выручка от аренды и прочих услуг резидентам</t>
  </si>
  <si>
    <t>Выручка от продажи площадей</t>
  </si>
  <si>
    <t>арендная плата, без НДС</t>
  </si>
  <si>
    <t>арендная плата, без НДС (с учетом инфляции)</t>
  </si>
  <si>
    <t>* - Закон Ленинградской области от 28.07.2014 № 52-оз</t>
  </si>
  <si>
    <t>Льготная ставка для Управляющей компании на 6 лет*</t>
  </si>
  <si>
    <t>Инвестиции резидентов в оборудование за период</t>
  </si>
  <si>
    <t>Прирост расчетного капитала резидентов за период (оборудование)*</t>
  </si>
  <si>
    <t>Прирост расчетного капитала резидентов за период (недвижимость)</t>
  </si>
  <si>
    <t>Итого прирост расчетного капитала резидентов за период</t>
  </si>
  <si>
    <t>Справочно, средняя стоимость строительства 1 кв.м.зданий, тыс. руб с НДС</t>
  </si>
  <si>
    <t>Кадастровая стоимость участка парка, тыс. руб.</t>
  </si>
  <si>
    <t>Заполнение плоащадей парка резидентами</t>
  </si>
  <si>
    <t>Инвестиции резидентов в оборудование</t>
  </si>
  <si>
    <t>Инвестиции резидентов в недвижимость</t>
  </si>
  <si>
    <t>Инвестиции резидентов в недвижимость за период</t>
  </si>
  <si>
    <t>Инвестиции в недвижимость нарастающим итогом</t>
  </si>
  <si>
    <t xml:space="preserve">Отношение капзатрат резидентов к капзатратам УК
(нарастающим итогом) </t>
  </si>
  <si>
    <t>Рентабельность активов (прибыль/активы)</t>
  </si>
  <si>
    <t>Соотношение инвестиций в здания/оборудование</t>
  </si>
  <si>
    <t>ЦБ РФ 4 кв. 2020</t>
  </si>
  <si>
    <t>Ставка дисконтирования, годовая (WACC)</t>
  </si>
  <si>
    <t>Ставка дисконтирования для собственного капитала УК</t>
  </si>
  <si>
    <t>Балансовая стоимость участка парка, тыс. руб.</t>
  </si>
  <si>
    <t>Прочие доходы (комиссии с аутсорсинговых услуг резидентам)</t>
  </si>
  <si>
    <t>Расход воды в год, куб.м.</t>
  </si>
  <si>
    <t>Отвод воды в год, куб.м.</t>
  </si>
  <si>
    <t>Расход газа в год, куб.м. (отопление)</t>
  </si>
  <si>
    <t>Итого на сумму, тыс. руб в год с НДС</t>
  </si>
  <si>
    <t>Ставка по кредиту</t>
  </si>
  <si>
    <t>Срок погашения, лет</t>
  </si>
  <si>
    <t>Кредитные средства</t>
  </si>
  <si>
    <t>Справочно: капвложения с начала 2020 года, нарастающим итогом</t>
  </si>
  <si>
    <t>Доля кредитов в стоимости капвложений</t>
  </si>
  <si>
    <t>Постановление 831</t>
  </si>
  <si>
    <t>Размер субсидии</t>
  </si>
  <si>
    <t>от суммы процентов по кредиту к уплате</t>
  </si>
  <si>
    <t>ключевой ставки ЦБ РФ</t>
  </si>
  <si>
    <t>Учитывать финансирование по Постановлению 831
0 - не учитывать (расчет без субсидий)
1 - учитывать (расчет с субсидиями)</t>
  </si>
  <si>
    <t>Лимит субсидии</t>
  </si>
  <si>
    <t>Квартал первого транша субсидии</t>
  </si>
  <si>
    <t>ЭФФЕКТИВНОСТЬ ДЛЯ АКЦИОНЕРНОГО КАПИТАЛА УПРАВЛЯЮЩЕЙ КОМПАНИИ (FCFE)</t>
  </si>
  <si>
    <t>ЭФФЕКТИВНОСТЬ ПРОЕКТА ДЛЯ  УПРАВЛЯЮЩЕЙ КОМПАНИИ (FCFF)</t>
  </si>
  <si>
    <t>Суммарный вклад собственного капитала (включая ранее осуществленные инвестиции)</t>
  </si>
  <si>
    <t>Доля кредитов во внешних источниках финансирования</t>
  </si>
  <si>
    <t>Производительность труда предприятий резидентов*</t>
  </si>
  <si>
    <t>* - длительность периода оснащения оборудованием (инвестиционная фаза резидентов до начала производственной деятельности) составляет:</t>
  </si>
  <si>
    <t>Остаточная стоимость недвижимого имущества на балансе резидентов</t>
  </si>
  <si>
    <t>приравнена WACC</t>
  </si>
  <si>
    <t>Ставка дисконтирования для оценки бюджетной эффективности</t>
  </si>
  <si>
    <t>средняя ставка на прогнозный период с учетом льгот (Закон Ленинградской области от 28.07.2014 № 52-оз)</t>
  </si>
  <si>
    <t>Ставка дисконтирования (ставка по кредиту)</t>
  </si>
  <si>
    <t>ООО "ИнвестБугры"</t>
  </si>
  <si>
    <t>Коэффициенты-дефляторы для фактически завершенного 2020 года приравнены 1,0 (изменение 0%)</t>
  </si>
  <si>
    <t>Коэффициенты-дефляторы для фактически завершенного 2020 года не учитываются</t>
  </si>
  <si>
    <t xml:space="preserve">ИНДЕКСЫ-ДЕФЛЯТОРЫ </t>
  </si>
  <si>
    <t>для расчета в прогнозных (номинальных) ценах</t>
  </si>
  <si>
    <t>Re = (1+C) / (1+I) - 1 + R</t>
  </si>
  <si>
    <t>Re = С+R</t>
  </si>
  <si>
    <t>Арендная плата (без НДС)</t>
  </si>
  <si>
    <t>Аренда территорий (участков)</t>
  </si>
  <si>
    <t>Содержание и обслуживание инфраструктуры и зданий на балансе УК</t>
  </si>
  <si>
    <t>Итого: Инвестиции в здания и инфраструктуру, с НДС</t>
  </si>
  <si>
    <t>Инвестиции в здания, инфраструктуру</t>
  </si>
  <si>
    <t>Здания, инфраструктура</t>
  </si>
  <si>
    <t>Инвестиции Управляющей компании*</t>
  </si>
  <si>
    <t>* - инвестиции в здания, подлежащие продаже резидентам, учитываются в составе инвестиций резидентов</t>
  </si>
  <si>
    <t xml:space="preserve"> ИНДЕКСЫ-ДЕФЛЯТОРЫ И КУРСЫ ВАЛЮТ</t>
  </si>
  <si>
    <t>Таб. 1</t>
  </si>
  <si>
    <t xml:space="preserve"> УСЛОВИЯ НАЛОГООБЛОЖЕНИЯ</t>
  </si>
  <si>
    <t>Таб. 2</t>
  </si>
  <si>
    <t xml:space="preserve"> СТАВКИ ДИСКОНТИРОВАНИЯ</t>
  </si>
  <si>
    <t>Таб. 3</t>
  </si>
  <si>
    <t>Таб. 4</t>
  </si>
  <si>
    <t xml:space="preserve"> ВЫРУЧКА И ОБЪЕМ РЕАЛИЗАЦИИ</t>
  </si>
  <si>
    <t>Таб. 5</t>
  </si>
  <si>
    <t xml:space="preserve"> ПЕРСОНАЛ И ЗАРАБОТНАЯ ПЛАТА</t>
  </si>
  <si>
    <t>Таб. 6</t>
  </si>
  <si>
    <t xml:space="preserve"> ОПЕРАЦИОННЫЕ РАСХОДЫ</t>
  </si>
  <si>
    <t>Таб. 7</t>
  </si>
  <si>
    <t xml:space="preserve"> КАПВЛОЖЕНИЯ И ОПЕРАЦИИ С АКТИВАМИ</t>
  </si>
  <si>
    <t>Таб. 8</t>
  </si>
  <si>
    <t xml:space="preserve"> СОБСТВЕННЫЙ КАПИТАЛ И ФИНАНСИРОВАНИЕ</t>
  </si>
  <si>
    <t>Таб. 9</t>
  </si>
  <si>
    <t xml:space="preserve"> КРЕДИТЫ</t>
  </si>
  <si>
    <t>Таб. 10</t>
  </si>
  <si>
    <t xml:space="preserve"> ОТЧЕТ О ПРИБЫЛЯХ И УБЫТКАХ</t>
  </si>
  <si>
    <t>Таб. 11</t>
  </si>
  <si>
    <t xml:space="preserve"> ОТЧЕТ О ДВИЖЕНИИ ДЕНЕЖНЫХ СРЕДСТВ</t>
  </si>
  <si>
    <t>Таб. 12</t>
  </si>
  <si>
    <t xml:space="preserve"> БАЛАНС</t>
  </si>
  <si>
    <t>Таб. 13</t>
  </si>
  <si>
    <t xml:space="preserve"> ПОКАЗАТЕЛИ ДОЛГА</t>
  </si>
  <si>
    <t>Таб. 14</t>
  </si>
  <si>
    <t xml:space="preserve"> РЕНТАБЕЛЬНОСТЬ И ОБОРАЧИВАЕМОСТЬ</t>
  </si>
  <si>
    <t>Таб. 15</t>
  </si>
  <si>
    <t xml:space="preserve"> НАЛОГИ И ДОХОДЫ БЮДЖЕТОВ</t>
  </si>
  <si>
    <t>Таб. 16</t>
  </si>
  <si>
    <t xml:space="preserve"> ЭФФЕКТИВНОСТЬ ПРОЕКТА ДЛЯ  УПРАВЛЯЮЩЕЙ КОМПАНИИ (FCFF)</t>
  </si>
  <si>
    <t>Таб. 17</t>
  </si>
  <si>
    <t xml:space="preserve"> ОСНОВНЫЕ ПОКАЗАТЕЛИ ДЕЯТЕЛЬНОСТИ ПАРКА</t>
  </si>
  <si>
    <t>Таб. 18</t>
  </si>
  <si>
    <t xml:space="preserve"> РАСЧЕТ НАЛОГА НА ПРИБЫЛЬ РЕЗИДЕНТОВ И АМОРТИЗАЦИИ ИМУЩЕСТВА</t>
  </si>
  <si>
    <t>Таб. 19</t>
  </si>
  <si>
    <t xml:space="preserve"> РАСЧЕТ НАЛОГА НА ИМУЩЕСТВО РЕЗИДЕНТОВ</t>
  </si>
  <si>
    <t>Таб. 20</t>
  </si>
  <si>
    <t xml:space="preserve"> РАСЧЕТ СТРАХОВЫХ ВЗНОСОВ И НДФЛ РЕЗИДЕНТОВ</t>
  </si>
  <si>
    <t>Таб. 21</t>
  </si>
  <si>
    <t xml:space="preserve"> РАСЧЕТ НАЛОГА НА ДОБАВЛЕННУЮ СТОИМОСТЬ РЕЗИДЕНТОВ</t>
  </si>
  <si>
    <t>Таб. 22</t>
  </si>
  <si>
    <t xml:space="preserve"> РАСЧЕТ ТАМОЖЕННЫХ ПОШЛИН РЕЗИДЕНТОВ</t>
  </si>
  <si>
    <t>Таб. 23</t>
  </si>
  <si>
    <t xml:space="preserve"> НАЛОГОВЫЕ ДОХОДЫ БЮДЖЕТОВ ОТ ДЕЯТЕЛЬНОСТИ РЕЗИДЕНТОВ</t>
  </si>
  <si>
    <t>Таб. 24</t>
  </si>
  <si>
    <t xml:space="preserve"> ЭФФЕКТИВНОСТЬ ДЛЯ КОНСОЛИДИРОВАННОГО БЮДЖЕТА РФ</t>
  </si>
  <si>
    <t>Таб. 25</t>
  </si>
  <si>
    <t xml:space="preserve"> ЭФФЕКТИВНОСТЬ ДЛЯ ФЕДЕРАЛЬНОГО БЮДЖЕТА</t>
  </si>
  <si>
    <t>Таб. 26</t>
  </si>
  <si>
    <t xml:space="preserve"> ЭФФЕКТИВНОСТЬ ДЛЯ БЮДЖЕТА СУБЪЕКТА РФ</t>
  </si>
  <si>
    <t>Таб. 27</t>
  </si>
  <si>
    <t xml:space="preserve"> ЭФФЕКТИВНОСТЬ ДЛЯ МУНИЦИПАЛЬНОГО БЮДЖЕТА</t>
  </si>
  <si>
    <t>Таб. 28</t>
  </si>
  <si>
    <t xml:space="preserve"> НАИМЕНОВАНИЕ </t>
  </si>
  <si>
    <t>№ ЛИСТА</t>
  </si>
  <si>
    <t xml:space="preserve"> ПРИМЕЧАНИЕ</t>
  </si>
  <si>
    <t>УПРАВЛЯЮЩАЯ КОМПАНИЯ</t>
  </si>
  <si>
    <t>РЕЗИДЕНТЫ</t>
  </si>
  <si>
    <t>БЮДЖЕТНАЯ СИСТЕМА</t>
  </si>
  <si>
    <t>Денежный поток федерального бюджета, тыс. руб.</t>
  </si>
  <si>
    <t>Денежный поток бюджета субъекта РФ, тыс. руб.</t>
  </si>
  <si>
    <t>Денежный поток муниципального бюджета, тыс. руб.</t>
  </si>
  <si>
    <t>Налоговые доходы и финансирование проекта федеральным бюджетом, млн. руб.</t>
  </si>
  <si>
    <t>Налоговые доходы (притоки в бюджет)</t>
  </si>
  <si>
    <t>Финансирование проекта (оттоки из бюджета)</t>
  </si>
  <si>
    <t>Притоки</t>
  </si>
  <si>
    <t>Оттоки</t>
  </si>
  <si>
    <t>базовый год расчета производительности труда (год начисления резидентами первого НДС к уплате)</t>
  </si>
  <si>
    <t>Cреднегодовой коэффициент роста производительности труда предприятий резидентов*</t>
  </si>
  <si>
    <t>* - расчет производительности труда согласно методике Постановления Правительства РФ №831</t>
  </si>
  <si>
    <t>Добавленная стоимость, генерируемая резидентами</t>
  </si>
  <si>
    <t>Доходы по уровням бюджетов, млн. руб.</t>
  </si>
  <si>
    <t>К капвложениям резидентов</t>
  </si>
  <si>
    <t>Коэффициент, применяемый к капвложениям резидентов</t>
  </si>
  <si>
    <t>К рентабельности деятельности резидентов</t>
  </si>
  <si>
    <t>Коэффициент, применяемый к рентабельности деятельности резидентов</t>
  </si>
  <si>
    <t>К объему бюджетного финансирования проекта</t>
  </si>
  <si>
    <t>Коэффициент, применяемый к объему бюджетного финансирования проекта</t>
  </si>
  <si>
    <t>Коэффициент, применяемый к заполненности площадей</t>
  </si>
  <si>
    <t>К заполненности площадей</t>
  </si>
  <si>
    <t>Ячейка-источник NPV федерального бюджета</t>
  </si>
  <si>
    <t>Ячейка-источник NPV бюджета субъекта РФ</t>
  </si>
  <si>
    <t xml:space="preserve">Ячейка-источник NPV муниципального бюджета </t>
  </si>
  <si>
    <t xml:space="preserve">NPV местного бюджета </t>
  </si>
  <si>
    <t>Итого по годам</t>
  </si>
  <si>
    <t>Поступление выручки Управляющей компании, млн. руб.</t>
  </si>
  <si>
    <t>Размещение резидентов, кв.м. площадей</t>
  </si>
  <si>
    <t>Денежные средства Управляющей компании на конец года, млн. руб.</t>
  </si>
  <si>
    <t>Денежные потоки УК от инвестиционной деятельности (капвложения в здания, инфраструктуру и продажа зданий), млн. руб.</t>
  </si>
  <si>
    <t>Задолженность Управляющей компании по кредитам, млн. руб.</t>
  </si>
  <si>
    <t>График окупаемости проекта для УК, млн. руб.</t>
  </si>
  <si>
    <t>График окупаемости для акционерного капитала УК, млн. руб.</t>
  </si>
  <si>
    <t>График доступных средств для погашения долга (CFADS), млн. руб.</t>
  </si>
  <si>
    <t>Коэффициент, применяемый к операционным издержкам УК</t>
  </si>
  <si>
    <t>К операционным издержкам УК</t>
  </si>
  <si>
    <t>Коэффициент, применяемый к ставкам аренды и тарифам УК для резидентов</t>
  </si>
  <si>
    <t>К ставкам аренды и тарифам УК для резидентов</t>
  </si>
  <si>
    <t>Коэффициент, применяемый к ценам продажи площадей</t>
  </si>
  <si>
    <t>К ценам продажи площадей</t>
  </si>
  <si>
    <t>inc_sens</t>
  </si>
  <si>
    <t>price_sens</t>
  </si>
  <si>
    <t>raw_sens</t>
  </si>
  <si>
    <t>inv_sens</t>
  </si>
  <si>
    <t>ЭФФЕКТИВНОСТЬ УК</t>
  </si>
  <si>
    <t>FCFF
(проект)</t>
  </si>
  <si>
    <t>FCFE
(акционерный капитал)</t>
  </si>
  <si>
    <t>Здания для размещения резидентов</t>
  </si>
  <si>
    <t>Итого капвложения</t>
  </si>
  <si>
    <t>Капвложения (с НДС)</t>
  </si>
  <si>
    <t>Собственные средства УК</t>
  </si>
  <si>
    <t>на цели капвложений</t>
  </si>
  <si>
    <t>на финансирование оборотных средств</t>
  </si>
  <si>
    <t>Итого собственные средства УК</t>
  </si>
  <si>
    <t>Свободные средства (часть выручки УК) в рамках проекта</t>
  </si>
  <si>
    <t>фактически по расчетам</t>
  </si>
  <si>
    <t>сведения по обрабатывающей промышленности СЗФО за 2019 год (Росстат)</t>
  </si>
  <si>
    <t>Рентабельность товаров (прибыль/себестоимость)</t>
  </si>
  <si>
    <t>Итого после 2020 года</t>
  </si>
  <si>
    <t xml:space="preserve">Всего </t>
  </si>
  <si>
    <t>Инфраструктура парка</t>
  </si>
  <si>
    <t>Ранее 2020 года</t>
  </si>
  <si>
    <r>
      <t xml:space="preserve">Инвестиции проекта, тыс. руб. 
</t>
    </r>
    <r>
      <rPr>
        <b/>
        <sz val="8"/>
        <color rgb="FFC00000"/>
        <rFont val="Arial"/>
        <family val="2"/>
        <charset val="204"/>
      </rPr>
      <t>(с учетом индексов-дефляторов)</t>
    </r>
  </si>
  <si>
    <r>
      <t xml:space="preserve">Финансирование проекта, тыс. руб. 
</t>
    </r>
    <r>
      <rPr>
        <b/>
        <sz val="8"/>
        <color rgb="FFC00000"/>
        <rFont val="Arial"/>
        <family val="2"/>
        <charset val="204"/>
      </rPr>
      <t>(с учетом индексов-дефляторов)</t>
    </r>
  </si>
  <si>
    <r>
      <t>График капвложений, тыс. руб.</t>
    </r>
    <r>
      <rPr>
        <b/>
        <sz val="8"/>
        <color rgb="FFC00000"/>
        <rFont val="Arial"/>
        <family val="2"/>
        <charset val="204"/>
      </rPr>
      <t xml:space="preserve"> </t>
    </r>
    <r>
      <rPr>
        <b/>
        <sz val="8"/>
        <rFont val="Arial"/>
        <family val="2"/>
        <charset val="204"/>
      </rPr>
      <t>с НДС</t>
    </r>
    <r>
      <rPr>
        <b/>
        <sz val="8"/>
        <color rgb="FFC00000"/>
        <rFont val="Arial"/>
        <family val="2"/>
        <charset val="204"/>
      </rPr>
      <t xml:space="preserve">
(без учета индексов дефляторов)</t>
    </r>
  </si>
  <si>
    <t>Условия аренды корпусов</t>
  </si>
  <si>
    <t>Срок аренды до выкупа</t>
  </si>
  <si>
    <t>Поступление денежных средств от продажи объектов без НДС</t>
  </si>
  <si>
    <t>Кредитное финансирование:</t>
  </si>
  <si>
    <t>Кредит на строительство корпуса А4</t>
  </si>
  <si>
    <t>корпус А4</t>
  </si>
  <si>
    <t>НДС уплаченный при строительстве корпуса А4</t>
  </si>
  <si>
    <t>кредиты, привлеченные на строительство корпуса А4 до 01.01.2020</t>
  </si>
  <si>
    <t>от 01.01.2020</t>
  </si>
  <si>
    <t>Кредит на транспортную инфраструктуру</t>
  </si>
  <si>
    <t>Начало погашения</t>
  </si>
  <si>
    <t>1 кв. 2021</t>
  </si>
  <si>
    <t>Отсрочка погашения, лет</t>
  </si>
  <si>
    <t>Инфраструктура водоснабжения</t>
  </si>
  <si>
    <t>Кредит на инфраструктуру водоснабжения</t>
  </si>
  <si>
    <t>Кредит на инфраструктуру водоотведения</t>
  </si>
  <si>
    <t>Инфраструктура водоотведения</t>
  </si>
  <si>
    <t>Строительство корпуса B2</t>
  </si>
  <si>
    <t>Кредит на строительство корпуса B2</t>
  </si>
  <si>
    <t>Строительство корпуса B1</t>
  </si>
  <si>
    <t>Кредит на строительство корпуса B1</t>
  </si>
  <si>
    <t>Строительство корпусов B3, БЦ с ЦОД и II очереди</t>
  </si>
  <si>
    <t>Кредит на строительство корпусов B3, БЦ с ЦОД и II очереди</t>
  </si>
  <si>
    <t>Средневзвешенная ставка по всем кредитам</t>
  </si>
  <si>
    <t>приравнена к средневзвешенной ставке по всем кредитам</t>
  </si>
  <si>
    <t>ставка с 6 года</t>
  </si>
  <si>
    <t>Поступления собственного капитала и бюджетного финансирования</t>
  </si>
  <si>
    <t>Покрытие выплаты долга, DSCR среднегодовой</t>
  </si>
  <si>
    <t xml:space="preserve">Дополнительное финансирование за счет собственного капитала (сверх потребности) для обеспечения DSCR &gt; </t>
  </si>
  <si>
    <t>в том числе финансирование сверх необходимой потребности для обеспечения показателя DCSR</t>
  </si>
  <si>
    <t xml:space="preserve">Коммунальные услуги за счет УК в корпусах, арендованных резидентами </t>
  </si>
  <si>
    <t>Передача объектов в аренду с выкупом</t>
  </si>
  <si>
    <t>Оборотные средства</t>
  </si>
  <si>
    <t>Вклад резидентов в ВРП</t>
  </si>
  <si>
    <t xml:space="preserve">порядок погашения: 0-аннуитет, 1-дифференцированный </t>
  </si>
  <si>
    <t xml:space="preserve"> ОСНОВНЫЕ СРЕДСТВА И КРЕДИТЫ НА ДАТУ НАЧАЛА ПРОЕКТА</t>
  </si>
  <si>
    <t xml:space="preserve">Порядок погашения: 0-аннуитет, 1-дифференцированный </t>
  </si>
  <si>
    <t>в том числе финансирование в необходимом размере для отсутствия кассовых разрывов</t>
  </si>
  <si>
    <t>1 кв. 2020</t>
  </si>
  <si>
    <t>2 кв. 2020</t>
  </si>
  <si>
    <t>4 кв. 2020</t>
  </si>
  <si>
    <t>3 кв. 2021</t>
  </si>
  <si>
    <t>2 кв. 2022</t>
  </si>
  <si>
    <t>3 кв. 2022</t>
  </si>
  <si>
    <t>2 кв. 2023</t>
  </si>
  <si>
    <t>3 кв. 2023</t>
  </si>
  <si>
    <t>4 кв. 2023</t>
  </si>
  <si>
    <t>2 кв. 2024</t>
  </si>
  <si>
    <t>3 кв. 2024</t>
  </si>
  <si>
    <t>4 кв. 2024</t>
  </si>
  <si>
    <t>1 кв. 2025</t>
  </si>
  <si>
    <t>2 кв. 2025</t>
  </si>
  <si>
    <t>3 кв. 2025</t>
  </si>
  <si>
    <t>4 кв. 2025</t>
  </si>
  <si>
    <t>1 кв. 2026</t>
  </si>
  <si>
    <t>2 кв. 2026</t>
  </si>
  <si>
    <t>3 кв. 2026</t>
  </si>
  <si>
    <t>4 кв. 2026</t>
  </si>
  <si>
    <t>1 кв. 2027</t>
  </si>
  <si>
    <t>2 кв. 2027</t>
  </si>
  <si>
    <t>3 кв. 2027</t>
  </si>
  <si>
    <t>4 кв. 2027</t>
  </si>
  <si>
    <t>1 кв. 2028</t>
  </si>
  <si>
    <t>2 кв. 2028</t>
  </si>
  <si>
    <t>3 кв. 2028</t>
  </si>
  <si>
    <t>4 кв. 2028</t>
  </si>
  <si>
    <t>1 кв. 2029</t>
  </si>
  <si>
    <t>2 кв. 2029</t>
  </si>
  <si>
    <t>3 кв. 2029</t>
  </si>
  <si>
    <t>4 кв. 2029</t>
  </si>
  <si>
    <t>1 кв.
 1-й год</t>
  </si>
  <si>
    <t>2 кв.
 1-й год</t>
  </si>
  <si>
    <t>3 кв.
 1-й год</t>
  </si>
  <si>
    <t>4 кв.
 1-й год</t>
  </si>
  <si>
    <t>1 кв.
 2-й год</t>
  </si>
  <si>
    <t>2 кв.
 2-й год</t>
  </si>
  <si>
    <t>3 кв.
 2-й год</t>
  </si>
  <si>
    <t>4 кв.
 2-й год</t>
  </si>
  <si>
    <t>1 кв.
 3-й год</t>
  </si>
  <si>
    <t>2 кв.
 3-й год</t>
  </si>
  <si>
    <t>3 кв.
 3-й год</t>
  </si>
  <si>
    <t>4 кв.
 3-й год</t>
  </si>
  <si>
    <t>1 кв.
 4-й год</t>
  </si>
  <si>
    <t>2 кв.
 4-й год</t>
  </si>
  <si>
    <t>3 кв.
 4-й год</t>
  </si>
  <si>
    <t>4 кв.
 4-й год</t>
  </si>
  <si>
    <t>1 кв.
 5-й год</t>
  </si>
  <si>
    <t>2 кв.
 5-й год</t>
  </si>
  <si>
    <t>3 кв.
 5-й год</t>
  </si>
  <si>
    <t>4 кв.
 5-й год</t>
  </si>
  <si>
    <t>1 кв.
 6-й год</t>
  </si>
  <si>
    <t>2 кв.
 6-й год</t>
  </si>
  <si>
    <t>3 кв.
 6-й год</t>
  </si>
  <si>
    <t>4 кв.
 6-й год</t>
  </si>
  <si>
    <t>1 кв.
 7-й год</t>
  </si>
  <si>
    <t>2 кв.
 7-й год</t>
  </si>
  <si>
    <t>3 кв.
 7-й год</t>
  </si>
  <si>
    <t>4 кв.
 7-й год</t>
  </si>
  <si>
    <t>1 кв.
 8-й год</t>
  </si>
  <si>
    <t>2 кв.
 8-й год</t>
  </si>
  <si>
    <t>3 кв.
 8-й год</t>
  </si>
  <si>
    <t>4 кв.
 8-й год</t>
  </si>
  <si>
    <t>1 кв.
 9-й год</t>
  </si>
  <si>
    <t>2 кв.
 9-й год</t>
  </si>
  <si>
    <t>3 кв.
 9-й год</t>
  </si>
  <si>
    <t>4 кв.
 9-й год</t>
  </si>
  <si>
    <t>1 кв.
 10-й год</t>
  </si>
  <si>
    <t>2 кв.
 10-й год</t>
  </si>
  <si>
    <t>3 кв.
 10-й год</t>
  </si>
  <si>
    <t>4 кв.
 10-й год</t>
  </si>
  <si>
    <t>то же, в пересчете на квартал</t>
  </si>
  <si>
    <t>тыс. $</t>
  </si>
  <si>
    <t>Курс к основной валюте, тыс. руб. / тыс. $</t>
  </si>
  <si>
    <t>тыс. EUR</t>
  </si>
  <si>
    <t>Курс к основной валюте, тыс. руб. / тыс. EUR</t>
  </si>
  <si>
    <t>затраты за период без НДС</t>
  </si>
  <si>
    <t>Среднегодовые
2024 - 2029</t>
  </si>
  <si>
    <t>Курсы валют: 
тыс. руб. / тыс. $
тыс. руб. / тыс.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</si>
</sst>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&quot;₽&quot;#,##0.00_);[Red]\(&quot;₽&quot;#,##0.00\)"/>
    <numFmt numFmtId="165" formatCode="_(* #,##0.00_);_(* \(#,##0.00\);_(* &quot;-&quot;??_);_(@_)"/>
    <numFmt numFmtId="166" formatCode="#,##0.0000"/>
    <numFmt numFmtId="167" formatCode="0.0%"/>
    <numFmt numFmtId="168" formatCode="0.0000"/>
    <numFmt numFmtId="169" formatCode="0.0"/>
    <numFmt numFmtId="170" formatCode="#,##0.0"/>
    <numFmt numFmtId="171" formatCode="#,##0.000"/>
    <numFmt numFmtId="172" formatCode="_-* #,##0.0\ _₽_-;\-* #,##0.0\ _₽_-;_-* &quot;-&quot;?\ _₽_-;_-@_-"/>
    <numFmt numFmtId="173" formatCode="0.000"/>
    <numFmt numFmtId="174" formatCode="#,##0_ ;\-#,##0\ "/>
    <numFmt numFmtId="175" formatCode="0.000%"/>
    <numFmt numFmtId="176" formatCode="#,##0.00_ ;\-#,##0.00\ "/>
    <numFmt numFmtId="177" formatCode="#,##0_ ;[Red]\-#,##0\ "/>
  </numFmts>
  <fonts count="54" x14ac:knownFonts="1"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 tint="0.499984740745262"/>
      <name val="Arial"/>
      <family val="2"/>
      <charset val="204"/>
    </font>
    <font>
      <i/>
      <sz val="8"/>
      <color theme="1" tint="0.499984740745262"/>
      <name val="Arial"/>
      <family val="2"/>
      <charset val="204"/>
    </font>
    <font>
      <sz val="8"/>
      <name val="Arial"/>
      <family val="2"/>
      <charset val="204"/>
    </font>
    <font>
      <sz val="8"/>
      <color theme="0" tint="-0.499984740745262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theme="1"/>
      <name val="Arial"/>
      <family val="2"/>
      <charset val="204"/>
    </font>
    <font>
      <i/>
      <sz val="8"/>
      <color theme="0" tint="-0.499984740745262"/>
      <name val="Arial"/>
      <family val="2"/>
      <charset val="204"/>
    </font>
    <font>
      <b/>
      <sz val="8"/>
      <color theme="1" tint="0.499984740745262"/>
      <name val="Arial"/>
      <family val="2"/>
      <charset val="204"/>
    </font>
    <font>
      <b/>
      <sz val="8"/>
      <color theme="0" tint="-0.499984740745262"/>
      <name val="Arial"/>
      <family val="2"/>
      <charset val="204"/>
    </font>
    <font>
      <sz val="8"/>
      <color theme="6" tint="-0.499984740745262"/>
      <name val="Arial"/>
      <family val="2"/>
      <charset val="204"/>
    </font>
    <font>
      <b/>
      <sz val="10"/>
      <color theme="6" tint="-0.499984740745262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8"/>
      <color theme="6" tint="-0.499984740745262"/>
      <name val="Arial"/>
      <family val="2"/>
      <charset val="204"/>
    </font>
    <font>
      <b/>
      <sz val="8"/>
      <color theme="3"/>
      <name val="Arial"/>
      <family val="2"/>
      <charset val="204"/>
    </font>
    <font>
      <sz val="8"/>
      <color indexed="81"/>
      <name val="Tahoma"/>
      <family val="2"/>
      <charset val="204"/>
    </font>
    <font>
      <sz val="8"/>
      <color theme="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0" tint="-0.14999847407452621"/>
      <name val="Arial"/>
      <family val="2"/>
      <charset val="204"/>
    </font>
    <font>
      <b/>
      <sz val="16"/>
      <color theme="1" tint="0.34998626667073579"/>
      <name val="Arial"/>
      <family val="2"/>
      <charset val="204"/>
    </font>
    <font>
      <i/>
      <sz val="16"/>
      <color theme="1" tint="0.34998626667073579"/>
      <name val="Arial"/>
      <family val="2"/>
      <charset val="204"/>
    </font>
    <font>
      <b/>
      <sz val="20"/>
      <color theme="1" tint="0.34998626667073579"/>
      <name val="Arial"/>
      <family val="2"/>
      <charset val="204"/>
    </font>
    <font>
      <b/>
      <sz val="10"/>
      <color theme="1" tint="0.34998626667073579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23"/>
      <name val="Arial"/>
      <family val="2"/>
      <charset val="204"/>
    </font>
    <font>
      <b/>
      <i/>
      <sz val="8"/>
      <color theme="0" tint="-0.499984740745262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theme="0"/>
      <name val="Arial"/>
      <family val="2"/>
      <charset val="204"/>
    </font>
    <font>
      <sz val="7"/>
      <color theme="1" tint="0.499984740745262"/>
      <name val="Arial"/>
      <family val="2"/>
      <charset val="204"/>
    </font>
    <font>
      <b/>
      <sz val="8"/>
      <color theme="5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i/>
      <sz val="8"/>
      <color rgb="FFFFFFFF"/>
      <name val="Arial"/>
      <family val="2"/>
      <charset val="204"/>
    </font>
    <font>
      <i/>
      <sz val="8"/>
      <color indexed="23"/>
      <name val="Arial"/>
      <family val="2"/>
      <charset val="204"/>
    </font>
    <font>
      <i/>
      <sz val="8"/>
      <color indexed="8"/>
      <name val="Arial"/>
      <family val="2"/>
      <charset val="204"/>
    </font>
    <font>
      <i/>
      <sz val="8"/>
      <color indexed="10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color indexed="23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sz val="7"/>
      <color indexed="23"/>
      <name val="Arial"/>
      <family val="2"/>
      <charset val="204"/>
    </font>
    <font>
      <b/>
      <i/>
      <sz val="8"/>
      <color indexed="23"/>
      <name val="Arial"/>
      <family val="2"/>
      <charset val="204"/>
    </font>
    <font>
      <sz val="7.5"/>
      <color indexed="8"/>
      <name val="Arial"/>
      <family val="2"/>
      <charset val="204"/>
    </font>
    <font>
      <b/>
      <sz val="7.5"/>
      <color indexed="8"/>
      <name val="Arial"/>
      <family val="2"/>
      <charset val="204"/>
    </font>
    <font>
      <b/>
      <i/>
      <sz val="7.5"/>
      <color indexed="8"/>
      <name val="Arial"/>
      <family val="2"/>
      <charset val="204"/>
    </font>
    <font>
      <i/>
      <sz val="7.5"/>
      <color indexed="8"/>
      <name val="Arial"/>
      <family val="2"/>
      <charset val="204"/>
    </font>
    <font>
      <sz val="8"/>
      <color theme="10"/>
      <name val="Arial"/>
      <family val="2"/>
      <charset val="204"/>
    </font>
    <font>
      <b/>
      <sz val="8"/>
      <color theme="2" tint="-0.749992370372631"/>
      <name val="Arial"/>
      <family val="2"/>
      <charset val="204"/>
    </font>
    <font>
      <b/>
      <sz val="8"/>
      <color rgb="FFC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8D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E5D46"/>
        <bgColor indexed="64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DDDDD"/>
      </left>
      <right/>
      <top/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23" fillId="0" borderId="0"/>
    <xf numFmtId="165" fontId="7" fillId="0" borderId="0" applyFont="0" applyFill="0" applyBorder="0" applyAlignment="0" applyProtection="0"/>
  </cellStyleXfs>
  <cellXfs count="1034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centerContinuous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2" fillId="0" borderId="0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9" fontId="1" fillId="0" borderId="0" xfId="0" applyNumberFormat="1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0" fontId="1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9" fontId="8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167" fontId="1" fillId="0" borderId="0" xfId="0" applyNumberFormat="1" applyFont="1"/>
    <xf numFmtId="0" fontId="10" fillId="0" borderId="0" xfId="0" applyFont="1" applyAlignment="1">
      <alignment horizontal="center"/>
    </xf>
    <xf numFmtId="168" fontId="1" fillId="0" borderId="0" xfId="0" applyNumberFormat="1" applyFont="1"/>
    <xf numFmtId="167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167" fontId="1" fillId="0" borderId="0" xfId="0" applyNumberFormat="1" applyFont="1" applyFill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6" fillId="0" borderId="0" xfId="0" applyFont="1" applyFill="1"/>
    <xf numFmtId="0" fontId="1" fillId="0" borderId="0" xfId="0" applyFont="1" applyAlignment="1">
      <alignment horizontal="left" indent="1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 indent="1"/>
    </xf>
    <xf numFmtId="167" fontId="1" fillId="0" borderId="0" xfId="0" applyNumberFormat="1" applyFont="1" applyBorder="1"/>
    <xf numFmtId="168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7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8" fillId="0" borderId="0" xfId="0" applyFont="1" applyFill="1" applyBorder="1"/>
    <xf numFmtId="0" fontId="6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/>
    </xf>
    <xf numFmtId="0" fontId="2" fillId="0" borderId="2" xfId="0" applyFont="1" applyBorder="1"/>
    <xf numFmtId="3" fontId="4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3" fontId="1" fillId="0" borderId="0" xfId="0" applyNumberFormat="1" applyFont="1"/>
    <xf numFmtId="0" fontId="2" fillId="0" borderId="0" xfId="0" applyFont="1" applyFill="1" applyAlignment="1">
      <alignment horizontal="left" wrapText="1" indent="1"/>
    </xf>
    <xf numFmtId="3" fontId="8" fillId="0" borderId="0" xfId="0" applyNumberFormat="1" applyFont="1" applyBorder="1"/>
    <xf numFmtId="3" fontId="6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/>
    <xf numFmtId="0" fontId="1" fillId="0" borderId="8" xfId="0" applyFont="1" applyBorder="1"/>
    <xf numFmtId="3" fontId="1" fillId="0" borderId="8" xfId="0" applyNumberFormat="1" applyFont="1" applyBorder="1"/>
    <xf numFmtId="3" fontId="1" fillId="0" borderId="0" xfId="0" applyNumberFormat="1" applyFont="1" applyFill="1"/>
    <xf numFmtId="0" fontId="8" fillId="0" borderId="1" xfId="0" applyFont="1" applyBorder="1"/>
    <xf numFmtId="0" fontId="8" fillId="0" borderId="0" xfId="0" applyFont="1" applyBorder="1"/>
    <xf numFmtId="0" fontId="1" fillId="0" borderId="0" xfId="0" applyFont="1" applyFill="1" applyBorder="1" applyAlignment="1">
      <alignment horizontal="left" indent="1"/>
    </xf>
    <xf numFmtId="3" fontId="4" fillId="0" borderId="0" xfId="0" applyNumberFormat="1" applyFont="1" applyFill="1" applyAlignment="1">
      <alignment horizontal="right"/>
    </xf>
    <xf numFmtId="167" fontId="4" fillId="0" borderId="0" xfId="0" applyNumberFormat="1" applyFont="1" applyFill="1" applyAlignment="1">
      <alignment horizontal="right"/>
    </xf>
    <xf numFmtId="0" fontId="8" fillId="0" borderId="0" xfId="0" applyFont="1" applyFill="1"/>
    <xf numFmtId="0" fontId="4" fillId="0" borderId="0" xfId="0" applyFont="1" applyFill="1" applyBorder="1" applyAlignment="1">
      <alignment horizontal="left" indent="1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11" fillId="0" borderId="0" xfId="0" applyNumberFormat="1" applyFont="1" applyBorder="1"/>
    <xf numFmtId="0" fontId="2" fillId="0" borderId="0" xfId="0" applyFont="1" applyFill="1" applyBorder="1" applyAlignment="1">
      <alignment horizontal="left" indent="1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8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left" indent="1"/>
    </xf>
    <xf numFmtId="3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9" fontId="1" fillId="0" borderId="0" xfId="0" applyNumberFormat="1" applyFont="1" applyFill="1"/>
    <xf numFmtId="0" fontId="4" fillId="0" borderId="0" xfId="0" applyFont="1" applyFill="1" applyAlignment="1">
      <alignment horizontal="left" indent="1"/>
    </xf>
    <xf numFmtId="3" fontId="4" fillId="0" borderId="0" xfId="0" applyNumberFormat="1" applyFont="1"/>
    <xf numFmtId="3" fontId="4" fillId="0" borderId="0" xfId="0" applyNumberFormat="1" applyFont="1" applyFill="1"/>
    <xf numFmtId="3" fontId="11" fillId="0" borderId="0" xfId="0" applyNumberFormat="1" applyFont="1"/>
    <xf numFmtId="0" fontId="2" fillId="0" borderId="0" xfId="0" applyFont="1" applyFill="1" applyAlignment="1">
      <alignment horizontal="left" indent="1"/>
    </xf>
    <xf numFmtId="3" fontId="2" fillId="0" borderId="0" xfId="0" applyNumberFormat="1" applyFont="1" applyFill="1"/>
    <xf numFmtId="0" fontId="3" fillId="0" borderId="0" xfId="0" applyFont="1"/>
    <xf numFmtId="0" fontId="3" fillId="0" borderId="0" xfId="0" applyFont="1" applyBorder="1"/>
    <xf numFmtId="9" fontId="2" fillId="0" borderId="0" xfId="0" applyNumberFormat="1" applyFont="1" applyFill="1"/>
    <xf numFmtId="0" fontId="3" fillId="0" borderId="0" xfId="0" applyFont="1" applyFill="1" applyBorder="1"/>
    <xf numFmtId="2" fontId="2" fillId="0" borderId="0" xfId="0" applyNumberFormat="1" applyFont="1" applyFill="1"/>
    <xf numFmtId="3" fontId="2" fillId="0" borderId="0" xfId="0" applyNumberFormat="1" applyFont="1"/>
    <xf numFmtId="3" fontId="4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3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3" fontId="2" fillId="0" borderId="0" xfId="0" applyNumberFormat="1" applyFont="1" applyFill="1" applyBorder="1" applyAlignment="1">
      <alignment horizontal="right"/>
    </xf>
    <xf numFmtId="9" fontId="2" fillId="0" borderId="0" xfId="0" applyNumberFormat="1" applyFont="1" applyFill="1" applyBorder="1"/>
    <xf numFmtId="2" fontId="2" fillId="0" borderId="0" xfId="0" applyNumberFormat="1" applyFont="1" applyFill="1" applyBorder="1"/>
    <xf numFmtId="3" fontId="2" fillId="0" borderId="0" xfId="0" applyNumberFormat="1" applyFont="1" applyFill="1" applyBorder="1"/>
    <xf numFmtId="2" fontId="1" fillId="0" borderId="0" xfId="0" applyNumberFormat="1" applyFont="1" applyFill="1"/>
    <xf numFmtId="3" fontId="1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1" fillId="0" borderId="0" xfId="0" applyFont="1" applyFill="1" applyAlignment="1">
      <alignment horizontal="left" indent="2"/>
    </xf>
    <xf numFmtId="0" fontId="6" fillId="0" borderId="0" xfId="0" applyFont="1" applyFill="1" applyBorder="1"/>
    <xf numFmtId="3" fontId="6" fillId="0" borderId="0" xfId="0" applyNumberFormat="1" applyFont="1" applyFill="1" applyBorder="1"/>
    <xf numFmtId="3" fontId="12" fillId="0" borderId="0" xfId="0" applyNumberFormat="1" applyFont="1" applyBorder="1"/>
    <xf numFmtId="0" fontId="8" fillId="0" borderId="0" xfId="0" applyFont="1" applyFill="1" applyBorder="1" applyAlignment="1">
      <alignment horizontal="left" indent="1"/>
    </xf>
    <xf numFmtId="0" fontId="3" fillId="0" borderId="0" xfId="0" applyFont="1" applyAlignment="1">
      <alignment horizontal="center"/>
    </xf>
    <xf numFmtId="3" fontId="8" fillId="0" borderId="0" xfId="0" applyNumberFormat="1" applyFont="1" applyFill="1" applyBorder="1"/>
    <xf numFmtId="3" fontId="1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3" fontId="12" fillId="0" borderId="0" xfId="0" applyNumberFormat="1" applyFont="1"/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3" fontId="3" fillId="0" borderId="0" xfId="0" applyNumberFormat="1" applyFont="1" applyFill="1"/>
    <xf numFmtId="3" fontId="5" fillId="0" borderId="0" xfId="0" applyNumberFormat="1" applyFont="1" applyFill="1"/>
    <xf numFmtId="3" fontId="5" fillId="0" borderId="0" xfId="0" applyNumberFormat="1" applyFont="1"/>
    <xf numFmtId="3" fontId="13" fillId="0" borderId="0" xfId="0" applyNumberFormat="1" applyFont="1"/>
    <xf numFmtId="0" fontId="6" fillId="0" borderId="0" xfId="0" applyFont="1" applyBorder="1"/>
    <xf numFmtId="0" fontId="1" fillId="0" borderId="0" xfId="0" applyFont="1" applyAlignment="1">
      <alignment horizontal="left" wrapText="1" indent="1"/>
    </xf>
    <xf numFmtId="3" fontId="2" fillId="0" borderId="0" xfId="0" applyNumberFormat="1" applyFont="1" applyBorder="1"/>
    <xf numFmtId="0" fontId="8" fillId="0" borderId="0" xfId="0" applyFont="1" applyAlignment="1">
      <alignment horizontal="left" indent="2"/>
    </xf>
    <xf numFmtId="2" fontId="8" fillId="0" borderId="0" xfId="0" applyNumberFormat="1" applyFont="1" applyAlignment="1">
      <alignment horizontal="right"/>
    </xf>
    <xf numFmtId="3" fontId="1" fillId="0" borderId="0" xfId="0" applyNumberFormat="1" applyFont="1" applyBorder="1"/>
    <xf numFmtId="0" fontId="14" fillId="0" borderId="0" xfId="0" applyFont="1" applyBorder="1"/>
    <xf numFmtId="3" fontId="6" fillId="0" borderId="0" xfId="0" applyNumberFormat="1" applyFont="1" applyBorder="1"/>
    <xf numFmtId="3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3" fontId="1" fillId="0" borderId="1" xfId="0" applyNumberFormat="1" applyFont="1" applyBorder="1"/>
    <xf numFmtId="0" fontId="2" fillId="0" borderId="0" xfId="0" applyFont="1" applyAlignment="1"/>
    <xf numFmtId="0" fontId="4" fillId="0" borderId="2" xfId="0" applyFont="1" applyBorder="1" applyAlignment="1">
      <alignment horizontal="center"/>
    </xf>
    <xf numFmtId="3" fontId="6" fillId="0" borderId="2" xfId="0" applyNumberFormat="1" applyFont="1" applyBorder="1"/>
    <xf numFmtId="3" fontId="12" fillId="0" borderId="2" xfId="0" applyNumberFormat="1" applyFont="1" applyBorder="1"/>
    <xf numFmtId="0" fontId="14" fillId="0" borderId="0" xfId="0" applyFont="1"/>
    <xf numFmtId="0" fontId="4" fillId="0" borderId="1" xfId="0" applyFont="1" applyBorder="1" applyAlignment="1">
      <alignment horizontal="center"/>
    </xf>
    <xf numFmtId="3" fontId="6" fillId="0" borderId="1" xfId="0" applyNumberFormat="1" applyFont="1" applyBorder="1"/>
    <xf numFmtId="9" fontId="6" fillId="0" borderId="0" xfId="1" applyFont="1" applyAlignment="1">
      <alignment horizontal="right"/>
    </xf>
    <xf numFmtId="0" fontId="2" fillId="0" borderId="10" xfId="0" applyFont="1" applyBorder="1"/>
    <xf numFmtId="0" fontId="1" fillId="0" borderId="10" xfId="0" applyFont="1" applyBorder="1"/>
    <xf numFmtId="167" fontId="1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7" fontId="10" fillId="0" borderId="0" xfId="1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 applyBorder="1" applyAlignment="1">
      <alignment horizontal="center"/>
    </xf>
    <xf numFmtId="167" fontId="4" fillId="0" borderId="0" xfId="1" applyNumberFormat="1" applyFont="1" applyAlignment="1">
      <alignment horizontal="center"/>
    </xf>
    <xf numFmtId="170" fontId="10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/>
    <xf numFmtId="169" fontId="1" fillId="0" borderId="0" xfId="0" applyNumberFormat="1" applyFont="1"/>
    <xf numFmtId="170" fontId="4" fillId="0" borderId="0" xfId="0" applyNumberFormat="1" applyFont="1" applyAlignment="1">
      <alignment horizontal="center"/>
    </xf>
    <xf numFmtId="169" fontId="8" fillId="0" borderId="0" xfId="0" applyNumberFormat="1" applyFont="1"/>
    <xf numFmtId="3" fontId="10" fillId="0" borderId="0" xfId="0" applyNumberFormat="1" applyFont="1" applyBorder="1" applyAlignment="1">
      <alignment horizontal="center" vertical="center"/>
    </xf>
    <xf numFmtId="0" fontId="1" fillId="0" borderId="8" xfId="0" applyFont="1" applyFill="1" applyBorder="1"/>
    <xf numFmtId="0" fontId="1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indent="1"/>
    </xf>
    <xf numFmtId="169" fontId="6" fillId="0" borderId="0" xfId="0" applyNumberFormat="1" applyFont="1" applyBorder="1" applyAlignment="1">
      <alignment horizontal="right"/>
    </xf>
    <xf numFmtId="0" fontId="1" fillId="0" borderId="0" xfId="2"/>
    <xf numFmtId="0" fontId="1" fillId="0" borderId="0" xfId="2" applyAlignment="1">
      <alignment horizontal="center"/>
    </xf>
    <xf numFmtId="0" fontId="16" fillId="0" borderId="0" xfId="2" applyFont="1"/>
    <xf numFmtId="0" fontId="16" fillId="0" borderId="0" xfId="2" applyFont="1" applyAlignment="1">
      <alignment wrapText="1"/>
    </xf>
    <xf numFmtId="0" fontId="1" fillId="0" borderId="0" xfId="2" applyAlignment="1">
      <alignment vertical="top"/>
    </xf>
    <xf numFmtId="0" fontId="16" fillId="0" borderId="0" xfId="2" applyFont="1" applyAlignment="1">
      <alignment vertical="top"/>
    </xf>
    <xf numFmtId="0" fontId="19" fillId="0" borderId="0" xfId="2" applyFont="1" applyAlignment="1">
      <alignment wrapText="1"/>
    </xf>
    <xf numFmtId="0" fontId="19" fillId="0" borderId="0" xfId="2" applyFont="1"/>
    <xf numFmtId="0" fontId="20" fillId="0" borderId="0" xfId="2" applyFont="1"/>
    <xf numFmtId="0" fontId="20" fillId="0" borderId="0" xfId="2" applyFont="1" applyAlignment="1">
      <alignment wrapText="1"/>
    </xf>
    <xf numFmtId="0" fontId="1" fillId="0" borderId="0" xfId="2" applyAlignment="1">
      <alignment wrapTex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0" fillId="0" borderId="0" xfId="0" applyFill="1" applyBorder="1"/>
    <xf numFmtId="167" fontId="1" fillId="0" borderId="0" xfId="1" applyNumberFormat="1" applyFont="1" applyBorder="1"/>
    <xf numFmtId="4" fontId="4" fillId="0" borderId="0" xfId="1" applyNumberFormat="1" applyFont="1" applyAlignment="1">
      <alignment horizontal="center"/>
    </xf>
    <xf numFmtId="3" fontId="1" fillId="0" borderId="0" xfId="0" applyNumberFormat="1" applyFont="1" applyBorder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8" fillId="0" borderId="0" xfId="0" applyNumberFormat="1" applyFont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1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9" fontId="3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 indent="1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9" fontId="6" fillId="0" borderId="0" xfId="1" applyFont="1" applyBorder="1" applyAlignment="1">
      <alignment horizontal="right"/>
    </xf>
    <xf numFmtId="167" fontId="1" fillId="0" borderId="0" xfId="0" applyNumberFormat="1" applyFont="1" applyBorder="1" applyAlignment="1">
      <alignment horizontal="right"/>
    </xf>
    <xf numFmtId="167" fontId="1" fillId="0" borderId="0" xfId="1" applyNumberFormat="1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4" fontId="1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/>
    </xf>
    <xf numFmtId="9" fontId="1" fillId="0" borderId="0" xfId="0" applyNumberFormat="1" applyFont="1"/>
    <xf numFmtId="167" fontId="1" fillId="0" borderId="0" xfId="1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10" fillId="0" borderId="0" xfId="0" applyFont="1" applyBorder="1" applyAlignment="1">
      <alignment horizontal="center"/>
    </xf>
    <xf numFmtId="170" fontId="6" fillId="0" borderId="0" xfId="0" applyNumberFormat="1" applyFont="1" applyBorder="1" applyAlignment="1">
      <alignment horizontal="right"/>
    </xf>
    <xf numFmtId="0" fontId="1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 indent="2"/>
    </xf>
    <xf numFmtId="0" fontId="6" fillId="0" borderId="0" xfId="0" applyFont="1" applyAlignment="1">
      <alignment horizontal="left" wrapText="1"/>
    </xf>
    <xf numFmtId="0" fontId="12" fillId="0" borderId="0" xfId="0" applyFont="1"/>
    <xf numFmtId="9" fontId="6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>
      <alignment horizontal="left" vertical="center" indent="3"/>
    </xf>
    <xf numFmtId="0" fontId="6" fillId="0" borderId="0" xfId="0" applyNumberFormat="1" applyFont="1" applyFill="1" applyBorder="1" applyAlignment="1">
      <alignment horizontal="left" vertical="center" indent="3"/>
    </xf>
    <xf numFmtId="0" fontId="1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center" indent="1"/>
    </xf>
    <xf numFmtId="9" fontId="3" fillId="0" borderId="0" xfId="0" applyNumberFormat="1" applyFont="1" applyAlignment="1">
      <alignment horizontal="center"/>
    </xf>
    <xf numFmtId="167" fontId="1" fillId="0" borderId="0" xfId="0" applyNumberFormat="1" applyFont="1" applyFill="1" applyProtection="1"/>
    <xf numFmtId="0" fontId="6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9" fontId="1" fillId="0" borderId="0" xfId="1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9" fontId="1" fillId="0" borderId="0" xfId="1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indent="1"/>
    </xf>
    <xf numFmtId="4" fontId="1" fillId="0" borderId="0" xfId="0" applyNumberFormat="1" applyFont="1" applyFill="1" applyBorder="1"/>
    <xf numFmtId="0" fontId="6" fillId="0" borderId="0" xfId="0" applyFont="1" applyFill="1" applyBorder="1" applyAlignment="1"/>
    <xf numFmtId="0" fontId="1" fillId="0" borderId="0" xfId="0" applyFont="1" applyFill="1" applyAlignment="1">
      <alignment horizontal="center" wrapText="1"/>
    </xf>
    <xf numFmtId="3" fontId="1" fillId="0" borderId="0" xfId="0" applyNumberFormat="1" applyFont="1" applyFill="1" applyAlignment="1">
      <alignment horizontal="center" wrapText="1"/>
    </xf>
    <xf numFmtId="0" fontId="1" fillId="0" borderId="0" xfId="0" applyFont="1" applyFill="1" applyBorder="1" applyProtection="1">
      <protection locked="0"/>
    </xf>
    <xf numFmtId="9" fontId="1" fillId="0" borderId="0" xfId="1" applyFont="1" applyFill="1" applyAlignment="1">
      <alignment horizontal="center"/>
    </xf>
    <xf numFmtId="170" fontId="1" fillId="0" borderId="0" xfId="0" applyNumberFormat="1" applyFont="1" applyFill="1"/>
    <xf numFmtId="0" fontId="1" fillId="0" borderId="0" xfId="0" applyFont="1" applyFill="1" applyAlignment="1"/>
    <xf numFmtId="0" fontId="22" fillId="3" borderId="0" xfId="0" applyFont="1" applyFill="1" applyAlignment="1">
      <alignment horizontal="center"/>
    </xf>
    <xf numFmtId="0" fontId="22" fillId="3" borderId="0" xfId="0" applyFont="1" applyFill="1" applyBorder="1" applyAlignment="1">
      <alignment horizontal="center"/>
    </xf>
    <xf numFmtId="3" fontId="1" fillId="4" borderId="8" xfId="0" applyNumberFormat="1" applyFont="1" applyFill="1" applyBorder="1" applyAlignment="1">
      <alignment horizontal="center"/>
    </xf>
    <xf numFmtId="167" fontId="1" fillId="4" borderId="8" xfId="1" applyNumberFormat="1" applyFont="1" applyFill="1" applyBorder="1" applyAlignment="1">
      <alignment horizontal="center"/>
    </xf>
    <xf numFmtId="170" fontId="1" fillId="4" borderId="12" xfId="0" applyNumberFormat="1" applyFont="1" applyFill="1" applyBorder="1" applyAlignment="1">
      <alignment horizontal="center"/>
    </xf>
    <xf numFmtId="3" fontId="1" fillId="4" borderId="0" xfId="0" applyNumberFormat="1" applyFont="1" applyFill="1" applyBorder="1" applyAlignment="1">
      <alignment horizontal="center"/>
    </xf>
    <xf numFmtId="167" fontId="1" fillId="4" borderId="0" xfId="1" applyNumberFormat="1" applyFont="1" applyFill="1" applyBorder="1" applyAlignment="1">
      <alignment horizontal="center"/>
    </xf>
    <xf numFmtId="170" fontId="1" fillId="4" borderId="3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167" fontId="1" fillId="4" borderId="1" xfId="1" applyNumberFormat="1" applyFont="1" applyFill="1" applyBorder="1" applyAlignment="1">
      <alignment horizontal="center"/>
    </xf>
    <xf numFmtId="170" fontId="1" fillId="4" borderId="7" xfId="0" applyNumberFormat="1" applyFont="1" applyFill="1" applyBorder="1" applyAlignment="1">
      <alignment horizontal="center"/>
    </xf>
    <xf numFmtId="9" fontId="1" fillId="2" borderId="0" xfId="1" applyFont="1" applyFill="1" applyAlignment="1">
      <alignment horizontal="center"/>
    </xf>
    <xf numFmtId="9" fontId="1" fillId="2" borderId="11" xfId="1" applyFont="1" applyFill="1" applyBorder="1" applyAlignment="1">
      <alignment horizontal="center"/>
    </xf>
    <xf numFmtId="9" fontId="1" fillId="2" borderId="13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left" indent="2"/>
    </xf>
    <xf numFmtId="0" fontId="10" fillId="0" borderId="0" xfId="0" applyFont="1" applyAlignment="1">
      <alignment horizontal="left"/>
    </xf>
    <xf numFmtId="169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1" fillId="0" borderId="0" xfId="4" applyFont="1" applyFill="1"/>
    <xf numFmtId="0" fontId="1" fillId="0" borderId="0" xfId="4" applyFont="1"/>
    <xf numFmtId="0" fontId="2" fillId="0" borderId="0" xfId="4" applyFont="1"/>
    <xf numFmtId="0" fontId="1" fillId="0" borderId="0" xfId="4" applyFont="1" applyFill="1" applyBorder="1"/>
    <xf numFmtId="0" fontId="1" fillId="0" borderId="0" xfId="4" applyFont="1" applyAlignment="1">
      <alignment horizontal="left"/>
    </xf>
    <xf numFmtId="0" fontId="2" fillId="0" borderId="0" xfId="4" applyFont="1" applyBorder="1"/>
    <xf numFmtId="0" fontId="8" fillId="0" borderId="0" xfId="4" applyFont="1" applyFill="1" applyBorder="1"/>
    <xf numFmtId="0" fontId="1" fillId="0" borderId="1" xfId="4" applyFont="1" applyBorder="1" applyAlignment="1">
      <alignment horizontal="left"/>
    </xf>
    <xf numFmtId="0" fontId="1" fillId="0" borderId="1" xfId="4" applyFont="1" applyBorder="1"/>
    <xf numFmtId="0" fontId="2" fillId="0" borderId="1" xfId="4" applyFont="1" applyBorder="1"/>
    <xf numFmtId="0" fontId="1" fillId="0" borderId="0" xfId="4" applyFont="1" applyAlignment="1">
      <alignment horizontal="left" indent="1"/>
    </xf>
    <xf numFmtId="0" fontId="2" fillId="0" borderId="0" xfId="4" applyFont="1" applyFill="1" applyAlignment="1">
      <alignment horizontal="left" indent="2"/>
    </xf>
    <xf numFmtId="9" fontId="1" fillId="0" borderId="0" xfId="1" applyFont="1" applyAlignment="1">
      <alignment horizontal="center"/>
    </xf>
    <xf numFmtId="14" fontId="2" fillId="0" borderId="0" xfId="4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2" applyBorder="1"/>
    <xf numFmtId="0" fontId="24" fillId="0" borderId="0" xfId="2" applyFont="1"/>
    <xf numFmtId="0" fontId="17" fillId="0" borderId="0" xfId="2" applyFont="1" applyBorder="1" applyAlignment="1">
      <alignment vertical="top" wrapText="1"/>
    </xf>
    <xf numFmtId="0" fontId="25" fillId="0" borderId="0" xfId="2" applyFont="1"/>
    <xf numFmtId="0" fontId="25" fillId="0" borderId="0" xfId="2" applyFont="1" applyAlignment="1">
      <alignment horizontal="left"/>
    </xf>
    <xf numFmtId="0" fontId="28" fillId="0" borderId="0" xfId="2" applyFont="1" applyBorder="1" applyAlignment="1">
      <alignment vertical="top"/>
    </xf>
    <xf numFmtId="0" fontId="28" fillId="0" borderId="0" xfId="2" applyFont="1" applyBorder="1" applyAlignment="1">
      <alignment vertical="top" wrapText="1"/>
    </xf>
    <xf numFmtId="0" fontId="1" fillId="5" borderId="0" xfId="0" applyFont="1" applyFill="1" applyProtection="1">
      <protection locked="0"/>
    </xf>
    <xf numFmtId="3" fontId="2" fillId="5" borderId="0" xfId="0" applyNumberFormat="1" applyFont="1" applyFill="1" applyAlignment="1" applyProtection="1">
      <alignment horizont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167" fontId="4" fillId="5" borderId="0" xfId="0" applyNumberFormat="1" applyFont="1" applyFill="1" applyProtection="1">
      <protection locked="0"/>
    </xf>
    <xf numFmtId="3" fontId="1" fillId="5" borderId="0" xfId="0" applyNumberFormat="1" applyFont="1" applyFill="1" applyAlignment="1" applyProtection="1">
      <alignment horizontal="center" vertical="center"/>
      <protection locked="0"/>
    </xf>
    <xf numFmtId="167" fontId="1" fillId="5" borderId="0" xfId="0" applyNumberFormat="1" applyFont="1" applyFill="1" applyProtection="1">
      <protection locked="0"/>
    </xf>
    <xf numFmtId="3" fontId="1" fillId="5" borderId="0" xfId="0" applyNumberFormat="1" applyFont="1" applyFill="1" applyAlignment="1" applyProtection="1">
      <alignment horizontal="left"/>
      <protection locked="0"/>
    </xf>
    <xf numFmtId="166" fontId="1" fillId="5" borderId="0" xfId="0" applyNumberFormat="1" applyFont="1" applyFill="1" applyAlignment="1" applyProtection="1">
      <alignment horizontal="center"/>
      <protection locked="0"/>
    </xf>
    <xf numFmtId="166" fontId="1" fillId="5" borderId="0" xfId="0" applyNumberFormat="1" applyFont="1" applyFill="1" applyProtection="1">
      <protection locked="0"/>
    </xf>
    <xf numFmtId="3" fontId="1" fillId="5" borderId="0" xfId="0" applyNumberFormat="1" applyFont="1" applyFill="1" applyAlignment="1" applyProtection="1">
      <alignment horizontal="center"/>
      <protection locked="0"/>
    </xf>
    <xf numFmtId="167" fontId="1" fillId="5" borderId="0" xfId="0" applyNumberFormat="1" applyFont="1" applyFill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70" fontId="1" fillId="5" borderId="0" xfId="0" applyNumberFormat="1" applyFont="1" applyFill="1" applyProtection="1">
      <protection locked="0"/>
    </xf>
    <xf numFmtId="167" fontId="6" fillId="5" borderId="0" xfId="0" applyNumberFormat="1" applyFont="1" applyFill="1" applyAlignment="1" applyProtection="1">
      <alignment horizontal="center"/>
      <protection locked="0"/>
    </xf>
    <xf numFmtId="10" fontId="1" fillId="5" borderId="0" xfId="0" applyNumberFormat="1" applyFont="1" applyFill="1" applyAlignment="1" applyProtection="1">
      <alignment horizontal="center"/>
      <protection locked="0"/>
    </xf>
    <xf numFmtId="3" fontId="4" fillId="5" borderId="0" xfId="0" applyNumberFormat="1" applyFont="1" applyFill="1" applyAlignment="1" applyProtection="1">
      <alignment horizontal="right"/>
      <protection locked="0"/>
    </xf>
    <xf numFmtId="3" fontId="4" fillId="5" borderId="0" xfId="0" applyNumberFormat="1" applyFont="1" applyFill="1" applyAlignment="1" applyProtection="1">
      <alignment horizontal="center"/>
      <protection locked="0"/>
    </xf>
    <xf numFmtId="3" fontId="1" fillId="5" borderId="0" xfId="0" applyNumberFormat="1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3" fontId="1" fillId="5" borderId="0" xfId="0" applyNumberFormat="1" applyFont="1" applyFill="1" applyBorder="1" applyAlignment="1" applyProtection="1">
      <alignment horizontal="center"/>
      <protection locked="0"/>
    </xf>
    <xf numFmtId="167" fontId="4" fillId="5" borderId="0" xfId="0" applyNumberFormat="1" applyFont="1" applyFill="1" applyAlignment="1" applyProtection="1">
      <alignment horizontal="center"/>
      <protection locked="0"/>
    </xf>
    <xf numFmtId="167" fontId="4" fillId="5" borderId="0" xfId="0" applyNumberFormat="1" applyFont="1" applyFill="1" applyAlignment="1" applyProtection="1">
      <alignment horizontal="right"/>
      <protection locked="0"/>
    </xf>
    <xf numFmtId="3" fontId="2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Border="1" applyProtection="1">
      <protection locked="0"/>
    </xf>
    <xf numFmtId="9" fontId="1" fillId="5" borderId="0" xfId="0" applyNumberFormat="1" applyFont="1" applyFill="1" applyProtection="1">
      <protection locked="0"/>
    </xf>
    <xf numFmtId="3" fontId="2" fillId="5" borderId="0" xfId="0" applyNumberFormat="1" applyFont="1" applyFill="1" applyProtection="1">
      <protection locked="0"/>
    </xf>
    <xf numFmtId="3" fontId="4" fillId="5" borderId="0" xfId="0" applyNumberFormat="1" applyFont="1" applyFill="1" applyBorder="1" applyAlignment="1" applyProtection="1">
      <alignment horizontal="center"/>
      <protection locked="0"/>
    </xf>
    <xf numFmtId="167" fontId="2" fillId="5" borderId="0" xfId="0" applyNumberFormat="1" applyFont="1" applyFill="1" applyProtection="1">
      <protection locked="0"/>
    </xf>
    <xf numFmtId="9" fontId="2" fillId="5" borderId="0" xfId="0" applyNumberFormat="1" applyFont="1" applyFill="1" applyProtection="1">
      <protection locked="0"/>
    </xf>
    <xf numFmtId="4" fontId="1" fillId="5" borderId="0" xfId="0" applyNumberFormat="1" applyFont="1" applyFill="1" applyProtection="1">
      <protection locked="0"/>
    </xf>
    <xf numFmtId="9" fontId="2" fillId="5" borderId="0" xfId="0" applyNumberFormat="1" applyFont="1" applyFill="1" applyBorder="1" applyProtection="1">
      <protection locked="0"/>
    </xf>
    <xf numFmtId="167" fontId="2" fillId="5" borderId="0" xfId="0" applyNumberFormat="1" applyFont="1" applyFill="1" applyBorder="1" applyProtection="1"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3" fontId="2" fillId="5" borderId="0" xfId="0" applyNumberFormat="1" applyFont="1" applyFill="1" applyAlignment="1" applyProtection="1">
      <alignment horizontal="center" vertical="center"/>
      <protection locked="0"/>
    </xf>
    <xf numFmtId="167" fontId="2" fillId="5" borderId="0" xfId="0" applyNumberFormat="1" applyFont="1" applyFill="1" applyAlignment="1" applyProtection="1">
      <alignment horizontal="center"/>
      <protection locked="0"/>
    </xf>
    <xf numFmtId="9" fontId="4" fillId="5" borderId="0" xfId="1" applyFont="1" applyFill="1" applyAlignment="1" applyProtection="1">
      <alignment horizontal="center"/>
      <protection locked="0"/>
    </xf>
    <xf numFmtId="0" fontId="1" fillId="4" borderId="0" xfId="0" applyFont="1" applyFill="1"/>
    <xf numFmtId="0" fontId="6" fillId="4" borderId="0" xfId="0" applyFont="1" applyFill="1" applyAlignment="1">
      <alignment vertical="center" wrapText="1"/>
    </xf>
    <xf numFmtId="4" fontId="1" fillId="0" borderId="0" xfId="0" applyNumberFormat="1" applyFont="1" applyAlignment="1">
      <alignment horizontal="center" wrapText="1"/>
    </xf>
    <xf numFmtId="4" fontId="1" fillId="4" borderId="8" xfId="1" applyNumberFormat="1" applyFont="1" applyFill="1" applyBorder="1" applyAlignment="1">
      <alignment horizontal="center" wrapText="1"/>
    </xf>
    <xf numFmtId="4" fontId="1" fillId="4" borderId="0" xfId="1" applyNumberFormat="1" applyFont="1" applyFill="1" applyBorder="1" applyAlignment="1">
      <alignment horizontal="center" wrapText="1"/>
    </xf>
    <xf numFmtId="4" fontId="1" fillId="4" borderId="1" xfId="1" applyNumberFormat="1" applyFont="1" applyFill="1" applyBorder="1" applyAlignment="1">
      <alignment horizontal="center" wrapText="1"/>
    </xf>
    <xf numFmtId="10" fontId="10" fillId="0" borderId="0" xfId="1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0" fontId="1" fillId="0" borderId="0" xfId="1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 wrapText="1"/>
    </xf>
    <xf numFmtId="0" fontId="1" fillId="4" borderId="11" xfId="0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horizontal="right" vertical="center" wrapText="1"/>
    </xf>
    <xf numFmtId="9" fontId="1" fillId="4" borderId="12" xfId="0" applyNumberFormat="1" applyFont="1" applyFill="1" applyBorder="1" applyAlignment="1">
      <alignment horizontal="center" vertical="center"/>
    </xf>
    <xf numFmtId="9" fontId="1" fillId="4" borderId="3" xfId="0" applyNumberFormat="1" applyFont="1" applyFill="1" applyBorder="1" applyAlignment="1">
      <alignment horizontal="center" vertical="center"/>
    </xf>
    <xf numFmtId="9" fontId="1" fillId="4" borderId="7" xfId="0" applyNumberFormat="1" applyFont="1" applyFill="1" applyBorder="1" applyAlignment="1">
      <alignment horizontal="center" vertical="center"/>
    </xf>
    <xf numFmtId="170" fontId="1" fillId="2" borderId="15" xfId="0" applyNumberFormat="1" applyFont="1" applyFill="1" applyBorder="1" applyAlignment="1">
      <alignment horizontal="center"/>
    </xf>
    <xf numFmtId="9" fontId="1" fillId="2" borderId="5" xfId="1" applyFont="1" applyFill="1" applyBorder="1" applyAlignment="1">
      <alignment horizontal="center"/>
    </xf>
    <xf numFmtId="170" fontId="1" fillId="2" borderId="5" xfId="0" applyNumberFormat="1" applyFont="1" applyFill="1" applyBorder="1" applyAlignment="1">
      <alignment horizontal="center"/>
    </xf>
    <xf numFmtId="167" fontId="1" fillId="2" borderId="6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29" fillId="0" borderId="0" xfId="0" applyFont="1"/>
    <xf numFmtId="0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indent="1"/>
    </xf>
    <xf numFmtId="0" fontId="13" fillId="0" borderId="0" xfId="0" applyFont="1" applyAlignment="1">
      <alignment horizontal="left" vertical="top" indent="1"/>
    </xf>
    <xf numFmtId="170" fontId="1" fillId="0" borderId="0" xfId="0" applyNumberFormat="1" applyFont="1" applyFill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30" fillId="0" borderId="0" xfId="0" applyNumberFormat="1" applyFont="1" applyBorder="1" applyAlignment="1">
      <alignment horizontal="left"/>
    </xf>
    <xf numFmtId="0" fontId="30" fillId="0" borderId="0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0" fontId="1" fillId="0" borderId="0" xfId="0" applyFont="1" applyAlignment="1">
      <alignment horizontal="left" wrapText="1" indent="2"/>
    </xf>
    <xf numFmtId="0" fontId="5" fillId="0" borderId="0" xfId="0" applyFont="1" applyFill="1" applyAlignment="1">
      <alignment horizontal="left" indent="2"/>
    </xf>
    <xf numFmtId="3" fontId="5" fillId="0" borderId="0" xfId="0" applyNumberFormat="1" applyFont="1" applyFill="1" applyBorder="1"/>
    <xf numFmtId="3" fontId="13" fillId="0" borderId="0" xfId="0" applyNumberFormat="1" applyFont="1" applyBorder="1"/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/>
    <xf numFmtId="3" fontId="15" fillId="0" borderId="0" xfId="0" applyNumberFormat="1" applyFont="1" applyBorder="1"/>
    <xf numFmtId="3" fontId="32" fillId="0" borderId="0" xfId="0" applyNumberFormat="1" applyFont="1" applyBorder="1"/>
    <xf numFmtId="0" fontId="8" fillId="0" borderId="0" xfId="0" applyFont="1" applyAlignment="1">
      <alignment horizontal="left" wrapText="1" indent="1"/>
    </xf>
    <xf numFmtId="172" fontId="1" fillId="0" borderId="0" xfId="0" applyNumberFormat="1" applyFont="1" applyBorder="1" applyAlignment="1">
      <alignment horizontal="right"/>
    </xf>
    <xf numFmtId="0" fontId="30" fillId="0" borderId="0" xfId="0" applyNumberFormat="1" applyFont="1" applyBorder="1" applyAlignment="1">
      <alignment horizontal="left" wrapText="1" indent="1"/>
    </xf>
    <xf numFmtId="0" fontId="33" fillId="0" borderId="0" xfId="0" applyNumberFormat="1" applyFont="1" applyBorder="1" applyAlignment="1">
      <alignment horizontal="left"/>
    </xf>
    <xf numFmtId="0" fontId="30" fillId="0" borderId="0" xfId="0" applyNumberFormat="1" applyFont="1" applyBorder="1" applyAlignment="1">
      <alignment horizontal="left" indent="1"/>
    </xf>
    <xf numFmtId="3" fontId="5" fillId="0" borderId="0" xfId="0" applyNumberFormat="1" applyFont="1" applyAlignment="1">
      <alignment horizontal="center"/>
    </xf>
    <xf numFmtId="173" fontId="2" fillId="0" borderId="0" xfId="4" applyNumberFormat="1" applyFont="1"/>
    <xf numFmtId="173" fontId="2" fillId="0" borderId="0" xfId="4" applyNumberFormat="1" applyFont="1" applyAlignment="1">
      <alignment horizontal="right"/>
    </xf>
    <xf numFmtId="10" fontId="5" fillId="0" borderId="0" xfId="1" applyNumberFormat="1" applyFont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Border="1" applyAlignment="1">
      <alignment horizontal="left" indent="2"/>
    </xf>
    <xf numFmtId="0" fontId="1" fillId="0" borderId="0" xfId="0" applyFont="1" applyFill="1" applyAlignment="1">
      <alignment vertical="center"/>
    </xf>
    <xf numFmtId="0" fontId="13" fillId="0" borderId="0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1"/>
    </xf>
    <xf numFmtId="167" fontId="2" fillId="0" borderId="0" xfId="1" applyNumberFormat="1" applyFont="1"/>
    <xf numFmtId="0" fontId="2" fillId="0" borderId="0" xfId="4" applyFont="1" applyFill="1" applyBorder="1" applyAlignment="1">
      <alignment horizontal="left"/>
    </xf>
    <xf numFmtId="0" fontId="2" fillId="0" borderId="0" xfId="4" applyFont="1" applyFill="1" applyBorder="1" applyAlignment="1">
      <alignment horizontal="left" wrapText="1"/>
    </xf>
    <xf numFmtId="14" fontId="2" fillId="0" borderId="0" xfId="4" applyNumberFormat="1" applyFont="1" applyAlignment="1">
      <alignment horizontal="left"/>
    </xf>
    <xf numFmtId="0" fontId="5" fillId="0" borderId="0" xfId="0" applyFont="1" applyFill="1" applyBorder="1" applyAlignment="1">
      <alignment horizontal="left" indent="1"/>
    </xf>
    <xf numFmtId="0" fontId="5" fillId="5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>
      <alignment horizontal="center"/>
    </xf>
    <xf numFmtId="3" fontId="5" fillId="5" borderId="0" xfId="0" applyNumberFormat="1" applyFont="1" applyFill="1" applyAlignment="1" applyProtection="1">
      <alignment horizontal="center"/>
      <protection locked="0"/>
    </xf>
    <xf numFmtId="167" fontId="4" fillId="5" borderId="0" xfId="1" applyNumberFormat="1" applyFont="1" applyFill="1" applyAlignment="1" applyProtection="1">
      <alignment horizontal="center"/>
      <protection locked="0"/>
    </xf>
    <xf numFmtId="0" fontId="4" fillId="5" borderId="0" xfId="0" applyNumberFormat="1" applyFont="1" applyFill="1" applyAlignment="1" applyProtection="1">
      <alignment horizontal="center"/>
      <protection locked="0"/>
    </xf>
    <xf numFmtId="0" fontId="2" fillId="5" borderId="0" xfId="0" applyNumberFormat="1" applyFont="1" applyFill="1" applyAlignment="1" applyProtection="1">
      <alignment horizontal="center"/>
      <protection locked="0"/>
    </xf>
    <xf numFmtId="0" fontId="35" fillId="0" borderId="0" xfId="0" applyFont="1" applyAlignment="1">
      <alignment horizontal="center" wrapText="1"/>
    </xf>
    <xf numFmtId="0" fontId="35" fillId="0" borderId="10" xfId="0" applyFont="1" applyBorder="1" applyAlignment="1">
      <alignment horizontal="center" wrapText="1"/>
    </xf>
    <xf numFmtId="0" fontId="35" fillId="0" borderId="0" xfId="0" applyFont="1" applyFill="1" applyAlignment="1">
      <alignment horizontal="center" wrapText="1"/>
    </xf>
    <xf numFmtId="2" fontId="5" fillId="0" borderId="0" xfId="1" applyNumberFormat="1" applyFont="1"/>
    <xf numFmtId="167" fontId="2" fillId="0" borderId="0" xfId="1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0" fontId="2" fillId="0" borderId="8" xfId="0" applyFont="1" applyBorder="1"/>
    <xf numFmtId="3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indent="2"/>
    </xf>
    <xf numFmtId="3" fontId="3" fillId="5" borderId="0" xfId="0" applyNumberFormat="1" applyFont="1" applyFill="1" applyAlignment="1" applyProtection="1">
      <alignment horizontal="right"/>
      <protection locked="0"/>
    </xf>
    <xf numFmtId="174" fontId="1" fillId="0" borderId="0" xfId="0" applyNumberFormat="1" applyFont="1" applyBorder="1" applyAlignment="1">
      <alignment horizontal="right"/>
    </xf>
    <xf numFmtId="3" fontId="1" fillId="0" borderId="0" xfId="0" applyNumberFormat="1" applyFont="1" applyFill="1" applyAlignment="1">
      <alignment horizontal="center"/>
    </xf>
    <xf numFmtId="167" fontId="1" fillId="0" borderId="0" xfId="1" applyNumberFormat="1" applyFont="1" applyFill="1" applyAlignment="1">
      <alignment horizontal="right"/>
    </xf>
    <xf numFmtId="169" fontId="1" fillId="0" borderId="0" xfId="0" applyNumberFormat="1" applyFont="1" applyFill="1" applyAlignment="1">
      <alignment horizontal="right"/>
    </xf>
    <xf numFmtId="167" fontId="1" fillId="0" borderId="0" xfId="1" applyNumberFormat="1" applyFont="1" applyFill="1" applyAlignment="1">
      <alignment horizontal="center"/>
    </xf>
    <xf numFmtId="0" fontId="6" fillId="6" borderId="0" xfId="0" applyFont="1" applyFill="1" applyBorder="1" applyProtection="1">
      <protection locked="0"/>
    </xf>
    <xf numFmtId="0" fontId="6" fillId="6" borderId="0" xfId="0" applyFont="1" applyFill="1" applyAlignment="1">
      <alignment horizontal="center" wrapText="1"/>
    </xf>
    <xf numFmtId="9" fontId="1" fillId="6" borderId="0" xfId="1" applyFont="1" applyFill="1" applyAlignment="1">
      <alignment horizontal="center"/>
    </xf>
    <xf numFmtId="0" fontId="6" fillId="6" borderId="0" xfId="0" applyFont="1" applyFill="1" applyAlignment="1">
      <alignment wrapText="1"/>
    </xf>
    <xf numFmtId="0" fontId="1" fillId="6" borderId="0" xfId="0" applyFont="1" applyFill="1"/>
    <xf numFmtId="0" fontId="6" fillId="6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5" borderId="0" xfId="0" applyFont="1" applyFill="1" applyBorder="1" applyAlignment="1" applyProtection="1">
      <alignment horizontal="center" vertical="center"/>
      <protection locked="0"/>
    </xf>
    <xf numFmtId="167" fontId="8" fillId="5" borderId="0" xfId="0" applyNumberFormat="1" applyFont="1" applyFill="1" applyBorder="1" applyAlignment="1" applyProtection="1">
      <alignment horizontal="center"/>
      <protection locked="0"/>
    </xf>
    <xf numFmtId="167" fontId="8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horizontal="left"/>
    </xf>
    <xf numFmtId="10" fontId="2" fillId="5" borderId="0" xfId="0" applyNumberFormat="1" applyFont="1" applyFill="1" applyAlignment="1" applyProtection="1">
      <alignment horizontal="center"/>
      <protection locked="0"/>
    </xf>
    <xf numFmtId="170" fontId="1" fillId="0" borderId="0" xfId="0" applyNumberFormat="1" applyFont="1" applyFill="1" applyAlignment="1">
      <alignment horizontal="center"/>
    </xf>
    <xf numFmtId="169" fontId="1" fillId="0" borderId="0" xfId="0" applyNumberFormat="1" applyFont="1" applyFill="1" applyAlignment="1">
      <alignment horizontal="center"/>
    </xf>
    <xf numFmtId="167" fontId="1" fillId="5" borderId="0" xfId="1" applyNumberFormat="1" applyFont="1" applyFill="1" applyProtection="1"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 indent="3"/>
    </xf>
    <xf numFmtId="3" fontId="1" fillId="5" borderId="0" xfId="1" applyNumberFormat="1" applyFont="1" applyFill="1" applyProtection="1">
      <protection locked="0"/>
    </xf>
    <xf numFmtId="0" fontId="1" fillId="0" borderId="0" xfId="0" applyFont="1" applyFill="1" applyAlignment="1">
      <alignment vertical="center"/>
    </xf>
    <xf numFmtId="0" fontId="8" fillId="0" borderId="0" xfId="0" applyFont="1" applyAlignment="1">
      <alignment horizontal="left" wrapText="1"/>
    </xf>
    <xf numFmtId="0" fontId="37" fillId="8" borderId="16" xfId="0" applyNumberFormat="1" applyFont="1" applyFill="1" applyBorder="1" applyAlignment="1" applyProtection="1">
      <alignment horizontal="left" vertical="center" wrapText="1" indent="3"/>
    </xf>
    <xf numFmtId="0" fontId="37" fillId="8" borderId="16" xfId="0" applyNumberFormat="1" applyFont="1" applyFill="1" applyBorder="1" applyAlignment="1" applyProtection="1">
      <alignment horizontal="left" vertical="center" indent="3"/>
    </xf>
    <xf numFmtId="0" fontId="37" fillId="8" borderId="14" xfId="0" applyNumberFormat="1" applyFont="1" applyFill="1" applyBorder="1" applyAlignment="1">
      <alignment vertical="center"/>
    </xf>
    <xf numFmtId="0" fontId="37" fillId="8" borderId="17" xfId="0" applyNumberFormat="1" applyFont="1" applyFill="1" applyBorder="1" applyAlignment="1" applyProtection="1">
      <alignment horizontal="center" vertical="center" wrapText="1"/>
    </xf>
    <xf numFmtId="0" fontId="37" fillId="0" borderId="0" xfId="0" applyFont="1" applyAlignment="1">
      <alignment vertical="center"/>
    </xf>
    <xf numFmtId="0" fontId="37" fillId="8" borderId="17" xfId="0" applyNumberFormat="1" applyFont="1" applyFill="1" applyBorder="1" applyAlignment="1" applyProtection="1">
      <alignment horizontal="left" vertical="center" wrapText="1" indent="3"/>
    </xf>
    <xf numFmtId="0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7" fillId="8" borderId="17" xfId="0" applyNumberFormat="1" applyFont="1" applyFill="1" applyBorder="1" applyAlignment="1" applyProtection="1">
      <alignment horizontal="center" vertical="center"/>
    </xf>
    <xf numFmtId="0" fontId="37" fillId="8" borderId="14" xfId="0" applyFont="1" applyFill="1" applyBorder="1" applyAlignment="1">
      <alignment vertical="center"/>
    </xf>
    <xf numFmtId="0" fontId="37" fillId="8" borderId="14" xfId="0" applyFont="1" applyFill="1" applyBorder="1" applyAlignment="1">
      <alignment horizontal="left" vertical="center" wrapText="1"/>
    </xf>
    <xf numFmtId="0" fontId="37" fillId="0" borderId="0" xfId="4" applyFont="1" applyFill="1" applyBorder="1"/>
    <xf numFmtId="0" fontId="37" fillId="0" borderId="0" xfId="4" applyFont="1" applyFill="1"/>
    <xf numFmtId="0" fontId="37" fillId="8" borderId="17" xfId="0" applyNumberFormat="1" applyFont="1" applyFill="1" applyBorder="1" applyAlignment="1" applyProtection="1">
      <alignment vertical="center" wrapText="1"/>
    </xf>
    <xf numFmtId="0" fontId="37" fillId="8" borderId="14" xfId="0" applyFont="1" applyFill="1" applyBorder="1" applyAlignment="1">
      <alignment vertical="center" wrapText="1"/>
    </xf>
    <xf numFmtId="0" fontId="37" fillId="8" borderId="17" xfId="0" applyNumberFormat="1" applyFont="1" applyFill="1" applyBorder="1" applyAlignment="1" applyProtection="1">
      <alignment vertical="center"/>
    </xf>
    <xf numFmtId="0" fontId="37" fillId="8" borderId="14" xfId="0" applyFont="1" applyFill="1" applyBorder="1" applyAlignment="1">
      <alignment horizontal="left" vertical="center" indent="3"/>
    </xf>
    <xf numFmtId="0" fontId="37" fillId="0" borderId="0" xfId="0" applyFont="1"/>
    <xf numFmtId="0" fontId="37" fillId="8" borderId="14" xfId="0" applyFont="1" applyFill="1" applyBorder="1" applyAlignment="1">
      <alignment horizontal="right" vertical="center"/>
    </xf>
    <xf numFmtId="0" fontId="1" fillId="8" borderId="0" xfId="2" applyFill="1"/>
    <xf numFmtId="0" fontId="1" fillId="8" borderId="0" xfId="2" applyFill="1" applyBorder="1"/>
    <xf numFmtId="0" fontId="17" fillId="8" borderId="0" xfId="2" applyFont="1" applyFill="1" applyBorder="1" applyAlignment="1">
      <alignment vertical="top"/>
    </xf>
    <xf numFmtId="0" fontId="17" fillId="8" borderId="0" xfId="2" applyFont="1" applyFill="1" applyBorder="1" applyAlignment="1">
      <alignment vertical="top" wrapText="1"/>
    </xf>
    <xf numFmtId="0" fontId="20" fillId="8" borderId="0" xfId="2" applyFont="1" applyFill="1"/>
    <xf numFmtId="0" fontId="20" fillId="8" borderId="0" xfId="2" applyFont="1" applyFill="1" applyAlignment="1">
      <alignment wrapText="1"/>
    </xf>
    <xf numFmtId="10" fontId="1" fillId="0" borderId="0" xfId="1" applyNumberFormat="1" applyFont="1" applyFill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4" fontId="4" fillId="5" borderId="0" xfId="0" applyNumberFormat="1" applyFont="1" applyFill="1" applyAlignment="1" applyProtection="1">
      <alignment horizontal="center"/>
      <protection locked="0"/>
    </xf>
    <xf numFmtId="170" fontId="6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 indent="1"/>
    </xf>
    <xf numFmtId="9" fontId="8" fillId="0" borderId="0" xfId="1" applyFont="1" applyFill="1" applyBorder="1" applyAlignment="1">
      <alignment horizontal="center"/>
    </xf>
    <xf numFmtId="170" fontId="4" fillId="5" borderId="0" xfId="0" applyNumberFormat="1" applyFont="1" applyFill="1" applyAlignment="1" applyProtection="1">
      <alignment horizontal="center"/>
      <protection locked="0"/>
    </xf>
    <xf numFmtId="0" fontId="9" fillId="0" borderId="0" xfId="0" applyFont="1" applyFill="1"/>
    <xf numFmtId="0" fontId="4" fillId="0" borderId="0" xfId="0" applyFont="1" applyFill="1" applyAlignment="1"/>
    <xf numFmtId="0" fontId="6" fillId="0" borderId="0" xfId="0" applyFont="1" applyFill="1" applyAlignment="1">
      <alignment horizontal="center" wrapText="1"/>
    </xf>
    <xf numFmtId="4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18" xfId="0" applyFont="1" applyFill="1" applyBorder="1" applyAlignment="1">
      <alignment horizontal="center"/>
    </xf>
    <xf numFmtId="3" fontId="1" fillId="5" borderId="1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/>
    <xf numFmtId="2" fontId="6" fillId="0" borderId="0" xfId="0" applyNumberFormat="1" applyFont="1" applyFill="1" applyAlignment="1">
      <alignment horizontal="center"/>
    </xf>
    <xf numFmtId="3" fontId="6" fillId="0" borderId="2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0" fontId="6" fillId="0" borderId="0" xfId="1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34" fillId="9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wrapText="1"/>
    </xf>
    <xf numFmtId="170" fontId="6" fillId="0" borderId="0" xfId="0" applyNumberFormat="1" applyFont="1" applyFill="1" applyAlignment="1">
      <alignment horizontal="center" wrapText="1"/>
    </xf>
    <xf numFmtId="1" fontId="4" fillId="5" borderId="0" xfId="1" applyNumberFormat="1" applyFont="1" applyFill="1" applyAlignment="1" applyProtection="1">
      <alignment horizontal="center"/>
      <protection locked="0"/>
    </xf>
    <xf numFmtId="0" fontId="4" fillId="0" borderId="0" xfId="0" applyFont="1" applyFill="1"/>
    <xf numFmtId="3" fontId="4" fillId="5" borderId="0" xfId="1" applyNumberFormat="1" applyFont="1" applyFill="1" applyAlignment="1" applyProtection="1">
      <alignment horizontal="center"/>
      <protection locked="0"/>
    </xf>
    <xf numFmtId="170" fontId="4" fillId="5" borderId="0" xfId="1" applyNumberFormat="1" applyFont="1" applyFill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Alignment="1">
      <alignment horizontal="left" wrapText="1"/>
    </xf>
    <xf numFmtId="0" fontId="36" fillId="5" borderId="0" xfId="0" applyFont="1" applyFill="1" applyAlignment="1" applyProtection="1">
      <protection locked="0"/>
    </xf>
    <xf numFmtId="0" fontId="1" fillId="0" borderId="0" xfId="0" applyFont="1" applyFill="1" applyAlignment="1">
      <alignment vertical="center"/>
    </xf>
    <xf numFmtId="10" fontId="1" fillId="5" borderId="0" xfId="0" applyNumberFormat="1" applyFont="1" applyFill="1" applyProtection="1">
      <protection locked="0"/>
    </xf>
    <xf numFmtId="3" fontId="2" fillId="0" borderId="0" xfId="0" applyNumberFormat="1" applyFont="1" applyFill="1" applyBorder="1" applyAlignment="1">
      <alignment horizontal="center"/>
    </xf>
    <xf numFmtId="170" fontId="1" fillId="5" borderId="0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 applyAlignment="1">
      <alignment horizontal="left" wrapText="1"/>
    </xf>
    <xf numFmtId="0" fontId="1" fillId="5" borderId="0" xfId="0" applyFont="1" applyFill="1" applyBorder="1" applyAlignment="1" applyProtection="1">
      <alignment wrapText="1"/>
      <protection locked="0"/>
    </xf>
    <xf numFmtId="3" fontId="2" fillId="0" borderId="0" xfId="0" applyNumberFormat="1" applyFont="1" applyFill="1" applyBorder="1" applyAlignment="1">
      <alignment horizontal="left" indent="2"/>
    </xf>
    <xf numFmtId="3" fontId="4" fillId="0" borderId="0" xfId="0" applyNumberFormat="1" applyFont="1" applyFill="1" applyBorder="1" applyAlignment="1">
      <alignment horizontal="center" wrapText="1"/>
    </xf>
    <xf numFmtId="0" fontId="4" fillId="5" borderId="0" xfId="0" applyFont="1" applyFill="1" applyBorder="1" applyProtection="1"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4" fontId="6" fillId="0" borderId="0" xfId="0" applyNumberFormat="1" applyFont="1"/>
    <xf numFmtId="0" fontId="6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 wrapText="1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" fontId="1" fillId="7" borderId="0" xfId="0" applyNumberFormat="1" applyFont="1" applyFill="1"/>
    <xf numFmtId="3" fontId="1" fillId="7" borderId="0" xfId="0" applyNumberFormat="1" applyFont="1" applyFill="1" applyBorder="1"/>
    <xf numFmtId="3" fontId="2" fillId="7" borderId="0" xfId="0" applyNumberFormat="1" applyFont="1" applyFill="1" applyAlignment="1" applyProtection="1">
      <alignment horizontal="right"/>
      <protection locked="0"/>
    </xf>
    <xf numFmtId="3" fontId="6" fillId="0" borderId="0" xfId="0" applyNumberFormat="1" applyFont="1" applyAlignment="1">
      <alignment horizontal="right"/>
    </xf>
    <xf numFmtId="170" fontId="1" fillId="0" borderId="0" xfId="0" applyNumberFormat="1" applyFont="1"/>
    <xf numFmtId="9" fontId="6" fillId="0" borderId="0" xfId="1" applyFont="1"/>
    <xf numFmtId="170" fontId="1" fillId="0" borderId="0" xfId="0" applyNumberFormat="1" applyFont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9" fontId="2" fillId="0" borderId="0" xfId="0" applyNumberFormat="1" applyFont="1" applyFill="1" applyProtection="1">
      <protection locked="0"/>
    </xf>
    <xf numFmtId="171" fontId="4" fillId="5" borderId="0" xfId="0" applyNumberFormat="1" applyFont="1" applyFill="1" applyAlignment="1" applyProtection="1">
      <alignment horizontal="center"/>
      <protection locked="0"/>
    </xf>
    <xf numFmtId="0" fontId="4" fillId="0" borderId="0" xfId="0" applyFont="1" applyFill="1" applyAlignment="1">
      <alignment horizontal="left" wrapText="1" indent="1"/>
    </xf>
    <xf numFmtId="3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9" fontId="1" fillId="0" borderId="0" xfId="1" applyFont="1" applyFill="1" applyBorder="1" applyAlignment="1">
      <alignment horizontal="left"/>
    </xf>
    <xf numFmtId="0" fontId="8" fillId="0" borderId="0" xfId="0" applyFont="1" applyFill="1" applyAlignment="1">
      <alignment wrapText="1"/>
    </xf>
    <xf numFmtId="171" fontId="1" fillId="0" borderId="0" xfId="0" applyNumberFormat="1" applyFont="1" applyFill="1" applyBorder="1" applyAlignment="1">
      <alignment horizontal="center"/>
    </xf>
    <xf numFmtId="170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 applyProtection="1">
      <alignment horizontal="left" wrapText="1" indent="2"/>
      <protection locked="0"/>
    </xf>
    <xf numFmtId="3" fontId="1" fillId="0" borderId="0" xfId="1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9" fontId="8" fillId="0" borderId="0" xfId="1" applyFont="1" applyFill="1" applyBorder="1" applyAlignment="1">
      <alignment horizontal="left"/>
    </xf>
    <xf numFmtId="0" fontId="1" fillId="0" borderId="0" xfId="0" applyFont="1" applyFill="1" applyAlignment="1">
      <alignment horizontal="left" indent="3"/>
    </xf>
    <xf numFmtId="3" fontId="1" fillId="0" borderId="0" xfId="0" applyNumberFormat="1" applyFont="1" applyFill="1" applyProtection="1">
      <protection locked="0"/>
    </xf>
    <xf numFmtId="170" fontId="6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170" fontId="3" fillId="0" borderId="0" xfId="0" applyNumberFormat="1" applyFont="1" applyFill="1" applyAlignment="1">
      <alignment horizontal="center"/>
    </xf>
    <xf numFmtId="10" fontId="4" fillId="5" borderId="0" xfId="1" applyNumberFormat="1" applyFont="1" applyFill="1" applyAlignment="1" applyProtection="1">
      <alignment horizontal="center"/>
      <protection locked="0"/>
    </xf>
    <xf numFmtId="4" fontId="4" fillId="0" borderId="0" xfId="0" applyNumberFormat="1" applyFont="1" applyFill="1" applyAlignment="1" applyProtection="1">
      <alignment horizontal="center"/>
      <protection locked="0"/>
    </xf>
    <xf numFmtId="0" fontId="10" fillId="0" borderId="0" xfId="0" applyFont="1" applyBorder="1" applyAlignment="1">
      <alignment horizontal="left" wrapText="1"/>
    </xf>
    <xf numFmtId="10" fontId="1" fillId="0" borderId="0" xfId="1" applyNumberFormat="1" applyFont="1" applyBorder="1" applyAlignment="1">
      <alignment horizontal="center"/>
    </xf>
    <xf numFmtId="170" fontId="6" fillId="0" borderId="0" xfId="0" applyNumberFormat="1" applyFont="1" applyFill="1" applyAlignment="1">
      <alignment horizontal="left" wrapText="1" indent="2"/>
    </xf>
    <xf numFmtId="0" fontId="2" fillId="0" borderId="0" xfId="0" applyFont="1" applyBorder="1" applyAlignment="1">
      <alignment horizontal="left" indent="2"/>
    </xf>
    <xf numFmtId="0" fontId="4" fillId="0" borderId="0" xfId="0" applyFont="1" applyFill="1" applyAlignment="1">
      <alignment wrapText="1"/>
    </xf>
    <xf numFmtId="9" fontId="4" fillId="0" borderId="0" xfId="1" applyFont="1" applyFill="1" applyBorder="1"/>
    <xf numFmtId="10" fontId="4" fillId="5" borderId="0" xfId="0" applyNumberFormat="1" applyFont="1" applyFill="1" applyAlignment="1" applyProtection="1">
      <alignment horizontal="center"/>
      <protection locked="0"/>
    </xf>
    <xf numFmtId="175" fontId="4" fillId="5" borderId="0" xfId="1" applyNumberFormat="1" applyFont="1" applyFill="1" applyAlignment="1" applyProtection="1">
      <alignment horizontal="center"/>
      <protection locked="0"/>
    </xf>
    <xf numFmtId="176" fontId="4" fillId="5" borderId="0" xfId="5" applyNumberFormat="1" applyFont="1" applyFill="1" applyAlignment="1" applyProtection="1">
      <alignment horizontal="center"/>
      <protection locked="0"/>
    </xf>
    <xf numFmtId="0" fontId="2" fillId="0" borderId="0" xfId="0" applyFont="1" applyBorder="1" applyAlignment="1">
      <alignment horizontal="left" indent="3"/>
    </xf>
    <xf numFmtId="0" fontId="2" fillId="0" borderId="0" xfId="0" applyFont="1" applyAlignment="1">
      <alignment horizontal="left" indent="3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indent="3"/>
    </xf>
    <xf numFmtId="0" fontId="30" fillId="0" borderId="0" xfId="0" applyNumberFormat="1" applyFont="1" applyBorder="1" applyAlignment="1"/>
    <xf numFmtId="0" fontId="31" fillId="0" borderId="0" xfId="0" applyNumberFormat="1" applyFont="1" applyBorder="1" applyAlignment="1"/>
    <xf numFmtId="167" fontId="30" fillId="0" borderId="0" xfId="0" applyNumberFormat="1" applyFont="1" applyBorder="1" applyAlignment="1">
      <alignment horizontal="center"/>
    </xf>
    <xf numFmtId="0" fontId="30" fillId="0" borderId="0" xfId="0" applyNumberFormat="1" applyFont="1" applyBorder="1" applyAlignment="1">
      <alignment vertical="center"/>
    </xf>
    <xf numFmtId="0" fontId="31" fillId="0" borderId="0" xfId="0" applyNumberFormat="1" applyFont="1" applyBorder="1" applyAlignment="1">
      <alignment horizontal="center"/>
    </xf>
    <xf numFmtId="0" fontId="31" fillId="0" borderId="0" xfId="0" applyNumberFormat="1" applyFont="1" applyBorder="1" applyAlignment="1">
      <alignment horizontal="left" indent="1"/>
    </xf>
    <xf numFmtId="0" fontId="39" fillId="0" borderId="0" xfId="0" applyNumberFormat="1" applyFont="1" applyBorder="1" applyAlignment="1">
      <alignment horizontal="left" vertical="center" indent="1"/>
    </xf>
    <xf numFmtId="0" fontId="30" fillId="0" borderId="0" xfId="0" applyNumberFormat="1" applyFont="1" applyBorder="1" applyAlignment="1">
      <alignment horizontal="left" vertical="center" indent="3"/>
    </xf>
    <xf numFmtId="0" fontId="30" fillId="0" borderId="0" xfId="0" applyNumberFormat="1" applyFont="1" applyBorder="1" applyAlignment="1">
      <alignment horizontal="center" vertical="center"/>
    </xf>
    <xf numFmtId="0" fontId="33" fillId="0" borderId="0" xfId="0" applyNumberFormat="1" applyFont="1" applyBorder="1" applyAlignment="1">
      <alignment horizontal="center"/>
    </xf>
    <xf numFmtId="167" fontId="30" fillId="0" borderId="0" xfId="0" applyNumberFormat="1" applyFont="1" applyBorder="1" applyAlignment="1"/>
    <xf numFmtId="0" fontId="40" fillId="0" borderId="0" xfId="0" applyNumberFormat="1" applyFont="1" applyBorder="1" applyAlignment="1">
      <alignment horizontal="left" vertical="center" indent="1"/>
    </xf>
    <xf numFmtId="0" fontId="31" fillId="0" borderId="0" xfId="0" applyNumberFormat="1" applyFont="1" applyBorder="1" applyAlignment="1">
      <alignment horizontal="left" indent="2"/>
    </xf>
    <xf numFmtId="3" fontId="30" fillId="0" borderId="0" xfId="0" applyNumberFormat="1" applyFont="1" applyBorder="1" applyAlignment="1">
      <alignment horizontal="center"/>
    </xf>
    <xf numFmtId="0" fontId="37" fillId="8" borderId="0" xfId="0" applyNumberFormat="1" applyFont="1" applyFill="1" applyBorder="1" applyAlignment="1">
      <alignment horizontal="left" vertical="center" wrapText="1" indent="2"/>
    </xf>
    <xf numFmtId="0" fontId="37" fillId="8" borderId="0" xfId="0" applyNumberFormat="1" applyFont="1" applyFill="1" applyBorder="1" applyAlignment="1">
      <alignment horizontal="center" vertical="center" wrapText="1"/>
    </xf>
    <xf numFmtId="0" fontId="31" fillId="0" borderId="21" xfId="0" applyNumberFormat="1" applyFont="1" applyBorder="1" applyAlignment="1">
      <alignment horizontal="center"/>
    </xf>
    <xf numFmtId="0" fontId="31" fillId="0" borderId="22" xfId="0" applyNumberFormat="1" applyFont="1" applyBorder="1" applyAlignment="1">
      <alignment horizontal="center"/>
    </xf>
    <xf numFmtId="0" fontId="31" fillId="0" borderId="24" xfId="0" applyNumberFormat="1" applyFont="1" applyBorder="1" applyAlignment="1">
      <alignment horizontal="center"/>
    </xf>
    <xf numFmtId="167" fontId="4" fillId="0" borderId="22" xfId="0" applyNumberFormat="1" applyFont="1" applyBorder="1" applyAlignment="1"/>
    <xf numFmtId="3" fontId="30" fillId="0" borderId="25" xfId="0" applyNumberFormat="1" applyFont="1" applyBorder="1" applyAlignment="1">
      <alignment horizontal="left"/>
    </xf>
    <xf numFmtId="0" fontId="31" fillId="0" borderId="22" xfId="0" applyNumberFormat="1" applyFont="1" applyBorder="1" applyAlignment="1">
      <alignment horizontal="left" indent="1"/>
    </xf>
    <xf numFmtId="0" fontId="31" fillId="0" borderId="23" xfId="0" applyNumberFormat="1" applyFont="1" applyBorder="1" applyAlignment="1">
      <alignment horizontal="left" indent="1"/>
    </xf>
    <xf numFmtId="0" fontId="31" fillId="0" borderId="24" xfId="0" applyNumberFormat="1" applyFont="1" applyBorder="1" applyAlignment="1">
      <alignment horizontal="left" indent="1"/>
    </xf>
    <xf numFmtId="0" fontId="31" fillId="0" borderId="25" xfId="0" applyNumberFormat="1" applyFont="1" applyBorder="1" applyAlignment="1">
      <alignment horizontal="center"/>
    </xf>
    <xf numFmtId="10" fontId="31" fillId="0" borderId="23" xfId="0" applyNumberFormat="1" applyFont="1" applyBorder="1" applyAlignment="1"/>
    <xf numFmtId="10" fontId="31" fillId="0" borderId="24" xfId="0" applyNumberFormat="1" applyFont="1" applyBorder="1" applyAlignment="1"/>
    <xf numFmtId="167" fontId="4" fillId="0" borderId="25" xfId="0" applyNumberFormat="1" applyFont="1" applyBorder="1" applyAlignment="1"/>
    <xf numFmtId="0" fontId="39" fillId="0" borderId="24" xfId="0" applyNumberFormat="1" applyFont="1" applyBorder="1" applyAlignment="1">
      <alignment horizontal="left" vertical="center" indent="1"/>
    </xf>
    <xf numFmtId="10" fontId="30" fillId="0" borderId="22" xfId="0" applyNumberFormat="1" applyFont="1" applyBorder="1" applyAlignment="1"/>
    <xf numFmtId="10" fontId="30" fillId="0" borderId="25" xfId="0" applyNumberFormat="1" applyFont="1" applyBorder="1" applyAlignment="1"/>
    <xf numFmtId="166" fontId="30" fillId="0" borderId="25" xfId="0" applyNumberFormat="1" applyFont="1" applyBorder="1" applyAlignment="1">
      <alignment horizontal="left" wrapText="1"/>
    </xf>
    <xf numFmtId="166" fontId="30" fillId="0" borderId="25" xfId="0" applyNumberFormat="1" applyFont="1" applyBorder="1" applyAlignment="1">
      <alignment horizontal="left"/>
    </xf>
    <xf numFmtId="0" fontId="33" fillId="0" borderId="22" xfId="0" applyNumberFormat="1" applyFont="1" applyBorder="1" applyAlignment="1">
      <alignment horizontal="left"/>
    </xf>
    <xf numFmtId="0" fontId="33" fillId="0" borderId="23" xfId="0" applyNumberFormat="1" applyFont="1" applyBorder="1" applyAlignment="1">
      <alignment horizontal="left"/>
    </xf>
    <xf numFmtId="0" fontId="33" fillId="0" borderId="24" xfId="0" applyNumberFormat="1" applyFont="1" applyBorder="1" applyAlignment="1">
      <alignment horizontal="left"/>
    </xf>
    <xf numFmtId="0" fontId="33" fillId="0" borderId="25" xfId="0" applyNumberFormat="1" applyFont="1" applyBorder="1" applyAlignment="1">
      <alignment horizontal="left"/>
    </xf>
    <xf numFmtId="0" fontId="30" fillId="0" borderId="22" xfId="0" applyNumberFormat="1" applyFont="1" applyBorder="1" applyAlignment="1">
      <alignment horizontal="left" indent="1"/>
    </xf>
    <xf numFmtId="0" fontId="30" fillId="0" borderId="23" xfId="0" applyNumberFormat="1" applyFont="1" applyBorder="1" applyAlignment="1">
      <alignment horizontal="left" indent="1"/>
    </xf>
    <xf numFmtId="0" fontId="30" fillId="0" borderId="24" xfId="0" applyNumberFormat="1" applyFont="1" applyBorder="1" applyAlignment="1">
      <alignment horizontal="left" indent="1"/>
    </xf>
    <xf numFmtId="0" fontId="30" fillId="0" borderId="25" xfId="0" applyNumberFormat="1" applyFont="1" applyBorder="1" applyAlignment="1">
      <alignment horizontal="left" indent="1"/>
    </xf>
    <xf numFmtId="167" fontId="30" fillId="0" borderId="22" xfId="0" applyNumberFormat="1" applyFont="1" applyBorder="1" applyAlignment="1"/>
    <xf numFmtId="167" fontId="30" fillId="0" borderId="23" xfId="0" applyNumberFormat="1" applyFont="1" applyBorder="1" applyAlignment="1"/>
    <xf numFmtId="167" fontId="30" fillId="0" borderId="24" xfId="0" applyNumberFormat="1" applyFont="1" applyBorder="1" applyAlignment="1"/>
    <xf numFmtId="0" fontId="31" fillId="0" borderId="23" xfId="0" applyNumberFormat="1" applyFont="1" applyBorder="1" applyAlignment="1">
      <alignment horizontal="left" indent="2"/>
    </xf>
    <xf numFmtId="0" fontId="31" fillId="0" borderId="24" xfId="0" applyNumberFormat="1" applyFont="1" applyBorder="1" applyAlignment="1">
      <alignment horizontal="left" indent="2"/>
    </xf>
    <xf numFmtId="167" fontId="30" fillId="0" borderId="25" xfId="0" applyNumberFormat="1" applyFont="1" applyBorder="1" applyAlignment="1"/>
    <xf numFmtId="0" fontId="10" fillId="0" borderId="21" xfId="0" applyNumberFormat="1" applyFont="1" applyBorder="1" applyAlignment="1">
      <alignment horizontal="center"/>
    </xf>
    <xf numFmtId="168" fontId="30" fillId="0" borderId="23" xfId="0" applyNumberFormat="1" applyFont="1" applyBorder="1" applyAlignment="1"/>
    <xf numFmtId="168" fontId="30" fillId="0" borderId="24" xfId="0" applyNumberFormat="1" applyFont="1" applyBorder="1" applyAlignment="1"/>
    <xf numFmtId="0" fontId="40" fillId="0" borderId="0" xfId="0" applyNumberFormat="1" applyFont="1" applyBorder="1" applyAlignment="1">
      <alignment horizontal="left" indent="1"/>
    </xf>
    <xf numFmtId="0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 applyAlignment="1"/>
    <xf numFmtId="3" fontId="40" fillId="0" borderId="0" xfId="0" applyNumberFormat="1" applyFont="1" applyBorder="1" applyAlignment="1"/>
    <xf numFmtId="3" fontId="31" fillId="0" borderId="0" xfId="0" applyNumberFormat="1" applyFont="1" applyBorder="1" applyAlignment="1">
      <alignment horizontal="center"/>
    </xf>
    <xf numFmtId="0" fontId="33" fillId="0" borderId="0" xfId="0" applyNumberFormat="1" applyFont="1" applyBorder="1" applyAlignment="1"/>
    <xf numFmtId="0" fontId="40" fillId="0" borderId="22" xfId="0" applyNumberFormat="1" applyFont="1" applyBorder="1" applyAlignment="1">
      <alignment horizontal="left" indent="1"/>
    </xf>
    <xf numFmtId="0" fontId="40" fillId="0" borderId="23" xfId="0" applyNumberFormat="1" applyFont="1" applyBorder="1" applyAlignment="1">
      <alignment horizontal="left" indent="1"/>
    </xf>
    <xf numFmtId="0" fontId="40" fillId="0" borderId="25" xfId="0" applyNumberFormat="1" applyFont="1" applyBorder="1" applyAlignment="1">
      <alignment horizontal="left" indent="1"/>
    </xf>
    <xf numFmtId="167" fontId="30" fillId="0" borderId="21" xfId="0" applyNumberFormat="1" applyFont="1" applyBorder="1" applyAlignment="1">
      <alignment horizontal="center"/>
    </xf>
    <xf numFmtId="167" fontId="30" fillId="0" borderId="22" xfId="0" applyNumberFormat="1" applyFont="1" applyBorder="1" applyAlignment="1">
      <alignment horizontal="center"/>
    </xf>
    <xf numFmtId="167" fontId="30" fillId="0" borderId="23" xfId="0" applyNumberFormat="1" applyFont="1" applyBorder="1" applyAlignment="1">
      <alignment horizontal="center"/>
    </xf>
    <xf numFmtId="167" fontId="30" fillId="0" borderId="24" xfId="0" applyNumberFormat="1" applyFont="1" applyBorder="1" applyAlignment="1">
      <alignment horizontal="center"/>
    </xf>
    <xf numFmtId="0" fontId="30" fillId="0" borderId="22" xfId="0" applyNumberFormat="1" applyFont="1" applyBorder="1" applyAlignment="1">
      <alignment horizontal="center"/>
    </xf>
    <xf numFmtId="0" fontId="30" fillId="0" borderId="23" xfId="0" applyNumberFormat="1" applyFont="1" applyBorder="1" applyAlignment="1">
      <alignment horizontal="center"/>
    </xf>
    <xf numFmtId="0" fontId="30" fillId="0" borderId="24" xfId="0" applyNumberFormat="1" applyFont="1" applyBorder="1" applyAlignment="1">
      <alignment horizontal="center"/>
    </xf>
    <xf numFmtId="0" fontId="30" fillId="0" borderId="22" xfId="0" applyNumberFormat="1" applyFont="1" applyBorder="1" applyAlignment="1">
      <alignment horizontal="left"/>
    </xf>
    <xf numFmtId="0" fontId="30" fillId="0" borderId="23" xfId="0" applyNumberFormat="1" applyFont="1" applyBorder="1" applyAlignment="1">
      <alignment horizontal="left"/>
    </xf>
    <xf numFmtId="0" fontId="30" fillId="0" borderId="24" xfId="0" applyNumberFormat="1" applyFont="1" applyBorder="1" applyAlignment="1">
      <alignment horizontal="left"/>
    </xf>
    <xf numFmtId="0" fontId="30" fillId="0" borderId="25" xfId="0" applyNumberFormat="1" applyFont="1" applyBorder="1" applyAlignment="1">
      <alignment horizontal="left"/>
    </xf>
    <xf numFmtId="0" fontId="31" fillId="0" borderId="22" xfId="0" applyNumberFormat="1" applyFont="1" applyBorder="1" applyAlignment="1"/>
    <xf numFmtId="167" fontId="31" fillId="0" borderId="23" xfId="0" applyNumberFormat="1" applyFont="1" applyBorder="1" applyAlignment="1"/>
    <xf numFmtId="167" fontId="31" fillId="0" borderId="24" xfId="0" applyNumberFormat="1" applyFont="1" applyBorder="1" applyAlignment="1"/>
    <xf numFmtId="0" fontId="4" fillId="0" borderId="25" xfId="0" applyNumberFormat="1" applyFont="1" applyBorder="1" applyAlignment="1">
      <alignment horizontal="left"/>
    </xf>
    <xf numFmtId="0" fontId="40" fillId="0" borderId="24" xfId="0" applyNumberFormat="1" applyFont="1" applyBorder="1" applyAlignment="1">
      <alignment horizontal="left"/>
    </xf>
    <xf numFmtId="0" fontId="30" fillId="0" borderId="22" xfId="0" applyNumberFormat="1" applyFont="1" applyBorder="1" applyAlignment="1">
      <alignment horizontal="left" wrapText="1" indent="1"/>
    </xf>
    <xf numFmtId="0" fontId="30" fillId="0" borderId="23" xfId="0" applyNumberFormat="1" applyFont="1" applyBorder="1" applyAlignment="1">
      <alignment horizontal="left" wrapText="1" indent="1"/>
    </xf>
    <xf numFmtId="0" fontId="30" fillId="0" borderId="21" xfId="0" applyNumberFormat="1" applyFont="1" applyBorder="1" applyAlignment="1">
      <alignment horizontal="left"/>
    </xf>
    <xf numFmtId="0" fontId="33" fillId="0" borderId="21" xfId="0" applyNumberFormat="1" applyFont="1" applyBorder="1" applyAlignment="1"/>
    <xf numFmtId="0" fontId="33" fillId="0" borderId="22" xfId="0" applyNumberFormat="1" applyFont="1" applyBorder="1" applyAlignment="1"/>
    <xf numFmtId="0" fontId="33" fillId="0" borderId="24" xfId="0" applyNumberFormat="1" applyFont="1" applyBorder="1" applyAlignment="1"/>
    <xf numFmtId="0" fontId="33" fillId="0" borderId="25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40" fillId="0" borderId="0" xfId="0" applyNumberFormat="1" applyFont="1" applyBorder="1" applyAlignment="1"/>
    <xf numFmtId="0" fontId="41" fillId="0" borderId="0" xfId="0" applyNumberFormat="1" applyFont="1" applyBorder="1" applyAlignment="1"/>
    <xf numFmtId="0" fontId="40" fillId="0" borderId="0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167" fontId="31" fillId="0" borderId="22" xfId="0" applyNumberFormat="1" applyFont="1" applyBorder="1" applyAlignment="1">
      <alignment horizontal="center"/>
    </xf>
    <xf numFmtId="167" fontId="31" fillId="0" borderId="23" xfId="0" applyNumberFormat="1" applyFont="1" applyBorder="1" applyAlignment="1">
      <alignment horizontal="center"/>
    </xf>
    <xf numFmtId="0" fontId="31" fillId="0" borderId="21" xfId="0" applyNumberFormat="1" applyFont="1" applyBorder="1" applyAlignment="1"/>
    <xf numFmtId="0" fontId="31" fillId="0" borderId="24" xfId="0" applyNumberFormat="1" applyFont="1" applyBorder="1" applyAlignment="1"/>
    <xf numFmtId="10" fontId="31" fillId="0" borderId="22" xfId="0" applyNumberFormat="1" applyFont="1" applyBorder="1" applyAlignment="1">
      <alignment horizontal="center"/>
    </xf>
    <xf numFmtId="0" fontId="31" fillId="0" borderId="25" xfId="0" applyNumberFormat="1" applyFont="1" applyBorder="1" applyAlignment="1"/>
    <xf numFmtId="0" fontId="40" fillId="0" borderId="22" xfId="0" applyNumberFormat="1" applyFont="1" applyBorder="1" applyAlignment="1"/>
    <xf numFmtId="0" fontId="40" fillId="0" borderId="24" xfId="0" applyNumberFormat="1" applyFont="1" applyBorder="1" applyAlignment="1"/>
    <xf numFmtId="0" fontId="40" fillId="0" borderId="25" xfId="0" applyNumberFormat="1" applyFont="1" applyBorder="1" applyAlignment="1"/>
    <xf numFmtId="0" fontId="31" fillId="0" borderId="22" xfId="0" applyNumberFormat="1" applyFont="1" applyBorder="1" applyAlignment="1">
      <alignment horizontal="left" wrapText="1" indent="1"/>
    </xf>
    <xf numFmtId="167" fontId="30" fillId="0" borderId="25" xfId="0" applyNumberFormat="1" applyFont="1" applyBorder="1" applyAlignment="1">
      <alignment horizontal="center"/>
    </xf>
    <xf numFmtId="0" fontId="30" fillId="0" borderId="22" xfId="0" applyNumberFormat="1" applyFont="1" applyBorder="1" applyAlignment="1">
      <alignment horizontal="left" wrapText="1" indent="2"/>
    </xf>
    <xf numFmtId="0" fontId="30" fillId="0" borderId="23" xfId="0" applyNumberFormat="1" applyFont="1" applyBorder="1" applyAlignment="1">
      <alignment horizontal="left" wrapText="1" indent="2"/>
    </xf>
    <xf numFmtId="167" fontId="31" fillId="0" borderId="25" xfId="0" applyNumberFormat="1" applyFont="1" applyBorder="1" applyAlignment="1">
      <alignment horizontal="center"/>
    </xf>
    <xf numFmtId="0" fontId="40" fillId="0" borderId="21" xfId="0" applyNumberFormat="1" applyFont="1" applyBorder="1" applyAlignment="1"/>
    <xf numFmtId="167" fontId="33" fillId="0" borderId="24" xfId="0" applyNumberFormat="1" applyFont="1" applyBorder="1" applyAlignment="1">
      <alignment horizontal="center"/>
    </xf>
    <xf numFmtId="0" fontId="40" fillId="0" borderId="24" xfId="0" applyNumberFormat="1" applyFont="1" applyBorder="1" applyAlignment="1">
      <alignment horizontal="left" wrapText="1"/>
    </xf>
    <xf numFmtId="0" fontId="33" fillId="0" borderId="0" xfId="0" applyNumberFormat="1" applyFont="1" applyBorder="1" applyAlignment="1">
      <alignment wrapText="1"/>
    </xf>
    <xf numFmtId="3" fontId="31" fillId="0" borderId="0" xfId="0" applyNumberFormat="1" applyFont="1" applyBorder="1" applyAlignment="1">
      <alignment horizontal="right"/>
    </xf>
    <xf numFmtId="3" fontId="33" fillId="0" borderId="0" xfId="0" applyNumberFormat="1" applyFont="1" applyBorder="1" applyAlignment="1"/>
    <xf numFmtId="3" fontId="44" fillId="0" borderId="0" xfId="0" applyNumberFormat="1" applyFont="1" applyBorder="1" applyAlignment="1"/>
    <xf numFmtId="3" fontId="31" fillId="0" borderId="0" xfId="0" applyNumberFormat="1" applyFont="1" applyBorder="1" applyAlignment="1"/>
    <xf numFmtId="3" fontId="4" fillId="0" borderId="0" xfId="0" applyNumberFormat="1" applyFont="1" applyBorder="1" applyAlignment="1"/>
    <xf numFmtId="0" fontId="30" fillId="0" borderId="21" xfId="0" applyNumberFormat="1" applyFont="1" applyBorder="1" applyAlignment="1"/>
    <xf numFmtId="3" fontId="30" fillId="0" borderId="22" xfId="0" applyNumberFormat="1" applyFont="1" applyBorder="1" applyAlignment="1"/>
    <xf numFmtId="3" fontId="30" fillId="0" borderId="23" xfId="0" applyNumberFormat="1" applyFont="1" applyBorder="1" applyAlignment="1"/>
    <xf numFmtId="3" fontId="30" fillId="0" borderId="24" xfId="0" applyNumberFormat="1" applyFont="1" applyBorder="1" applyAlignment="1"/>
    <xf numFmtId="3" fontId="30" fillId="0" borderId="21" xfId="0" applyNumberFormat="1" applyFont="1" applyBorder="1" applyAlignment="1">
      <alignment horizontal="center"/>
    </xf>
    <xf numFmtId="3" fontId="30" fillId="0" borderId="24" xfId="0" applyNumberFormat="1" applyFont="1" applyBorder="1" applyAlignment="1">
      <alignment horizontal="center"/>
    </xf>
    <xf numFmtId="0" fontId="30" fillId="0" borderId="25" xfId="0" applyNumberFormat="1" applyFont="1" applyBorder="1" applyAlignment="1">
      <alignment horizontal="center"/>
    </xf>
    <xf numFmtId="3" fontId="30" fillId="0" borderId="25" xfId="0" applyNumberFormat="1" applyFont="1" applyBorder="1" applyAlignment="1"/>
    <xf numFmtId="0" fontId="39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/>
    <xf numFmtId="0" fontId="39" fillId="0" borderId="0" xfId="0" applyNumberFormat="1" applyFont="1" applyBorder="1" applyAlignment="1"/>
    <xf numFmtId="3" fontId="4" fillId="0" borderId="0" xfId="0" applyNumberFormat="1" applyFont="1" applyBorder="1" applyAlignment="1">
      <alignment horizontal="center"/>
    </xf>
    <xf numFmtId="9" fontId="4" fillId="0" borderId="0" xfId="0" applyNumberFormat="1" applyFont="1" applyBorder="1" applyAlignment="1">
      <alignment horizontal="center"/>
    </xf>
    <xf numFmtId="3" fontId="39" fillId="0" borderId="0" xfId="0" applyNumberFormat="1" applyFont="1" applyBorder="1" applyAlignment="1"/>
    <xf numFmtId="9" fontId="31" fillId="0" borderId="0" xfId="0" applyNumberFormat="1" applyFont="1" applyBorder="1" applyAlignment="1">
      <alignment horizontal="center"/>
    </xf>
    <xf numFmtId="9" fontId="31" fillId="0" borderId="0" xfId="0" applyNumberFormat="1" applyFont="1" applyBorder="1" applyAlignment="1"/>
    <xf numFmtId="173" fontId="31" fillId="0" borderId="0" xfId="0" applyNumberFormat="1" applyFont="1" applyBorder="1" applyAlignment="1">
      <alignment horizontal="right"/>
    </xf>
    <xf numFmtId="0" fontId="44" fillId="0" borderId="0" xfId="0" applyNumberFormat="1" applyFont="1" applyBorder="1" applyAlignment="1"/>
    <xf numFmtId="0" fontId="30" fillId="0" borderId="22" xfId="0" applyNumberFormat="1" applyFont="1" applyBorder="1" applyAlignment="1"/>
    <xf numFmtId="0" fontId="30" fillId="0" borderId="23" xfId="0" applyNumberFormat="1" applyFont="1" applyBorder="1" applyAlignment="1"/>
    <xf numFmtId="0" fontId="30" fillId="0" borderId="24" xfId="0" applyNumberFormat="1" applyFont="1" applyBorder="1" applyAlignment="1"/>
    <xf numFmtId="0" fontId="39" fillId="0" borderId="21" xfId="0" applyNumberFormat="1" applyFont="1" applyBorder="1" applyAlignment="1">
      <alignment horizontal="right"/>
    </xf>
    <xf numFmtId="0" fontId="42" fillId="0" borderId="24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left" indent="1"/>
    </xf>
    <xf numFmtId="0" fontId="4" fillId="0" borderId="23" xfId="0" applyNumberFormat="1" applyFont="1" applyBorder="1" applyAlignment="1">
      <alignment horizontal="left" indent="1"/>
    </xf>
    <xf numFmtId="171" fontId="30" fillId="0" borderId="22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 wrapText="1"/>
    </xf>
    <xf numFmtId="171" fontId="30" fillId="0" borderId="23" xfId="0" applyNumberFormat="1" applyFont="1" applyBorder="1" applyAlignment="1">
      <alignment horizontal="center"/>
    </xf>
    <xf numFmtId="3" fontId="4" fillId="0" borderId="22" xfId="0" applyNumberFormat="1" applyFont="1" applyBorder="1" applyAlignment="1"/>
    <xf numFmtId="3" fontId="4" fillId="0" borderId="23" xfId="0" applyNumberFormat="1" applyFont="1" applyBorder="1" applyAlignment="1"/>
    <xf numFmtId="3" fontId="4" fillId="0" borderId="24" xfId="0" applyNumberFormat="1" applyFont="1" applyBorder="1" applyAlignment="1"/>
    <xf numFmtId="3" fontId="40" fillId="0" borderId="22" xfId="0" applyNumberFormat="1" applyFont="1" applyBorder="1" applyAlignment="1"/>
    <xf numFmtId="3" fontId="40" fillId="0" borderId="23" xfId="0" applyNumberFormat="1" applyFont="1" applyBorder="1" applyAlignment="1"/>
    <xf numFmtId="3" fontId="40" fillId="0" borderId="24" xfId="0" applyNumberFormat="1" applyFont="1" applyBorder="1" applyAlignment="1"/>
    <xf numFmtId="3" fontId="30" fillId="0" borderId="25" xfId="0" applyNumberFormat="1" applyFont="1" applyBorder="1" applyAlignment="1">
      <alignment horizontal="center"/>
    </xf>
    <xf numFmtId="3" fontId="40" fillId="0" borderId="25" xfId="0" applyNumberFormat="1" applyFont="1" applyBorder="1" applyAlignment="1"/>
    <xf numFmtId="3" fontId="11" fillId="0" borderId="24" xfId="0" applyNumberFormat="1" applyFont="1" applyBorder="1" applyAlignment="1"/>
    <xf numFmtId="0" fontId="31" fillId="0" borderId="21" xfId="0" applyNumberFormat="1" applyFont="1" applyBorder="1" applyAlignment="1">
      <alignment horizontal="left" indent="1"/>
    </xf>
    <xf numFmtId="3" fontId="31" fillId="0" borderId="22" xfId="0" applyNumberFormat="1" applyFont="1" applyBorder="1" applyAlignment="1"/>
    <xf numFmtId="3" fontId="31" fillId="0" borderId="23" xfId="0" applyNumberFormat="1" applyFont="1" applyBorder="1" applyAlignment="1"/>
    <xf numFmtId="3" fontId="31" fillId="0" borderId="24" xfId="0" applyNumberFormat="1" applyFont="1" applyBorder="1" applyAlignment="1"/>
    <xf numFmtId="3" fontId="39" fillId="0" borderId="23" xfId="0" applyNumberFormat="1" applyFont="1" applyBorder="1" applyAlignment="1"/>
    <xf numFmtId="3" fontId="39" fillId="0" borderId="24" xfId="0" applyNumberFormat="1" applyFont="1" applyBorder="1" applyAlignment="1"/>
    <xf numFmtId="0" fontId="31" fillId="0" borderId="23" xfId="0" applyNumberFormat="1" applyFont="1" applyBorder="1" applyAlignment="1">
      <alignment horizontal="left" wrapText="1" indent="2"/>
    </xf>
    <xf numFmtId="0" fontId="31" fillId="0" borderId="24" xfId="0" applyNumberFormat="1" applyFont="1" applyBorder="1" applyAlignment="1">
      <alignment horizontal="left" wrapText="1" indent="2"/>
    </xf>
    <xf numFmtId="9" fontId="39" fillId="0" borderId="21" xfId="0" applyNumberFormat="1" applyFont="1" applyBorder="1" applyAlignment="1">
      <alignment horizontal="center"/>
    </xf>
    <xf numFmtId="0" fontId="4" fillId="0" borderId="22" xfId="0" applyNumberFormat="1" applyFont="1" applyBorder="1" applyAlignment="1"/>
    <xf numFmtId="0" fontId="30" fillId="0" borderId="22" xfId="0" applyNumberFormat="1" applyFont="1" applyBorder="1" applyAlignment="1">
      <alignment horizontal="left" indent="3"/>
    </xf>
    <xf numFmtId="9" fontId="4" fillId="0" borderId="21" xfId="0" applyNumberFormat="1" applyFont="1" applyBorder="1" applyAlignment="1">
      <alignment horizontal="center"/>
    </xf>
    <xf numFmtId="170" fontId="30" fillId="0" borderId="22" xfId="0" applyNumberFormat="1" applyFont="1" applyBorder="1" applyAlignment="1">
      <alignment horizontal="center"/>
    </xf>
    <xf numFmtId="170" fontId="30" fillId="0" borderId="22" xfId="0" applyNumberFormat="1" applyFont="1" applyBorder="1" applyAlignment="1"/>
    <xf numFmtId="0" fontId="4" fillId="0" borderId="25" xfId="0" applyNumberFormat="1" applyFont="1" applyBorder="1" applyAlignment="1">
      <alignment horizontal="center"/>
    </xf>
    <xf numFmtId="170" fontId="30" fillId="0" borderId="25" xfId="0" applyNumberFormat="1" applyFont="1" applyBorder="1" applyAlignment="1"/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11" fillId="0" borderId="25" xfId="0" applyNumberFormat="1" applyFont="1" applyBorder="1" applyAlignment="1"/>
    <xf numFmtId="0" fontId="30" fillId="0" borderId="23" xfId="0" applyNumberFormat="1" applyFont="1" applyBorder="1" applyAlignment="1">
      <alignment wrapText="1"/>
    </xf>
    <xf numFmtId="0" fontId="30" fillId="0" borderId="24" xfId="0" applyNumberFormat="1" applyFont="1" applyBorder="1" applyAlignment="1">
      <alignment wrapText="1"/>
    </xf>
    <xf numFmtId="3" fontId="39" fillId="0" borderId="25" xfId="0" applyNumberFormat="1" applyFont="1" applyBorder="1" applyAlignment="1"/>
    <xf numFmtId="0" fontId="30" fillId="0" borderId="25" xfId="0" applyNumberFormat="1" applyFont="1" applyBorder="1" applyAlignment="1"/>
    <xf numFmtId="170" fontId="4" fillId="0" borderId="22" xfId="0" applyNumberFormat="1" applyFont="1" applyBorder="1" applyAlignment="1"/>
    <xf numFmtId="170" fontId="4" fillId="0" borderId="25" xfId="0" applyNumberFormat="1" applyFont="1" applyBorder="1" applyAlignment="1"/>
    <xf numFmtId="2" fontId="30" fillId="0" borderId="0" xfId="0" applyNumberFormat="1" applyFont="1" applyBorder="1" applyAlignment="1"/>
    <xf numFmtId="0" fontId="42" fillId="0" borderId="25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right"/>
    </xf>
    <xf numFmtId="3" fontId="4" fillId="0" borderId="25" xfId="0" applyNumberFormat="1" applyFont="1" applyBorder="1" applyAlignment="1">
      <alignment horizontal="right"/>
    </xf>
    <xf numFmtId="3" fontId="31" fillId="0" borderId="24" xfId="0" applyNumberFormat="1" applyFont="1" applyBorder="1" applyAlignment="1">
      <alignment horizontal="left" indent="2"/>
    </xf>
    <xf numFmtId="0" fontId="33" fillId="0" borderId="24" xfId="0" applyNumberFormat="1" applyFont="1" applyBorder="1" applyAlignment="1">
      <alignment horizontal="center"/>
    </xf>
    <xf numFmtId="3" fontId="33" fillId="0" borderId="22" xfId="0" applyNumberFormat="1" applyFont="1" applyBorder="1" applyAlignment="1"/>
    <xf numFmtId="3" fontId="33" fillId="0" borderId="23" xfId="0" applyNumberFormat="1" applyFont="1" applyBorder="1" applyAlignment="1"/>
    <xf numFmtId="3" fontId="33" fillId="0" borderId="24" xfId="0" applyNumberFormat="1" applyFont="1" applyBorder="1" applyAlignment="1"/>
    <xf numFmtId="3" fontId="44" fillId="0" borderId="24" xfId="0" applyNumberFormat="1" applyFont="1" applyBorder="1" applyAlignment="1"/>
    <xf numFmtId="0" fontId="33" fillId="0" borderId="25" xfId="0" applyNumberFormat="1" applyFont="1" applyBorder="1" applyAlignment="1">
      <alignment horizontal="center"/>
    </xf>
    <xf numFmtId="3" fontId="33" fillId="0" borderId="25" xfId="0" applyNumberFormat="1" applyFont="1" applyBorder="1" applyAlignment="1"/>
    <xf numFmtId="3" fontId="30" fillId="0" borderId="22" xfId="0" applyNumberFormat="1" applyFont="1" applyBorder="1" applyAlignment="1">
      <alignment horizontal="right"/>
    </xf>
    <xf numFmtId="3" fontId="30" fillId="0" borderId="23" xfId="0" applyNumberFormat="1" applyFont="1" applyBorder="1" applyAlignment="1">
      <alignment horizontal="right"/>
    </xf>
    <xf numFmtId="0" fontId="31" fillId="0" borderId="25" xfId="0" applyNumberFormat="1" applyFont="1" applyBorder="1" applyAlignment="1">
      <alignment horizontal="left" indent="1"/>
    </xf>
    <xf numFmtId="0" fontId="4" fillId="5" borderId="0" xfId="0" applyFont="1" applyFill="1" applyBorder="1" applyAlignment="1" applyProtection="1">
      <alignment wrapText="1"/>
      <protection locked="0"/>
    </xf>
    <xf numFmtId="0" fontId="4" fillId="0" borderId="24" xfId="0" applyNumberFormat="1" applyFont="1" applyBorder="1" applyAlignment="1">
      <alignment wrapText="1"/>
    </xf>
    <xf numFmtId="167" fontId="4" fillId="0" borderId="0" xfId="0" applyNumberFormat="1" applyFont="1" applyBorder="1" applyAlignment="1">
      <alignment horizontal="center"/>
    </xf>
    <xf numFmtId="3" fontId="39" fillId="0" borderId="21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0" fontId="30" fillId="0" borderId="22" xfId="0" applyNumberFormat="1" applyFont="1" applyBorder="1" applyAlignment="1">
      <alignment horizontal="left" indent="2"/>
    </xf>
    <xf numFmtId="0" fontId="4" fillId="0" borderId="25" xfId="0" applyNumberFormat="1" applyFont="1" applyBorder="1" applyAlignment="1"/>
    <xf numFmtId="3" fontId="4" fillId="0" borderId="25" xfId="0" applyNumberFormat="1" applyFont="1" applyBorder="1" applyAlignment="1"/>
    <xf numFmtId="0" fontId="30" fillId="0" borderId="23" xfId="0" applyNumberFormat="1" applyFont="1" applyBorder="1" applyAlignment="1">
      <alignment horizontal="left" wrapText="1"/>
    </xf>
    <xf numFmtId="0" fontId="30" fillId="0" borderId="25" xfId="0" applyNumberFormat="1" applyFont="1" applyBorder="1" applyAlignment="1">
      <alignment horizontal="left" wrapText="1"/>
    </xf>
    <xf numFmtId="3" fontId="31" fillId="0" borderId="25" xfId="0" applyNumberFormat="1" applyFont="1" applyBorder="1" applyAlignment="1"/>
    <xf numFmtId="3" fontId="31" fillId="0" borderId="21" xfId="0" applyNumberFormat="1" applyFont="1" applyBorder="1" applyAlignment="1">
      <alignment horizontal="center"/>
    </xf>
    <xf numFmtId="0" fontId="33" fillId="0" borderId="23" xfId="0" applyNumberFormat="1" applyFont="1" applyBorder="1" applyAlignment="1">
      <alignment horizontal="left" indent="1"/>
    </xf>
    <xf numFmtId="3" fontId="44" fillId="0" borderId="25" xfId="0" applyNumberFormat="1" applyFont="1" applyBorder="1" applyAlignment="1"/>
    <xf numFmtId="0" fontId="39" fillId="0" borderId="24" xfId="0" applyNumberFormat="1" applyFont="1" applyBorder="1" applyAlignment="1">
      <alignment horizontal="left" indent="2"/>
    </xf>
    <xf numFmtId="0" fontId="39" fillId="0" borderId="24" xfId="0" applyNumberFormat="1" applyFont="1" applyBorder="1" applyAlignment="1">
      <alignment horizontal="center"/>
    </xf>
    <xf numFmtId="3" fontId="39" fillId="0" borderId="22" xfId="0" applyNumberFormat="1" applyFont="1" applyBorder="1" applyAlignment="1">
      <alignment horizontal="right"/>
    </xf>
    <xf numFmtId="3" fontId="39" fillId="0" borderId="23" xfId="0" applyNumberFormat="1" applyFont="1" applyBorder="1" applyAlignment="1">
      <alignment horizontal="right"/>
    </xf>
    <xf numFmtId="0" fontId="39" fillId="0" borderId="25" xfId="0" applyNumberFormat="1" applyFont="1" applyBorder="1" applyAlignment="1">
      <alignment horizontal="left" indent="2"/>
    </xf>
    <xf numFmtId="0" fontId="39" fillId="0" borderId="25" xfId="0" applyNumberFormat="1" applyFont="1" applyBorder="1" applyAlignment="1">
      <alignment horizontal="center"/>
    </xf>
    <xf numFmtId="0" fontId="39" fillId="0" borderId="24" xfId="0" applyNumberFormat="1" applyFont="1" applyBorder="1" applyAlignment="1"/>
    <xf numFmtId="0" fontId="31" fillId="0" borderId="24" xfId="0" applyNumberFormat="1" applyFont="1" applyBorder="1" applyAlignment="1">
      <alignment horizontal="left" indent="3"/>
    </xf>
    <xf numFmtId="3" fontId="31" fillId="0" borderId="22" xfId="0" applyNumberFormat="1" applyFont="1" applyBorder="1" applyAlignment="1">
      <alignment horizontal="right"/>
    </xf>
    <xf numFmtId="3" fontId="31" fillId="0" borderId="23" xfId="0" applyNumberFormat="1" applyFont="1" applyBorder="1" applyAlignment="1">
      <alignment horizontal="right"/>
    </xf>
    <xf numFmtId="0" fontId="31" fillId="0" borderId="25" xfId="0" applyNumberFormat="1" applyFont="1" applyBorder="1" applyAlignment="1">
      <alignment horizontal="left" indent="3"/>
    </xf>
    <xf numFmtId="0" fontId="39" fillId="0" borderId="24" xfId="0" applyNumberFormat="1" applyFont="1" applyBorder="1" applyAlignment="1">
      <alignment horizontal="left" wrapText="1" indent="1"/>
    </xf>
    <xf numFmtId="0" fontId="30" fillId="0" borderId="25" xfId="0" applyNumberFormat="1" applyFont="1" applyBorder="1" applyAlignment="1">
      <alignment horizontal="left" indent="2"/>
    </xf>
    <xf numFmtId="0" fontId="39" fillId="0" borderId="24" xfId="0" applyNumberFormat="1" applyFont="1" applyBorder="1" applyAlignment="1">
      <alignment horizontal="left" indent="1"/>
    </xf>
    <xf numFmtId="0" fontId="40" fillId="0" borderId="24" xfId="0" applyNumberFormat="1" applyFont="1" applyBorder="1" applyAlignment="1">
      <alignment horizontal="center"/>
    </xf>
    <xf numFmtId="10" fontId="4" fillId="0" borderId="22" xfId="0" applyNumberFormat="1" applyFont="1" applyBorder="1" applyAlignment="1">
      <alignment horizontal="center"/>
    </xf>
    <xf numFmtId="3" fontId="31" fillId="0" borderId="22" xfId="0" applyNumberFormat="1" applyFont="1" applyBorder="1" applyAlignment="1">
      <alignment horizontal="center"/>
    </xf>
    <xf numFmtId="3" fontId="31" fillId="0" borderId="23" xfId="0" applyNumberFormat="1" applyFont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39" fillId="0" borderId="23" xfId="0" applyNumberFormat="1" applyFont="1" applyBorder="1" applyAlignment="1">
      <alignment horizontal="center"/>
    </xf>
    <xf numFmtId="0" fontId="40" fillId="0" borderId="23" xfId="0" applyNumberFormat="1" applyFont="1" applyBorder="1" applyAlignment="1">
      <alignment horizontal="left" indent="2"/>
    </xf>
    <xf numFmtId="0" fontId="40" fillId="0" borderId="25" xfId="0" applyNumberFormat="1" applyFont="1" applyBorder="1" applyAlignment="1">
      <alignment horizontal="center"/>
    </xf>
    <xf numFmtId="2" fontId="40" fillId="0" borderId="23" xfId="0" applyNumberFormat="1" applyFont="1" applyBorder="1" applyAlignment="1">
      <alignment horizontal="right"/>
    </xf>
    <xf numFmtId="0" fontId="40" fillId="0" borderId="24" xfId="0" applyNumberFormat="1" applyFont="1" applyBorder="1" applyAlignment="1">
      <alignment horizontal="right"/>
    </xf>
    <xf numFmtId="0" fontId="45" fillId="0" borderId="24" xfId="0" applyNumberFormat="1" applyFont="1" applyBorder="1" applyAlignment="1">
      <alignment horizontal="center" wrapText="1"/>
    </xf>
    <xf numFmtId="0" fontId="45" fillId="0" borderId="25" xfId="0" applyNumberFormat="1" applyFont="1" applyBorder="1" applyAlignment="1">
      <alignment horizontal="center" wrapText="1"/>
    </xf>
    <xf numFmtId="0" fontId="30" fillId="0" borderId="24" xfId="0" applyNumberFormat="1" applyFont="1" applyBorder="1" applyAlignment="1">
      <alignment horizontal="center" vertical="center"/>
    </xf>
    <xf numFmtId="0" fontId="30" fillId="0" borderId="25" xfId="0" applyNumberFormat="1" applyFont="1" applyBorder="1" applyAlignment="1">
      <alignment horizontal="center" vertical="center"/>
    </xf>
    <xf numFmtId="3" fontId="43" fillId="0" borderId="22" xfId="0" applyNumberFormat="1" applyFont="1" applyBorder="1" applyAlignment="1">
      <alignment horizontal="right"/>
    </xf>
    <xf numFmtId="3" fontId="43" fillId="0" borderId="23" xfId="0" applyNumberFormat="1" applyFont="1" applyBorder="1" applyAlignment="1">
      <alignment horizontal="right"/>
    </xf>
    <xf numFmtId="0" fontId="33" fillId="0" borderId="24" xfId="0" applyNumberFormat="1" applyFont="1" applyBorder="1" applyAlignment="1">
      <alignment horizontal="center" vertical="center"/>
    </xf>
    <xf numFmtId="0" fontId="33" fillId="0" borderId="22" xfId="0" applyNumberFormat="1" applyFont="1" applyBorder="1" applyAlignment="1">
      <alignment horizontal="left" wrapText="1"/>
    </xf>
    <xf numFmtId="0" fontId="33" fillId="0" borderId="23" xfId="0" applyNumberFormat="1" applyFont="1" applyBorder="1" applyAlignment="1">
      <alignment horizontal="left" wrapText="1"/>
    </xf>
    <xf numFmtId="0" fontId="31" fillId="0" borderId="24" xfId="0" applyNumberFormat="1" applyFont="1" applyBorder="1" applyAlignment="1">
      <alignment horizontal="center" vertical="center"/>
    </xf>
    <xf numFmtId="3" fontId="31" fillId="0" borderId="25" xfId="0" applyNumberFormat="1" applyFont="1" applyBorder="1" applyAlignment="1">
      <alignment horizontal="right"/>
    </xf>
    <xf numFmtId="0" fontId="11" fillId="0" borderId="0" xfId="0" applyNumberFormat="1" applyFont="1" applyBorder="1" applyAlignment="1">
      <alignment horizontal="center"/>
    </xf>
    <xf numFmtId="3" fontId="40" fillId="0" borderId="0" xfId="0" applyNumberFormat="1" applyFont="1" applyBorder="1" applyAlignment="1">
      <alignment horizontal="right"/>
    </xf>
    <xf numFmtId="9" fontId="33" fillId="0" borderId="0" xfId="0" applyNumberFormat="1" applyFont="1" applyBorder="1" applyAlignment="1">
      <alignment horizontal="right"/>
    </xf>
    <xf numFmtId="0" fontId="40" fillId="0" borderId="25" xfId="0" applyNumberFormat="1" applyFont="1" applyBorder="1" applyAlignment="1">
      <alignment horizontal="left"/>
    </xf>
    <xf numFmtId="0" fontId="11" fillId="0" borderId="21" xfId="0" applyNumberFormat="1" applyFont="1" applyBorder="1" applyAlignment="1">
      <alignment horizontal="center"/>
    </xf>
    <xf numFmtId="0" fontId="40" fillId="0" borderId="24" xfId="0" applyNumberFormat="1" applyFont="1" applyBorder="1" applyAlignment="1">
      <alignment horizontal="center" vertical="center"/>
    </xf>
    <xf numFmtId="3" fontId="40" fillId="0" borderId="22" xfId="0" applyNumberFormat="1" applyFont="1" applyBorder="1" applyAlignment="1">
      <alignment horizontal="right"/>
    </xf>
    <xf numFmtId="3" fontId="40" fillId="0" borderId="23" xfId="0" applyNumberFormat="1" applyFont="1" applyBorder="1" applyAlignment="1">
      <alignment horizontal="right"/>
    </xf>
    <xf numFmtId="3" fontId="40" fillId="0" borderId="24" xfId="0" applyNumberFormat="1" applyFont="1" applyBorder="1" applyAlignment="1">
      <alignment horizontal="right"/>
    </xf>
    <xf numFmtId="0" fontId="40" fillId="0" borderId="25" xfId="0" applyNumberFormat="1" applyFont="1" applyBorder="1" applyAlignment="1">
      <alignment horizontal="center" vertical="center"/>
    </xf>
    <xf numFmtId="3" fontId="40" fillId="0" borderId="25" xfId="0" applyNumberFormat="1" applyFont="1" applyBorder="1" applyAlignment="1">
      <alignment horizontal="right"/>
    </xf>
    <xf numFmtId="3" fontId="30" fillId="0" borderId="22" xfId="0" applyNumberFormat="1" applyFont="1" applyBorder="1" applyAlignment="1">
      <alignment horizontal="right" vertical="center"/>
    </xf>
    <xf numFmtId="169" fontId="33" fillId="0" borderId="22" xfId="0" applyNumberFormat="1" applyFont="1" applyBorder="1" applyAlignment="1">
      <alignment horizontal="right"/>
    </xf>
    <xf numFmtId="169" fontId="33" fillId="0" borderId="23" xfId="0" applyNumberFormat="1" applyFont="1" applyBorder="1" applyAlignment="1">
      <alignment horizontal="right"/>
    </xf>
    <xf numFmtId="3" fontId="30" fillId="0" borderId="25" xfId="0" applyNumberFormat="1" applyFont="1" applyBorder="1" applyAlignment="1">
      <alignment horizontal="right" vertical="center"/>
    </xf>
    <xf numFmtId="169" fontId="33" fillId="0" borderId="25" xfId="0" applyNumberFormat="1" applyFont="1" applyBorder="1" applyAlignment="1">
      <alignment horizontal="right"/>
    </xf>
    <xf numFmtId="0" fontId="33" fillId="0" borderId="23" xfId="0" applyNumberFormat="1" applyFont="1" applyBorder="1" applyAlignment="1">
      <alignment horizontal="right"/>
    </xf>
    <xf numFmtId="0" fontId="33" fillId="0" borderId="24" xfId="0" applyNumberFormat="1" applyFont="1" applyBorder="1" applyAlignment="1">
      <alignment horizontal="right"/>
    </xf>
    <xf numFmtId="3" fontId="30" fillId="0" borderId="25" xfId="0" applyNumberFormat="1" applyFont="1" applyBorder="1" applyAlignment="1">
      <alignment horizontal="right"/>
    </xf>
    <xf numFmtId="4" fontId="33" fillId="0" borderId="23" xfId="0" applyNumberFormat="1" applyFont="1" applyBorder="1" applyAlignment="1">
      <alignment horizontal="right"/>
    </xf>
    <xf numFmtId="170" fontId="33" fillId="0" borderId="23" xfId="0" applyNumberFormat="1" applyFont="1" applyBorder="1" applyAlignment="1">
      <alignment horizontal="right"/>
    </xf>
    <xf numFmtId="170" fontId="33" fillId="0" borderId="24" xfId="0" applyNumberFormat="1" applyFont="1" applyBorder="1" applyAlignment="1">
      <alignment horizontal="right"/>
    </xf>
    <xf numFmtId="4" fontId="30" fillId="0" borderId="23" xfId="0" applyNumberFormat="1" applyFont="1" applyBorder="1" applyAlignment="1">
      <alignment horizontal="right"/>
    </xf>
    <xf numFmtId="4" fontId="30" fillId="0" borderId="24" xfId="0" applyNumberFormat="1" applyFont="1" applyBorder="1" applyAlignment="1">
      <alignment horizontal="right"/>
    </xf>
    <xf numFmtId="9" fontId="33" fillId="0" borderId="23" xfId="0" applyNumberFormat="1" applyFont="1" applyBorder="1" applyAlignment="1">
      <alignment horizontal="right"/>
    </xf>
    <xf numFmtId="9" fontId="33" fillId="0" borderId="24" xfId="0" applyNumberFormat="1" applyFont="1" applyBorder="1" applyAlignment="1">
      <alignment horizontal="right"/>
    </xf>
    <xf numFmtId="167" fontId="30" fillId="0" borderId="0" xfId="0" applyNumberFormat="1" applyFont="1" applyBorder="1" applyAlignment="1">
      <alignment horizontal="right"/>
    </xf>
    <xf numFmtId="170" fontId="31" fillId="0" borderId="0" xfId="0" applyNumberFormat="1" applyFont="1" applyBorder="1" applyAlignment="1">
      <alignment horizontal="center"/>
    </xf>
    <xf numFmtId="167" fontId="30" fillId="0" borderId="22" xfId="0" applyNumberFormat="1" applyFont="1" applyBorder="1" applyAlignment="1">
      <alignment horizontal="right"/>
    </xf>
    <xf numFmtId="167" fontId="30" fillId="0" borderId="23" xfId="0" applyNumberFormat="1" applyFont="1" applyBorder="1" applyAlignment="1">
      <alignment horizontal="right"/>
    </xf>
    <xf numFmtId="167" fontId="30" fillId="0" borderId="24" xfId="0" applyNumberFormat="1" applyFont="1" applyBorder="1" applyAlignment="1">
      <alignment horizontal="right"/>
    </xf>
    <xf numFmtId="167" fontId="30" fillId="0" borderId="25" xfId="0" applyNumberFormat="1" applyFont="1" applyBorder="1" applyAlignment="1">
      <alignment horizontal="right"/>
    </xf>
    <xf numFmtId="167" fontId="33" fillId="0" borderId="23" xfId="0" applyNumberFormat="1" applyFont="1" applyBorder="1" applyAlignment="1">
      <alignment horizontal="right"/>
    </xf>
    <xf numFmtId="167" fontId="33" fillId="0" borderId="24" xfId="0" applyNumberFormat="1" applyFont="1" applyBorder="1" applyAlignment="1">
      <alignment horizontal="right"/>
    </xf>
    <xf numFmtId="174" fontId="30" fillId="0" borderId="22" xfId="0" applyNumberFormat="1" applyFont="1" applyBorder="1" applyAlignment="1">
      <alignment horizontal="right"/>
    </xf>
    <xf numFmtId="174" fontId="30" fillId="0" borderId="25" xfId="0" applyNumberFormat="1" applyFont="1" applyBorder="1" applyAlignment="1">
      <alignment horizontal="right"/>
    </xf>
    <xf numFmtId="170" fontId="31" fillId="0" borderId="22" xfId="0" applyNumberFormat="1" applyFont="1" applyBorder="1" applyAlignment="1">
      <alignment horizontal="center"/>
    </xf>
    <xf numFmtId="170" fontId="31" fillId="0" borderId="23" xfId="0" applyNumberFormat="1" applyFont="1" applyBorder="1" applyAlignment="1">
      <alignment horizontal="center"/>
    </xf>
    <xf numFmtId="172" fontId="30" fillId="0" borderId="22" xfId="0" applyNumberFormat="1" applyFont="1" applyBorder="1" applyAlignment="1">
      <alignment horizontal="right"/>
    </xf>
    <xf numFmtId="172" fontId="30" fillId="0" borderId="23" xfId="0" applyNumberFormat="1" applyFont="1" applyBorder="1" applyAlignment="1">
      <alignment horizontal="right"/>
    </xf>
    <xf numFmtId="172" fontId="30" fillId="0" borderId="24" xfId="0" applyNumberFormat="1" applyFont="1" applyBorder="1" applyAlignment="1">
      <alignment horizontal="right"/>
    </xf>
    <xf numFmtId="172" fontId="30" fillId="0" borderId="25" xfId="0" applyNumberFormat="1" applyFont="1" applyBorder="1" applyAlignment="1">
      <alignment horizontal="right"/>
    </xf>
    <xf numFmtId="0" fontId="30" fillId="0" borderId="0" xfId="0" applyNumberFormat="1" applyFont="1" applyBorder="1" applyAlignment="1">
      <alignment horizontal="centerContinuous" vertical="center"/>
    </xf>
    <xf numFmtId="10" fontId="10" fillId="0" borderId="23" xfId="0" applyNumberFormat="1" applyFont="1" applyBorder="1" applyAlignment="1">
      <alignment horizontal="center"/>
    </xf>
    <xf numFmtId="3" fontId="46" fillId="0" borderId="24" xfId="0" applyNumberFormat="1" applyFont="1" applyBorder="1" applyAlignment="1"/>
    <xf numFmtId="0" fontId="31" fillId="0" borderId="25" xfId="0" applyNumberFormat="1" applyFont="1" applyBorder="1" applyAlignment="1">
      <alignment horizontal="center" vertical="center"/>
    </xf>
    <xf numFmtId="3" fontId="46" fillId="0" borderId="25" xfId="0" applyNumberFormat="1" applyFont="1" applyBorder="1" applyAlignment="1"/>
    <xf numFmtId="0" fontId="33" fillId="0" borderId="25" xfId="0" applyNumberFormat="1" applyFont="1" applyBorder="1" applyAlignment="1">
      <alignment horizontal="center" vertical="center"/>
    </xf>
    <xf numFmtId="167" fontId="10" fillId="0" borderId="22" xfId="0" applyNumberFormat="1" applyFont="1" applyBorder="1" applyAlignment="1">
      <alignment horizontal="center"/>
    </xf>
    <xf numFmtId="167" fontId="10" fillId="0" borderId="23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3" fontId="10" fillId="0" borderId="23" xfId="0" applyNumberFormat="1" applyFont="1" applyBorder="1" applyAlignment="1">
      <alignment horizontal="center"/>
    </xf>
    <xf numFmtId="167" fontId="4" fillId="0" borderId="23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center"/>
    </xf>
    <xf numFmtId="170" fontId="10" fillId="0" borderId="23" xfId="0" applyNumberFormat="1" applyFont="1" applyBorder="1" applyAlignment="1">
      <alignment horizontal="center"/>
    </xf>
    <xf numFmtId="168" fontId="47" fillId="0" borderId="22" xfId="0" applyNumberFormat="1" applyFont="1" applyBorder="1" applyAlignment="1"/>
    <xf numFmtId="168" fontId="47" fillId="0" borderId="25" xfId="0" applyNumberFormat="1" applyFont="1" applyBorder="1" applyAlignment="1"/>
    <xf numFmtId="0" fontId="47" fillId="0" borderId="0" xfId="0" applyNumberFormat="1" applyFont="1" applyBorder="1" applyAlignment="1"/>
    <xf numFmtId="3" fontId="48" fillId="0" borderId="22" xfId="0" applyNumberFormat="1" applyFont="1" applyBorder="1" applyAlignment="1"/>
    <xf numFmtId="3" fontId="49" fillId="0" borderId="25" xfId="0" applyNumberFormat="1" applyFont="1" applyBorder="1" applyAlignment="1"/>
    <xf numFmtId="3" fontId="47" fillId="0" borderId="22" xfId="0" applyNumberFormat="1" applyFont="1" applyBorder="1" applyAlignment="1"/>
    <xf numFmtId="3" fontId="50" fillId="0" borderId="25" xfId="0" applyNumberFormat="1" applyFont="1" applyBorder="1" applyAlignment="1"/>
    <xf numFmtId="3" fontId="47" fillId="0" borderId="23" xfId="0" applyNumberFormat="1" applyFont="1" applyBorder="1" applyAlignment="1"/>
    <xf numFmtId="3" fontId="50" fillId="0" borderId="24" xfId="0" applyNumberFormat="1" applyFont="1" applyBorder="1" applyAlignment="1"/>
    <xf numFmtId="3" fontId="47" fillId="0" borderId="0" xfId="0" applyNumberFormat="1" applyFont="1" applyBorder="1" applyAlignment="1"/>
    <xf numFmtId="3" fontId="48" fillId="0" borderId="0" xfId="0" applyNumberFormat="1" applyFont="1" applyBorder="1" applyAlignment="1"/>
    <xf numFmtId="3" fontId="47" fillId="0" borderId="25" xfId="0" applyNumberFormat="1" applyFont="1" applyBorder="1" applyAlignment="1"/>
    <xf numFmtId="3" fontId="47" fillId="0" borderId="24" xfId="0" applyNumberFormat="1" applyFont="1" applyBorder="1" applyAlignment="1"/>
    <xf numFmtId="4" fontId="33" fillId="0" borderId="0" xfId="0" applyNumberFormat="1" applyFont="1" applyBorder="1" applyAlignment="1"/>
    <xf numFmtId="0" fontId="33" fillId="0" borderId="23" xfId="0" applyNumberFormat="1" applyFont="1" applyBorder="1" applyAlignment="1">
      <alignment wrapText="1"/>
    </xf>
    <xf numFmtId="0" fontId="33" fillId="0" borderId="25" xfId="0" applyNumberFormat="1" applyFont="1" applyBorder="1" applyAlignment="1">
      <alignment wrapText="1"/>
    </xf>
    <xf numFmtId="0" fontId="33" fillId="0" borderId="23" xfId="0" applyNumberFormat="1" applyFont="1" applyBorder="1" applyAlignment="1"/>
    <xf numFmtId="0" fontId="33" fillId="0" borderId="22" xfId="0" applyNumberFormat="1" applyFont="1" applyBorder="1" applyAlignment="1">
      <alignment horizontal="center"/>
    </xf>
    <xf numFmtId="9" fontId="33" fillId="0" borderId="23" xfId="0" applyNumberFormat="1" applyFont="1" applyBorder="1" applyAlignment="1"/>
    <xf numFmtId="9" fontId="33" fillId="0" borderId="24" xfId="0" applyNumberFormat="1" applyFont="1" applyBorder="1" applyAlignment="1"/>
    <xf numFmtId="4" fontId="33" fillId="0" borderId="23" xfId="0" applyNumberFormat="1" applyFont="1" applyBorder="1" applyAlignment="1"/>
    <xf numFmtId="4" fontId="33" fillId="0" borderId="24" xfId="0" applyNumberFormat="1" applyFont="1" applyBorder="1" applyAlignment="1"/>
    <xf numFmtId="3" fontId="33" fillId="0" borderId="23" xfId="0" applyNumberFormat="1" applyFont="1" applyBorder="1" applyAlignment="1">
      <alignment horizontal="right"/>
    </xf>
    <xf numFmtId="3" fontId="33" fillId="0" borderId="24" xfId="0" applyNumberFormat="1" applyFont="1" applyBorder="1" applyAlignment="1">
      <alignment horizontal="right"/>
    </xf>
    <xf numFmtId="0" fontId="33" fillId="0" borderId="22" xfId="0" applyNumberFormat="1" applyFont="1" applyBorder="1" applyAlignment="1">
      <alignment horizontal="left" indent="1"/>
    </xf>
    <xf numFmtId="0" fontId="33" fillId="0" borderId="25" xfId="0" applyNumberFormat="1" applyFont="1" applyBorder="1" applyAlignment="1">
      <alignment horizontal="left" indent="1"/>
    </xf>
    <xf numFmtId="3" fontId="31" fillId="0" borderId="23" xfId="0" applyNumberFormat="1" applyFont="1" applyBorder="1" applyAlignment="1">
      <alignment horizontal="left" indent="2"/>
    </xf>
    <xf numFmtId="1" fontId="30" fillId="0" borderId="22" xfId="0" applyNumberFormat="1" applyFont="1" applyBorder="1" applyAlignment="1"/>
    <xf numFmtId="1" fontId="30" fillId="0" borderId="25" xfId="0" applyNumberFormat="1" applyFont="1" applyBorder="1" applyAlignment="1"/>
    <xf numFmtId="170" fontId="30" fillId="0" borderId="23" xfId="0" applyNumberFormat="1" applyFont="1" applyBorder="1" applyAlignment="1"/>
    <xf numFmtId="170" fontId="30" fillId="0" borderId="24" xfId="0" applyNumberFormat="1" applyFont="1" applyBorder="1" applyAlignment="1"/>
    <xf numFmtId="0" fontId="45" fillId="0" borderId="22" xfId="0" applyNumberFormat="1" applyFont="1" applyBorder="1" applyAlignment="1">
      <alignment horizontal="center" wrapText="1"/>
    </xf>
    <xf numFmtId="0" fontId="10" fillId="0" borderId="22" xfId="0" applyNumberFormat="1" applyFont="1" applyBorder="1" applyAlignment="1">
      <alignment horizontal="left" wrapText="1"/>
    </xf>
    <xf numFmtId="0" fontId="10" fillId="0" borderId="23" xfId="0" applyNumberFormat="1" applyFont="1" applyBorder="1" applyAlignment="1">
      <alignment horizontal="left" wrapText="1"/>
    </xf>
    <xf numFmtId="3" fontId="31" fillId="0" borderId="21" xfId="0" applyNumberFormat="1" applyFont="1" applyBorder="1" applyAlignment="1">
      <alignment horizontal="right"/>
    </xf>
    <xf numFmtId="3" fontId="31" fillId="0" borderId="22" xfId="0" applyNumberFormat="1" applyFont="1" applyBorder="1" applyAlignment="1">
      <alignment horizontal="right" wrapText="1"/>
    </xf>
    <xf numFmtId="3" fontId="31" fillId="0" borderId="23" xfId="0" applyNumberFormat="1" applyFont="1" applyBorder="1" applyAlignment="1">
      <alignment horizontal="right" wrapText="1"/>
    </xf>
    <xf numFmtId="0" fontId="30" fillId="0" borderId="22" xfId="0" applyNumberFormat="1" applyFont="1" applyBorder="1" applyAlignment="1">
      <alignment horizontal="left" wrapText="1"/>
    </xf>
    <xf numFmtId="0" fontId="40" fillId="0" borderId="23" xfId="0" applyNumberFormat="1" applyFont="1" applyBorder="1" applyAlignment="1">
      <alignment horizontal="left" wrapText="1"/>
    </xf>
    <xf numFmtId="1" fontId="30" fillId="0" borderId="23" xfId="0" applyNumberFormat="1" applyFont="1" applyBorder="1" applyAlignment="1">
      <alignment horizontal="center"/>
    </xf>
    <xf numFmtId="10" fontId="30" fillId="0" borderId="25" xfId="0" applyNumberFormat="1" applyFont="1" applyBorder="1" applyAlignment="1">
      <alignment horizontal="center"/>
    </xf>
    <xf numFmtId="9" fontId="39" fillId="0" borderId="23" xfId="0" applyNumberFormat="1" applyFont="1" applyBorder="1" applyAlignment="1">
      <alignment horizontal="center"/>
    </xf>
    <xf numFmtId="3" fontId="30" fillId="0" borderId="22" xfId="0" applyNumberFormat="1" applyFont="1" applyBorder="1" applyAlignment="1">
      <alignment horizontal="center"/>
    </xf>
    <xf numFmtId="0" fontId="31" fillId="0" borderId="25" xfId="0" applyNumberFormat="1" applyFont="1" applyBorder="1" applyAlignment="1">
      <alignment horizontal="left" indent="2"/>
    </xf>
    <xf numFmtId="168" fontId="30" fillId="0" borderId="22" xfId="0" applyNumberFormat="1" applyFont="1" applyBorder="1" applyAlignment="1"/>
    <xf numFmtId="168" fontId="30" fillId="0" borderId="25" xfId="0" applyNumberFormat="1" applyFont="1" applyBorder="1" applyAlignment="1"/>
    <xf numFmtId="0" fontId="31" fillId="0" borderId="22" xfId="0" applyNumberFormat="1" applyFont="1" applyBorder="1" applyAlignment="1">
      <alignment horizontal="left" indent="3"/>
    </xf>
    <xf numFmtId="0" fontId="31" fillId="0" borderId="23" xfId="0" applyNumberFormat="1" applyFont="1" applyBorder="1" applyAlignment="1">
      <alignment horizontal="left" indent="3"/>
    </xf>
    <xf numFmtId="0" fontId="51" fillId="0" borderId="27" xfId="3" applyFont="1" applyBorder="1"/>
    <xf numFmtId="0" fontId="1" fillId="0" borderId="0" xfId="0" applyFont="1" applyAlignment="1">
      <alignment horizontal="left" indent="3"/>
    </xf>
    <xf numFmtId="171" fontId="31" fillId="0" borderId="23" xfId="0" applyNumberFormat="1" applyFont="1" applyBorder="1" applyAlignment="1">
      <alignment horizontal="center"/>
    </xf>
    <xf numFmtId="171" fontId="2" fillId="0" borderId="0" xfId="0" applyNumberFormat="1" applyFont="1" applyAlignment="1">
      <alignment horizontal="center"/>
    </xf>
    <xf numFmtId="173" fontId="1" fillId="0" borderId="0" xfId="0" applyNumberFormat="1" applyFont="1"/>
    <xf numFmtId="0" fontId="2" fillId="0" borderId="0" xfId="0" applyNumberFormat="1" applyFont="1" applyBorder="1" applyAlignment="1"/>
    <xf numFmtId="4" fontId="30" fillId="0" borderId="24" xfId="0" applyNumberFormat="1" applyFont="1" applyBorder="1" applyAlignment="1"/>
    <xf numFmtId="0" fontId="3" fillId="0" borderId="25" xfId="0" applyNumberFormat="1" applyFont="1" applyBorder="1" applyAlignment="1"/>
    <xf numFmtId="0" fontId="3" fillId="0" borderId="23" xfId="0" applyNumberFormat="1" applyFont="1" applyBorder="1" applyAlignment="1">
      <alignment horizontal="left" wrapText="1" indent="1"/>
    </xf>
    <xf numFmtId="0" fontId="3" fillId="0" borderId="24" xfId="0" applyNumberFormat="1" applyFont="1" applyBorder="1" applyAlignment="1">
      <alignment horizontal="center"/>
    </xf>
    <xf numFmtId="3" fontId="4" fillId="0" borderId="0" xfId="1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left" wrapText="1" indent="2"/>
    </xf>
    <xf numFmtId="3" fontId="4" fillId="7" borderId="0" xfId="0" applyNumberFormat="1" applyFont="1" applyFill="1"/>
    <xf numFmtId="0" fontId="6" fillId="0" borderId="11" xfId="0" applyFont="1" applyFill="1" applyBorder="1" applyAlignment="1">
      <alignment wrapText="1"/>
    </xf>
    <xf numFmtId="0" fontId="6" fillId="0" borderId="8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center"/>
    </xf>
    <xf numFmtId="0" fontId="6" fillId="0" borderId="3" xfId="0" applyFont="1" applyFill="1" applyBorder="1"/>
    <xf numFmtId="0" fontId="1" fillId="0" borderId="13" xfId="0" applyFont="1" applyFill="1" applyBorder="1" applyAlignment="1">
      <alignment horizontal="left" wrapText="1" indent="1"/>
    </xf>
    <xf numFmtId="3" fontId="1" fillId="0" borderId="3" xfId="0" applyNumberFormat="1" applyFont="1" applyFill="1" applyBorder="1"/>
    <xf numFmtId="3" fontId="6" fillId="0" borderId="3" xfId="0" applyNumberFormat="1" applyFont="1" applyFill="1" applyBorder="1"/>
    <xf numFmtId="0" fontId="6" fillId="0" borderId="9" xfId="0" applyFont="1" applyFill="1" applyBorder="1" applyAlignment="1">
      <alignment wrapText="1"/>
    </xf>
    <xf numFmtId="3" fontId="6" fillId="0" borderId="1" xfId="0" applyNumberFormat="1" applyFont="1" applyFill="1" applyBorder="1" applyAlignment="1">
      <alignment horizontal="center"/>
    </xf>
    <xf numFmtId="3" fontId="6" fillId="0" borderId="7" xfId="0" applyNumberFormat="1" applyFont="1" applyFill="1" applyBorder="1"/>
    <xf numFmtId="3" fontId="6" fillId="0" borderId="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0" fontId="52" fillId="0" borderId="26" xfId="2" applyFont="1" applyBorder="1" applyAlignment="1">
      <alignment vertical="top"/>
    </xf>
    <xf numFmtId="0" fontId="52" fillId="0" borderId="26" xfId="2" applyFont="1" applyBorder="1" applyAlignment="1">
      <alignment vertical="top" wrapText="1"/>
    </xf>
    <xf numFmtId="0" fontId="52" fillId="0" borderId="27" xfId="2" applyFont="1" applyBorder="1" applyAlignment="1">
      <alignment wrapText="1"/>
    </xf>
    <xf numFmtId="0" fontId="52" fillId="0" borderId="27" xfId="2" applyFont="1" applyBorder="1"/>
    <xf numFmtId="170" fontId="6" fillId="0" borderId="0" xfId="0" applyNumberFormat="1" applyFont="1" applyFill="1"/>
    <xf numFmtId="2" fontId="1" fillId="0" borderId="0" xfId="0" applyNumberFormat="1" applyFont="1" applyFill="1" applyAlignment="1">
      <alignment horizontal="center"/>
    </xf>
    <xf numFmtId="0" fontId="6" fillId="0" borderId="1" xfId="0" applyFont="1" applyFill="1" applyBorder="1"/>
    <xf numFmtId="0" fontId="6" fillId="0" borderId="11" xfId="0" applyFont="1" applyFill="1" applyBorder="1" applyAlignment="1">
      <alignment vertical="center" wrapText="1"/>
    </xf>
    <xf numFmtId="3" fontId="6" fillId="0" borderId="7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indent="1"/>
    </xf>
    <xf numFmtId="0" fontId="6" fillId="0" borderId="13" xfId="0" applyFont="1" applyFill="1" applyBorder="1" applyAlignment="1">
      <alignment horizontal="left" wrapText="1" indent="1"/>
    </xf>
    <xf numFmtId="3" fontId="6" fillId="0" borderId="3" xfId="0" applyNumberFormat="1" applyFont="1" applyFill="1" applyBorder="1" applyAlignment="1">
      <alignment horizontal="right"/>
    </xf>
    <xf numFmtId="0" fontId="2" fillId="0" borderId="13" xfId="0" applyFont="1" applyFill="1" applyBorder="1" applyAlignment="1">
      <alignment horizontal="left" wrapText="1" indent="2"/>
    </xf>
    <xf numFmtId="3" fontId="14" fillId="0" borderId="3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/>
    </xf>
    <xf numFmtId="3" fontId="1" fillId="4" borderId="8" xfId="1" applyNumberFormat="1" applyFont="1" applyFill="1" applyBorder="1" applyAlignment="1">
      <alignment horizontal="center"/>
    </xf>
    <xf numFmtId="3" fontId="1" fillId="4" borderId="12" xfId="0" applyNumberFormat="1" applyFont="1" applyFill="1" applyBorder="1" applyAlignment="1">
      <alignment horizontal="center"/>
    </xf>
    <xf numFmtId="3" fontId="1" fillId="4" borderId="0" xfId="1" applyNumberFormat="1" applyFont="1" applyFill="1" applyBorder="1" applyAlignment="1">
      <alignment horizontal="center"/>
    </xf>
    <xf numFmtId="3" fontId="1" fillId="4" borderId="3" xfId="0" applyNumberFormat="1" applyFont="1" applyFill="1" applyBorder="1" applyAlignment="1">
      <alignment horizontal="center"/>
    </xf>
    <xf numFmtId="3" fontId="1" fillId="4" borderId="1" xfId="1" applyNumberFormat="1" applyFont="1" applyFill="1" applyBorder="1" applyAlignment="1">
      <alignment horizontal="center"/>
    </xf>
    <xf numFmtId="3" fontId="1" fillId="4" borderId="7" xfId="0" applyNumberFormat="1" applyFont="1" applyFill="1" applyBorder="1" applyAlignment="1">
      <alignment horizontal="center"/>
    </xf>
    <xf numFmtId="3" fontId="4" fillId="7" borderId="0" xfId="0" applyNumberFormat="1" applyFont="1" applyFill="1" applyAlignment="1" applyProtection="1">
      <alignment horizontal="center"/>
      <protection locked="0"/>
    </xf>
    <xf numFmtId="3" fontId="30" fillId="0" borderId="25" xfId="0" applyNumberFormat="1" applyFont="1" applyBorder="1" applyAlignment="1">
      <alignment horizontal="center" wrapText="1"/>
    </xf>
    <xf numFmtId="0" fontId="4" fillId="0" borderId="24" xfId="0" applyNumberFormat="1" applyFont="1" applyBorder="1" applyAlignment="1"/>
    <xf numFmtId="0" fontId="30" fillId="0" borderId="23" xfId="0" applyNumberFormat="1" applyFont="1" applyBorder="1" applyAlignment="1">
      <alignment horizontal="left" indent="3"/>
    </xf>
    <xf numFmtId="177" fontId="1" fillId="0" borderId="0" xfId="0" applyNumberFormat="1" applyFont="1" applyBorder="1"/>
    <xf numFmtId="177" fontId="1" fillId="0" borderId="0" xfId="0" applyNumberFormat="1" applyFont="1"/>
    <xf numFmtId="0" fontId="0" fillId="0" borderId="0" xfId="0" applyBorder="1"/>
    <xf numFmtId="177" fontId="30" fillId="0" borderId="0" xfId="0" applyNumberFormat="1" applyFont="1" applyBorder="1" applyAlignment="1"/>
    <xf numFmtId="0" fontId="37" fillId="8" borderId="0" xfId="0" applyNumberFormat="1" applyFont="1" applyFill="1" applyBorder="1" applyAlignment="1">
      <alignment horizontal="left" vertical="center" wrapText="1" indent="3"/>
    </xf>
    <xf numFmtId="0" fontId="37" fillId="8" borderId="0" xfId="0" applyNumberFormat="1" applyFont="1" applyFill="1" applyBorder="1" applyAlignment="1">
      <alignment horizontal="left" vertical="center" indent="3"/>
    </xf>
    <xf numFmtId="0" fontId="37" fillId="8" borderId="0" xfId="0" applyNumberFormat="1" applyFont="1" applyFill="1" applyBorder="1" applyAlignment="1">
      <alignment horizontal="center" vertical="center"/>
    </xf>
    <xf numFmtId="3" fontId="4" fillId="0" borderId="23" xfId="0" applyNumberFormat="1" applyFont="1" applyBorder="1" applyAlignment="1">
      <alignment horizontal="right"/>
    </xf>
    <xf numFmtId="167" fontId="4" fillId="0" borderId="22" xfId="0" applyNumberFormat="1" applyFont="1" applyBorder="1" applyAlignment="1">
      <alignment horizontal="center"/>
    </xf>
    <xf numFmtId="167" fontId="4" fillId="0" borderId="22" xfId="0" applyNumberFormat="1" applyFont="1" applyBorder="1" applyAlignment="1">
      <alignment horizontal="right"/>
    </xf>
    <xf numFmtId="167" fontId="4" fillId="0" borderId="25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right"/>
    </xf>
    <xf numFmtId="0" fontId="6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2" fontId="4" fillId="5" borderId="0" xfId="1" applyNumberFormat="1" applyFont="1" applyFill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 wrapText="1" indent="3"/>
    </xf>
    <xf numFmtId="0" fontId="37" fillId="8" borderId="0" xfId="0" applyNumberFormat="1" applyFont="1" applyFill="1" applyBorder="1" applyAlignment="1">
      <alignment vertical="center" wrapText="1"/>
    </xf>
    <xf numFmtId="167" fontId="4" fillId="0" borderId="23" xfId="0" applyNumberFormat="1" applyFont="1" applyBorder="1" applyAlignment="1">
      <alignment horizontal="right"/>
    </xf>
    <xf numFmtId="167" fontId="4" fillId="0" borderId="24" xfId="0" applyNumberFormat="1" applyFont="1" applyBorder="1" applyAlignment="1">
      <alignment horizontal="right"/>
    </xf>
    <xf numFmtId="0" fontId="30" fillId="0" borderId="22" xfId="0" applyNumberFormat="1" applyFont="1" applyBorder="1" applyAlignment="1">
      <alignment wrapText="1"/>
    </xf>
    <xf numFmtId="167" fontId="31" fillId="0" borderId="22" xfId="0" applyNumberFormat="1" applyFont="1" applyBorder="1" applyAlignment="1"/>
    <xf numFmtId="167" fontId="31" fillId="0" borderId="25" xfId="0" applyNumberFormat="1" applyFont="1" applyBorder="1" applyAlignment="1"/>
    <xf numFmtId="164" fontId="1" fillId="0" borderId="0" xfId="0" applyNumberFormat="1" applyFont="1" applyFill="1"/>
    <xf numFmtId="0" fontId="6" fillId="0" borderId="4" xfId="0" applyFont="1" applyFill="1" applyBorder="1" applyAlignment="1">
      <alignment horizontal="center"/>
    </xf>
    <xf numFmtId="3" fontId="10" fillId="0" borderId="0" xfId="1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3" fontId="4" fillId="5" borderId="0" xfId="0" applyNumberFormat="1" applyFont="1" applyFill="1" applyAlignment="1" applyProtection="1">
      <alignment horizontal="left" vertical="center" wrapText="1"/>
      <protection locked="0"/>
    </xf>
    <xf numFmtId="3" fontId="4" fillId="5" borderId="0" xfId="0" applyNumberFormat="1" applyFont="1" applyFill="1" applyAlignment="1" applyProtection="1">
      <alignment horizontal="left" vertical="center"/>
      <protection locked="0"/>
    </xf>
    <xf numFmtId="0" fontId="1" fillId="4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26" fillId="0" borderId="0" xfId="2" applyFont="1" applyAlignment="1">
      <alignment horizontal="left" vertical="top" wrapText="1"/>
    </xf>
    <xf numFmtId="0" fontId="27" fillId="0" borderId="0" xfId="2" applyFont="1" applyAlignment="1">
      <alignment horizontal="left" vertical="center"/>
    </xf>
  </cellXfs>
  <cellStyles count="6">
    <cellStyle name="Гиперссылка" xfId="3" builtinId="8"/>
    <cellStyle name="Обычный" xfId="0" builtinId="0"/>
    <cellStyle name="Обычный 2" xfId="2" xr:uid="{00000000-0005-0000-0000-000002000000}"/>
    <cellStyle name="Обычный 3" xfId="4" xr:uid="{00000000-0005-0000-0000-000003000000}"/>
    <cellStyle name="Процентный" xfId="1" builtinId="5"/>
    <cellStyle name="Финансовый" xfId="5" builtinId="3"/>
  </cellStyles>
  <dxfs count="8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FF0000"/>
      </font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theme="1" tint="0.34998626667073579"/>
      </font>
      <fill>
        <patternFill>
          <bgColor rgb="FFF7F3E9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4A69C"/>
      <color rgb="FFADD0A4"/>
      <color rgb="FFFCEAD8"/>
      <color rgb="FFFAF4DA"/>
      <color rgb="FFCEE4D2"/>
      <color rgb="FFD8EBCB"/>
      <color rgb="FFE3D9B3"/>
      <color rgb="FFEAE8C8"/>
      <color rgb="FFE4F7DD"/>
      <color rgb="FFCDD9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50483550745331E-2"/>
          <c:y val="4.4579533941236066E-2"/>
          <c:w val="0.91257582346778265"/>
          <c:h val="0.804667608038356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'Таб. 18'!$D$1:$M$1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18'!$D$10:$M$10</c:f>
              <c:numCache>
                <c:formatCode>#,##0</c:formatCode>
                <c:ptCount val="10"/>
                <c:pt idx="0">
                  <c:v>14500</c:v>
                </c:pt>
                <c:pt idx="1">
                  <c:v>14500</c:v>
                </c:pt>
                <c:pt idx="2">
                  <c:v>21720</c:v>
                </c:pt>
                <c:pt idx="3">
                  <c:v>25330</c:v>
                </c:pt>
                <c:pt idx="4">
                  <c:v>80580</c:v>
                </c:pt>
                <c:pt idx="5">
                  <c:v>80580</c:v>
                </c:pt>
                <c:pt idx="6">
                  <c:v>80580</c:v>
                </c:pt>
                <c:pt idx="7">
                  <c:v>80580</c:v>
                </c:pt>
                <c:pt idx="8">
                  <c:v>80580</c:v>
                </c:pt>
                <c:pt idx="9">
                  <c:v>80580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3-486F-925B-DACC9F1BA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00987392"/>
        <c:axId val="300987784"/>
      </c:barChart>
      <c:catAx>
        <c:axId val="30098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0987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098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098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Графики_УК!$C$242</c:f>
              <c:strCache>
                <c:ptCount val="1"/>
                <c:pt idx="0">
                  <c:v>К ставкам аренды и тарифам УК для резидентов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Графики_УК!$D$242:$J$242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Графики_УК!$D$243:$J$243</c:f>
              <c:numCache>
                <c:formatCode>0%</c:formatCode>
                <c:ptCount val="7"/>
                <c:pt idx="0">
                  <c:v>7.8282581387759897E-2</c:v>
                </c:pt>
                <c:pt idx="1">
                  <c:v>8.9836975134995445E-2</c:v>
                </c:pt>
                <c:pt idx="2">
                  <c:v>0.10142681567410783</c:v>
                </c:pt>
                <c:pt idx="3">
                  <c:v>0.11330118433313929</c:v>
                </c:pt>
                <c:pt idx="4">
                  <c:v>0.12514862380423142</c:v>
                </c:pt>
                <c:pt idx="5">
                  <c:v>0.13692901915848088</c:v>
                </c:pt>
                <c:pt idx="6">
                  <c:v>0.14864920779563673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8-47DC-ABF2-A6123D453969}"/>
            </c:ext>
          </c:extLst>
        </c:ser>
        <c:ser>
          <c:idx val="1"/>
          <c:order val="1"/>
          <c:tx>
            <c:strRef>
              <c:f>Графики_УК!$C$245</c:f>
              <c:strCache>
                <c:ptCount val="1"/>
                <c:pt idx="0">
                  <c:v>К заполненности площадей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Графики_УК!$D$242:$J$242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Графики_УК!$D$246:$J$246</c:f>
              <c:numCache>
                <c:formatCode>0%</c:formatCode>
                <c:ptCount val="7"/>
                <c:pt idx="0">
                  <c:v>0.11330118433313929</c:v>
                </c:pt>
                <c:pt idx="1">
                  <c:v>0.11330118433313929</c:v>
                </c:pt>
                <c:pt idx="2">
                  <c:v>0.11330118433313929</c:v>
                </c:pt>
                <c:pt idx="3">
                  <c:v>0.11330118433313929</c:v>
                </c:pt>
                <c:pt idx="4">
                  <c:v>0.11330118433313929</c:v>
                </c:pt>
                <c:pt idx="5">
                  <c:v>0.11330118433313929</c:v>
                </c:pt>
                <c:pt idx="6">
                  <c:v>0.11330118433313929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8-47DC-ABF2-A6123D453969}"/>
            </c:ext>
          </c:extLst>
        </c:ser>
        <c:ser>
          <c:idx val="2"/>
          <c:order val="2"/>
          <c:tx>
            <c:strRef>
              <c:f>Графики_УК!$C$248</c:f>
              <c:strCache>
                <c:ptCount val="1"/>
                <c:pt idx="0">
                  <c:v>К ценам продажи площадей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Графики_УК!$D$242:$J$242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Графики_УК!$D$249:$J$249</c:f>
              <c:numCache>
                <c:formatCode>0%</c:formatCode>
                <c:ptCount val="7"/>
                <c:pt idx="0">
                  <c:v>0.11933980587365589</c:v>
                </c:pt>
                <c:pt idx="1">
                  <c:v>0.11735455817291873</c:v>
                </c:pt>
                <c:pt idx="2">
                  <c:v>0.11534196711259037</c:v>
                </c:pt>
                <c:pt idx="3">
                  <c:v>0.11330118433313929</c:v>
                </c:pt>
                <c:pt idx="4">
                  <c:v>0.1112313195625847</c:v>
                </c:pt>
                <c:pt idx="5">
                  <c:v>0.10913143773661838</c:v>
                </c:pt>
                <c:pt idx="6">
                  <c:v>0.10700055586272095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88-47DC-ABF2-A6123D453969}"/>
            </c:ext>
          </c:extLst>
        </c:ser>
        <c:ser>
          <c:idx val="3"/>
          <c:order val="3"/>
          <c:tx>
            <c:strRef>
              <c:f>Графики_УК!$C$251</c:f>
              <c:strCache>
                <c:ptCount val="1"/>
                <c:pt idx="0">
                  <c:v>К операционным издержкам УК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Графики_УК!$D$242:$J$242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Графики_УК!$D$252:$J$252</c:f>
              <c:numCache>
                <c:formatCode>0%</c:formatCode>
                <c:ptCount val="7"/>
                <c:pt idx="0">
                  <c:v>0.11330118433313929</c:v>
                </c:pt>
                <c:pt idx="1">
                  <c:v>0.11330118433313929</c:v>
                </c:pt>
                <c:pt idx="2">
                  <c:v>0.11330118433313929</c:v>
                </c:pt>
                <c:pt idx="3">
                  <c:v>0.11330118433313929</c:v>
                </c:pt>
                <c:pt idx="4">
                  <c:v>0.11330118433313929</c:v>
                </c:pt>
                <c:pt idx="5">
                  <c:v>0.11330118433313929</c:v>
                </c:pt>
                <c:pt idx="6">
                  <c:v>0.11330118433313929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88-47DC-ABF2-A6123D453969}"/>
            </c:ext>
          </c:extLst>
        </c:ser>
        <c:ser>
          <c:idx val="4"/>
          <c:order val="4"/>
          <c:tx>
            <c:strRef>
              <c:f>Графики_УК!$C$254</c:f>
              <c:strCache>
                <c:ptCount val="1"/>
                <c:pt idx="0">
                  <c:v>К размеру инвестиций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Графики_УК!$D$242:$J$242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Графики_УК!$D$255:$J$255</c:f>
              <c:numCache>
                <c:formatCode>0%</c:formatCode>
                <c:ptCount val="7"/>
                <c:pt idx="0">
                  <c:v>0.11330118433313929</c:v>
                </c:pt>
                <c:pt idx="1">
                  <c:v>0.11330118433313929</c:v>
                </c:pt>
                <c:pt idx="2">
                  <c:v>0.11330118433313929</c:v>
                </c:pt>
                <c:pt idx="3">
                  <c:v>0.11330118433313929</c:v>
                </c:pt>
                <c:pt idx="4">
                  <c:v>0.11330118433313929</c:v>
                </c:pt>
                <c:pt idx="5">
                  <c:v>0.11330118433313929</c:v>
                </c:pt>
                <c:pt idx="6">
                  <c:v>0.11330118433313929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88-47DC-ABF2-A6123D453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6109768"/>
        <c:axId val="306110160"/>
      </c:lineChart>
      <c:catAx>
        <c:axId val="306109768"/>
        <c:scaling>
          <c:orientation val="minMax"/>
        </c:scaling>
        <c:delete val="0"/>
        <c:axPos val="b"/>
        <c:title>
          <c:tx>
            <c:strRef>
              <c:f>Графики_УК!$C$240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089891166078161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110160"/>
        <c:crosses val="autoZero"/>
        <c:auto val="1"/>
        <c:lblAlgn val="ctr"/>
        <c:lblOffset val="100"/>
        <c:noMultiLvlLbl val="0"/>
      </c:catAx>
      <c:valAx>
        <c:axId val="3061101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IRR</a:t>
                </a:r>
                <a:r>
                  <a:rPr lang="ru-RU"/>
                  <a:t>,</a:t>
                </a:r>
                <a:r>
                  <a:rPr lang="ru-RU" baseline="0"/>
                  <a:t> </a:t>
                </a:r>
                <a:r>
                  <a:rPr lang="en-US" baseline="0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109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60303052242318"/>
          <c:y val="0.17907665797094513"/>
          <c:w val="0.20992506267877811"/>
          <c:h val="0.5688980366815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Графики_УК!$C$268</c:f>
              <c:strCache>
                <c:ptCount val="1"/>
                <c:pt idx="0">
                  <c:v>К ставкам аренды и тарифам УК для резидентов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Графики_УК!$D$268:$J$268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Графики_УК!$D$269:$J$269</c:f>
              <c:numCache>
                <c:formatCode>#\ ##0.0</c:formatCode>
                <c:ptCount val="7"/>
                <c:pt idx="0">
                  <c:v>#N/A</c:v>
                </c:pt>
                <c:pt idx="1">
                  <c:v>9.2194347708682827</c:v>
                </c:pt>
                <c:pt idx="2">
                  <c:v>9.5426469799363201</c:v>
                </c:pt>
                <c:pt idx="3">
                  <c:v>9.1618965229894886</c:v>
                </c:pt>
                <c:pt idx="4">
                  <c:v>9.1375295051527843</c:v>
                </c:pt>
                <c:pt idx="5">
                  <c:v>9.1147125940205136</c:v>
                </c:pt>
                <c:pt idx="6">
                  <c:v>9.0921478833405072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9-4EA3-8829-77F1EAB6111C}"/>
            </c:ext>
          </c:extLst>
        </c:ser>
        <c:ser>
          <c:idx val="1"/>
          <c:order val="1"/>
          <c:tx>
            <c:strRef>
              <c:f>Графики_УК!$C$271</c:f>
              <c:strCache>
                <c:ptCount val="1"/>
                <c:pt idx="0">
                  <c:v>К заполненности площадей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Графики_УК!$D$268:$J$268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Графики_УК!$D$272:$J$272</c:f>
              <c:numCache>
                <c:formatCode>#\ ##0.0</c:formatCode>
                <c:ptCount val="7"/>
                <c:pt idx="0">
                  <c:v>9.1618965229894886</c:v>
                </c:pt>
                <c:pt idx="1">
                  <c:v>9.1618965229894886</c:v>
                </c:pt>
                <c:pt idx="2">
                  <c:v>9.1618965229894886</c:v>
                </c:pt>
                <c:pt idx="3">
                  <c:v>9.1618965229894886</c:v>
                </c:pt>
                <c:pt idx="4">
                  <c:v>9.1618965229894886</c:v>
                </c:pt>
                <c:pt idx="5">
                  <c:v>9.1618965229894886</c:v>
                </c:pt>
                <c:pt idx="6">
                  <c:v>9.1618965229894886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9-4EA3-8829-77F1EAB6111C}"/>
            </c:ext>
          </c:extLst>
        </c:ser>
        <c:ser>
          <c:idx val="2"/>
          <c:order val="2"/>
          <c:tx>
            <c:strRef>
              <c:f>Графики_УК!$C$274</c:f>
              <c:strCache>
                <c:ptCount val="1"/>
                <c:pt idx="0">
                  <c:v>К ценам продажи площадей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Графики_УК!$D$268:$J$268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Графики_УК!$D$275:$J$275</c:f>
              <c:numCache>
                <c:formatCode>#\ ##0.0</c:formatCode>
                <c:ptCount val="7"/>
                <c:pt idx="0">
                  <c:v>9.1610544279296366</c:v>
                </c:pt>
                <c:pt idx="1">
                  <c:v>9.1613351296360523</c:v>
                </c:pt>
                <c:pt idx="2">
                  <c:v>9.1616158279893156</c:v>
                </c:pt>
                <c:pt idx="3">
                  <c:v>9.1618965229894886</c:v>
                </c:pt>
                <c:pt idx="4">
                  <c:v>9.1621772146366336</c:v>
                </c:pt>
                <c:pt idx="5">
                  <c:v>9.1624579029308091</c:v>
                </c:pt>
                <c:pt idx="6">
                  <c:v>9.1627385878720737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9-4EA3-8829-77F1EAB6111C}"/>
            </c:ext>
          </c:extLst>
        </c:ser>
        <c:ser>
          <c:idx val="3"/>
          <c:order val="3"/>
          <c:tx>
            <c:strRef>
              <c:f>Графики_УК!$C$277</c:f>
              <c:strCache>
                <c:ptCount val="1"/>
                <c:pt idx="0">
                  <c:v>К операционным издержкам УК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Графики_УК!$D$268:$J$268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Графики_УК!$D$278:$J$278</c:f>
              <c:numCache>
                <c:formatCode>#\ ##0.0</c:formatCode>
                <c:ptCount val="7"/>
                <c:pt idx="0">
                  <c:v>9.1618965229894886</c:v>
                </c:pt>
                <c:pt idx="1">
                  <c:v>9.1618965229894886</c:v>
                </c:pt>
                <c:pt idx="2">
                  <c:v>9.1618965229894886</c:v>
                </c:pt>
                <c:pt idx="3">
                  <c:v>9.1618965229894886</c:v>
                </c:pt>
                <c:pt idx="4">
                  <c:v>9.1618965229894886</c:v>
                </c:pt>
                <c:pt idx="5">
                  <c:v>9.1618965229894886</c:v>
                </c:pt>
                <c:pt idx="6">
                  <c:v>9.1618965229894886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19-4EA3-8829-77F1EAB6111C}"/>
            </c:ext>
          </c:extLst>
        </c:ser>
        <c:ser>
          <c:idx val="4"/>
          <c:order val="4"/>
          <c:tx>
            <c:strRef>
              <c:f>Графики_УК!$C$280</c:f>
              <c:strCache>
                <c:ptCount val="1"/>
                <c:pt idx="0">
                  <c:v>К размеру инвестиций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Графики_УК!$D$268:$J$268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Графики_УК!$D$281:$J$281</c:f>
              <c:numCache>
                <c:formatCode>#\ ##0.0</c:formatCode>
                <c:ptCount val="7"/>
                <c:pt idx="0">
                  <c:v>9.1618965229894886</c:v>
                </c:pt>
                <c:pt idx="1">
                  <c:v>9.1618965229894886</c:v>
                </c:pt>
                <c:pt idx="2">
                  <c:v>9.1618965229894886</c:v>
                </c:pt>
                <c:pt idx="3">
                  <c:v>9.1618965229894886</c:v>
                </c:pt>
                <c:pt idx="4">
                  <c:v>9.1618965229894886</c:v>
                </c:pt>
                <c:pt idx="5">
                  <c:v>9.1618965229894886</c:v>
                </c:pt>
                <c:pt idx="6">
                  <c:v>9.1618965229894886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9-4EA3-8829-77F1EAB61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6110944"/>
        <c:axId val="306111336"/>
      </c:lineChart>
      <c:catAx>
        <c:axId val="306110944"/>
        <c:scaling>
          <c:orientation val="minMax"/>
        </c:scaling>
        <c:delete val="0"/>
        <c:axPos val="b"/>
        <c:title>
          <c:tx>
            <c:strRef>
              <c:f>Графики_УК!$C$266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46442294605813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111336"/>
        <c:crosses val="autoZero"/>
        <c:auto val="1"/>
        <c:lblAlgn val="ctr"/>
        <c:lblOffset val="100"/>
        <c:noMultiLvlLbl val="0"/>
      </c:catAx>
      <c:valAx>
        <c:axId val="306111336"/>
        <c:scaling>
          <c:orientation val="minMax"/>
        </c:scaling>
        <c:delete val="0"/>
        <c:axPos val="l"/>
        <c:title>
          <c:tx>
            <c:strRef>
              <c:f>Графики_УК!$J$263</c:f>
              <c:strCache>
                <c:ptCount val="1"/>
                <c:pt idx="0">
                  <c:v>DPBP, лет / year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11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198505382272352"/>
          <c:y val="0.18312934287469385"/>
          <c:w val="0.22116101607817745"/>
          <c:h val="0.49189702351035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Графики_УК!$C$297</c:f>
          <c:strCache>
            <c:ptCount val="1"/>
            <c:pt idx="0">
              <c:v>Ставка дисконтирования </c:v>
            </c:pt>
          </c:strCache>
        </c:strRef>
      </c:tx>
      <c:layout>
        <c:manualLayout>
          <c:xMode val="edge"/>
          <c:yMode val="edge"/>
          <c:x val="0.76625928717165248"/>
          <c:y val="0.911854103343465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Графики_УК!$C$295</c:f>
              <c:strCache>
                <c:ptCount val="1"/>
                <c:pt idx="0">
                  <c:v>К ставке дисконтирования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Графики_УК!$D$295:$J$295</c:f>
              <c:numCache>
                <c:formatCode>0.0%</c:formatCode>
                <c:ptCount val="7"/>
                <c:pt idx="0">
                  <c:v>7.0898552293001363E-2</c:v>
                </c:pt>
                <c:pt idx="1">
                  <c:v>8.1026916906287272E-2</c:v>
                </c:pt>
                <c:pt idx="2">
                  <c:v>9.1155281519573167E-2</c:v>
                </c:pt>
                <c:pt idx="3">
                  <c:v>0.10128364613285908</c:v>
                </c:pt>
                <c:pt idx="4">
                  <c:v>0.11141201074614498</c:v>
                </c:pt>
                <c:pt idx="5">
                  <c:v>0.12154037535943091</c:v>
                </c:pt>
                <c:pt idx="6">
                  <c:v>0.13166873997271683</c:v>
                </c:pt>
              </c:numCache>
            </c:numRef>
          </c:cat>
          <c:val>
            <c:numRef>
              <c:f>Графики_УК!$D$296:$J$296</c:f>
              <c:numCache>
                <c:formatCode>#\ ##0.0</c:formatCode>
                <c:ptCount val="7"/>
                <c:pt idx="0">
                  <c:v>1403024.0176785155</c:v>
                </c:pt>
                <c:pt idx="1">
                  <c:v>1046571.7893494759</c:v>
                </c:pt>
                <c:pt idx="2">
                  <c:v>719991.15337593562</c:v>
                </c:pt>
                <c:pt idx="3">
                  <c:v>420654.86896252848</c:v>
                </c:pt>
                <c:pt idx="4">
                  <c:v>146186.48132832779</c:v>
                </c:pt>
                <c:pt idx="5">
                  <c:v>-105565.63486263245</c:v>
                </c:pt>
                <c:pt idx="6">
                  <c:v>-336551.33687872905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2-4895-90F0-85A3B64C6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6451064"/>
        <c:axId val="306451456"/>
      </c:lineChart>
      <c:catAx>
        <c:axId val="306451064"/>
        <c:scaling>
          <c:orientation val="minMax"/>
        </c:scaling>
        <c:delete val="0"/>
        <c:axPos val="b"/>
        <c:title>
          <c:tx>
            <c:strRef>
              <c:f>Графики_УК!$C$293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7026220616028118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451456"/>
        <c:crosses val="autoZero"/>
        <c:auto val="1"/>
        <c:lblAlgn val="ctr"/>
        <c:lblOffset val="100"/>
        <c:noMultiLvlLbl val="0"/>
      </c:catAx>
      <c:valAx>
        <c:axId val="306451456"/>
        <c:scaling>
          <c:orientation val="minMax"/>
        </c:scaling>
        <c:delete val="0"/>
        <c:axPos val="l"/>
        <c:title>
          <c:tx>
            <c:strRef>
              <c:f>Графики_УК!$J$290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451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0.16160128920055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Графики_УК!$C$323</c:f>
          <c:strCache>
            <c:ptCount val="1"/>
            <c:pt idx="0">
              <c:v>Ставка дисконтирования </c:v>
            </c:pt>
          </c:strCache>
        </c:strRef>
      </c:tx>
      <c:layout>
        <c:manualLayout>
          <c:xMode val="edge"/>
          <c:yMode val="edge"/>
          <c:x val="0.7711938170996171"/>
          <c:y val="0.91590678824721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Графики_УК!$C$321</c:f>
              <c:strCache>
                <c:ptCount val="1"/>
                <c:pt idx="0">
                  <c:v>К ставке дисконтирования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Графики_УК!$D$321:$J$321</c:f>
              <c:numCache>
                <c:formatCode>0.0%</c:formatCode>
                <c:ptCount val="7"/>
                <c:pt idx="0">
                  <c:v>7.0898552293001363E-2</c:v>
                </c:pt>
                <c:pt idx="1">
                  <c:v>8.1026916906287272E-2</c:v>
                </c:pt>
                <c:pt idx="2">
                  <c:v>9.1155281519573167E-2</c:v>
                </c:pt>
                <c:pt idx="3">
                  <c:v>0.10128364613285908</c:v>
                </c:pt>
                <c:pt idx="4">
                  <c:v>0.11141201074614498</c:v>
                </c:pt>
                <c:pt idx="5">
                  <c:v>0.12154037535943091</c:v>
                </c:pt>
                <c:pt idx="6">
                  <c:v>0.13166873997271683</c:v>
                </c:pt>
              </c:numCache>
            </c:numRef>
          </c:cat>
          <c:val>
            <c:numRef>
              <c:f>Графики_УК!$D$322:$J$322</c:f>
              <c:numCache>
                <c:formatCode>#\ ##0.0</c:formatCode>
                <c:ptCount val="7"/>
                <c:pt idx="0">
                  <c:v>9.1118016671453272</c:v>
                </c:pt>
                <c:pt idx="1">
                  <c:v>9.1274122232212473</c:v>
                </c:pt>
                <c:pt idx="2">
                  <c:v>9.144091880489432</c:v>
                </c:pt>
                <c:pt idx="3">
                  <c:v>9.1618965229894886</c:v>
                </c:pt>
                <c:pt idx="4">
                  <c:v>9.1808843958378912</c:v>
                </c:pt>
                <c:pt idx="5">
                  <c:v>9.201116185222256</c:v>
                </c:pt>
                <c:pt idx="6">
                  <c:v>9.2226551004893373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1-4526-BA8C-A4005FEBE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6452240"/>
        <c:axId val="306452632"/>
      </c:lineChart>
      <c:catAx>
        <c:axId val="306452240"/>
        <c:scaling>
          <c:orientation val="minMax"/>
        </c:scaling>
        <c:delete val="0"/>
        <c:axPos val="b"/>
        <c:title>
          <c:tx>
            <c:strRef>
              <c:f>Графики_УК!$C$319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651688836048126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452632"/>
        <c:crosses val="autoZero"/>
        <c:auto val="1"/>
        <c:lblAlgn val="ctr"/>
        <c:lblOffset val="100"/>
        <c:noMultiLvlLbl val="0"/>
      </c:catAx>
      <c:valAx>
        <c:axId val="306452632"/>
        <c:scaling>
          <c:orientation val="minMax"/>
        </c:scaling>
        <c:delete val="0"/>
        <c:axPos val="l"/>
        <c:title>
          <c:tx>
            <c:strRef>
              <c:f>Графики_УК!$J$316</c:f>
              <c:strCache>
                <c:ptCount val="1"/>
                <c:pt idx="0">
                  <c:v>DPBP, лет / year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45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0.177812028815546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Графики_УК!$C$349</c:f>
          <c:strCache>
            <c:ptCount val="1"/>
            <c:pt idx="0">
              <c:v>Курсы валют: 
тыс. руб. / тыс. $
тыс. руб. / тыс. EUR</c:v>
            </c:pt>
          </c:strCache>
        </c:strRef>
      </c:tx>
      <c:layout>
        <c:manualLayout>
          <c:xMode val="edge"/>
          <c:yMode val="edge"/>
          <c:x val="0.77684946685575129"/>
          <c:y val="0.802431610942249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7893210157240983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Графики_УК!$C$347</c:f>
              <c:strCache>
                <c:ptCount val="1"/>
                <c:pt idx="0">
                  <c:v>К курсам валют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Графики_УК!$D$347:$J$347</c:f>
              <c:strCache>
                <c:ptCount val="7"/>
                <c:pt idx="0">
                  <c:v>78,50
92,40   </c:v>
                </c:pt>
                <c:pt idx="1">
                  <c:v>78,50
92,40   </c:v>
                </c:pt>
                <c:pt idx="2">
                  <c:v>78,50
92,40   </c:v>
                </c:pt>
                <c:pt idx="3">
                  <c:v>78,50
92,40   </c:v>
                </c:pt>
                <c:pt idx="4">
                  <c:v>78,50
92,40   </c:v>
                </c:pt>
                <c:pt idx="5">
                  <c:v>78,50
92,40   </c:v>
                </c:pt>
                <c:pt idx="6">
                  <c:v>78,50
92,40   </c:v>
                </c:pt>
              </c:strCache>
            </c:strRef>
          </c:cat>
          <c:val>
            <c:numRef>
              <c:f>Графики_УК!$D$348:$J$348</c:f>
              <c:numCache>
                <c:formatCode>#\ ##0.0</c:formatCode>
                <c:ptCount val="7"/>
                <c:pt idx="0">
                  <c:v>420654.86896252848</c:v>
                </c:pt>
                <c:pt idx="1">
                  <c:v>420654.86896252848</c:v>
                </c:pt>
                <c:pt idx="2">
                  <c:v>420654.86896252848</c:v>
                </c:pt>
                <c:pt idx="3">
                  <c:v>420654.86896252848</c:v>
                </c:pt>
                <c:pt idx="4">
                  <c:v>420654.86896252848</c:v>
                </c:pt>
                <c:pt idx="5">
                  <c:v>420654.86896252848</c:v>
                </c:pt>
                <c:pt idx="6">
                  <c:v>420654.86896252848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8-4B28-9CF8-D9B1387FD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6453416"/>
        <c:axId val="306453808"/>
      </c:lineChart>
      <c:catAx>
        <c:axId val="306453416"/>
        <c:scaling>
          <c:orientation val="minMax"/>
        </c:scaling>
        <c:delete val="0"/>
        <c:axPos val="b"/>
        <c:title>
          <c:tx>
            <c:strRef>
              <c:f>Графики_УК!$C$345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618850147276929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453808"/>
        <c:crosses val="autoZero"/>
        <c:auto val="1"/>
        <c:lblAlgn val="ctr"/>
        <c:lblOffset val="100"/>
        <c:noMultiLvlLbl val="0"/>
      </c:catAx>
      <c:valAx>
        <c:axId val="306453808"/>
        <c:scaling>
          <c:orientation val="minMax"/>
        </c:scaling>
        <c:delete val="0"/>
        <c:axPos val="l"/>
        <c:title>
          <c:tx>
            <c:strRef>
              <c:f>Графики_УК!$J$342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4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6.8389536414331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Графики_УК!$C$375</c:f>
          <c:strCache>
            <c:ptCount val="1"/>
            <c:pt idx="0">
              <c:v>Инфляция</c:v>
            </c:pt>
          </c:strCache>
        </c:strRef>
      </c:tx>
      <c:layout>
        <c:manualLayout>
          <c:xMode val="edge"/>
          <c:yMode val="edge"/>
          <c:x val="0.77926386934023373"/>
          <c:y val="0.907801418439716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9.7264437689969604E-2"/>
          <c:w val="0.65983298536775115"/>
          <c:h val="0.79742638553159584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Графики_УК!$C$373</c:f>
              <c:strCache>
                <c:ptCount val="1"/>
                <c:pt idx="0">
                  <c:v>К инфляции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Графики_УК!$D$373:$J$373</c:f>
              <c:numCache>
                <c:formatCode>0.0%</c:formatCode>
                <c:ptCount val="7"/>
                <c:pt idx="0">
                  <c:v>3.5847241570710418E-2</c:v>
                </c:pt>
                <c:pt idx="1">
                  <c:v>3.5847241570710418E-2</c:v>
                </c:pt>
                <c:pt idx="2">
                  <c:v>3.5847241570710418E-2</c:v>
                </c:pt>
                <c:pt idx="3">
                  <c:v>3.5847241570710418E-2</c:v>
                </c:pt>
                <c:pt idx="4">
                  <c:v>3.5847241570710418E-2</c:v>
                </c:pt>
                <c:pt idx="5">
                  <c:v>3.5847241570710418E-2</c:v>
                </c:pt>
                <c:pt idx="6">
                  <c:v>3.5847241570710418E-2</c:v>
                </c:pt>
              </c:numCache>
            </c:numRef>
          </c:cat>
          <c:val>
            <c:numRef>
              <c:f>Графики_УК!$D$374:$J$374</c:f>
              <c:numCache>
                <c:formatCode>#\ ##0.0</c:formatCode>
                <c:ptCount val="7"/>
                <c:pt idx="0">
                  <c:v>420654.86896252848</c:v>
                </c:pt>
                <c:pt idx="1">
                  <c:v>420654.86896252848</c:v>
                </c:pt>
                <c:pt idx="2">
                  <c:v>420654.86896252848</c:v>
                </c:pt>
                <c:pt idx="3">
                  <c:v>420654.86896252848</c:v>
                </c:pt>
                <c:pt idx="4">
                  <c:v>420654.86896252848</c:v>
                </c:pt>
                <c:pt idx="5">
                  <c:v>420654.86896252848</c:v>
                </c:pt>
                <c:pt idx="6">
                  <c:v>420654.86896252848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1-441C-A8F9-C82EE86E1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6454592"/>
        <c:axId val="306676344"/>
      </c:lineChart>
      <c:catAx>
        <c:axId val="306454592"/>
        <c:scaling>
          <c:orientation val="minMax"/>
        </c:scaling>
        <c:delete val="0"/>
        <c:axPos val="b"/>
        <c:title>
          <c:tx>
            <c:strRef>
              <c:f>Графики_УК!$C$371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806379421039539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676344"/>
        <c:crosses val="autoZero"/>
        <c:auto val="1"/>
        <c:lblAlgn val="ctr"/>
        <c:lblOffset val="100"/>
        <c:noMultiLvlLbl val="0"/>
      </c:catAx>
      <c:valAx>
        <c:axId val="306676344"/>
        <c:scaling>
          <c:orientation val="minMax"/>
        </c:scaling>
        <c:delete val="0"/>
        <c:axPos val="l"/>
        <c:title>
          <c:tx>
            <c:strRef>
              <c:f>Графики_УК!$J$368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454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6.8389536414331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62103740999226E-2"/>
          <c:y val="4.4579533941236066E-2"/>
          <c:w val="0.87778215184203712"/>
          <c:h val="0.72361390996338226"/>
        </c:manualLayout>
      </c:layout>
      <c:lineChart>
        <c:grouping val="standard"/>
        <c:varyColors val="0"/>
        <c:ser>
          <c:idx val="0"/>
          <c:order val="0"/>
          <c:tx>
            <c:strRef>
              <c:f>'Таб. 27'!$A$11</c:f>
              <c:strCache>
                <c:ptCount val="1"/>
                <c:pt idx="0">
                  <c:v>Денежный поток нарастающим итогом</c:v>
                </c:pt>
              </c:strCache>
            </c:strRef>
          </c:tx>
          <c:spPr>
            <a:effectLst/>
          </c:spPr>
          <c:cat>
            <c:strRef>
              <c:f>'Таб. 27'!$D$1:$M$1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27'!$D$11:$M$11</c:f>
              <c:numCache>
                <c:formatCode>#,##0</c:formatCode>
                <c:ptCount val="10"/>
                <c:pt idx="0">
                  <c:v>5107.8812850000004</c:v>
                </c:pt>
                <c:pt idx="1">
                  <c:v>48863.503771209231</c:v>
                </c:pt>
                <c:pt idx="2">
                  <c:v>109459.39339617154</c:v>
                </c:pt>
                <c:pt idx="3">
                  <c:v>190621.63615425082</c:v>
                </c:pt>
                <c:pt idx="4">
                  <c:v>411522.54054517316</c:v>
                </c:pt>
                <c:pt idx="5">
                  <c:v>736006.7292607592</c:v>
                </c:pt>
                <c:pt idx="6">
                  <c:v>1081130.777156228</c:v>
                </c:pt>
                <c:pt idx="7">
                  <c:v>1445393.891547444</c:v>
                </c:pt>
                <c:pt idx="8">
                  <c:v>1834441.1076769086</c:v>
                </c:pt>
                <c:pt idx="9">
                  <c:v>2330825.1591442563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5-42C8-9442-07D03F57C47C}"/>
            </c:ext>
          </c:extLst>
        </c:ser>
        <c:ser>
          <c:idx val="1"/>
          <c:order val="1"/>
          <c:tx>
            <c:strRef>
              <c:f>'Таб. 27'!$A$14</c:f>
              <c:strCache>
                <c:ptCount val="1"/>
                <c:pt idx="0">
                  <c:v>Дисконтированный поток нарастающим итогом</c:v>
                </c:pt>
              </c:strCache>
            </c:strRef>
          </c:tx>
          <c:cat>
            <c:strRef>
              <c:f>'Таб. 27'!$D$1:$M$1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27'!$D$14:$M$14</c:f>
              <c:numCache>
                <c:formatCode>#,##0</c:formatCode>
                <c:ptCount val="10"/>
                <c:pt idx="0">
                  <c:v>5107.8812850000004</c:v>
                </c:pt>
                <c:pt idx="1">
                  <c:v>46304.402466109197</c:v>
                </c:pt>
                <c:pt idx="2">
                  <c:v>97892.978380393994</c:v>
                </c:pt>
                <c:pt idx="3">
                  <c:v>160789.50287897239</c:v>
                </c:pt>
                <c:pt idx="4">
                  <c:v>314918.69757207326</c:v>
                </c:pt>
                <c:pt idx="5">
                  <c:v>522539.20802183991</c:v>
                </c:pt>
                <c:pt idx="6">
                  <c:v>723112.65974891232</c:v>
                </c:pt>
                <c:pt idx="7">
                  <c:v>915339.58423499833</c:v>
                </c:pt>
                <c:pt idx="8">
                  <c:v>1101686.16325599</c:v>
                </c:pt>
                <c:pt idx="9">
                  <c:v>1316555.8641870592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5-42C8-9442-07D03F57C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679088"/>
        <c:axId val="306679480"/>
      </c:lineChart>
      <c:catAx>
        <c:axId val="30667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679480"/>
        <c:crosses val="autoZero"/>
        <c:auto val="1"/>
        <c:lblAlgn val="ctr"/>
        <c:lblOffset val="100"/>
        <c:noMultiLvlLbl val="0"/>
      </c:catAx>
      <c:valAx>
        <c:axId val="306679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67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9627851630497699E-3"/>
          <c:y val="0.888385547551237"/>
          <c:w val="0.977833932312971"/>
          <c:h val="9.4555840094456278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270469628424755E-2"/>
          <c:y val="4.4579533941236066E-2"/>
          <c:w val="0.87743594770060995"/>
          <c:h val="0.74793001938587467"/>
        </c:manualLayout>
      </c:layout>
      <c:lineChart>
        <c:grouping val="standard"/>
        <c:varyColors val="0"/>
        <c:ser>
          <c:idx val="1"/>
          <c:order val="0"/>
          <c:tx>
            <c:strRef>
              <c:f>'Таб. 26'!$A$11</c:f>
              <c:strCache>
                <c:ptCount val="1"/>
                <c:pt idx="0">
                  <c:v>Денежный поток нарастающим итогом</c:v>
                </c:pt>
              </c:strCache>
            </c:strRef>
          </c:tx>
          <c:cat>
            <c:strRef>
              <c:f>'Таб. 26'!$D$1:$M$1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26'!$D$11:$M$11</c:f>
              <c:numCache>
                <c:formatCode>#,##0</c:formatCode>
                <c:ptCount val="10"/>
                <c:pt idx="0">
                  <c:v>0</c:v>
                </c:pt>
                <c:pt idx="1">
                  <c:v>1018.9401583036547</c:v>
                </c:pt>
                <c:pt idx="2">
                  <c:v>10364.086922651428</c:v>
                </c:pt>
                <c:pt idx="3">
                  <c:v>46364.932527024888</c:v>
                </c:pt>
                <c:pt idx="4">
                  <c:v>127117.84482090044</c:v>
                </c:pt>
                <c:pt idx="5">
                  <c:v>215955.56037420797</c:v>
                </c:pt>
                <c:pt idx="6">
                  <c:v>522806.8299936562</c:v>
                </c:pt>
                <c:pt idx="7">
                  <c:v>1373800.5685084101</c:v>
                </c:pt>
                <c:pt idx="8">
                  <c:v>2140295.7368273442</c:v>
                </c:pt>
                <c:pt idx="9">
                  <c:v>2754742.3826548858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6-45C7-9D39-BB68A703D8AF}"/>
            </c:ext>
          </c:extLst>
        </c:ser>
        <c:ser>
          <c:idx val="0"/>
          <c:order val="1"/>
          <c:tx>
            <c:strRef>
              <c:f>'Таб. 26'!$A$14</c:f>
              <c:strCache>
                <c:ptCount val="1"/>
                <c:pt idx="0">
                  <c:v>Дисконтированный поток нарастающим итогом</c:v>
                </c:pt>
              </c:strCache>
            </c:strRef>
          </c:tx>
          <c:cat>
            <c:strRef>
              <c:f>'Таб. 26'!$D$1:$M$1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26'!$D$14:$M$14</c:f>
              <c:numCache>
                <c:formatCode>#,##0</c:formatCode>
                <c:ptCount val="10"/>
                <c:pt idx="0">
                  <c:v>0</c:v>
                </c:pt>
                <c:pt idx="1">
                  <c:v>993.57844758322221</c:v>
                </c:pt>
                <c:pt idx="2">
                  <c:v>9248.1077179975637</c:v>
                </c:pt>
                <c:pt idx="3">
                  <c:v>36925.653053987437</c:v>
                </c:pt>
                <c:pt idx="4">
                  <c:v>95651.657000681909</c:v>
                </c:pt>
                <c:pt idx="5">
                  <c:v>151455.33950084884</c:v>
                </c:pt>
                <c:pt idx="6">
                  <c:v>329060.15335367643</c:v>
                </c:pt>
                <c:pt idx="7">
                  <c:v>778186.60033341357</c:v>
                </c:pt>
                <c:pt idx="8">
                  <c:v>1145198.2183012515</c:v>
                </c:pt>
                <c:pt idx="9">
                  <c:v>1413734.4105973544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46-45C7-9D39-BB68A703D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296064"/>
        <c:axId val="295296456"/>
      </c:lineChart>
      <c:catAx>
        <c:axId val="29529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6456"/>
        <c:crosses val="autoZero"/>
        <c:auto val="1"/>
        <c:lblAlgn val="ctr"/>
        <c:lblOffset val="100"/>
        <c:noMultiLvlLbl val="0"/>
      </c:catAx>
      <c:valAx>
        <c:axId val="29529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3279842195357797E-3"/>
          <c:y val="0.89243823245498566"/>
          <c:w val="0.97879848653899149"/>
          <c:h val="9.4555840094456278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540913561842152E-2"/>
          <c:y val="4.4579533941236066E-2"/>
          <c:w val="0.93294415034454159"/>
          <c:h val="0.75192207357059093"/>
        </c:manualLayout>
      </c:layout>
      <c:lineChart>
        <c:grouping val="standard"/>
        <c:varyColors val="0"/>
        <c:ser>
          <c:idx val="0"/>
          <c:order val="0"/>
          <c:tx>
            <c:strRef>
              <c:f>'Таб. 28'!$A$12</c:f>
              <c:strCache>
                <c:ptCount val="1"/>
                <c:pt idx="0">
                  <c:v>Дисконтированный поток нарастающим итогом</c:v>
                </c:pt>
              </c:strCache>
            </c:strRef>
          </c:tx>
          <c:cat>
            <c:strRef>
              <c:f>'Таб. 28'!$D$1:$M$1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28'!$D$9:$M$9</c:f>
              <c:numCache>
                <c:formatCode>#,##0</c:formatCode>
                <c:ptCount val="10"/>
                <c:pt idx="0">
                  <c:v>901.39081499999998</c:v>
                </c:pt>
                <c:pt idx="1">
                  <c:v>4594.5255723756773</c:v>
                </c:pt>
                <c:pt idx="2">
                  <c:v>10014.103036865858</c:v>
                </c:pt>
                <c:pt idx="3">
                  <c:v>17106.628288239222</c:v>
                </c:pt>
                <c:pt idx="4">
                  <c:v>37917.799415487563</c:v>
                </c:pt>
                <c:pt idx="5">
                  <c:v>64635.818443097625</c:v>
                </c:pt>
                <c:pt idx="6">
                  <c:v>93182.834038499321</c:v>
                </c:pt>
                <c:pt idx="7">
                  <c:v>123668.84248399785</c:v>
                </c:pt>
                <c:pt idx="8">
                  <c:v>156213.61351159221</c:v>
                </c:pt>
                <c:pt idx="9">
                  <c:v>190937.74589723215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B-490B-8BB9-8E887ADB695C}"/>
            </c:ext>
          </c:extLst>
        </c:ser>
        <c:ser>
          <c:idx val="1"/>
          <c:order val="1"/>
          <c:tx>
            <c:strRef>
              <c:f>'Таб. 28'!$A$12</c:f>
              <c:strCache>
                <c:ptCount val="1"/>
                <c:pt idx="0">
                  <c:v>Дисконтированный поток нарастающим итогом</c:v>
                </c:pt>
              </c:strCache>
            </c:strRef>
          </c:tx>
          <c:cat>
            <c:strRef>
              <c:f>'Таб. 28'!$D$1:$M$1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28'!$D$12:$M$12</c:f>
              <c:numCache>
                <c:formatCode>#,##0</c:formatCode>
                <c:ptCount val="10"/>
                <c:pt idx="0">
                  <c:v>901.39081499999998</c:v>
                </c:pt>
                <c:pt idx="1">
                  <c:v>4378.0167675337161</c:v>
                </c:pt>
                <c:pt idx="2">
                  <c:v>8995.4733591222939</c:v>
                </c:pt>
                <c:pt idx="3">
                  <c:v>14493.156735898336</c:v>
                </c:pt>
                <c:pt idx="4">
                  <c:v>29051.565924677758</c:v>
                </c:pt>
                <c:pt idx="5">
                  <c:v>46150.177980033404</c:v>
                </c:pt>
                <c:pt idx="6">
                  <c:v>62739.179132165133</c:v>
                </c:pt>
                <c:pt idx="7">
                  <c:v>78825.686155425123</c:v>
                </c:pt>
                <c:pt idx="8">
                  <c:v>94419.235690491143</c:v>
                </c:pt>
                <c:pt idx="9">
                  <c:v>109526.91181741741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0B-490B-8BB9-8E887ADB6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297240"/>
        <c:axId val="295297632"/>
      </c:lineChart>
      <c:catAx>
        <c:axId val="295297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7632"/>
        <c:crosses val="autoZero"/>
        <c:auto val="1"/>
        <c:lblAlgn val="ctr"/>
        <c:lblOffset val="100"/>
        <c:noMultiLvlLbl val="0"/>
      </c:catAx>
      <c:valAx>
        <c:axId val="29529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7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88889739846349"/>
          <c:w val="0.98278732709320871"/>
          <c:h val="8.9495089709530989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355265777353423E-2"/>
          <c:y val="4.4579533941236066E-2"/>
          <c:w val="0.89321888161825791"/>
          <c:h val="0.732228993114991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Графики!$C$84</c:f>
              <c:strCache>
                <c:ptCount val="1"/>
                <c:pt idx="0">
                  <c:v>Налоговые доходы (притоки в бюджет)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'Таб. 26'!$E$1:$M$1</c:f>
              <c:strCache>
                <c:ptCount val="9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</c:strCache>
            </c:strRef>
          </c:cat>
          <c:val>
            <c:numRef>
              <c:f>'Таб. 26'!$E$6:$M$6</c:f>
              <c:numCache>
                <c:formatCode>#,##0</c:formatCode>
                <c:ptCount val="9"/>
                <c:pt idx="0">
                  <c:v>4028.4456813671281</c:v>
                </c:pt>
                <c:pt idx="1">
                  <c:v>22777.128699504297</c:v>
                </c:pt>
                <c:pt idx="2">
                  <c:v>72710.796838343202</c:v>
                </c:pt>
                <c:pt idx="3">
                  <c:v>294107.29918684583</c:v>
                </c:pt>
                <c:pt idx="4">
                  <c:v>229581.8899681475</c:v>
                </c:pt>
                <c:pt idx="5">
                  <c:v>306851.26961944829</c:v>
                </c:pt>
                <c:pt idx="6">
                  <c:v>850993.73851475376</c:v>
                </c:pt>
                <c:pt idx="7">
                  <c:v>766495.16831893404</c:v>
                </c:pt>
                <c:pt idx="8">
                  <c:v>614446.64582754113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A-442A-BF7D-7CB3F885B7FC}"/>
            </c:ext>
          </c:extLst>
        </c:ser>
        <c:ser>
          <c:idx val="1"/>
          <c:order val="1"/>
          <c:tx>
            <c:strRef>
              <c:f>Графики!$C$86:$C$87</c:f>
              <c:strCache>
                <c:ptCount val="1"/>
                <c:pt idx="0">
                  <c:v>Финансирование проекта (оттоки из бюджета)</c:v>
                </c:pt>
              </c:strCache>
            </c:strRef>
          </c:tx>
          <c:invertIfNegative val="0"/>
          <c:dLbls>
            <c:numFmt formatCode="_-* #,##0.0\ _₽_-;\-* #,##0.0\ _₽_-;_-* &quot;-&quot;?\ _₽_-;_-@_-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'Таб. 26'!$E$1:$M$1</c:f>
              <c:strCache>
                <c:ptCount val="9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</c:strCache>
            </c:strRef>
          </c:cat>
          <c:val>
            <c:numRef>
              <c:f>'Таб. 26'!$E$10:$M$10</c:f>
              <c:numCache>
                <c:formatCode>#,##0</c:formatCode>
                <c:ptCount val="9"/>
                <c:pt idx="0">
                  <c:v>-3009.5055230634734</c:v>
                </c:pt>
                <c:pt idx="1">
                  <c:v>-13431.981935156522</c:v>
                </c:pt>
                <c:pt idx="2">
                  <c:v>-36709.951233969747</c:v>
                </c:pt>
                <c:pt idx="3">
                  <c:v>-213354.3868929703</c:v>
                </c:pt>
                <c:pt idx="4">
                  <c:v>-140744.17441483997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A-442A-BF7D-7CB3F885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295298416"/>
        <c:axId val="295298808"/>
      </c:barChart>
      <c:catAx>
        <c:axId val="29529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8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298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8416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426935440579063E-2"/>
          <c:y val="0.89202236676937119"/>
          <c:w val="0.97679139492590861"/>
          <c:h val="0.1060418511515847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77596868188094E-2"/>
          <c:y val="4.4579533941236066E-2"/>
          <c:w val="0.89250028231477585"/>
          <c:h val="0.8289837174608492"/>
        </c:manualLayout>
      </c:layout>
      <c:barChart>
        <c:barDir val="col"/>
        <c:grouping val="clustered"/>
        <c:varyColors val="0"/>
        <c:ser>
          <c:idx val="1"/>
          <c:order val="0"/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'Таб. 5'!$D$1:$M$1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5'!$D$40:$M$40</c:f>
              <c:numCache>
                <c:formatCode>#,##0</c:formatCode>
                <c:ptCount val="10"/>
                <c:pt idx="0">
                  <c:v>71985.731484157615</c:v>
                </c:pt>
                <c:pt idx="1">
                  <c:v>170096.9521725284</c:v>
                </c:pt>
                <c:pt idx="2">
                  <c:v>276446.13858497184</c:v>
                </c:pt>
                <c:pt idx="3">
                  <c:v>341108.0845154234</c:v>
                </c:pt>
                <c:pt idx="4">
                  <c:v>1109593.5174396287</c:v>
                </c:pt>
                <c:pt idx="5">
                  <c:v>1165518.179573376</c:v>
                </c:pt>
                <c:pt idx="6">
                  <c:v>1216145.7995948053</c:v>
                </c:pt>
                <c:pt idx="7">
                  <c:v>1268986.8162293211</c:v>
                </c:pt>
                <c:pt idx="8">
                  <c:v>1273186.2045148436</c:v>
                </c:pt>
                <c:pt idx="9">
                  <c:v>630585.05159901245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9-46EA-B390-46BFF1498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295318168"/>
        <c:axId val="295318560"/>
      </c:barChart>
      <c:catAx>
        <c:axId val="295318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31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31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318168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60462479009623E-2"/>
          <c:y val="4.4579533941236066E-2"/>
          <c:w val="0.89021002405051897"/>
          <c:h val="0.66823062010865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'Таб. 18'!$A$51</c:f>
              <c:strCache>
                <c:ptCount val="1"/>
                <c:pt idx="0">
                  <c:v>Доходы федерального бюджета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cat>
            <c:strRef>
              <c:f>'Таб. 18'!$D$1:$M$1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18'!$D$51:$M$51</c:f>
              <c:numCache>
                <c:formatCode>#,##0</c:formatCode>
                <c:ptCount val="10"/>
                <c:pt idx="0">
                  <c:v>0</c:v>
                </c:pt>
                <c:pt idx="1">
                  <c:v>4028.4456813671281</c:v>
                </c:pt>
                <c:pt idx="2">
                  <c:v>22777.128699504297</c:v>
                </c:pt>
                <c:pt idx="3">
                  <c:v>72710.796838343202</c:v>
                </c:pt>
                <c:pt idx="4">
                  <c:v>294107.29918684583</c:v>
                </c:pt>
                <c:pt idx="5">
                  <c:v>229581.8899681475</c:v>
                </c:pt>
                <c:pt idx="6">
                  <c:v>306851.26961944829</c:v>
                </c:pt>
                <c:pt idx="7">
                  <c:v>850993.73851475376</c:v>
                </c:pt>
                <c:pt idx="8">
                  <c:v>766495.16831893404</c:v>
                </c:pt>
                <c:pt idx="9">
                  <c:v>614446.64582754113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5-4223-8B08-AF923311242F}"/>
            </c:ext>
          </c:extLst>
        </c:ser>
        <c:ser>
          <c:idx val="1"/>
          <c:order val="1"/>
          <c:tx>
            <c:strRef>
              <c:f>'Таб. 18'!$A$52</c:f>
              <c:strCache>
                <c:ptCount val="1"/>
                <c:pt idx="0">
                  <c:v>Доходы бюджета субъекта РФ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'Таб. 18'!$D$1:$M$1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18'!$D$52:$M$52</c:f>
              <c:numCache>
                <c:formatCode>#,##0</c:formatCode>
                <c:ptCount val="10"/>
                <c:pt idx="0">
                  <c:v>5107.8812850000004</c:v>
                </c:pt>
                <c:pt idx="1">
                  <c:v>43755.622486209235</c:v>
                </c:pt>
                <c:pt idx="2">
                  <c:v>60595.889624962307</c:v>
                </c:pt>
                <c:pt idx="3">
                  <c:v>81162.242758079286</c:v>
                </c:pt>
                <c:pt idx="4">
                  <c:v>220900.90439092231</c:v>
                </c:pt>
                <c:pt idx="5">
                  <c:v>324484.18871558609</c:v>
                </c:pt>
                <c:pt idx="6">
                  <c:v>345124.04789546889</c:v>
                </c:pt>
                <c:pt idx="7">
                  <c:v>364263.11439121608</c:v>
                </c:pt>
                <c:pt idx="8">
                  <c:v>389047.21612946439</c:v>
                </c:pt>
                <c:pt idx="9">
                  <c:v>496384.05146734789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5-4223-8B08-AF923311242F}"/>
            </c:ext>
          </c:extLst>
        </c:ser>
        <c:ser>
          <c:idx val="2"/>
          <c:order val="2"/>
          <c:tx>
            <c:strRef>
              <c:f>'Таб. 18'!$A$53</c:f>
              <c:strCache>
                <c:ptCount val="1"/>
                <c:pt idx="0">
                  <c:v>Доходы муниципального бюджета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val>
            <c:numRef>
              <c:f>'Таб. 18'!$D$53:$M$53</c:f>
              <c:numCache>
                <c:formatCode>#,##0</c:formatCode>
                <c:ptCount val="10"/>
                <c:pt idx="0">
                  <c:v>901.39081499999998</c:v>
                </c:pt>
                <c:pt idx="1">
                  <c:v>3693.1347573756771</c:v>
                </c:pt>
                <c:pt idx="2">
                  <c:v>5419.5774644901812</c:v>
                </c:pt>
                <c:pt idx="3">
                  <c:v>7092.5252513733649</c:v>
                </c:pt>
                <c:pt idx="4">
                  <c:v>20811.171127248337</c:v>
                </c:pt>
                <c:pt idx="5">
                  <c:v>26718.019027610062</c:v>
                </c:pt>
                <c:pt idx="6">
                  <c:v>28547.01559540171</c:v>
                </c:pt>
                <c:pt idx="7">
                  <c:v>30486.008445498548</c:v>
                </c:pt>
                <c:pt idx="8">
                  <c:v>32544.771027594354</c:v>
                </c:pt>
                <c:pt idx="9">
                  <c:v>34724.132385639925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C5-4223-8B08-AF923311242F}"/>
            </c:ext>
          </c:extLst>
        </c:ser>
        <c:ser>
          <c:idx val="3"/>
          <c:order val="3"/>
          <c:tx>
            <c:strRef>
              <c:f>'Таб. 18'!$A$54</c:f>
              <c:strCache>
                <c:ptCount val="1"/>
                <c:pt idx="0">
                  <c:v>Доходы внебюджетных фондов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</c:spPr>
          <c:invertIfNegative val="0"/>
          <c:val>
            <c:numRef>
              <c:f>'Таб. 18'!$D$54:$M$54</c:f>
              <c:numCache>
                <c:formatCode>#,##0</c:formatCode>
                <c:ptCount val="10"/>
                <c:pt idx="0">
                  <c:v>9429.9346800000003</c:v>
                </c:pt>
                <c:pt idx="1">
                  <c:v>57723.554049905462</c:v>
                </c:pt>
                <c:pt idx="2">
                  <c:v>82085.848248362134</c:v>
                </c:pt>
                <c:pt idx="3">
                  <c:v>109355.75771534804</c:v>
                </c:pt>
                <c:pt idx="4">
                  <c:v>302917.91738459107</c:v>
                </c:pt>
                <c:pt idx="5">
                  <c:v>416957.67127739743</c:v>
                </c:pt>
                <c:pt idx="6">
                  <c:v>445525.97978356783</c:v>
                </c:pt>
                <c:pt idx="7">
                  <c:v>475801.23495204246</c:v>
                </c:pt>
                <c:pt idx="8">
                  <c:v>507952.49898130109</c:v>
                </c:pt>
                <c:pt idx="9">
                  <c:v>541990.86085338681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C5-4223-8B08-AF9233112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5299592"/>
        <c:axId val="305826896"/>
      </c:barChart>
      <c:catAx>
        <c:axId val="295299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826896"/>
        <c:crosses val="autoZero"/>
        <c:auto val="1"/>
        <c:lblAlgn val="ctr"/>
        <c:lblOffset val="100"/>
        <c:noMultiLvlLbl val="0"/>
      </c:catAx>
      <c:valAx>
        <c:axId val="30582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9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900218585162939E-2"/>
          <c:y val="0.83519421774405855"/>
          <c:w val="0.91509792156768455"/>
          <c:h val="0.14048967283344901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33269245145965E-2"/>
          <c:y val="6.889564336372847E-2"/>
          <c:w val="0.65983298536775115"/>
          <c:h val="0.83390054966533433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Графики!$C$138</c:f>
              <c:strCache>
                <c:ptCount val="1"/>
                <c:pt idx="0">
                  <c:v>К капвложениям резидентов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Графики!$D$138:$J$138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Графики!$D$139:$J$139</c:f>
              <c:numCache>
                <c:formatCode>#,##0</c:formatCode>
                <c:ptCount val="7"/>
                <c:pt idx="0">
                  <c:v>987107.25566332787</c:v>
                </c:pt>
                <c:pt idx="1">
                  <c:v>1106718.6758467481</c:v>
                </c:pt>
                <c:pt idx="2">
                  <c:v>1259481.7143149117</c:v>
                </c:pt>
                <c:pt idx="3">
                  <c:v>1413734.4105973542</c:v>
                </c:pt>
                <c:pt idx="4">
                  <c:v>1569378.8620321108</c:v>
                </c:pt>
                <c:pt idx="5">
                  <c:v>1726159.9846181634</c:v>
                </c:pt>
                <c:pt idx="6">
                  <c:v>1884320.3401464513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9-4582-A61E-4E916E1B85D2}"/>
            </c:ext>
          </c:extLst>
        </c:ser>
        <c:ser>
          <c:idx val="1"/>
          <c:order val="1"/>
          <c:tx>
            <c:strRef>
              <c:f>Графики!$C$141</c:f>
              <c:strCache>
                <c:ptCount val="1"/>
                <c:pt idx="0">
                  <c:v>К рентабельности деятельности резидентов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Графики!$D$138:$J$138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Графики!$D$142:$J$142</c:f>
              <c:numCache>
                <c:formatCode>#,##0</c:formatCode>
                <c:ptCount val="7"/>
                <c:pt idx="0">
                  <c:v>1228397.5377888305</c:v>
                </c:pt>
                <c:pt idx="1">
                  <c:v>1289913.1599417033</c:v>
                </c:pt>
                <c:pt idx="2">
                  <c:v>1351572.987916566</c:v>
                </c:pt>
                <c:pt idx="3">
                  <c:v>1413734.4105973542</c:v>
                </c:pt>
                <c:pt idx="4">
                  <c:v>1475999.4147108814</c:v>
                </c:pt>
                <c:pt idx="5">
                  <c:v>1538291.6514384206</c:v>
                </c:pt>
                <c:pt idx="6">
                  <c:v>1600778.5440018333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9-4582-A61E-4E916E1B85D2}"/>
            </c:ext>
          </c:extLst>
        </c:ser>
        <c:ser>
          <c:idx val="2"/>
          <c:order val="2"/>
          <c:tx>
            <c:strRef>
              <c:f>Графики!$C$144</c:f>
              <c:strCache>
                <c:ptCount val="1"/>
                <c:pt idx="0">
                  <c:v>К объему бюджетного финансирования проекта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Графики!$D$138:$J$138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Графики!$D$145:$J$145</c:f>
              <c:numCache>
                <c:formatCode>#,##0</c:formatCode>
                <c:ptCount val="7"/>
                <c:pt idx="0">
                  <c:v>1498552.029193403</c:v>
                </c:pt>
                <c:pt idx="1">
                  <c:v>1470279.4896613865</c:v>
                </c:pt>
                <c:pt idx="2">
                  <c:v>1442006.9501293704</c:v>
                </c:pt>
                <c:pt idx="3">
                  <c:v>1413734.4105973544</c:v>
                </c:pt>
                <c:pt idx="4">
                  <c:v>1385461.8710653381</c:v>
                </c:pt>
                <c:pt idx="5">
                  <c:v>1357189.3315333219</c:v>
                </c:pt>
                <c:pt idx="6">
                  <c:v>1328916.7920013056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9-4582-A61E-4E916E1B85D2}"/>
            </c:ext>
          </c:extLst>
        </c:ser>
        <c:ser>
          <c:idx val="3"/>
          <c:order val="3"/>
          <c:tx>
            <c:strRef>
              <c:f>Графики!$C$147</c:f>
              <c:strCache>
                <c:ptCount val="1"/>
                <c:pt idx="0">
                  <c:v>К заполненности площадей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Графики!$D$138:$J$138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Графики!$D$148:$J$148</c:f>
              <c:numCache>
                <c:formatCode>#,##0</c:formatCode>
                <c:ptCount val="7"/>
                <c:pt idx="0">
                  <c:v>921885.07668891619</c:v>
                </c:pt>
                <c:pt idx="1">
                  <c:v>1073343.123685708</c:v>
                </c:pt>
                <c:pt idx="2">
                  <c:v>1243673.5967000967</c:v>
                </c:pt>
                <c:pt idx="3">
                  <c:v>1413734.4105973539</c:v>
                </c:pt>
                <c:pt idx="4">
                  <c:v>1584686.1276199808</c:v>
                </c:pt>
                <c:pt idx="5">
                  <c:v>1756774.0432647867</c:v>
                </c:pt>
                <c:pt idx="6">
                  <c:v>1929231.2539490708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89-4582-A61E-4E916E1B85D2}"/>
            </c:ext>
          </c:extLst>
        </c:ser>
        <c:ser>
          <c:idx val="4"/>
          <c:order val="4"/>
          <c:tx>
            <c:strRef>
              <c:f>Графики!$C$150</c:f>
              <c:strCache>
                <c:ptCount val="1"/>
                <c:pt idx="0">
                  <c:v> - 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Графики!$D$138:$J$138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Графики!$D$151:$J$151</c:f>
              <c:numCache>
                <c:formatCode>#,##0</c:formatCode>
                <c:ptCount val="7"/>
                <c:pt idx="0">
                  <c:v>1413734.4105973544</c:v>
                </c:pt>
                <c:pt idx="1">
                  <c:v>1413734.4105973544</c:v>
                </c:pt>
                <c:pt idx="2">
                  <c:v>1413734.4105973544</c:v>
                </c:pt>
                <c:pt idx="3">
                  <c:v>1413734.4105973544</c:v>
                </c:pt>
                <c:pt idx="4">
                  <c:v>1413734.4105973544</c:v>
                </c:pt>
                <c:pt idx="5">
                  <c:v>1413734.4105973544</c:v>
                </c:pt>
                <c:pt idx="6">
                  <c:v>1413734.4105973544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89-4582-A61E-4E916E1B8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5827680"/>
        <c:axId val="305828072"/>
      </c:lineChart>
      <c:catAx>
        <c:axId val="305827680"/>
        <c:scaling>
          <c:orientation val="minMax"/>
        </c:scaling>
        <c:delete val="0"/>
        <c:axPos val="b"/>
        <c:title>
          <c:tx>
            <c:strRef>
              <c:f>Графики!$C$136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089891166078161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828072"/>
        <c:crosses val="autoZero"/>
        <c:auto val="1"/>
        <c:lblAlgn val="ctr"/>
        <c:lblOffset val="100"/>
        <c:noMultiLvlLbl val="0"/>
      </c:catAx>
      <c:valAx>
        <c:axId val="305828072"/>
        <c:scaling>
          <c:orientation val="minMax"/>
        </c:scaling>
        <c:delete val="0"/>
        <c:axPos val="l"/>
        <c:title>
          <c:tx>
            <c:strRef>
              <c:f>Графики!$J$133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82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947568942232303"/>
          <c:y val="0.17907665797094513"/>
          <c:w val="0.20992506267877811"/>
          <c:h val="0.698583953601544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Графики!$C$164</c:f>
              <c:strCache>
                <c:ptCount val="1"/>
                <c:pt idx="0">
                  <c:v>К капвложениям резидентов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Графики!$D$164:$J$164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Графики!$D$165:$J$165</c:f>
              <c:numCache>
                <c:formatCode>0%</c:formatCode>
                <c:ptCount val="7"/>
                <c:pt idx="0">
                  <c:v>1106474.7214560679</c:v>
                </c:pt>
                <c:pt idx="1">
                  <c:v>1176441.2101369626</c:v>
                </c:pt>
                <c:pt idx="2">
                  <c:v>1246470.1601335788</c:v>
                </c:pt>
                <c:pt idx="3">
                  <c:v>1316555.864187059</c:v>
                </c:pt>
                <c:pt idx="4">
                  <c:v>1386701.35700886</c:v>
                </c:pt>
                <c:pt idx="5">
                  <c:v>1456907.1325597765</c:v>
                </c:pt>
                <c:pt idx="6">
                  <c:v>1527173.6902459331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1-44D5-A9E4-8C693FAD3DD2}"/>
            </c:ext>
          </c:extLst>
        </c:ser>
        <c:ser>
          <c:idx val="1"/>
          <c:order val="1"/>
          <c:tx>
            <c:strRef>
              <c:f>Графики!$C$167</c:f>
              <c:strCache>
                <c:ptCount val="1"/>
                <c:pt idx="0">
                  <c:v>К рентабельности деятельности резидентов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Графики!$D$164:$J$164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Графики!$D$168:$J$168</c:f>
              <c:numCache>
                <c:formatCode>0%</c:formatCode>
                <c:ptCount val="7"/>
                <c:pt idx="0">
                  <c:v>1112995.7508293041</c:v>
                </c:pt>
                <c:pt idx="1">
                  <c:v>1180824.7325942223</c:v>
                </c:pt>
                <c:pt idx="2">
                  <c:v>1248678.0743977188</c:v>
                </c:pt>
                <c:pt idx="3">
                  <c:v>1316555.864187059</c:v>
                </c:pt>
                <c:pt idx="4">
                  <c:v>1384458.1903325368</c:v>
                </c:pt>
                <c:pt idx="5">
                  <c:v>1452385.1416300512</c:v>
                </c:pt>
                <c:pt idx="6">
                  <c:v>1520336.80730362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21-44D5-A9E4-8C693FAD3DD2}"/>
            </c:ext>
          </c:extLst>
        </c:ser>
        <c:ser>
          <c:idx val="2"/>
          <c:order val="2"/>
          <c:tx>
            <c:strRef>
              <c:f>Графики!$C$170</c:f>
              <c:strCache>
                <c:ptCount val="1"/>
                <c:pt idx="0">
                  <c:v>К объему бюджетного финансирования проекта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Графики!$D$164:$J$164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Графики!$D$171:$J$171</c:f>
              <c:numCache>
                <c:formatCode>0%</c:formatCode>
                <c:ptCount val="7"/>
                <c:pt idx="0">
                  <c:v>1316555.8641870592</c:v>
                </c:pt>
                <c:pt idx="1">
                  <c:v>1316555.8641870592</c:v>
                </c:pt>
                <c:pt idx="2">
                  <c:v>1316555.8641870592</c:v>
                </c:pt>
                <c:pt idx="3">
                  <c:v>1316555.8641870592</c:v>
                </c:pt>
                <c:pt idx="4">
                  <c:v>1316555.8641870592</c:v>
                </c:pt>
                <c:pt idx="5">
                  <c:v>1316555.8641870592</c:v>
                </c:pt>
                <c:pt idx="6">
                  <c:v>1316555.8641870592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1-44D5-A9E4-8C693FAD3DD2}"/>
            </c:ext>
          </c:extLst>
        </c:ser>
        <c:ser>
          <c:idx val="3"/>
          <c:order val="3"/>
          <c:tx>
            <c:strRef>
              <c:f>Графики!$C$173</c:f>
              <c:strCache>
                <c:ptCount val="1"/>
                <c:pt idx="0">
                  <c:v>К заполненности площадей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Графики!$D$164:$J$164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Графики!$D$174:$J$174</c:f>
              <c:numCache>
                <c:formatCode>0%</c:formatCode>
                <c:ptCount val="7"/>
                <c:pt idx="0">
                  <c:v>928138.50273384398</c:v>
                </c:pt>
                <c:pt idx="1">
                  <c:v>1058065.9832039683</c:v>
                </c:pt>
                <c:pt idx="2">
                  <c:v>1187658.6169984017</c:v>
                </c:pt>
                <c:pt idx="3">
                  <c:v>1316555.864187059</c:v>
                </c:pt>
                <c:pt idx="4">
                  <c:v>1445728.3709545461</c:v>
                </c:pt>
                <c:pt idx="5">
                  <c:v>1575323.6931178449</c:v>
                </c:pt>
                <c:pt idx="6">
                  <c:v>1705118.2991632244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21-44D5-A9E4-8C693FAD3DD2}"/>
            </c:ext>
          </c:extLst>
        </c:ser>
        <c:ser>
          <c:idx val="4"/>
          <c:order val="4"/>
          <c:tx>
            <c:strRef>
              <c:f>Графики!$C$176</c:f>
              <c:strCache>
                <c:ptCount val="1"/>
                <c:pt idx="0">
                  <c:v> - 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Графики!$D$164:$J$164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Графики!$D$177:$J$177</c:f>
              <c:numCache>
                <c:formatCode>0%</c:formatCode>
                <c:ptCount val="7"/>
                <c:pt idx="0">
                  <c:v>1316555.8641870592</c:v>
                </c:pt>
                <c:pt idx="1">
                  <c:v>1316555.8641870592</c:v>
                </c:pt>
                <c:pt idx="2">
                  <c:v>1316555.8641870592</c:v>
                </c:pt>
                <c:pt idx="3">
                  <c:v>1316555.8641870592</c:v>
                </c:pt>
                <c:pt idx="4">
                  <c:v>1316555.8641870592</c:v>
                </c:pt>
                <c:pt idx="5">
                  <c:v>1316555.8641870592</c:v>
                </c:pt>
                <c:pt idx="6">
                  <c:v>1316555.8641870592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21-44D5-A9E4-8C693FAD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5828856"/>
        <c:axId val="305829248"/>
      </c:lineChart>
      <c:catAx>
        <c:axId val="305828856"/>
        <c:scaling>
          <c:orientation val="minMax"/>
        </c:scaling>
        <c:delete val="0"/>
        <c:axPos val="b"/>
        <c:title>
          <c:tx>
            <c:strRef>
              <c:f>Графики!$C$162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089891166078161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829248"/>
        <c:crosses val="autoZero"/>
        <c:auto val="1"/>
        <c:lblAlgn val="ctr"/>
        <c:lblOffset val="100"/>
        <c:noMultiLvlLbl val="0"/>
      </c:catAx>
      <c:valAx>
        <c:axId val="30582924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IRR</a:t>
                </a:r>
                <a:r>
                  <a:rPr lang="ru-RU"/>
                  <a:t>,</a:t>
                </a:r>
                <a:r>
                  <a:rPr lang="ru-RU" baseline="0"/>
                  <a:t> </a:t>
                </a:r>
                <a:r>
                  <a:rPr lang="en-US" baseline="0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828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60303052242318"/>
          <c:y val="0.17907665797094513"/>
          <c:w val="0.20992506267877811"/>
          <c:h val="0.5688980366815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Графики!$C$190</c:f>
              <c:strCache>
                <c:ptCount val="1"/>
                <c:pt idx="0">
                  <c:v>К капвложениям резидентов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Графики!$D$190:$J$190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Графики!$D$191:$J$191</c:f>
              <c:numCache>
                <c:formatCode>#\ ##0.0</c:formatCode>
                <c:ptCount val="7"/>
                <c:pt idx="0">
                  <c:v>109400.42846929323</c:v>
                </c:pt>
                <c:pt idx="1">
                  <c:v>109442.22314482387</c:v>
                </c:pt>
                <c:pt idx="2">
                  <c:v>109484.56791797475</c:v>
                </c:pt>
                <c:pt idx="3">
                  <c:v>109526.91181741741</c:v>
                </c:pt>
                <c:pt idx="4">
                  <c:v>109569.48760031397</c:v>
                </c:pt>
                <c:pt idx="5">
                  <c:v>109612.2971731141</c:v>
                </c:pt>
                <c:pt idx="6">
                  <c:v>109655.34246318616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0-4DFA-B9A2-524234478059}"/>
            </c:ext>
          </c:extLst>
        </c:ser>
        <c:ser>
          <c:idx val="1"/>
          <c:order val="1"/>
          <c:tx>
            <c:strRef>
              <c:f>Графики!$C$193</c:f>
              <c:strCache>
                <c:ptCount val="1"/>
                <c:pt idx="0">
                  <c:v>К рентабельности деятельности резидентов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Графики!$D$190:$J$190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Графики!$D$194:$J$194</c:f>
              <c:numCache>
                <c:formatCode>#\ ##0.0</c:formatCode>
                <c:ptCount val="7"/>
                <c:pt idx="0">
                  <c:v>109471.08085818522</c:v>
                </c:pt>
                <c:pt idx="1">
                  <c:v>109489.6465764968</c:v>
                </c:pt>
                <c:pt idx="2">
                  <c:v>109508.2568428286</c:v>
                </c:pt>
                <c:pt idx="3">
                  <c:v>109526.91181741741</c:v>
                </c:pt>
                <c:pt idx="4">
                  <c:v>109545.61166126665</c:v>
                </c:pt>
                <c:pt idx="5">
                  <c:v>109564.35653615402</c:v>
                </c:pt>
                <c:pt idx="6">
                  <c:v>109583.14660463258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0-4DFA-B9A2-524234478059}"/>
            </c:ext>
          </c:extLst>
        </c:ser>
        <c:ser>
          <c:idx val="2"/>
          <c:order val="2"/>
          <c:tx>
            <c:strRef>
              <c:f>Графики!$C$196</c:f>
              <c:strCache>
                <c:ptCount val="1"/>
                <c:pt idx="0">
                  <c:v>К объему бюджетного финансирования проекта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Графики!$D$190:$J$190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Графики!$D$197:$J$197</c:f>
              <c:numCache>
                <c:formatCode>#\ ##0.0</c:formatCode>
                <c:ptCount val="7"/>
                <c:pt idx="0">
                  <c:v>109526.91181741741</c:v>
                </c:pt>
                <c:pt idx="1">
                  <c:v>109526.91181741741</c:v>
                </c:pt>
                <c:pt idx="2">
                  <c:v>109526.91181741741</c:v>
                </c:pt>
                <c:pt idx="3">
                  <c:v>109526.91181741741</c:v>
                </c:pt>
                <c:pt idx="4">
                  <c:v>109526.91181741741</c:v>
                </c:pt>
                <c:pt idx="5">
                  <c:v>109526.91181741741</c:v>
                </c:pt>
                <c:pt idx="6">
                  <c:v>109526.91181741741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0-4DFA-B9A2-524234478059}"/>
            </c:ext>
          </c:extLst>
        </c:ser>
        <c:ser>
          <c:idx val="3"/>
          <c:order val="3"/>
          <c:tx>
            <c:strRef>
              <c:f>Графики!$C$199</c:f>
              <c:strCache>
                <c:ptCount val="1"/>
                <c:pt idx="0">
                  <c:v>К заполненности площадей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Графики!$D$190:$J$190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Графики!$D$200:$J$200</c:f>
              <c:numCache>
                <c:formatCode>#\ ##0.0</c:formatCode>
                <c:ptCount val="7"/>
                <c:pt idx="0">
                  <c:v>76244.801252871213</c:v>
                </c:pt>
                <c:pt idx="1">
                  <c:v>87371.380777976781</c:v>
                </c:pt>
                <c:pt idx="2">
                  <c:v>98484.659562666871</c:v>
                </c:pt>
                <c:pt idx="3">
                  <c:v>109526.91181741741</c:v>
                </c:pt>
                <c:pt idx="4">
                  <c:v>120598.98370477215</c:v>
                </c:pt>
                <c:pt idx="5">
                  <c:v>131716.72882566298</c:v>
                </c:pt>
                <c:pt idx="6">
                  <c:v>142841.40713780094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40-4DFA-B9A2-524234478059}"/>
            </c:ext>
          </c:extLst>
        </c:ser>
        <c:ser>
          <c:idx val="4"/>
          <c:order val="4"/>
          <c:tx>
            <c:strRef>
              <c:f>Графики!$C$202</c:f>
              <c:strCache>
                <c:ptCount val="1"/>
                <c:pt idx="0">
                  <c:v> - 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Графики!$D$190:$J$190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Графики!$D$203:$J$203</c:f>
              <c:numCache>
                <c:formatCode>#\ ##0.0</c:formatCode>
                <c:ptCount val="7"/>
                <c:pt idx="0">
                  <c:v>109526.91181741741</c:v>
                </c:pt>
                <c:pt idx="1">
                  <c:v>109526.91181741741</c:v>
                </c:pt>
                <c:pt idx="2">
                  <c:v>109526.91181741741</c:v>
                </c:pt>
                <c:pt idx="3">
                  <c:v>109526.91181741741</c:v>
                </c:pt>
                <c:pt idx="4">
                  <c:v>109526.91181741741</c:v>
                </c:pt>
                <c:pt idx="5">
                  <c:v>109526.91181741741</c:v>
                </c:pt>
                <c:pt idx="6">
                  <c:v>109526.91181741741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40-4DFA-B9A2-524234478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5830032"/>
        <c:axId val="305830424"/>
      </c:lineChart>
      <c:catAx>
        <c:axId val="305830032"/>
        <c:scaling>
          <c:orientation val="minMax"/>
        </c:scaling>
        <c:delete val="0"/>
        <c:axPos val="b"/>
        <c:title>
          <c:tx>
            <c:strRef>
              <c:f>Графики!$C$188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46442294605813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830424"/>
        <c:crosses val="autoZero"/>
        <c:auto val="1"/>
        <c:lblAlgn val="ctr"/>
        <c:lblOffset val="100"/>
        <c:noMultiLvlLbl val="0"/>
      </c:catAx>
      <c:valAx>
        <c:axId val="305830424"/>
        <c:scaling>
          <c:orientation val="minMax"/>
        </c:scaling>
        <c:delete val="0"/>
        <c:axPos val="l"/>
        <c:title>
          <c:tx>
            <c:strRef>
              <c:f>Графики!$J$185</c:f>
              <c:strCache>
                <c:ptCount val="1"/>
                <c:pt idx="0">
                  <c:v>DPBP, лет / year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83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198505382272352"/>
          <c:y val="0.18312934287469385"/>
          <c:w val="0.22116101607817745"/>
          <c:h val="0.49189702351035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Графики!$C$219</c:f>
          <c:strCache>
            <c:ptCount val="1"/>
            <c:pt idx="0">
              <c:v>Ставка дисконтирования </c:v>
            </c:pt>
          </c:strCache>
        </c:strRef>
      </c:tx>
      <c:layout>
        <c:manualLayout>
          <c:xMode val="edge"/>
          <c:yMode val="edge"/>
          <c:x val="0.76625928717165248"/>
          <c:y val="0.911854103343465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Графики!$C$217</c:f>
              <c:strCache>
                <c:ptCount val="1"/>
                <c:pt idx="0">
                  <c:v>К ставке дисконтирования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Графики!$D$217:$J$217</c:f>
              <c:numCache>
                <c:formatCode>0.0%</c:formatCode>
                <c:ptCount val="7"/>
                <c:pt idx="0">
                  <c:v>7.0898552293001363E-2</c:v>
                </c:pt>
                <c:pt idx="1">
                  <c:v>8.1026916906287272E-2</c:v>
                </c:pt>
                <c:pt idx="2">
                  <c:v>9.1155281519573167E-2</c:v>
                </c:pt>
                <c:pt idx="3">
                  <c:v>0.10128364613285908</c:v>
                </c:pt>
                <c:pt idx="4">
                  <c:v>0.11141201074614498</c:v>
                </c:pt>
                <c:pt idx="5">
                  <c:v>0.12154037535943091</c:v>
                </c:pt>
                <c:pt idx="6">
                  <c:v>0.13166873997271683</c:v>
                </c:pt>
              </c:numCache>
            </c:numRef>
          </c:cat>
          <c:val>
            <c:numRef>
              <c:f>Графики!$D$218:$J$218</c:f>
              <c:numCache>
                <c:formatCode>#\ ##0.0</c:formatCode>
                <c:ptCount val="7"/>
                <c:pt idx="0">
                  <c:v>1712063.0077884365</c:v>
                </c:pt>
                <c:pt idx="1">
                  <c:v>1604948.057718341</c:v>
                </c:pt>
                <c:pt idx="2">
                  <c:v>1505724.9452402382</c:v>
                </c:pt>
                <c:pt idx="3">
                  <c:v>1413734.4105973544</c:v>
                </c:pt>
                <c:pt idx="4">
                  <c:v>1328378.3558408578</c:v>
                </c:pt>
                <c:pt idx="5">
                  <c:v>1249113.6310571004</c:v>
                </c:pt>
                <c:pt idx="6">
                  <c:v>1175446.504739302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5-4AE9-838A-B0D17C5DC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96201784"/>
        <c:axId val="296202176"/>
      </c:lineChart>
      <c:catAx>
        <c:axId val="296201784"/>
        <c:scaling>
          <c:orientation val="minMax"/>
        </c:scaling>
        <c:delete val="0"/>
        <c:axPos val="b"/>
        <c:title>
          <c:tx>
            <c:strRef>
              <c:f>Графики!$C$215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7026220616028118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202176"/>
        <c:crosses val="autoZero"/>
        <c:auto val="1"/>
        <c:lblAlgn val="ctr"/>
        <c:lblOffset val="100"/>
        <c:noMultiLvlLbl val="0"/>
      </c:catAx>
      <c:valAx>
        <c:axId val="296202176"/>
        <c:scaling>
          <c:orientation val="minMax"/>
        </c:scaling>
        <c:delete val="0"/>
        <c:axPos val="l"/>
        <c:title>
          <c:tx>
            <c:strRef>
              <c:f>Графики!$J$212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201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0.16160128920055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Графики!$C$245</c:f>
          <c:strCache>
            <c:ptCount val="1"/>
            <c:pt idx="0">
              <c:v>Ставка дисконтирования </c:v>
            </c:pt>
          </c:strCache>
        </c:strRef>
      </c:tx>
      <c:layout>
        <c:manualLayout>
          <c:xMode val="edge"/>
          <c:yMode val="edge"/>
          <c:x val="0.7711938170996171"/>
          <c:y val="0.91590678824721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8501112892803293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Графики!$C$243</c:f>
              <c:strCache>
                <c:ptCount val="1"/>
                <c:pt idx="0">
                  <c:v>К ставке дисконтирования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Графики!$D$243:$J$243</c:f>
              <c:numCache>
                <c:formatCode>0.0%</c:formatCode>
                <c:ptCount val="7"/>
                <c:pt idx="0">
                  <c:v>7.0898552293001363E-2</c:v>
                </c:pt>
                <c:pt idx="1">
                  <c:v>8.1026916906287272E-2</c:v>
                </c:pt>
                <c:pt idx="2">
                  <c:v>9.1155281519573167E-2</c:v>
                </c:pt>
                <c:pt idx="3">
                  <c:v>0.10128364613285908</c:v>
                </c:pt>
                <c:pt idx="4">
                  <c:v>0.11141201074614498</c:v>
                </c:pt>
                <c:pt idx="5">
                  <c:v>0.12154037535943091</c:v>
                </c:pt>
                <c:pt idx="6">
                  <c:v>0.13166873997271683</c:v>
                </c:pt>
              </c:numCache>
            </c:numRef>
          </c:cat>
          <c:val>
            <c:numRef>
              <c:f>Графики!$D$244:$J$244</c:f>
              <c:numCache>
                <c:formatCode>#\ ##0.0</c:formatCode>
                <c:ptCount val="7"/>
                <c:pt idx="0">
                  <c:v>128110.1822561372</c:v>
                </c:pt>
                <c:pt idx="1">
                  <c:v>121479.45204014478</c:v>
                </c:pt>
                <c:pt idx="2">
                  <c:v>115296.92070813473</c:v>
                </c:pt>
                <c:pt idx="3">
                  <c:v>109526.91181741741</c:v>
                </c:pt>
                <c:pt idx="4">
                  <c:v>104136.96733948385</c:v>
                </c:pt>
                <c:pt idx="5">
                  <c:v>99097.525932987512</c:v>
                </c:pt>
                <c:pt idx="6">
                  <c:v>94381.63632285966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3-4BD6-BF57-86DB82AD6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96202960"/>
        <c:axId val="296203352"/>
      </c:lineChart>
      <c:catAx>
        <c:axId val="296202960"/>
        <c:scaling>
          <c:orientation val="minMax"/>
        </c:scaling>
        <c:delete val="0"/>
        <c:axPos val="b"/>
        <c:title>
          <c:tx>
            <c:strRef>
              <c:f>Графики!$C$241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651688836048126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203352"/>
        <c:crosses val="autoZero"/>
        <c:auto val="1"/>
        <c:lblAlgn val="ctr"/>
        <c:lblOffset val="100"/>
        <c:noMultiLvlLbl val="0"/>
      </c:catAx>
      <c:valAx>
        <c:axId val="296203352"/>
        <c:scaling>
          <c:orientation val="minMax"/>
        </c:scaling>
        <c:delete val="0"/>
        <c:axPos val="l"/>
        <c:title>
          <c:tx>
            <c:strRef>
              <c:f>Графики!$J$238</c:f>
              <c:strCache>
                <c:ptCount val="1"/>
                <c:pt idx="0">
                  <c:v>DPBP, лет / year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202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0.177812028815546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Графики!$C$271</c:f>
          <c:strCache>
            <c:ptCount val="1"/>
            <c:pt idx="0">
              <c:v>Курсы валют: 
тыс. руб. / тыс. $
тыс. руб. / тыс. EUR</c:v>
            </c:pt>
          </c:strCache>
        </c:strRef>
      </c:tx>
      <c:layout>
        <c:manualLayout>
          <c:xMode val="edge"/>
          <c:yMode val="edge"/>
          <c:x val="0.77684946685575129"/>
          <c:y val="0.802431610942249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4.4579533941236066E-2"/>
          <c:w val="0.65983298536775115"/>
          <c:h val="0.7893210157240983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Графики!$C$269</c:f>
              <c:strCache>
                <c:ptCount val="1"/>
                <c:pt idx="0">
                  <c:v>К курсам валют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Графики!$D$269:$J$269</c:f>
              <c:strCache>
                <c:ptCount val="7"/>
                <c:pt idx="0">
                  <c:v>78,50
92,40   </c:v>
                </c:pt>
                <c:pt idx="1">
                  <c:v>78,50
92,40   </c:v>
                </c:pt>
                <c:pt idx="2">
                  <c:v>78,50
92,40   </c:v>
                </c:pt>
                <c:pt idx="3">
                  <c:v>78,50
92,40   </c:v>
                </c:pt>
                <c:pt idx="4">
                  <c:v>78,50
92,40   </c:v>
                </c:pt>
                <c:pt idx="5">
                  <c:v>78,50
92,40   </c:v>
                </c:pt>
                <c:pt idx="6">
                  <c:v>78,50
92,40   </c:v>
                </c:pt>
              </c:strCache>
            </c:strRef>
          </c:cat>
          <c:val>
            <c:numRef>
              <c:f>Графики!$D$270:$J$270</c:f>
              <c:numCache>
                <c:formatCode>#\ ##0.0</c:formatCode>
                <c:ptCount val="7"/>
                <c:pt idx="0">
                  <c:v>1413734.4105973544</c:v>
                </c:pt>
                <c:pt idx="1">
                  <c:v>1413734.4105973544</c:v>
                </c:pt>
                <c:pt idx="2">
                  <c:v>1413734.4105973544</c:v>
                </c:pt>
                <c:pt idx="3">
                  <c:v>1413734.4105973544</c:v>
                </c:pt>
                <c:pt idx="4">
                  <c:v>1413734.4105973544</c:v>
                </c:pt>
                <c:pt idx="5">
                  <c:v>1413734.4105973544</c:v>
                </c:pt>
                <c:pt idx="6">
                  <c:v>1413734.4105973544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D-4724-BCE3-D6AF8B18D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96204136"/>
        <c:axId val="296204528"/>
      </c:lineChart>
      <c:catAx>
        <c:axId val="296204136"/>
        <c:scaling>
          <c:orientation val="minMax"/>
        </c:scaling>
        <c:delete val="0"/>
        <c:axPos val="b"/>
        <c:title>
          <c:tx>
            <c:strRef>
              <c:f>Графики!$C$267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618850147276929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204528"/>
        <c:crosses val="autoZero"/>
        <c:auto val="1"/>
        <c:lblAlgn val="ctr"/>
        <c:lblOffset val="100"/>
        <c:noMultiLvlLbl val="0"/>
      </c:catAx>
      <c:valAx>
        <c:axId val="296204528"/>
        <c:scaling>
          <c:orientation val="minMax"/>
        </c:scaling>
        <c:delete val="0"/>
        <c:axPos val="l"/>
        <c:title>
          <c:tx>
            <c:strRef>
              <c:f>Графики!$J$264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20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6.8389536414331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Графики!$C$297</c:f>
          <c:strCache>
            <c:ptCount val="1"/>
            <c:pt idx="0">
              <c:v>Инфляция</c:v>
            </c:pt>
          </c:strCache>
        </c:strRef>
      </c:tx>
      <c:layout>
        <c:manualLayout>
          <c:xMode val="edge"/>
          <c:yMode val="edge"/>
          <c:x val="0.77926386934023373"/>
          <c:y val="0.907801418439716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4633269245145965E-2"/>
          <c:y val="9.7264437689969604E-2"/>
          <c:w val="0.65983298536775115"/>
          <c:h val="0.79742638553159584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Графики!$C$295</c:f>
              <c:strCache>
                <c:ptCount val="1"/>
                <c:pt idx="0">
                  <c:v>К инфляции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Графики!$D$295:$J$295</c:f>
              <c:numCache>
                <c:formatCode>0.0%</c:formatCode>
                <c:ptCount val="7"/>
                <c:pt idx="0">
                  <c:v>3.5847241570710418E-2</c:v>
                </c:pt>
                <c:pt idx="1">
                  <c:v>3.5847241570710418E-2</c:v>
                </c:pt>
                <c:pt idx="2">
                  <c:v>3.5847241570710418E-2</c:v>
                </c:pt>
                <c:pt idx="3">
                  <c:v>3.5847241570710418E-2</c:v>
                </c:pt>
                <c:pt idx="4">
                  <c:v>3.5847241570710418E-2</c:v>
                </c:pt>
                <c:pt idx="5">
                  <c:v>3.5847241570710418E-2</c:v>
                </c:pt>
                <c:pt idx="6">
                  <c:v>3.5847241570710418E-2</c:v>
                </c:pt>
              </c:numCache>
            </c:numRef>
          </c:cat>
          <c:val>
            <c:numRef>
              <c:f>Графики!$D$296:$J$296</c:f>
              <c:numCache>
                <c:formatCode>#\ ##0.0</c:formatCode>
                <c:ptCount val="7"/>
                <c:pt idx="0">
                  <c:v>1413734.4105973544</c:v>
                </c:pt>
                <c:pt idx="1">
                  <c:v>1413734.4105973544</c:v>
                </c:pt>
                <c:pt idx="2">
                  <c:v>1413734.4105973544</c:v>
                </c:pt>
                <c:pt idx="3">
                  <c:v>1413734.4105973544</c:v>
                </c:pt>
                <c:pt idx="4">
                  <c:v>1413734.4105973544</c:v>
                </c:pt>
                <c:pt idx="5">
                  <c:v>1413734.4105973544</c:v>
                </c:pt>
                <c:pt idx="6">
                  <c:v>1413734.4105973544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7-4FAC-BA9C-BB6185EC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10186624"/>
        <c:axId val="310187016"/>
      </c:lineChart>
      <c:catAx>
        <c:axId val="310186624"/>
        <c:scaling>
          <c:orientation val="minMax"/>
        </c:scaling>
        <c:delete val="0"/>
        <c:axPos val="b"/>
        <c:title>
          <c:tx>
            <c:strRef>
              <c:f>Графики!$C$293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806379421039539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0187016"/>
        <c:crosses val="autoZero"/>
        <c:auto val="1"/>
        <c:lblAlgn val="ctr"/>
        <c:lblOffset val="100"/>
        <c:noMultiLvlLbl val="0"/>
      </c:catAx>
      <c:valAx>
        <c:axId val="310187016"/>
        <c:scaling>
          <c:orientation val="minMax"/>
        </c:scaling>
        <c:delete val="0"/>
        <c:axPos val="l"/>
        <c:title>
          <c:tx>
            <c:strRef>
              <c:f>Графики!$J$290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0186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34834832222299"/>
          <c:y val="0.18312934287469385"/>
          <c:w val="0.21293075393984578"/>
          <c:h val="6.8389536414331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_(* #,##0.00_);_(* \(#,##0.00\);_(* &quot;-&quot;??_);_(@_)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'Таб. 12'!$D$1:$M$1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12'!$D$22:$M$22</c:f>
              <c:numCache>
                <c:formatCode>#,##0</c:formatCode>
                <c:ptCount val="10"/>
                <c:pt idx="0">
                  <c:v>-763839.5</c:v>
                </c:pt>
                <c:pt idx="1">
                  <c:v>-662570.41666974302</c:v>
                </c:pt>
                <c:pt idx="2">
                  <c:v>-2037414.5909947951</c:v>
                </c:pt>
                <c:pt idx="3">
                  <c:v>-2810034.3594813468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491315.59464514832</c:v>
                </c:pt>
                <c:pt idx="9">
                  <c:v>7652041.1489606583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BBD-9A72-7193DD38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319344"/>
        <c:axId val="295319736"/>
      </c:barChart>
      <c:catAx>
        <c:axId val="29531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3197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95319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31934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'Таб. 12'!$D$1:$M$1</c:f>
              <c:strCach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strCache>
            </c:strRef>
          </c:cat>
          <c:val>
            <c:numRef>
              <c:f>'Таб. 12'!$D$33:$M$33</c:f>
              <c:numCache>
                <c:formatCode>#,##0</c:formatCode>
                <c:ptCount val="10"/>
                <c:pt idx="0">
                  <c:v>43480.451816223431</c:v>
                </c:pt>
                <c:pt idx="1">
                  <c:v>120781.38680531505</c:v>
                </c:pt>
                <c:pt idx="2">
                  <c:v>238131.54163153394</c:v>
                </c:pt>
                <c:pt idx="3">
                  <c:v>530778.59554901929</c:v>
                </c:pt>
                <c:pt idx="4">
                  <c:v>978596.9500301244</c:v>
                </c:pt>
                <c:pt idx="5">
                  <c:v>1404044.0360056132</c:v>
                </c:pt>
                <c:pt idx="6">
                  <c:v>1695532.055461619</c:v>
                </c:pt>
                <c:pt idx="7">
                  <c:v>1926441.9743763444</c:v>
                </c:pt>
                <c:pt idx="8">
                  <c:v>2572503.6230487865</c:v>
                </c:pt>
                <c:pt idx="9">
                  <c:v>8467797.5368973203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B-48E0-ADF2-2B5BDE7683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295320520"/>
        <c:axId val="295320912"/>
      </c:barChart>
      <c:catAx>
        <c:axId val="29532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32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32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320520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681996882082312E-2"/>
          <c:y val="4.3758042145541062E-2"/>
          <c:w val="0.90455784607934098"/>
          <c:h val="0.82417912168181229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bg1"/>
              </a:solidFill>
            </a:ln>
            <a:effectLst/>
          </c:spPr>
          <c:val>
            <c:numRef>
              <c:f>'Таб. 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'Таб. 10'!#REF!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60C-46AE-8F65-B75E6BA75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5321696"/>
        <c:axId val="303535192"/>
      </c:areaChart>
      <c:catAx>
        <c:axId val="2953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3535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53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321696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Результаты_УК!$A$286</c:f>
              <c:strCache>
                <c:ptCount val="1"/>
                <c:pt idx="0">
                  <c:v>Дисконтированный поток нарастающим итогом</c:v>
                </c:pt>
              </c:strCache>
            </c:strRef>
          </c:tx>
          <c:spPr>
            <a:ln w="44450">
              <a:solidFill>
                <a:srgbClr val="C00000">
                  <a:alpha val="50000"/>
                </a:srgbClr>
              </a:solidFill>
            </a:ln>
          </c:spPr>
          <c:marker>
            <c:symbol val="none"/>
          </c:marker>
          <c:cat>
            <c:strRef>
              <c:f>Результаты_УК!$E$267:$AR$267</c:f>
              <c:strCache>
                <c:ptCount val="40"/>
                <c:pt idx="0">
                  <c:v>1 кв. 2020</c:v>
                </c:pt>
                <c:pt idx="1">
                  <c:v>2 кв. 2020</c:v>
                </c:pt>
                <c:pt idx="2">
                  <c:v>3 кв. 2020</c:v>
                </c:pt>
                <c:pt idx="3">
                  <c:v>4 кв. 2020</c:v>
                </c:pt>
                <c:pt idx="4">
                  <c:v>1 кв. 2021</c:v>
                </c:pt>
                <c:pt idx="5">
                  <c:v>2 кв. 2021</c:v>
                </c:pt>
                <c:pt idx="6">
                  <c:v>3 кв. 2021</c:v>
                </c:pt>
                <c:pt idx="7">
                  <c:v>4 кв. 2021</c:v>
                </c:pt>
                <c:pt idx="8">
                  <c:v>1 кв. 2022</c:v>
                </c:pt>
                <c:pt idx="9">
                  <c:v>2 кв. 2022</c:v>
                </c:pt>
                <c:pt idx="10">
                  <c:v>3 кв. 2022</c:v>
                </c:pt>
                <c:pt idx="11">
                  <c:v>4 кв. 2022</c:v>
                </c:pt>
                <c:pt idx="12">
                  <c:v>1 кв. 2023</c:v>
                </c:pt>
                <c:pt idx="13">
                  <c:v>2 кв. 2023</c:v>
                </c:pt>
                <c:pt idx="14">
                  <c:v>3 кв. 2023</c:v>
                </c:pt>
                <c:pt idx="15">
                  <c:v>4 кв. 2023</c:v>
                </c:pt>
                <c:pt idx="16">
                  <c:v>1 кв. 2024</c:v>
                </c:pt>
                <c:pt idx="17">
                  <c:v>2 кв. 2024</c:v>
                </c:pt>
                <c:pt idx="18">
                  <c:v>3 кв. 2024</c:v>
                </c:pt>
                <c:pt idx="19">
                  <c:v>4 кв. 2024</c:v>
                </c:pt>
                <c:pt idx="20">
                  <c:v>1 кв. 2025</c:v>
                </c:pt>
                <c:pt idx="21">
                  <c:v>2 кв. 2025</c:v>
                </c:pt>
                <c:pt idx="22">
                  <c:v>3 кв. 2025</c:v>
                </c:pt>
                <c:pt idx="23">
                  <c:v>4 кв. 2025</c:v>
                </c:pt>
                <c:pt idx="24">
                  <c:v>1 кв. 2026</c:v>
                </c:pt>
                <c:pt idx="25">
                  <c:v>2 кв. 2026</c:v>
                </c:pt>
                <c:pt idx="26">
                  <c:v>3 кв. 2026</c:v>
                </c:pt>
                <c:pt idx="27">
                  <c:v>4 кв. 2026</c:v>
                </c:pt>
                <c:pt idx="28">
                  <c:v>1 кв. 2027</c:v>
                </c:pt>
                <c:pt idx="29">
                  <c:v>2 кв. 2027</c:v>
                </c:pt>
                <c:pt idx="30">
                  <c:v>3 кв. 2027</c:v>
                </c:pt>
                <c:pt idx="31">
                  <c:v>4 кв. 2027</c:v>
                </c:pt>
                <c:pt idx="32">
                  <c:v>1 кв. 2028</c:v>
                </c:pt>
                <c:pt idx="33">
                  <c:v>2 кв. 2028</c:v>
                </c:pt>
                <c:pt idx="34">
                  <c:v>3 кв. 2028</c:v>
                </c:pt>
                <c:pt idx="35">
                  <c:v>4 кв. 2028</c:v>
                </c:pt>
                <c:pt idx="36">
                  <c:v>1 кв. 2029</c:v>
                </c:pt>
                <c:pt idx="37">
                  <c:v>2 кв. 2029</c:v>
                </c:pt>
                <c:pt idx="38">
                  <c:v>3 кв. 2029</c:v>
                </c:pt>
                <c:pt idx="39">
                  <c:v>4 кв. 2029</c:v>
                </c:pt>
              </c:strCache>
            </c:strRef>
          </c:cat>
          <c:val>
            <c:numRef>
              <c:f>Результаты_УК!$E$286:$AR$286</c:f>
              <c:numCache>
                <c:formatCode>#,##0</c:formatCode>
                <c:ptCount val="40"/>
                <c:pt idx="0">
                  <c:v>-927243.68191294617</c:v>
                </c:pt>
                <c:pt idx="1">
                  <c:v>-1263621.4220094378</c:v>
                </c:pt>
                <c:pt idx="2">
                  <c:v>-1311233.6482005194</c:v>
                </c:pt>
                <c:pt idx="3">
                  <c:v>-1358774.2524204189</c:v>
                </c:pt>
                <c:pt idx="4">
                  <c:v>-1426715.8688305265</c:v>
                </c:pt>
                <c:pt idx="5">
                  <c:v>-1582994.7836076098</c:v>
                </c:pt>
                <c:pt idx="6">
                  <c:v>-1794298.8164256187</c:v>
                </c:pt>
                <c:pt idx="7">
                  <c:v>-1891186.8401420417</c:v>
                </c:pt>
                <c:pt idx="8">
                  <c:v>-2089798.5149409121</c:v>
                </c:pt>
                <c:pt idx="9">
                  <c:v>-2519347.2708297097</c:v>
                </c:pt>
                <c:pt idx="10">
                  <c:v>-3139129.8834152343</c:v>
                </c:pt>
                <c:pt idx="11">
                  <c:v>-3470279.4589502765</c:v>
                </c:pt>
                <c:pt idx="12">
                  <c:v>-3759055.8957592095</c:v>
                </c:pt>
                <c:pt idx="13">
                  <c:v>-4430406.7522833552</c:v>
                </c:pt>
                <c:pt idx="14">
                  <c:v>-5148834.1357778795</c:v>
                </c:pt>
                <c:pt idx="15">
                  <c:v>-5468036.7269748393</c:v>
                </c:pt>
                <c:pt idx="16">
                  <c:v>-5287097.2305040928</c:v>
                </c:pt>
                <c:pt idx="17">
                  <c:v>-5102922.864545377</c:v>
                </c:pt>
                <c:pt idx="18">
                  <c:v>-4869745.3324657371</c:v>
                </c:pt>
                <c:pt idx="19">
                  <c:v>-4684888.6013561003</c:v>
                </c:pt>
                <c:pt idx="20">
                  <c:v>-4501733.901038684</c:v>
                </c:pt>
                <c:pt idx="21">
                  <c:v>-4309575.8211122518</c:v>
                </c:pt>
                <c:pt idx="22">
                  <c:v>-4129985.4659993937</c:v>
                </c:pt>
                <c:pt idx="23">
                  <c:v>-3978302.2963654478</c:v>
                </c:pt>
                <c:pt idx="24">
                  <c:v>-3827989.6242286563</c:v>
                </c:pt>
                <c:pt idx="25">
                  <c:v>-3683936.9554554871</c:v>
                </c:pt>
                <c:pt idx="26">
                  <c:v>-3545025.1227403935</c:v>
                </c:pt>
                <c:pt idx="27">
                  <c:v>-3407914.3408102561</c:v>
                </c:pt>
                <c:pt idx="28">
                  <c:v>-3272257.1609369987</c:v>
                </c:pt>
                <c:pt idx="29">
                  <c:v>-3152217.8941388852</c:v>
                </c:pt>
                <c:pt idx="30">
                  <c:v>-3033597.3501036717</c:v>
                </c:pt>
                <c:pt idx="31">
                  <c:v>-2916382.9026377569</c:v>
                </c:pt>
                <c:pt idx="32">
                  <c:v>-2562390.5831976081</c:v>
                </c:pt>
                <c:pt idx="33">
                  <c:v>-2471700.2425882299</c:v>
                </c:pt>
                <c:pt idx="34">
                  <c:v>-2363197.12181543</c:v>
                </c:pt>
                <c:pt idx="35">
                  <c:v>-2256039.6907695192</c:v>
                </c:pt>
                <c:pt idx="36">
                  <c:v>1227728.2881696937</c:v>
                </c:pt>
                <c:pt idx="37">
                  <c:v>347736.84352044866</c:v>
                </c:pt>
                <c:pt idx="38">
                  <c:v>385058.75471499423</c:v>
                </c:pt>
                <c:pt idx="39">
                  <c:v>420654.86896252848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1F0-4664-A788-38F16D93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35976"/>
        <c:axId val="303536368"/>
      </c:lineChart>
      <c:catAx>
        <c:axId val="30353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35363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0353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3535976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Результаты_УК!$A$327</c:f>
              <c:strCache>
                <c:ptCount val="1"/>
                <c:pt idx="0">
                  <c:v>Дисконтированный поток нарастающим итогом</c:v>
                </c:pt>
              </c:strCache>
            </c:strRef>
          </c:tx>
          <c:spPr>
            <a:ln w="50800">
              <a:solidFill>
                <a:schemeClr val="accent3">
                  <a:lumMod val="75000"/>
                  <a:alpha val="70000"/>
                </a:schemeClr>
              </a:solidFill>
            </a:ln>
          </c:spPr>
          <c:marker>
            <c:symbol val="none"/>
          </c:marker>
          <c:cat>
            <c:strRef>
              <c:f>Результаты_УК!$E$307:$AR$307</c:f>
              <c:strCache>
                <c:ptCount val="40"/>
                <c:pt idx="0">
                  <c:v>1 кв. 2020</c:v>
                </c:pt>
                <c:pt idx="1">
                  <c:v>2 кв. 2020</c:v>
                </c:pt>
                <c:pt idx="2">
                  <c:v>3 кв. 2020</c:v>
                </c:pt>
                <c:pt idx="3">
                  <c:v>4 кв. 2020</c:v>
                </c:pt>
                <c:pt idx="4">
                  <c:v>1 кв. 2021</c:v>
                </c:pt>
                <c:pt idx="5">
                  <c:v>2 кв. 2021</c:v>
                </c:pt>
                <c:pt idx="6">
                  <c:v>3 кв. 2021</c:v>
                </c:pt>
                <c:pt idx="7">
                  <c:v>4 кв. 2021</c:v>
                </c:pt>
                <c:pt idx="8">
                  <c:v>1 кв. 2022</c:v>
                </c:pt>
                <c:pt idx="9">
                  <c:v>2 кв. 2022</c:v>
                </c:pt>
                <c:pt idx="10">
                  <c:v>3 кв. 2022</c:v>
                </c:pt>
                <c:pt idx="11">
                  <c:v>4 кв. 2022</c:v>
                </c:pt>
                <c:pt idx="12">
                  <c:v>1 кв. 2023</c:v>
                </c:pt>
                <c:pt idx="13">
                  <c:v>2 кв. 2023</c:v>
                </c:pt>
                <c:pt idx="14">
                  <c:v>3 кв. 2023</c:v>
                </c:pt>
                <c:pt idx="15">
                  <c:v>4 кв. 2023</c:v>
                </c:pt>
                <c:pt idx="16">
                  <c:v>1 кв. 2024</c:v>
                </c:pt>
                <c:pt idx="17">
                  <c:v>2 кв. 2024</c:v>
                </c:pt>
                <c:pt idx="18">
                  <c:v>3 кв. 2024</c:v>
                </c:pt>
                <c:pt idx="19">
                  <c:v>4 кв. 2024</c:v>
                </c:pt>
                <c:pt idx="20">
                  <c:v>1 кв. 2025</c:v>
                </c:pt>
                <c:pt idx="21">
                  <c:v>2 кв. 2025</c:v>
                </c:pt>
                <c:pt idx="22">
                  <c:v>3 кв. 2025</c:v>
                </c:pt>
                <c:pt idx="23">
                  <c:v>4 кв. 2025</c:v>
                </c:pt>
                <c:pt idx="24">
                  <c:v>1 кв. 2026</c:v>
                </c:pt>
                <c:pt idx="25">
                  <c:v>2 кв. 2026</c:v>
                </c:pt>
                <c:pt idx="26">
                  <c:v>3 кв. 2026</c:v>
                </c:pt>
                <c:pt idx="27">
                  <c:v>4 кв. 2026</c:v>
                </c:pt>
                <c:pt idx="28">
                  <c:v>1 кв. 2027</c:v>
                </c:pt>
                <c:pt idx="29">
                  <c:v>2 кв. 2027</c:v>
                </c:pt>
                <c:pt idx="30">
                  <c:v>3 кв. 2027</c:v>
                </c:pt>
                <c:pt idx="31">
                  <c:v>4 кв. 2027</c:v>
                </c:pt>
                <c:pt idx="32">
                  <c:v>1 кв. 2028</c:v>
                </c:pt>
                <c:pt idx="33">
                  <c:v>2 кв. 2028</c:v>
                </c:pt>
                <c:pt idx="34">
                  <c:v>3 кв. 2028</c:v>
                </c:pt>
                <c:pt idx="35">
                  <c:v>4 кв. 2028</c:v>
                </c:pt>
                <c:pt idx="36">
                  <c:v>1 кв. 2029</c:v>
                </c:pt>
                <c:pt idx="37">
                  <c:v>2 кв. 2029</c:v>
                </c:pt>
                <c:pt idx="38">
                  <c:v>3 кв. 2029</c:v>
                </c:pt>
                <c:pt idx="39">
                  <c:v>4 кв. 2029</c:v>
                </c:pt>
              </c:strCache>
            </c:strRef>
          </c:cat>
          <c:val>
            <c:numRef>
              <c:f>Результаты_УК!$E$327:$AR$327</c:f>
              <c:numCache>
                <c:formatCode>#,##0</c:formatCode>
                <c:ptCount val="40"/>
                <c:pt idx="0">
                  <c:v>-640135.07191294618</c:v>
                </c:pt>
                <c:pt idx="1">
                  <c:v>-668992.90200943779</c:v>
                </c:pt>
                <c:pt idx="2">
                  <c:v>-698464.9313344307</c:v>
                </c:pt>
                <c:pt idx="3">
                  <c:v>-721417.97627394565</c:v>
                </c:pt>
                <c:pt idx="4">
                  <c:v>-771309.16892294667</c:v>
                </c:pt>
                <c:pt idx="5">
                  <c:v>-850517.40850751102</c:v>
                </c:pt>
                <c:pt idx="6">
                  <c:v>-950687.68461904523</c:v>
                </c:pt>
                <c:pt idx="7">
                  <c:v>-1017865.9170965056</c:v>
                </c:pt>
                <c:pt idx="8">
                  <c:v>-1117238.0960973224</c:v>
                </c:pt>
                <c:pt idx="9">
                  <c:v>-1291151.4210906834</c:v>
                </c:pt>
                <c:pt idx="10">
                  <c:v>-1525448.4433851293</c:v>
                </c:pt>
                <c:pt idx="11">
                  <c:v>-1682507.0760627664</c:v>
                </c:pt>
                <c:pt idx="12">
                  <c:v>-1908921.5754147014</c:v>
                </c:pt>
                <c:pt idx="13">
                  <c:v>-2256849.5255517149</c:v>
                </c:pt>
                <c:pt idx="14">
                  <c:v>-2623976.3010260495</c:v>
                </c:pt>
                <c:pt idx="15">
                  <c:v>-2862034.6880572983</c:v>
                </c:pt>
                <c:pt idx="16">
                  <c:v>-2858955.8801192502</c:v>
                </c:pt>
                <c:pt idx="17">
                  <c:v>-2848896.5218540714</c:v>
                </c:pt>
                <c:pt idx="18">
                  <c:v>-2786176.390576825</c:v>
                </c:pt>
                <c:pt idx="19">
                  <c:v>-2768205.431844485</c:v>
                </c:pt>
                <c:pt idx="20">
                  <c:v>-2748448.8083886197</c:v>
                </c:pt>
                <c:pt idx="21">
                  <c:v>-2716283.0458962149</c:v>
                </c:pt>
                <c:pt idx="22">
                  <c:v>-2693359.2356311674</c:v>
                </c:pt>
                <c:pt idx="23">
                  <c:v>-2695094.9222937408</c:v>
                </c:pt>
                <c:pt idx="24">
                  <c:v>-2694795.6513618841</c:v>
                </c:pt>
                <c:pt idx="25">
                  <c:v>-2697683.4442834491</c:v>
                </c:pt>
                <c:pt idx="26">
                  <c:v>-2702711.1679454818</c:v>
                </c:pt>
                <c:pt idx="27">
                  <c:v>-2706609.357997708</c:v>
                </c:pt>
                <c:pt idx="28">
                  <c:v>-2707804.758795389</c:v>
                </c:pt>
                <c:pt idx="29">
                  <c:v>-2722022.6921673594</c:v>
                </c:pt>
                <c:pt idx="30">
                  <c:v>-2735124.3199014706</c:v>
                </c:pt>
                <c:pt idx="31">
                  <c:v>-2747155.9335693279</c:v>
                </c:pt>
                <c:pt idx="32">
                  <c:v>-2519991.0822267593</c:v>
                </c:pt>
                <c:pt idx="33">
                  <c:v>-2553765.7674670997</c:v>
                </c:pt>
                <c:pt idx="34">
                  <c:v>-2544524.5764046735</c:v>
                </c:pt>
                <c:pt idx="35">
                  <c:v>-2534836.9907327499</c:v>
                </c:pt>
                <c:pt idx="36">
                  <c:v>948930.98820646293</c:v>
                </c:pt>
                <c:pt idx="37">
                  <c:v>68939.543557217927</c:v>
                </c:pt>
                <c:pt idx="38">
                  <c:v>106261.45475176348</c:v>
                </c:pt>
                <c:pt idx="39">
                  <c:v>141857.56899929774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F8-4339-B4B0-9F487C98A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37152"/>
        <c:axId val="303537544"/>
      </c:lineChart>
      <c:catAx>
        <c:axId val="30353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35375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0353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353715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Результаты_УК!$A$361</c:f>
              <c:strCache>
                <c:ptCount val="1"/>
                <c:pt idx="0">
                  <c:v>Дисконтированный поток нарастающим итогом</c:v>
                </c:pt>
              </c:strCache>
            </c:strRef>
          </c:tx>
          <c:spPr>
            <a:ln w="50800">
              <a:solidFill>
                <a:schemeClr val="accent1">
                  <a:shade val="95000"/>
                  <a:satMod val="105000"/>
                  <a:alpha val="70000"/>
                </a:schemeClr>
              </a:solidFill>
            </a:ln>
          </c:spPr>
          <c:marker>
            <c:symbol val="none"/>
          </c:marker>
          <c:cat>
            <c:strRef>
              <c:f>Результаты_УК!$E$348:$AR$348</c:f>
              <c:strCache>
                <c:ptCount val="40"/>
                <c:pt idx="0">
                  <c:v>1 кв. 2020</c:v>
                </c:pt>
                <c:pt idx="1">
                  <c:v>2 кв. 2020</c:v>
                </c:pt>
                <c:pt idx="2">
                  <c:v>3 кв. 2020</c:v>
                </c:pt>
                <c:pt idx="3">
                  <c:v>4 кв. 2020</c:v>
                </c:pt>
                <c:pt idx="4">
                  <c:v>1 кв. 2021</c:v>
                </c:pt>
                <c:pt idx="5">
                  <c:v>2 кв. 2021</c:v>
                </c:pt>
                <c:pt idx="6">
                  <c:v>3 кв. 2021</c:v>
                </c:pt>
                <c:pt idx="7">
                  <c:v>4 кв. 2021</c:v>
                </c:pt>
                <c:pt idx="8">
                  <c:v>1 кв. 2022</c:v>
                </c:pt>
                <c:pt idx="9">
                  <c:v>2 кв. 2022</c:v>
                </c:pt>
                <c:pt idx="10">
                  <c:v>3 кв. 2022</c:v>
                </c:pt>
                <c:pt idx="11">
                  <c:v>4 кв. 2022</c:v>
                </c:pt>
                <c:pt idx="12">
                  <c:v>1 кв. 2023</c:v>
                </c:pt>
                <c:pt idx="13">
                  <c:v>2 кв. 2023</c:v>
                </c:pt>
                <c:pt idx="14">
                  <c:v>3 кв. 2023</c:v>
                </c:pt>
                <c:pt idx="15">
                  <c:v>4 кв. 2023</c:v>
                </c:pt>
                <c:pt idx="16">
                  <c:v>1 кв. 2024</c:v>
                </c:pt>
                <c:pt idx="17">
                  <c:v>2 кв. 2024</c:v>
                </c:pt>
                <c:pt idx="18">
                  <c:v>3 кв. 2024</c:v>
                </c:pt>
                <c:pt idx="19">
                  <c:v>4 кв. 2024</c:v>
                </c:pt>
                <c:pt idx="20">
                  <c:v>1 кв. 2025</c:v>
                </c:pt>
                <c:pt idx="21">
                  <c:v>2 кв. 2025</c:v>
                </c:pt>
                <c:pt idx="22">
                  <c:v>3 кв. 2025</c:v>
                </c:pt>
                <c:pt idx="23">
                  <c:v>4 кв. 2025</c:v>
                </c:pt>
                <c:pt idx="24">
                  <c:v>1 кв. 2026</c:v>
                </c:pt>
                <c:pt idx="25">
                  <c:v>2 кв. 2026</c:v>
                </c:pt>
                <c:pt idx="26">
                  <c:v>3 кв. 2026</c:v>
                </c:pt>
                <c:pt idx="27">
                  <c:v>4 кв. 2026</c:v>
                </c:pt>
                <c:pt idx="28">
                  <c:v>1 кв. 2027</c:v>
                </c:pt>
                <c:pt idx="29">
                  <c:v>2 кв. 2027</c:v>
                </c:pt>
                <c:pt idx="30">
                  <c:v>3 кв. 2027</c:v>
                </c:pt>
                <c:pt idx="31">
                  <c:v>4 кв. 2027</c:v>
                </c:pt>
                <c:pt idx="32">
                  <c:v>1 кв. 2028</c:v>
                </c:pt>
                <c:pt idx="33">
                  <c:v>2 кв. 2028</c:v>
                </c:pt>
                <c:pt idx="34">
                  <c:v>3 кв. 2028</c:v>
                </c:pt>
                <c:pt idx="35">
                  <c:v>4 кв. 2028</c:v>
                </c:pt>
                <c:pt idx="36">
                  <c:v>1 кв. 2029</c:v>
                </c:pt>
                <c:pt idx="37">
                  <c:v>2 кв. 2029</c:v>
                </c:pt>
                <c:pt idx="38">
                  <c:v>3 кв. 2029</c:v>
                </c:pt>
                <c:pt idx="39">
                  <c:v>4 кв. 2029</c:v>
                </c:pt>
              </c:strCache>
            </c:strRef>
          </c:cat>
          <c:val>
            <c:numRef>
              <c:f>Результаты_УК!$E$361:$AR$361</c:f>
              <c:numCache>
                <c:formatCode>#,##0</c:formatCode>
                <c:ptCount val="40"/>
                <c:pt idx="0">
                  <c:v>22823.352499999994</c:v>
                </c:pt>
                <c:pt idx="1">
                  <c:v>54143.342499999984</c:v>
                </c:pt>
                <c:pt idx="2">
                  <c:v>120352.80102906824</c:v>
                </c:pt>
                <c:pt idx="3">
                  <c:v>188415.29120363481</c:v>
                </c:pt>
                <c:pt idx="4">
                  <c:v>264355.99122552027</c:v>
                </c:pt>
                <c:pt idx="5">
                  <c:v>342589.40827789519</c:v>
                </c:pt>
                <c:pt idx="6">
                  <c:v>424146.74112993426</c:v>
                </c:pt>
                <c:pt idx="7">
                  <c:v>506571.02928772324</c:v>
                </c:pt>
                <c:pt idx="8">
                  <c:v>604697.13597778766</c:v>
                </c:pt>
                <c:pt idx="9">
                  <c:v>710644.85856146365</c:v>
                </c:pt>
                <c:pt idx="10">
                  <c:v>828403.81387553294</c:v>
                </c:pt>
                <c:pt idx="11">
                  <c:v>951499.45489423384</c:v>
                </c:pt>
                <c:pt idx="12">
                  <c:v>1193736.5502923103</c:v>
                </c:pt>
                <c:pt idx="13">
                  <c:v>1446202.45590263</c:v>
                </c:pt>
                <c:pt idx="14">
                  <c:v>1709783.3724208432</c:v>
                </c:pt>
                <c:pt idx="15">
                  <c:v>1976066.987320788</c:v>
                </c:pt>
                <c:pt idx="16">
                  <c:v>2240181.0795864053</c:v>
                </c:pt>
                <c:pt idx="17">
                  <c:v>2506380.3458229806</c:v>
                </c:pt>
                <c:pt idx="18">
                  <c:v>2823267.435998796</c:v>
                </c:pt>
                <c:pt idx="19">
                  <c:v>3087686.5134350425</c:v>
                </c:pt>
                <c:pt idx="20">
                  <c:v>3349099.6024251394</c:v>
                </c:pt>
                <c:pt idx="21">
                  <c:v>3619019.5703069945</c:v>
                </c:pt>
                <c:pt idx="22">
                  <c:v>3874328.2844122932</c:v>
                </c:pt>
                <c:pt idx="23">
                  <c:v>4098372.7118087662</c:v>
                </c:pt>
                <c:pt idx="24">
                  <c:v>4319603.7580029145</c:v>
                </c:pt>
                <c:pt idx="25">
                  <c:v>4532893.4939040812</c:v>
                </c:pt>
                <c:pt idx="26">
                  <c:v>4739449.7167201424</c:v>
                </c:pt>
                <c:pt idx="27">
                  <c:v>4942932.664340592</c:v>
                </c:pt>
                <c:pt idx="28">
                  <c:v>5142853.1162346043</c:v>
                </c:pt>
                <c:pt idx="29">
                  <c:v>5324580.0723955845</c:v>
                </c:pt>
                <c:pt idx="30">
                  <c:v>5503789.3943651179</c:v>
                </c:pt>
                <c:pt idx="31">
                  <c:v>5680513.4290801557</c:v>
                </c:pt>
                <c:pt idx="32">
                  <c:v>6121546.1552676503</c:v>
                </c:pt>
                <c:pt idx="33">
                  <c:v>6266689.8039204534</c:v>
                </c:pt>
                <c:pt idx="34">
                  <c:v>6423373.011580904</c:v>
                </c:pt>
                <c:pt idx="35">
                  <c:v>6544809.7685692245</c:v>
                </c:pt>
                <c:pt idx="36">
                  <c:v>10508273.022841766</c:v>
                </c:pt>
                <c:pt idx="37">
                  <c:v>9503190.297028318</c:v>
                </c:pt>
                <c:pt idx="38">
                  <c:v>9545984.5037250202</c:v>
                </c:pt>
                <c:pt idx="39">
                  <c:v>9586959.7377509568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9-4575-9392-807839E7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38328"/>
        <c:axId val="303538720"/>
      </c:lineChart>
      <c:catAx>
        <c:axId val="30353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35387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0353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3538328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33269245145965E-2"/>
          <c:y val="6.889564336372847E-2"/>
          <c:w val="0.65983298536775115"/>
          <c:h val="0.83390054966533433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Графики_УК!$C$216</c:f>
              <c:strCache>
                <c:ptCount val="1"/>
                <c:pt idx="0">
                  <c:v>К ставкам аренды и тарифам УК для резидентов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Графики_УК!$D$216:$J$216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Графики_УК!$D$217:$J$217</c:f>
              <c:numCache>
                <c:formatCode>#,##0</c:formatCode>
                <c:ptCount val="7"/>
                <c:pt idx="0">
                  <c:v>-663662.18705169449</c:v>
                </c:pt>
                <c:pt idx="1">
                  <c:v>-302190.57337789761</c:v>
                </c:pt>
                <c:pt idx="2">
                  <c:v>58603.17688132538</c:v>
                </c:pt>
                <c:pt idx="3">
                  <c:v>420654.86896252842</c:v>
                </c:pt>
                <c:pt idx="4">
                  <c:v>755085.96984699473</c:v>
                </c:pt>
                <c:pt idx="5">
                  <c:v>1087150.7902176206</c:v>
                </c:pt>
                <c:pt idx="6">
                  <c:v>1417454.6614228268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6-4E43-9761-BE7B9736D397}"/>
            </c:ext>
          </c:extLst>
        </c:ser>
        <c:ser>
          <c:idx val="1"/>
          <c:order val="1"/>
          <c:tx>
            <c:strRef>
              <c:f>Графики_УК!$C$219</c:f>
              <c:strCache>
                <c:ptCount val="1"/>
                <c:pt idx="0">
                  <c:v>К заполненности площадей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Графики_УК!$D$216:$J$216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Графики_УК!$D$220:$J$220</c:f>
              <c:numCache>
                <c:formatCode>#,##0</c:formatCode>
                <c:ptCount val="7"/>
                <c:pt idx="0">
                  <c:v>420654.86896252848</c:v>
                </c:pt>
                <c:pt idx="1">
                  <c:v>420654.86896252848</c:v>
                </c:pt>
                <c:pt idx="2">
                  <c:v>420654.86896252848</c:v>
                </c:pt>
                <c:pt idx="3">
                  <c:v>420654.86896252848</c:v>
                </c:pt>
                <c:pt idx="4">
                  <c:v>420654.86896252848</c:v>
                </c:pt>
                <c:pt idx="5">
                  <c:v>420654.86896252848</c:v>
                </c:pt>
                <c:pt idx="6">
                  <c:v>420654.86896252848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6-4E43-9761-BE7B9736D397}"/>
            </c:ext>
          </c:extLst>
        </c:ser>
        <c:ser>
          <c:idx val="2"/>
          <c:order val="2"/>
          <c:tx>
            <c:strRef>
              <c:f>Графики_УК!$C$222</c:f>
              <c:strCache>
                <c:ptCount val="1"/>
                <c:pt idx="0">
                  <c:v>К ценам продажи площадей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Графики_УК!$D$216:$J$216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Графики_УК!$D$223:$J$223</c:f>
              <c:numCache>
                <c:formatCode>#,##0</c:formatCode>
                <c:ptCount val="7"/>
                <c:pt idx="0">
                  <c:v>598861.15737307037</c:v>
                </c:pt>
                <c:pt idx="1">
                  <c:v>539459.06123622379</c:v>
                </c:pt>
                <c:pt idx="2">
                  <c:v>480056.96509937668</c:v>
                </c:pt>
                <c:pt idx="3">
                  <c:v>420654.86896252848</c:v>
                </c:pt>
                <c:pt idx="4">
                  <c:v>361252.77282568126</c:v>
                </c:pt>
                <c:pt idx="5">
                  <c:v>301850.67668883374</c:v>
                </c:pt>
                <c:pt idx="6">
                  <c:v>242448.58055198521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6-4E43-9761-BE7B9736D397}"/>
            </c:ext>
          </c:extLst>
        </c:ser>
        <c:ser>
          <c:idx val="3"/>
          <c:order val="3"/>
          <c:tx>
            <c:strRef>
              <c:f>Графики_УК!$C$225</c:f>
              <c:strCache>
                <c:ptCount val="1"/>
                <c:pt idx="0">
                  <c:v>К операционным издержкам УК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Графики_УК!$D$216:$J$216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Графики_УК!$D$226:$J$226</c:f>
              <c:numCache>
                <c:formatCode>#,##0</c:formatCode>
                <c:ptCount val="7"/>
                <c:pt idx="0">
                  <c:v>420654.86896252848</c:v>
                </c:pt>
                <c:pt idx="1">
                  <c:v>420654.86896252848</c:v>
                </c:pt>
                <c:pt idx="2">
                  <c:v>420654.86896252848</c:v>
                </c:pt>
                <c:pt idx="3">
                  <c:v>420654.86896252848</c:v>
                </c:pt>
                <c:pt idx="4">
                  <c:v>420654.86896252848</c:v>
                </c:pt>
                <c:pt idx="5">
                  <c:v>420654.86896252848</c:v>
                </c:pt>
                <c:pt idx="6">
                  <c:v>420654.86896252848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36-4E43-9761-BE7B9736D397}"/>
            </c:ext>
          </c:extLst>
        </c:ser>
        <c:ser>
          <c:idx val="4"/>
          <c:order val="4"/>
          <c:tx>
            <c:strRef>
              <c:f>Графики_УК!$C$228</c:f>
              <c:strCache>
                <c:ptCount val="1"/>
                <c:pt idx="0">
                  <c:v>К размеру инвестиций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Графики_УК!$D$216:$J$216</c:f>
              <c:numCache>
                <c:formatCode>0%</c:formatCode>
                <c:ptCount val="7"/>
                <c:pt idx="0">
                  <c:v>0.7</c:v>
                </c:pt>
                <c:pt idx="1">
                  <c:v>0.79999999999999993</c:v>
                </c:pt>
                <c:pt idx="2">
                  <c:v>0.89999999999999991</c:v>
                </c:pt>
                <c:pt idx="3">
                  <c:v>0.99999999999999989</c:v>
                </c:pt>
                <c:pt idx="4">
                  <c:v>1.0999999999999999</c:v>
                </c:pt>
                <c:pt idx="5">
                  <c:v>1.2</c:v>
                </c:pt>
                <c:pt idx="6">
                  <c:v>1.3</c:v>
                </c:pt>
              </c:numCache>
            </c:numRef>
          </c:cat>
          <c:val>
            <c:numRef>
              <c:f>Графики_УК!$D$229:$J$229</c:f>
              <c:numCache>
                <c:formatCode>#,##0</c:formatCode>
                <c:ptCount val="7"/>
                <c:pt idx="0">
                  <c:v>420654.86896252848</c:v>
                </c:pt>
                <c:pt idx="1">
                  <c:v>420654.86896252848</c:v>
                </c:pt>
                <c:pt idx="2">
                  <c:v>420654.86896252848</c:v>
                </c:pt>
                <c:pt idx="3">
                  <c:v>420654.86896252848</c:v>
                </c:pt>
                <c:pt idx="4">
                  <c:v>420654.86896252848</c:v>
                </c:pt>
                <c:pt idx="5">
                  <c:v>420654.86896252848</c:v>
                </c:pt>
                <c:pt idx="6">
                  <c:v>420654.86896252848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36-4E43-9761-BE7B9736D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06108592"/>
        <c:axId val="306108984"/>
      </c:lineChart>
      <c:catAx>
        <c:axId val="306108592"/>
        <c:scaling>
          <c:orientation val="minMax"/>
        </c:scaling>
        <c:delete val="0"/>
        <c:axPos val="b"/>
        <c:title>
          <c:tx>
            <c:strRef>
              <c:f>Графики_УК!$C$214</c:f>
              <c:strCache>
                <c:ptCount val="1"/>
                <c:pt idx="0">
                  <c:v>Анализ чувствительности</c:v>
                </c:pt>
              </c:strCache>
            </c:strRef>
          </c:tx>
          <c:layout>
            <c:manualLayout>
              <c:xMode val="edge"/>
              <c:yMode val="edge"/>
              <c:x val="0.76089891166078161"/>
              <c:y val="9.22592122793161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108984"/>
        <c:crosses val="autoZero"/>
        <c:auto val="1"/>
        <c:lblAlgn val="ctr"/>
        <c:lblOffset val="100"/>
        <c:noMultiLvlLbl val="0"/>
      </c:catAx>
      <c:valAx>
        <c:axId val="306108984"/>
        <c:scaling>
          <c:orientation val="minMax"/>
        </c:scaling>
        <c:delete val="0"/>
        <c:axPos val="l"/>
        <c:title>
          <c:tx>
            <c:strRef>
              <c:f>Графики_УК!$J$211</c:f>
              <c:strCache>
                <c:ptCount val="1"/>
                <c:pt idx="0">
                  <c:v>NPV, тыс. руб.</c:v>
                </c:pt>
              </c:strCache>
            </c:strRef>
          </c:tx>
          <c:layout>
            <c:manualLayout>
              <c:xMode val="edge"/>
              <c:yMode val="edge"/>
              <c:x val="9.3632944994994693E-2"/>
              <c:y val="1.77909676184094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610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947568942232303"/>
          <c:y val="0.17907665797094513"/>
          <c:w val="0.20992506267877811"/>
          <c:h val="0.5688980366815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12" Type="http://schemas.openxmlformats.org/officeDocument/2006/relationships/chart" Target="../charts/chart27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11" Type="http://schemas.openxmlformats.org/officeDocument/2006/relationships/chart" Target="../charts/chart26.xml"/><Relationship Id="rId5" Type="http://schemas.openxmlformats.org/officeDocument/2006/relationships/chart" Target="../charts/chart20.xml"/><Relationship Id="rId10" Type="http://schemas.openxmlformats.org/officeDocument/2006/relationships/chart" Target="../charts/chart25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152400</xdr:rowOff>
    </xdr:from>
    <xdr:to>
      <xdr:col>13</xdr:col>
      <xdr:colOff>0</xdr:colOff>
      <xdr:row>37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8125" y="152400"/>
          <a:ext cx="7686675" cy="5857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14000"/>
            </a:lnSpc>
          </a:pPr>
          <a:r>
            <a:rPr lang="ru-RU" sz="1050" b="1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Структура файла</a:t>
          </a:r>
          <a:r>
            <a:rPr lang="en-US" sz="1050" b="1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:</a:t>
          </a:r>
          <a:endParaRPr lang="ru-RU" sz="1050" b="1">
            <a:solidFill>
              <a:schemeClr val="tx1">
                <a:lumMod val="85000"/>
                <a:lumOff val="15000"/>
              </a:schemeClr>
            </a:solidFill>
            <a:latin typeface="Arial Narrow" panose="020B0606020202030204" pitchFamily="34" charset="0"/>
          </a:endParaRPr>
        </a:p>
        <a:p>
          <a:pPr>
            <a:lnSpc>
              <a:spcPct val="114000"/>
            </a:lnSpc>
          </a:pPr>
          <a:endParaRPr lang="en-US" sz="1050" b="1">
            <a:solidFill>
              <a:schemeClr val="tx1">
                <a:lumMod val="85000"/>
                <a:lumOff val="15000"/>
              </a:schemeClr>
            </a:solidFill>
            <a:latin typeface="Arial Narrow" panose="020B0606020202030204" pitchFamily="34" charset="0"/>
          </a:endParaRPr>
        </a:p>
        <a:p>
          <a:pPr>
            <a:lnSpc>
              <a:spcPct val="114000"/>
            </a:lnSpc>
          </a:pPr>
          <a:r>
            <a:rPr lang="ru-RU" sz="1050" b="1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Лист</a:t>
          </a:r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</a:t>
          </a:r>
          <a:r>
            <a:rPr lang="ru-RU" sz="1050" b="1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ИД</a:t>
          </a:r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</a:t>
          </a:r>
          <a:r>
            <a:rPr lang="en-US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-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основные пользовательские исходные данные.</a:t>
          </a:r>
        </a:p>
        <a:p>
          <a:pPr>
            <a:lnSpc>
              <a:spcPct val="114000"/>
            </a:lnSpc>
          </a:pPr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Лист Параметры -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базовые параметры и предположения к расчетам, дефляторы, курсы валют, ставки налогов, ставки дисконтирования.</a:t>
          </a:r>
          <a:endParaRPr lang="en-US" sz="1050" b="0" baseline="0">
            <a:solidFill>
              <a:schemeClr val="tx1">
                <a:lumMod val="85000"/>
                <a:lumOff val="15000"/>
              </a:schemeClr>
            </a:solidFill>
            <a:latin typeface="Arial Narrow" panose="020B0606020202030204" pitchFamily="34" charset="0"/>
          </a:endParaRPr>
        </a:p>
        <a:p>
          <a:pPr eaLnBrk="1" fontAlgn="auto" latinLnBrk="0" hangingPunct="1"/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Лист Деятельность УК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 - расчеты по деятельности Управляющей компании: доходы от аренды и услуг, переменные и операционные издержки, персонал, инвестиции и т.п.</a:t>
          </a:r>
        </a:p>
        <a:p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Лист Результаты УК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- прогнозная бух.отчетность Управляющей компании, показатели эффективности, финансовой состоятельности и т.п.</a:t>
          </a:r>
        </a:p>
        <a:p>
          <a:pPr eaLnBrk="1" fontAlgn="auto" latinLnBrk="0" hangingPunct="1"/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Лист Графики УК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- графики, диаграммы и анализ чувствительности для Управляющей компании</a:t>
          </a:r>
        </a:p>
        <a:p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Лист Резиденты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- расчеты по деятельности резидентов</a:t>
          </a:r>
        </a:p>
        <a:p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Лист Бюджетная система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- расчеты по субсидиям и доходам бюджетной системы, анализ эффективности </a:t>
          </a:r>
        </a:p>
        <a:p>
          <a:pPr>
            <a:lnSpc>
              <a:spcPct val="114000"/>
            </a:lnSpc>
          </a:pPr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Лист Графики -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графики,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диаграммы и анализ чувствительности</a:t>
          </a:r>
        </a:p>
        <a:p>
          <a:pPr>
            <a:lnSpc>
              <a:spcPct val="114000"/>
            </a:lnSpc>
          </a:pPr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Листы Титул, Оглавление, Таблица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</a:t>
          </a:r>
          <a:r>
            <a:rPr lang="en-US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#  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- листы, подготовленные для печати на принтере или в </a:t>
          </a:r>
          <a:r>
            <a:rPr lang="en-US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pdf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-файл. На листах сформированы области печати, колонтитулы, номера страниц, заголовки, сквозные строки и столбцы и т.п.</a:t>
          </a:r>
        </a:p>
        <a:p>
          <a:pPr>
            <a:lnSpc>
              <a:spcPct val="114000"/>
            </a:lnSpc>
          </a:pP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</a:t>
          </a:r>
        </a:p>
        <a:p>
          <a:pPr>
            <a:lnSpc>
              <a:spcPct val="114000"/>
            </a:lnSpc>
          </a:pP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Ячейки зеленого цвета предназначены для ввода данных.</a:t>
          </a:r>
        </a:p>
        <a:p>
          <a:pPr>
            <a:lnSpc>
              <a:spcPct val="114000"/>
            </a:lnSpc>
          </a:pPr>
          <a:endParaRPr lang="ru-RU" sz="1050" b="0" baseline="0">
            <a:solidFill>
              <a:schemeClr val="tx1">
                <a:lumMod val="85000"/>
                <a:lumOff val="15000"/>
              </a:schemeClr>
            </a:solidFill>
            <a:latin typeface="Arial Narrow" panose="020B0606020202030204" pitchFamily="34" charset="0"/>
          </a:endParaRPr>
        </a:p>
        <a:p>
          <a:pPr>
            <a:lnSpc>
              <a:spcPct val="114000"/>
            </a:lnSpc>
          </a:pPr>
          <a:r>
            <a:rPr lang="ru-RU" sz="1050" b="1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Этот</a:t>
          </a:r>
          <a:r>
            <a:rPr lang="ru-RU" sz="1050" b="1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ф</a:t>
          </a:r>
          <a:r>
            <a:rPr lang="ru-RU" sz="1050" b="1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айл</a:t>
          </a:r>
          <a:r>
            <a:rPr lang="en-US" sz="1050" b="1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:</a:t>
          </a:r>
          <a:endParaRPr lang="ru-RU" sz="1050" b="1">
            <a:solidFill>
              <a:schemeClr val="tx1">
                <a:lumMod val="85000"/>
                <a:lumOff val="15000"/>
              </a:schemeClr>
            </a:solidFill>
            <a:latin typeface="Arial Narrow" panose="020B0606020202030204" pitchFamily="34" charset="0"/>
          </a:endParaRP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Предназначен для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MS Excel 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не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ранее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2013 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года выпуска,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и не предназначен 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для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OpenOffice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,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LibreOffice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и т.п.</a:t>
          </a: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Предназначен для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DeskTop-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версий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MS Excel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for</a:t>
          </a:r>
          <a:r>
            <a:rPr lang="en-US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 Windows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, и не предназначен для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Andriod-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  <a:ea typeface="+mn-ea"/>
              <a:cs typeface="+mn-cs"/>
            </a:rPr>
            <a:t>версий, планшетных версий, облачных версий и т.п.</a:t>
          </a: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Файл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н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е содержит макросов</a:t>
          </a: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Файл не содержит скрытых строк или столбцов</a:t>
          </a: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Файл не содержит защищенных или заблокированных областей или ячеек</a:t>
          </a: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Файл содержит все расчетные формулы</a:t>
          </a:r>
          <a:endParaRPr lang="en-US" sz="1050" b="0">
            <a:solidFill>
              <a:schemeClr val="tx1">
                <a:lumMod val="85000"/>
                <a:lumOff val="15000"/>
              </a:schemeClr>
            </a:solidFill>
            <a:latin typeface="Arial Narrow" panose="020B0606020202030204" pitchFamily="34" charset="0"/>
          </a:endParaRP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В формулах используются только ссылки на ячейки</a:t>
          </a:r>
          <a:r>
            <a:rPr lang="ru-RU" sz="1050" b="0" baseline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 и не используются 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ссылки на именованные диапазоны или именованные ячейки</a:t>
          </a:r>
        </a:p>
        <a:p>
          <a:pPr marL="171450" indent="-171450">
            <a:lnSpc>
              <a:spcPct val="114000"/>
            </a:lnSpc>
            <a:buFont typeface="Arial" panose="020B0604020202020204" pitchFamily="34" charset="0"/>
            <a:buChar char="•"/>
          </a:pP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Анализ чувствительности реализован штатными средствами </a:t>
          </a:r>
          <a:r>
            <a:rPr lang="en-US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MS Excel</a:t>
          </a:r>
          <a:r>
            <a:rPr lang="ru-RU" sz="1050" b="0">
              <a:solidFill>
                <a:schemeClr val="tx1">
                  <a:lumMod val="85000"/>
                  <a:lumOff val="15000"/>
                </a:schemeClr>
              </a:solidFill>
              <a:latin typeface="Arial Narrow" panose="020B0606020202030204" pitchFamily="34" charset="0"/>
            </a:rPr>
            <a:t>, без использования макросов. Пересчет выполняется непосредственно после внесения изменений в модель, если установлено значение: Файл-Параметры-Формулы-Вычисления в книге: автоматически. Если такой режим приводит к длительному открытию или сохранению файла или задержкам в работе, значит ресурсов Вашей системы недостаточно. В таком случае выберите режим: Файл-Параметры-Формулы-Вычисления в книге: автоматически, кроме таблиц данных.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30</xdr:row>
      <xdr:rowOff>9525</xdr:rowOff>
    </xdr:from>
    <xdr:to>
      <xdr:col>10</xdr:col>
      <xdr:colOff>9525</xdr:colOff>
      <xdr:row>51</xdr:row>
      <xdr:rowOff>152400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</xdr:row>
      <xdr:rowOff>9525</xdr:rowOff>
    </xdr:from>
    <xdr:to>
      <xdr:col>9</xdr:col>
      <xdr:colOff>571500</xdr:colOff>
      <xdr:row>26</xdr:row>
      <xdr:rowOff>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9524</xdr:colOff>
      <xdr:row>56</xdr:row>
      <xdr:rowOff>9525</xdr:rowOff>
    </xdr:from>
    <xdr:to>
      <xdr:col>10</xdr:col>
      <xdr:colOff>9525</xdr:colOff>
      <xdr:row>77</xdr:row>
      <xdr:rowOff>152400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9524</xdr:colOff>
      <xdr:row>82</xdr:row>
      <xdr:rowOff>9525</xdr:rowOff>
    </xdr:from>
    <xdr:to>
      <xdr:col>10</xdr:col>
      <xdr:colOff>9525</xdr:colOff>
      <xdr:row>103</xdr:row>
      <xdr:rowOff>152400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9524</xdr:colOff>
      <xdr:row>108</xdr:row>
      <xdr:rowOff>9525</xdr:rowOff>
    </xdr:from>
    <xdr:to>
      <xdr:col>10</xdr:col>
      <xdr:colOff>9525</xdr:colOff>
      <xdr:row>129</xdr:row>
      <xdr:rowOff>152400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9524</xdr:colOff>
      <xdr:row>134</xdr:row>
      <xdr:rowOff>9525</xdr:rowOff>
    </xdr:from>
    <xdr:to>
      <xdr:col>10</xdr:col>
      <xdr:colOff>9525</xdr:colOff>
      <xdr:row>155</xdr:row>
      <xdr:rowOff>152400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9524</xdr:colOff>
      <xdr:row>160</xdr:row>
      <xdr:rowOff>9525</xdr:rowOff>
    </xdr:from>
    <xdr:to>
      <xdr:col>10</xdr:col>
      <xdr:colOff>9525</xdr:colOff>
      <xdr:row>181</xdr:row>
      <xdr:rowOff>152400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9524</xdr:colOff>
      <xdr:row>186</xdr:row>
      <xdr:rowOff>9525</xdr:rowOff>
    </xdr:from>
    <xdr:to>
      <xdr:col>10</xdr:col>
      <xdr:colOff>9525</xdr:colOff>
      <xdr:row>207</xdr:row>
      <xdr:rowOff>152400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28574</xdr:colOff>
      <xdr:row>212</xdr:row>
      <xdr:rowOff>9525</xdr:rowOff>
    </xdr:from>
    <xdr:to>
      <xdr:col>10</xdr:col>
      <xdr:colOff>28575</xdr:colOff>
      <xdr:row>234</xdr:row>
      <xdr:rowOff>0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28575</xdr:colOff>
      <xdr:row>238</xdr:row>
      <xdr:rowOff>9525</xdr:rowOff>
    </xdr:from>
    <xdr:to>
      <xdr:col>10</xdr:col>
      <xdr:colOff>38100</xdr:colOff>
      <xdr:row>260</xdr:row>
      <xdr:rowOff>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28574</xdr:colOff>
      <xdr:row>264</xdr:row>
      <xdr:rowOff>28575</xdr:rowOff>
    </xdr:from>
    <xdr:to>
      <xdr:col>10</xdr:col>
      <xdr:colOff>28575</xdr:colOff>
      <xdr:row>286</xdr:row>
      <xdr:rowOff>19050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19050</xdr:colOff>
      <xdr:row>291</xdr:row>
      <xdr:rowOff>19050</xdr:rowOff>
    </xdr:from>
    <xdr:to>
      <xdr:col>10</xdr:col>
      <xdr:colOff>28575</xdr:colOff>
      <xdr:row>313</xdr:row>
      <xdr:rowOff>9525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28574</xdr:colOff>
      <xdr:row>318</xdr:row>
      <xdr:rowOff>19050</xdr:rowOff>
    </xdr:from>
    <xdr:to>
      <xdr:col>10</xdr:col>
      <xdr:colOff>28575</xdr:colOff>
      <xdr:row>340</xdr:row>
      <xdr:rowOff>9525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19050</xdr:colOff>
      <xdr:row>343</xdr:row>
      <xdr:rowOff>9525</xdr:rowOff>
    </xdr:from>
    <xdr:to>
      <xdr:col>10</xdr:col>
      <xdr:colOff>9526</xdr:colOff>
      <xdr:row>365</xdr:row>
      <xdr:rowOff>0</xdr:rowOff>
    </xdr:to>
    <xdr:graphicFrame macro="">
      <xdr:nvGraphicFramePr>
        <xdr:cNvPr id="34" name="Диаграмма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9525</xdr:colOff>
      <xdr:row>370</xdr:row>
      <xdr:rowOff>9525</xdr:rowOff>
    </xdr:from>
    <xdr:to>
      <xdr:col>10</xdr:col>
      <xdr:colOff>1</xdr:colOff>
      <xdr:row>392</xdr:row>
      <xdr:rowOff>0</xdr:rowOff>
    </xdr:to>
    <xdr:graphicFrame macro="">
      <xdr:nvGraphicFramePr>
        <xdr:cNvPr id="37" name="Диаграмма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30</xdr:row>
      <xdr:rowOff>9525</xdr:rowOff>
    </xdr:from>
    <xdr:to>
      <xdr:col>10</xdr:col>
      <xdr:colOff>9525</xdr:colOff>
      <xdr:row>51</xdr:row>
      <xdr:rowOff>152400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76199</xdr:colOff>
      <xdr:row>3</xdr:row>
      <xdr:rowOff>114300</xdr:rowOff>
    </xdr:from>
    <xdr:to>
      <xdr:col>9</xdr:col>
      <xdr:colOff>581025</xdr:colOff>
      <xdr:row>25</xdr:row>
      <xdr:rowOff>104775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9524</xdr:colOff>
      <xdr:row>56</xdr:row>
      <xdr:rowOff>9525</xdr:rowOff>
    </xdr:from>
    <xdr:to>
      <xdr:col>10</xdr:col>
      <xdr:colOff>9525</xdr:colOff>
      <xdr:row>77</xdr:row>
      <xdr:rowOff>152400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47624</xdr:colOff>
      <xdr:row>81</xdr:row>
      <xdr:rowOff>85725</xdr:rowOff>
    </xdr:from>
    <xdr:to>
      <xdr:col>9</xdr:col>
      <xdr:colOff>590550</xdr:colOff>
      <xdr:row>104</xdr:row>
      <xdr:rowOff>85725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9524</xdr:colOff>
      <xdr:row>108</xdr:row>
      <xdr:rowOff>9525</xdr:rowOff>
    </xdr:from>
    <xdr:to>
      <xdr:col>10</xdr:col>
      <xdr:colOff>9525</xdr:colOff>
      <xdr:row>129</xdr:row>
      <xdr:rowOff>152400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9524</xdr:colOff>
      <xdr:row>134</xdr:row>
      <xdr:rowOff>28575</xdr:rowOff>
    </xdr:from>
    <xdr:to>
      <xdr:col>10</xdr:col>
      <xdr:colOff>9525</xdr:colOff>
      <xdr:row>156</xdr:row>
      <xdr:rowOff>19050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28575</xdr:colOff>
      <xdr:row>160</xdr:row>
      <xdr:rowOff>9525</xdr:rowOff>
    </xdr:from>
    <xdr:to>
      <xdr:col>10</xdr:col>
      <xdr:colOff>38100</xdr:colOff>
      <xdr:row>182</xdr:row>
      <xdr:rowOff>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28574</xdr:colOff>
      <xdr:row>186</xdr:row>
      <xdr:rowOff>28575</xdr:rowOff>
    </xdr:from>
    <xdr:to>
      <xdr:col>10</xdr:col>
      <xdr:colOff>28575</xdr:colOff>
      <xdr:row>208</xdr:row>
      <xdr:rowOff>19050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19050</xdr:colOff>
      <xdr:row>213</xdr:row>
      <xdr:rowOff>19050</xdr:rowOff>
    </xdr:from>
    <xdr:to>
      <xdr:col>10</xdr:col>
      <xdr:colOff>28575</xdr:colOff>
      <xdr:row>235</xdr:row>
      <xdr:rowOff>9525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28574</xdr:colOff>
      <xdr:row>240</xdr:row>
      <xdr:rowOff>19050</xdr:rowOff>
    </xdr:from>
    <xdr:to>
      <xdr:col>10</xdr:col>
      <xdr:colOff>28575</xdr:colOff>
      <xdr:row>262</xdr:row>
      <xdr:rowOff>9525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19050</xdr:colOff>
      <xdr:row>265</xdr:row>
      <xdr:rowOff>9525</xdr:rowOff>
    </xdr:from>
    <xdr:to>
      <xdr:col>10</xdr:col>
      <xdr:colOff>9526</xdr:colOff>
      <xdr:row>287</xdr:row>
      <xdr:rowOff>0</xdr:rowOff>
    </xdr:to>
    <xdr:graphicFrame macro="">
      <xdr:nvGraphicFramePr>
        <xdr:cNvPr id="34" name="Диаграмма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9525</xdr:colOff>
      <xdr:row>292</xdr:row>
      <xdr:rowOff>9525</xdr:rowOff>
    </xdr:from>
    <xdr:to>
      <xdr:col>10</xdr:col>
      <xdr:colOff>1</xdr:colOff>
      <xdr:row>314</xdr:row>
      <xdr:rowOff>0</xdr:rowOff>
    </xdr:to>
    <xdr:graphicFrame macro="">
      <xdr:nvGraphicFramePr>
        <xdr:cNvPr id="37" name="Диаграмма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9</xdr:row>
      <xdr:rowOff>9525</xdr:rowOff>
    </xdr:from>
    <xdr:to>
      <xdr:col>6</xdr:col>
      <xdr:colOff>874994</xdr:colOff>
      <xdr:row>36</xdr:row>
      <xdr:rowOff>123825</xdr:rowOff>
    </xdr:to>
    <xdr:pic>
      <xdr:nvPicPr>
        <xdr:cNvPr id="4" name="Рисунок 3" descr="http://static0.vigbo.com/u12200/14965/photos/5215640/1000-industrial_photo_video_aerial_vision_-3bcae9906988078244e1e3d42f126e57.jp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334" r="27214"/>
        <a:stretch/>
      </xdr:blipFill>
      <xdr:spPr bwMode="auto">
        <a:xfrm>
          <a:off x="428625" y="1295400"/>
          <a:ext cx="3913469" cy="4314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580390</xdr:colOff>
      <xdr:row>39</xdr:row>
      <xdr:rowOff>49530</xdr:rowOff>
    </xdr:from>
    <xdr:to>
      <xdr:col>6</xdr:col>
      <xdr:colOff>788670</xdr:colOff>
      <xdr:row>41</xdr:row>
      <xdr:rowOff>120015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7890" y="5964555"/>
          <a:ext cx="817880" cy="4705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361950</xdr:colOff>
      <xdr:row>37</xdr:row>
      <xdr:rowOff>123825</xdr:rowOff>
    </xdr:from>
    <xdr:to>
      <xdr:col>2</xdr:col>
      <xdr:colOff>276860</xdr:colOff>
      <xdr:row>43</xdr:row>
      <xdr:rowOff>95885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753100"/>
          <a:ext cx="943610" cy="9436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9"/>
  <dimension ref="A1"/>
  <sheetViews>
    <sheetView workbookViewId="0"/>
  </sheetViews>
  <sheetFormatPr defaultRowHeight="12.75" x14ac:dyDescent="0.2"/>
  <sheetData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Cover">
    <pageSetUpPr fitToPage="1"/>
  </sheetPr>
  <dimension ref="B5:R46"/>
  <sheetViews>
    <sheetView tabSelected="1" workbookViewId="0"/>
  </sheetViews>
  <sheetFormatPr defaultRowHeight="11.25" x14ac:dyDescent="0.2"/>
  <cols>
    <col min="1" max="1" width="6.28515625" style="196" customWidth="1"/>
    <col min="2" max="6" width="9.140625" style="196"/>
    <col min="7" max="7" width="13.5703125" style="196" customWidth="1"/>
    <col min="8" max="8" width="0.5703125" style="196" customWidth="1"/>
    <col min="9" max="9" width="3.42578125" style="196" customWidth="1"/>
    <col min="10" max="17" width="8.42578125" style="196" customWidth="1"/>
    <col min="18" max="18" width="4.7109375" style="196" customWidth="1"/>
    <col min="19" max="16384" width="9.140625" style="196"/>
  </cols>
  <sheetData>
    <row r="5" spans="2:18" x14ac:dyDescent="0.2">
      <c r="B5" s="496"/>
      <c r="C5" s="496"/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6"/>
      <c r="R5" s="496"/>
    </row>
    <row r="7" spans="2:18" x14ac:dyDescent="0.2">
      <c r="H7" s="323"/>
    </row>
    <row r="8" spans="2:18" x14ac:dyDescent="0.2">
      <c r="D8" s="197"/>
      <c r="H8" s="323"/>
    </row>
    <row r="9" spans="2:18" x14ac:dyDescent="0.2">
      <c r="H9" s="323"/>
    </row>
    <row r="10" spans="2:18" ht="20.25" customHeight="1" x14ac:dyDescent="0.2">
      <c r="H10" s="497"/>
      <c r="J10" s="1031" t="s">
        <v>840</v>
      </c>
      <c r="K10" s="1031"/>
      <c r="L10" s="1031"/>
      <c r="M10" s="1031"/>
      <c r="N10" s="1031"/>
      <c r="O10" s="1031"/>
      <c r="P10" s="1031"/>
      <c r="Q10" s="1031"/>
    </row>
    <row r="11" spans="2:18" x14ac:dyDescent="0.2">
      <c r="H11" s="497"/>
      <c r="J11" s="1031"/>
      <c r="K11" s="1031"/>
      <c r="L11" s="1031"/>
      <c r="M11" s="1031"/>
      <c r="N11" s="1031"/>
      <c r="O11" s="1031"/>
      <c r="P11" s="1031"/>
      <c r="Q11" s="1031"/>
    </row>
    <row r="12" spans="2:18" x14ac:dyDescent="0.2">
      <c r="H12" s="497"/>
      <c r="J12" s="1031"/>
      <c r="K12" s="1031"/>
      <c r="L12" s="1031"/>
      <c r="M12" s="1031"/>
      <c r="N12" s="1031"/>
      <c r="O12" s="1031"/>
      <c r="P12" s="1031"/>
      <c r="Q12" s="1031"/>
    </row>
    <row r="13" spans="2:18" x14ac:dyDescent="0.2">
      <c r="H13" s="497"/>
      <c r="J13" s="1031"/>
      <c r="K13" s="1031"/>
      <c r="L13" s="1031"/>
      <c r="M13" s="1031"/>
      <c r="N13" s="1031"/>
      <c r="O13" s="1031"/>
      <c r="P13" s="1031"/>
      <c r="Q13" s="1031"/>
    </row>
    <row r="14" spans="2:18" x14ac:dyDescent="0.2">
      <c r="H14" s="497"/>
      <c r="J14" s="1031"/>
      <c r="K14" s="1031"/>
      <c r="L14" s="1031"/>
      <c r="M14" s="1031"/>
      <c r="N14" s="1031"/>
      <c r="O14" s="1031"/>
      <c r="P14" s="1031"/>
      <c r="Q14" s="1031"/>
    </row>
    <row r="15" spans="2:18" x14ac:dyDescent="0.2">
      <c r="H15" s="497"/>
      <c r="J15" s="1031"/>
      <c r="K15" s="1031"/>
      <c r="L15" s="1031"/>
      <c r="M15" s="1031"/>
      <c r="N15" s="1031"/>
      <c r="O15" s="1031"/>
      <c r="P15" s="1031"/>
      <c r="Q15" s="1031"/>
    </row>
    <row r="16" spans="2:18" x14ac:dyDescent="0.2">
      <c r="H16" s="497"/>
      <c r="J16" s="198"/>
      <c r="K16" s="198"/>
      <c r="L16" s="198"/>
      <c r="M16" s="198"/>
      <c r="N16" s="198"/>
      <c r="O16" s="198"/>
      <c r="P16" s="198"/>
      <c r="Q16" s="198"/>
    </row>
    <row r="17" spans="8:17" x14ac:dyDescent="0.2">
      <c r="H17" s="497"/>
      <c r="J17" s="198"/>
      <c r="K17" s="198"/>
      <c r="L17" s="198"/>
      <c r="M17" s="198"/>
      <c r="N17" s="198"/>
      <c r="O17" s="198"/>
      <c r="P17" s="198"/>
      <c r="Q17" s="198"/>
    </row>
    <row r="18" spans="8:17" x14ac:dyDescent="0.2">
      <c r="H18" s="497"/>
      <c r="J18" s="198"/>
      <c r="K18" s="198"/>
      <c r="L18" s="198"/>
      <c r="M18" s="198"/>
      <c r="N18" s="198"/>
      <c r="O18" s="198"/>
      <c r="P18" s="198"/>
      <c r="Q18" s="198"/>
    </row>
    <row r="19" spans="8:17" ht="20.25" x14ac:dyDescent="0.3">
      <c r="H19" s="497"/>
      <c r="J19" s="326" t="s">
        <v>355</v>
      </c>
      <c r="K19" s="198"/>
      <c r="L19" s="198"/>
      <c r="M19" s="198"/>
      <c r="N19" s="198"/>
      <c r="O19" s="198"/>
      <c r="P19" s="198"/>
      <c r="Q19" s="198"/>
    </row>
    <row r="20" spans="8:17" x14ac:dyDescent="0.2">
      <c r="H20" s="497"/>
      <c r="J20" s="198"/>
      <c r="K20" s="198"/>
      <c r="L20" s="198"/>
      <c r="M20" s="198"/>
      <c r="N20" s="198"/>
      <c r="O20" s="198"/>
      <c r="P20" s="198"/>
      <c r="Q20" s="198"/>
    </row>
    <row r="21" spans="8:17" x14ac:dyDescent="0.2">
      <c r="H21" s="497"/>
      <c r="J21" s="198"/>
      <c r="K21" s="198"/>
      <c r="L21" s="198"/>
      <c r="M21" s="198"/>
      <c r="N21" s="198"/>
      <c r="O21" s="198"/>
      <c r="P21" s="198"/>
      <c r="Q21" s="198"/>
    </row>
    <row r="22" spans="8:17" x14ac:dyDescent="0.2">
      <c r="H22" s="497"/>
      <c r="J22" s="198"/>
      <c r="K22" s="198"/>
      <c r="L22" s="198"/>
      <c r="M22" s="198"/>
      <c r="N22" s="198"/>
      <c r="O22" s="198"/>
      <c r="P22" s="198"/>
      <c r="Q22" s="198"/>
    </row>
    <row r="23" spans="8:17" x14ac:dyDescent="0.2">
      <c r="H23" s="497"/>
      <c r="J23" s="198"/>
      <c r="K23" s="198"/>
      <c r="L23" s="198"/>
      <c r="M23" s="198"/>
      <c r="N23" s="198"/>
      <c r="O23" s="198"/>
      <c r="P23" s="198"/>
      <c r="Q23" s="198"/>
    </row>
    <row r="24" spans="8:17" ht="20.25" customHeight="1" x14ac:dyDescent="0.2">
      <c r="H24" s="497"/>
      <c r="J24" s="1032" t="str">
        <f>Параметры!A4</f>
        <v xml:space="preserve">Проект создания ИП «Бугры» на территории Ленинградской области
</v>
      </c>
      <c r="K24" s="1032"/>
      <c r="L24" s="1032"/>
      <c r="M24" s="1032"/>
      <c r="N24" s="1032"/>
      <c r="O24" s="1032"/>
      <c r="P24" s="1032"/>
      <c r="Q24" s="1032"/>
    </row>
    <row r="25" spans="8:17" ht="11.25" customHeight="1" x14ac:dyDescent="0.2">
      <c r="H25" s="497"/>
      <c r="J25" s="1032"/>
      <c r="K25" s="1032"/>
      <c r="L25" s="1032"/>
      <c r="M25" s="1032"/>
      <c r="N25" s="1032"/>
      <c r="O25" s="1032"/>
      <c r="P25" s="1032"/>
      <c r="Q25" s="1032"/>
    </row>
    <row r="26" spans="8:17" ht="11.25" customHeight="1" x14ac:dyDescent="0.2">
      <c r="H26" s="497"/>
      <c r="J26" s="1032"/>
      <c r="K26" s="1032"/>
      <c r="L26" s="1032"/>
      <c r="M26" s="1032"/>
      <c r="N26" s="1032"/>
      <c r="O26" s="1032"/>
      <c r="P26" s="1032"/>
      <c r="Q26" s="1032"/>
    </row>
    <row r="27" spans="8:17" ht="11.25" customHeight="1" x14ac:dyDescent="0.2">
      <c r="H27" s="497"/>
      <c r="J27" s="1032"/>
      <c r="K27" s="1032"/>
      <c r="L27" s="1032"/>
      <c r="M27" s="1032"/>
      <c r="N27" s="1032"/>
      <c r="O27" s="1032"/>
      <c r="P27" s="1032"/>
      <c r="Q27" s="1032"/>
    </row>
    <row r="28" spans="8:17" ht="11.25" customHeight="1" x14ac:dyDescent="0.2">
      <c r="H28" s="497"/>
      <c r="J28" s="1032"/>
      <c r="K28" s="1032"/>
      <c r="L28" s="1032"/>
      <c r="M28" s="1032"/>
      <c r="N28" s="1032"/>
      <c r="O28" s="1032"/>
      <c r="P28" s="1032"/>
      <c r="Q28" s="1032"/>
    </row>
    <row r="29" spans="8:17" ht="11.25" customHeight="1" x14ac:dyDescent="0.2">
      <c r="H29" s="497"/>
      <c r="J29" s="1032"/>
      <c r="K29" s="1032"/>
      <c r="L29" s="1032"/>
      <c r="M29" s="1032"/>
      <c r="N29" s="1032"/>
      <c r="O29" s="1032"/>
      <c r="P29" s="1032"/>
      <c r="Q29" s="1032"/>
    </row>
    <row r="30" spans="8:17" ht="11.25" customHeight="1" x14ac:dyDescent="0.2">
      <c r="H30" s="497"/>
      <c r="J30" s="1032"/>
      <c r="K30" s="1032"/>
      <c r="L30" s="1032"/>
      <c r="M30" s="1032"/>
      <c r="N30" s="1032"/>
      <c r="O30" s="1032"/>
      <c r="P30" s="1032"/>
      <c r="Q30" s="1032"/>
    </row>
    <row r="31" spans="8:17" ht="11.25" customHeight="1" x14ac:dyDescent="0.2">
      <c r="H31" s="497"/>
      <c r="J31" s="1032"/>
      <c r="K31" s="1032"/>
      <c r="L31" s="1032"/>
      <c r="M31" s="1032"/>
      <c r="N31" s="1032"/>
      <c r="O31" s="1032"/>
      <c r="P31" s="1032"/>
      <c r="Q31" s="1032"/>
    </row>
    <row r="32" spans="8:17" ht="11.25" customHeight="1" x14ac:dyDescent="0.2">
      <c r="H32" s="497"/>
      <c r="J32" s="1032"/>
      <c r="K32" s="1032"/>
      <c r="L32" s="1032"/>
      <c r="M32" s="1032"/>
      <c r="N32" s="1032"/>
      <c r="O32" s="1032"/>
      <c r="P32" s="1032"/>
      <c r="Q32" s="1032"/>
    </row>
    <row r="33" spans="2:18" ht="11.25" customHeight="1" x14ac:dyDescent="0.2">
      <c r="H33" s="497"/>
      <c r="J33" s="1032"/>
      <c r="K33" s="1032"/>
      <c r="L33" s="1032"/>
      <c r="M33" s="1032"/>
      <c r="N33" s="1032"/>
      <c r="O33" s="1032"/>
      <c r="P33" s="1032"/>
      <c r="Q33" s="1032"/>
    </row>
    <row r="34" spans="2:18" ht="11.25" customHeight="1" x14ac:dyDescent="0.2">
      <c r="H34" s="497"/>
      <c r="J34" s="1032"/>
      <c r="K34" s="1032"/>
      <c r="L34" s="1032"/>
      <c r="M34" s="1032"/>
      <c r="N34" s="1032"/>
      <c r="O34" s="1032"/>
      <c r="P34" s="1032"/>
      <c r="Q34" s="1032"/>
    </row>
    <row r="35" spans="2:18" x14ac:dyDescent="0.2">
      <c r="H35" s="497"/>
      <c r="J35" s="198"/>
      <c r="K35" s="198"/>
      <c r="L35" s="198"/>
      <c r="M35" s="198"/>
      <c r="N35" s="198"/>
      <c r="O35" s="198"/>
      <c r="P35" s="198"/>
      <c r="Q35" s="198"/>
    </row>
    <row r="36" spans="2:18" x14ac:dyDescent="0.2">
      <c r="H36" s="497"/>
      <c r="J36" s="198"/>
      <c r="K36" s="198"/>
      <c r="L36" s="198"/>
      <c r="M36" s="198"/>
      <c r="N36" s="198"/>
      <c r="O36" s="198"/>
      <c r="P36" s="198"/>
      <c r="Q36" s="198"/>
    </row>
    <row r="37" spans="2:18" x14ac:dyDescent="0.2">
      <c r="H37" s="497"/>
      <c r="J37" s="198"/>
      <c r="K37" s="198"/>
      <c r="L37" s="198"/>
      <c r="M37" s="198"/>
      <c r="N37" s="198"/>
      <c r="O37" s="198"/>
      <c r="P37" s="198"/>
      <c r="Q37" s="198"/>
    </row>
    <row r="38" spans="2:18" x14ac:dyDescent="0.2">
      <c r="H38" s="497"/>
      <c r="J38" s="198"/>
      <c r="K38" s="198"/>
      <c r="L38" s="198"/>
      <c r="M38" s="198"/>
      <c r="N38" s="198"/>
      <c r="O38" s="198"/>
      <c r="P38" s="198"/>
      <c r="Q38" s="198"/>
    </row>
    <row r="39" spans="2:18" x14ac:dyDescent="0.2">
      <c r="H39" s="497"/>
      <c r="J39" s="198"/>
      <c r="K39" s="198"/>
      <c r="L39" s="198"/>
      <c r="M39" s="198"/>
      <c r="N39" s="198"/>
      <c r="O39" s="198"/>
      <c r="P39" s="198"/>
      <c r="Q39" s="198"/>
    </row>
    <row r="40" spans="2:18" ht="20.25" customHeight="1" x14ac:dyDescent="0.2">
      <c r="H40" s="497"/>
      <c r="J40" s="1033">
        <f ca="1">YEAR(NOW())</f>
        <v>2023</v>
      </c>
      <c r="K40" s="1033"/>
      <c r="L40" s="1033"/>
      <c r="M40" s="1033"/>
      <c r="N40" s="1033"/>
      <c r="O40" s="1033"/>
      <c r="P40" s="1033"/>
      <c r="Q40" s="1033"/>
      <c r="R40" s="1033"/>
    </row>
    <row r="41" spans="2:18" ht="11.25" customHeight="1" x14ac:dyDescent="0.2">
      <c r="H41" s="497"/>
      <c r="J41" s="1033"/>
      <c r="K41" s="1033"/>
      <c r="L41" s="1033"/>
      <c r="M41" s="1033"/>
      <c r="N41" s="1033"/>
      <c r="O41" s="1033"/>
      <c r="P41" s="1033"/>
      <c r="Q41" s="1033"/>
      <c r="R41" s="1033"/>
    </row>
    <row r="42" spans="2:18" ht="11.25" customHeight="1" x14ac:dyDescent="0.2">
      <c r="H42" s="497"/>
      <c r="J42" s="1033"/>
      <c r="K42" s="1033"/>
      <c r="L42" s="1033"/>
      <c r="M42" s="1033"/>
      <c r="N42" s="1033"/>
      <c r="O42" s="1033"/>
      <c r="P42" s="1033"/>
      <c r="Q42" s="1033"/>
      <c r="R42" s="1033"/>
    </row>
    <row r="43" spans="2:18" x14ac:dyDescent="0.2">
      <c r="H43" s="323"/>
    </row>
    <row r="45" spans="2:18" x14ac:dyDescent="0.2"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6"/>
      <c r="P45" s="496"/>
      <c r="Q45" s="496"/>
      <c r="R45" s="496"/>
    </row>
    <row r="46" spans="2:18" x14ac:dyDescent="0.2">
      <c r="B46" s="196" t="s">
        <v>460</v>
      </c>
    </row>
  </sheetData>
  <mergeCells count="3">
    <mergeCell ref="J10:Q15"/>
    <mergeCell ref="J24:Q34"/>
    <mergeCell ref="J40:R42"/>
  </mergeCells>
  <pageMargins left="0.17" right="0.17" top="0.31" bottom="0.31" header="0.31496062992125984" footer="0.31496062992125984"/>
  <pageSetup paperSize="9" fitToWidth="2" fitToHeight="2" orientation="landscape" r:id="rId1"/>
  <headerFooter scaleWithDoc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Contents"/>
  <dimension ref="A3:E48"/>
  <sheetViews>
    <sheetView workbookViewId="0">
      <selection activeCell="H28" sqref="H27:H28"/>
    </sheetView>
  </sheetViews>
  <sheetFormatPr defaultRowHeight="11.25" x14ac:dyDescent="0.2"/>
  <cols>
    <col min="1" max="1" width="6.140625" style="196" customWidth="1"/>
    <col min="2" max="2" width="6.28515625" style="196" customWidth="1"/>
    <col min="3" max="3" width="16.28515625" style="196" customWidth="1"/>
    <col min="4" max="4" width="60" style="196" customWidth="1"/>
    <col min="5" max="5" width="40.140625" style="196" customWidth="1"/>
    <col min="6" max="16384" width="9.140625" style="196"/>
  </cols>
  <sheetData>
    <row r="3" spans="1:5" x14ac:dyDescent="0.2">
      <c r="A3" s="496"/>
      <c r="B3" s="496"/>
      <c r="C3" s="496"/>
      <c r="D3" s="496"/>
      <c r="E3" s="496"/>
    </row>
    <row r="5" spans="1:5" ht="20.25" x14ac:dyDescent="0.3">
      <c r="B5" s="198"/>
      <c r="C5" s="327" t="s">
        <v>356</v>
      </c>
      <c r="D5" s="198"/>
      <c r="E5" s="198"/>
    </row>
    <row r="6" spans="1:5" x14ac:dyDescent="0.2">
      <c r="B6" s="198"/>
      <c r="C6" s="198"/>
      <c r="D6" s="199"/>
      <c r="E6" s="198"/>
    </row>
    <row r="7" spans="1:5" s="200" customFormat="1" ht="16.5" customHeight="1" x14ac:dyDescent="0.2">
      <c r="B7" s="201"/>
      <c r="C7" s="328" t="s">
        <v>357</v>
      </c>
      <c r="D7" s="329" t="s">
        <v>358</v>
      </c>
      <c r="E7" s="325"/>
    </row>
    <row r="8" spans="1:5" s="200" customFormat="1" ht="3.75" customHeight="1" x14ac:dyDescent="0.2">
      <c r="B8" s="201"/>
      <c r="C8" s="498"/>
      <c r="D8" s="499"/>
      <c r="E8" s="499"/>
    </row>
    <row r="9" spans="1:5" ht="11.25" customHeight="1" x14ac:dyDescent="0.2">
      <c r="B9" s="324"/>
      <c r="C9" s="198"/>
      <c r="D9" s="199"/>
      <c r="E9" s="198"/>
    </row>
    <row r="10" spans="1:5" s="200" customFormat="1" ht="20.25" customHeight="1" x14ac:dyDescent="0.2">
      <c r="B10" s="201"/>
      <c r="C10" s="967" t="s">
        <v>911</v>
      </c>
      <c r="D10" s="968" t="s">
        <v>910</v>
      </c>
      <c r="E10" s="967" t="s">
        <v>912</v>
      </c>
    </row>
    <row r="11" spans="1:5" x14ac:dyDescent="0.2">
      <c r="B11" s="198"/>
      <c r="C11" s="940" t="s">
        <v>856</v>
      </c>
      <c r="D11" s="969" t="s">
        <v>855</v>
      </c>
      <c r="E11" s="970"/>
    </row>
    <row r="12" spans="1:5" x14ac:dyDescent="0.2">
      <c r="B12" s="198"/>
      <c r="C12" s="940" t="s">
        <v>858</v>
      </c>
      <c r="D12" s="969" t="s">
        <v>857</v>
      </c>
      <c r="E12" s="970"/>
    </row>
    <row r="13" spans="1:5" x14ac:dyDescent="0.2">
      <c r="B13" s="198"/>
      <c r="C13" s="940" t="s">
        <v>860</v>
      </c>
      <c r="D13" s="969" t="s">
        <v>859</v>
      </c>
      <c r="E13" s="970"/>
    </row>
    <row r="14" spans="1:5" x14ac:dyDescent="0.2">
      <c r="B14" s="198"/>
      <c r="C14" s="940" t="s">
        <v>861</v>
      </c>
      <c r="D14" s="969" t="s">
        <v>1016</v>
      </c>
      <c r="E14" s="970" t="s">
        <v>913</v>
      </c>
    </row>
    <row r="15" spans="1:5" x14ac:dyDescent="0.2">
      <c r="B15" s="198"/>
      <c r="C15" s="940" t="s">
        <v>863</v>
      </c>
      <c r="D15" s="969" t="s">
        <v>862</v>
      </c>
      <c r="E15" s="970" t="s">
        <v>913</v>
      </c>
    </row>
    <row r="16" spans="1:5" x14ac:dyDescent="0.2">
      <c r="B16" s="198"/>
      <c r="C16" s="940" t="s">
        <v>865</v>
      </c>
      <c r="D16" s="969" t="s">
        <v>864</v>
      </c>
      <c r="E16" s="970" t="s">
        <v>913</v>
      </c>
    </row>
    <row r="17" spans="2:5" x14ac:dyDescent="0.2">
      <c r="B17" s="198"/>
      <c r="C17" s="940" t="s">
        <v>867</v>
      </c>
      <c r="D17" s="969" t="s">
        <v>866</v>
      </c>
      <c r="E17" s="970" t="s">
        <v>913</v>
      </c>
    </row>
    <row r="18" spans="2:5" x14ac:dyDescent="0.2">
      <c r="B18" s="198"/>
      <c r="C18" s="940" t="s">
        <v>869</v>
      </c>
      <c r="D18" s="969" t="s">
        <v>868</v>
      </c>
      <c r="E18" s="970" t="s">
        <v>913</v>
      </c>
    </row>
    <row r="19" spans="2:5" x14ac:dyDescent="0.2">
      <c r="B19" s="198"/>
      <c r="C19" s="940" t="s">
        <v>871</v>
      </c>
      <c r="D19" s="969" t="s">
        <v>870</v>
      </c>
      <c r="E19" s="970" t="s">
        <v>913</v>
      </c>
    </row>
    <row r="20" spans="2:5" x14ac:dyDescent="0.2">
      <c r="B20" s="198"/>
      <c r="C20" s="940" t="s">
        <v>873</v>
      </c>
      <c r="D20" s="969" t="s">
        <v>872</v>
      </c>
      <c r="E20" s="970" t="s">
        <v>913</v>
      </c>
    </row>
    <row r="21" spans="2:5" x14ac:dyDescent="0.2">
      <c r="B21" s="198"/>
      <c r="C21" s="940" t="s">
        <v>875</v>
      </c>
      <c r="D21" s="969" t="s">
        <v>874</v>
      </c>
      <c r="E21" s="970" t="s">
        <v>913</v>
      </c>
    </row>
    <row r="22" spans="2:5" x14ac:dyDescent="0.2">
      <c r="B22" s="198"/>
      <c r="C22" s="940" t="s">
        <v>877</v>
      </c>
      <c r="D22" s="969" t="s">
        <v>876</v>
      </c>
      <c r="E22" s="970" t="s">
        <v>913</v>
      </c>
    </row>
    <row r="23" spans="2:5" x14ac:dyDescent="0.2">
      <c r="B23" s="198"/>
      <c r="C23" s="940" t="s">
        <v>879</v>
      </c>
      <c r="D23" s="969" t="s">
        <v>878</v>
      </c>
      <c r="E23" s="970" t="s">
        <v>913</v>
      </c>
    </row>
    <row r="24" spans="2:5" x14ac:dyDescent="0.2">
      <c r="B24" s="198"/>
      <c r="C24" s="940" t="s">
        <v>881</v>
      </c>
      <c r="D24" s="969" t="s">
        <v>880</v>
      </c>
      <c r="E24" s="970" t="s">
        <v>913</v>
      </c>
    </row>
    <row r="25" spans="2:5" x14ac:dyDescent="0.2">
      <c r="B25" s="198"/>
      <c r="C25" s="940" t="s">
        <v>883</v>
      </c>
      <c r="D25" s="969" t="s">
        <v>882</v>
      </c>
      <c r="E25" s="970" t="s">
        <v>913</v>
      </c>
    </row>
    <row r="26" spans="2:5" x14ac:dyDescent="0.2">
      <c r="B26" s="198"/>
      <c r="C26" s="940" t="s">
        <v>885</v>
      </c>
      <c r="D26" s="969" t="s">
        <v>884</v>
      </c>
      <c r="E26" s="970" t="s">
        <v>913</v>
      </c>
    </row>
    <row r="27" spans="2:5" x14ac:dyDescent="0.2">
      <c r="B27" s="198"/>
      <c r="C27" s="940" t="s">
        <v>887</v>
      </c>
      <c r="D27" s="969" t="s">
        <v>886</v>
      </c>
      <c r="E27" s="970" t="s">
        <v>913</v>
      </c>
    </row>
    <row r="28" spans="2:5" x14ac:dyDescent="0.2">
      <c r="B28" s="198"/>
      <c r="C28" s="940" t="s">
        <v>889</v>
      </c>
      <c r="D28" s="969" t="s">
        <v>888</v>
      </c>
      <c r="E28" s="970" t="s">
        <v>914</v>
      </c>
    </row>
    <row r="29" spans="2:5" ht="22.5" x14ac:dyDescent="0.2">
      <c r="B29" s="198"/>
      <c r="C29" s="940" t="s">
        <v>891</v>
      </c>
      <c r="D29" s="969" t="s">
        <v>890</v>
      </c>
      <c r="E29" s="970" t="s">
        <v>914</v>
      </c>
    </row>
    <row r="30" spans="2:5" x14ac:dyDescent="0.2">
      <c r="B30" s="198"/>
      <c r="C30" s="940" t="s">
        <v>893</v>
      </c>
      <c r="D30" s="969" t="s">
        <v>892</v>
      </c>
      <c r="E30" s="970" t="s">
        <v>914</v>
      </c>
    </row>
    <row r="31" spans="2:5" x14ac:dyDescent="0.2">
      <c r="B31" s="198"/>
      <c r="C31" s="940" t="s">
        <v>895</v>
      </c>
      <c r="D31" s="969" t="s">
        <v>894</v>
      </c>
      <c r="E31" s="970" t="s">
        <v>914</v>
      </c>
    </row>
    <row r="32" spans="2:5" x14ac:dyDescent="0.2">
      <c r="B32" s="198"/>
      <c r="C32" s="940" t="s">
        <v>897</v>
      </c>
      <c r="D32" s="969" t="s">
        <v>896</v>
      </c>
      <c r="E32" s="970" t="s">
        <v>914</v>
      </c>
    </row>
    <row r="33" spans="1:5" x14ac:dyDescent="0.2">
      <c r="B33" s="198"/>
      <c r="C33" s="940" t="s">
        <v>899</v>
      </c>
      <c r="D33" s="969" t="s">
        <v>898</v>
      </c>
      <c r="E33" s="970" t="s">
        <v>914</v>
      </c>
    </row>
    <row r="34" spans="1:5" x14ac:dyDescent="0.2">
      <c r="B34" s="198"/>
      <c r="C34" s="940" t="s">
        <v>901</v>
      </c>
      <c r="D34" s="969" t="s">
        <v>900</v>
      </c>
      <c r="E34" s="970" t="s">
        <v>914</v>
      </c>
    </row>
    <row r="35" spans="1:5" x14ac:dyDescent="0.2">
      <c r="B35" s="198"/>
      <c r="C35" s="940" t="s">
        <v>903</v>
      </c>
      <c r="D35" s="969" t="s">
        <v>902</v>
      </c>
      <c r="E35" s="970" t="s">
        <v>915</v>
      </c>
    </row>
    <row r="36" spans="1:5" x14ac:dyDescent="0.2">
      <c r="B36" s="198"/>
      <c r="C36" s="940" t="s">
        <v>905</v>
      </c>
      <c r="D36" s="969" t="s">
        <v>904</v>
      </c>
      <c r="E36" s="970" t="s">
        <v>915</v>
      </c>
    </row>
    <row r="37" spans="1:5" x14ac:dyDescent="0.2">
      <c r="B37" s="198"/>
      <c r="C37" s="940" t="s">
        <v>907</v>
      </c>
      <c r="D37" s="969" t="s">
        <v>906</v>
      </c>
      <c r="E37" s="970" t="s">
        <v>915</v>
      </c>
    </row>
    <row r="38" spans="1:5" x14ac:dyDescent="0.2">
      <c r="B38" s="198"/>
      <c r="C38" s="940" t="s">
        <v>909</v>
      </c>
      <c r="D38" s="969" t="s">
        <v>908</v>
      </c>
      <c r="E38" s="970" t="s">
        <v>915</v>
      </c>
    </row>
    <row r="39" spans="1:5" x14ac:dyDescent="0.2">
      <c r="B39" s="198"/>
      <c r="C39" s="203"/>
      <c r="D39" s="202"/>
      <c r="E39" s="198"/>
    </row>
    <row r="40" spans="1:5" ht="12.75" customHeight="1" x14ac:dyDescent="0.2">
      <c r="B40" s="198"/>
      <c r="C40" s="203"/>
      <c r="D40" s="202"/>
      <c r="E40" s="198"/>
    </row>
    <row r="41" spans="1:5" x14ac:dyDescent="0.2">
      <c r="C41" s="204"/>
      <c r="D41" s="205"/>
    </row>
    <row r="42" spans="1:5" x14ac:dyDescent="0.2">
      <c r="A42" s="496"/>
      <c r="B42" s="496"/>
      <c r="C42" s="500"/>
      <c r="D42" s="501"/>
      <c r="E42" s="496"/>
    </row>
    <row r="43" spans="1:5" x14ac:dyDescent="0.2">
      <c r="C43" s="204"/>
      <c r="D43" s="205"/>
    </row>
    <row r="44" spans="1:5" x14ac:dyDescent="0.2">
      <c r="C44" s="204"/>
      <c r="D44" s="205"/>
    </row>
    <row r="45" spans="1:5" x14ac:dyDescent="0.2">
      <c r="C45" s="204"/>
      <c r="D45" s="205"/>
    </row>
    <row r="46" spans="1:5" x14ac:dyDescent="0.2">
      <c r="C46" s="204"/>
      <c r="D46" s="205"/>
    </row>
    <row r="47" spans="1:5" x14ac:dyDescent="0.2">
      <c r="D47" s="206"/>
    </row>
    <row r="48" spans="1:5" x14ac:dyDescent="0.2">
      <c r="D48" s="206"/>
    </row>
  </sheetData>
  <autoFilter ref="A10:E10" xr:uid="{00000000-0009-0000-0000-00000A000000}">
    <sortState xmlns:xlrd2="http://schemas.microsoft.com/office/spreadsheetml/2017/richdata2" ref="A11:E12">
      <sortCondition ref="C10"/>
    </sortState>
  </autoFilter>
  <hyperlinks>
    <hyperlink ref="C11" location="'Таб. 1'!A1" display="Таб. 1" xr:uid="{00000000-0004-0000-0A00-000000000000}"/>
    <hyperlink ref="C12" location="'Таб. 2'!A1" display="Таб. 2" xr:uid="{00000000-0004-0000-0A00-000001000000}"/>
    <hyperlink ref="C13" location="'Таб. 3'!A1" display="Таб. 3" xr:uid="{00000000-0004-0000-0A00-000002000000}"/>
    <hyperlink ref="C14" location="'Таб. 4'!A1" display="Таб. 4" xr:uid="{00000000-0004-0000-0A00-000003000000}"/>
    <hyperlink ref="C15" location="'Таб. 5'!A1" display="Таб. 5" xr:uid="{00000000-0004-0000-0A00-000004000000}"/>
    <hyperlink ref="C16" location="'Таб. 6'!A1" display="Таб. 6" xr:uid="{00000000-0004-0000-0A00-000005000000}"/>
    <hyperlink ref="C17" location="'Таб. 7'!A1" display="Таб. 7" xr:uid="{00000000-0004-0000-0A00-000006000000}"/>
    <hyperlink ref="C18" location="'Таб. 8'!A1" display="Таб. 8" xr:uid="{00000000-0004-0000-0A00-000007000000}"/>
    <hyperlink ref="C19" location="'Таб. 9'!A1" display="Таб. 9" xr:uid="{00000000-0004-0000-0A00-000008000000}"/>
    <hyperlink ref="C20" location="'Таб. 10'!A1" display="Таб. 10" xr:uid="{00000000-0004-0000-0A00-000009000000}"/>
    <hyperlink ref="C21" location="'Таб. 11'!A1" display="Таб. 11" xr:uid="{00000000-0004-0000-0A00-00000A000000}"/>
    <hyperlink ref="C22" location="'Таб. 12'!A1" display="Таб. 12" xr:uid="{00000000-0004-0000-0A00-00000B000000}"/>
    <hyperlink ref="C23" location="'Таб. 13'!A1" display="Таб. 13" xr:uid="{00000000-0004-0000-0A00-00000C000000}"/>
    <hyperlink ref="C24" location="'Таб. 14'!A1" display="Таб. 14" xr:uid="{00000000-0004-0000-0A00-00000D000000}"/>
    <hyperlink ref="C25" location="'Таб. 15'!A1" display="Таб. 15" xr:uid="{00000000-0004-0000-0A00-00000E000000}"/>
    <hyperlink ref="C26" location="'Таб. 16'!A1" display="Таб. 16" xr:uid="{00000000-0004-0000-0A00-00000F000000}"/>
    <hyperlink ref="C27" location="'Таб. 17'!A1" display="Таб. 17" xr:uid="{00000000-0004-0000-0A00-000010000000}"/>
    <hyperlink ref="C28" location="'Таб. 18'!A1" display="Таб. 18" xr:uid="{00000000-0004-0000-0A00-000011000000}"/>
    <hyperlink ref="C29" location="'Таб. 19'!A1" display="Таб. 19" xr:uid="{00000000-0004-0000-0A00-000012000000}"/>
    <hyperlink ref="C30" location="'Таб. 20'!A1" display="Таб. 20" xr:uid="{00000000-0004-0000-0A00-000013000000}"/>
    <hyperlink ref="C31" location="'Таб. 21'!A1" display="Таб. 21" xr:uid="{00000000-0004-0000-0A00-000014000000}"/>
    <hyperlink ref="C32" location="'Таб. 22'!A1" display="Таб. 22" xr:uid="{00000000-0004-0000-0A00-000015000000}"/>
    <hyperlink ref="C33" location="'Таб. 23'!A1" display="Таб. 23" xr:uid="{00000000-0004-0000-0A00-000016000000}"/>
    <hyperlink ref="C34" location="'Таб. 24'!A1" display="Таб. 24" xr:uid="{00000000-0004-0000-0A00-000017000000}"/>
    <hyperlink ref="C35" location="'Таб. 25'!A1" display="Таб. 25" xr:uid="{00000000-0004-0000-0A00-000018000000}"/>
    <hyperlink ref="C36" location="'Таб. 26'!A1" display="Таб. 26" xr:uid="{00000000-0004-0000-0A00-000019000000}"/>
    <hyperlink ref="C37" location="'Таб. 27'!A1" display="Таб. 27" xr:uid="{00000000-0004-0000-0A00-00001A000000}"/>
    <hyperlink ref="C38" location="'Таб. 28'!A1" display="Таб. 28" xr:uid="{00000000-0004-0000-0A00-00001B000000}"/>
  </hyperlinks>
  <pageMargins left="0.7" right="0.7" top="0.75" bottom="0.3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26"/>
  <dimension ref="A1:L32"/>
  <sheetViews>
    <sheetView workbookViewId="0"/>
  </sheetViews>
  <sheetFormatPr defaultRowHeight="12.75" x14ac:dyDescent="0.2"/>
  <cols>
    <col min="1" max="1" width="47.5703125" customWidth="1"/>
    <col min="2" max="2" width="12.7109375" customWidth="1"/>
    <col min="3" max="12" width="8.140625" customWidth="1"/>
  </cols>
  <sheetData>
    <row r="1" spans="1:12" s="301" customFormat="1" ht="26.1" customHeight="1" x14ac:dyDescent="0.2">
      <c r="A1" s="613" t="s">
        <v>843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</row>
    <row r="2" spans="1:12" ht="11.25" customHeight="1" x14ac:dyDescent="0.2">
      <c r="A2" s="606"/>
      <c r="B2" s="602"/>
      <c r="C2" s="607"/>
      <c r="D2" s="607"/>
      <c r="E2" s="607"/>
      <c r="F2" s="607"/>
      <c r="G2" s="607"/>
      <c r="H2" s="607"/>
      <c r="I2" s="607"/>
      <c r="J2" s="607"/>
      <c r="K2" s="607"/>
      <c r="L2" s="607"/>
    </row>
    <row r="3" spans="1:12" ht="11.25" customHeight="1" x14ac:dyDescent="0.2">
      <c r="A3" s="619" t="str">
        <f>Параметры!$A$71</f>
        <v>Инфляция</v>
      </c>
      <c r="B3" s="623" t="str">
        <f>Параметры!$C$71</f>
        <v>% в год</v>
      </c>
      <c r="C3" s="618">
        <f>IFERROR(AVERAGE(Параметры!$E$71:'Параметры'!$H$71),"0")</f>
        <v>0</v>
      </c>
      <c r="D3" s="618">
        <f>IFERROR(AVERAGE(Параметры!$I$71:'Параметры'!$L$71),"0")</f>
        <v>4.011212875388237E-2</v>
      </c>
      <c r="E3" s="618">
        <f>IFERROR(AVERAGE(Параметры!$M$71:'Параметры'!$P$71),"0")</f>
        <v>3.9951351517419909E-2</v>
      </c>
      <c r="F3" s="618">
        <f>IFERROR(AVERAGE(Параметры!$Q$71:'Параметры'!$T$71),"0")</f>
        <v>3.9799274348962799E-2</v>
      </c>
      <c r="G3" s="618">
        <f>IFERROR(AVERAGE(Параметры!$U$71:'Параметры'!$X$71),"0")</f>
        <v>3.9889661086839556E-2</v>
      </c>
      <c r="H3" s="618">
        <f>IFERROR(AVERAGE(Параметры!$Y$71:'Параметры'!$AB$71),"0")</f>
        <v>3.9919999999999956E-2</v>
      </c>
      <c r="I3" s="618">
        <f>IFERROR(AVERAGE(Параметры!$AC$71:'Параметры'!$AF$71),"0")</f>
        <v>3.986999999999985E-2</v>
      </c>
      <c r="J3" s="618">
        <f>IFERROR(AVERAGE(Параметры!$AG$71:'Параметры'!$AJ$71),"0")</f>
        <v>3.9749999999999952E-2</v>
      </c>
      <c r="K3" s="618">
        <f>IFERROR(AVERAGE(Параметры!$AK$71:'Параметры'!$AN$71),"0")</f>
        <v>3.9629999999999832E-2</v>
      </c>
      <c r="L3" s="626">
        <f>IFERROR(AVERAGE(Параметры!$AO$71:'Параметры'!$AR$71),"0")</f>
        <v>3.9549999999999974E-2</v>
      </c>
    </row>
    <row r="4" spans="1:12" ht="11.25" customHeight="1" x14ac:dyDescent="0.2">
      <c r="A4" s="622" t="str">
        <f>Параметры!$A$72</f>
        <v>то же, в пересчете на текущий период</v>
      </c>
      <c r="B4" s="617" t="str">
        <f>Параметры!$C$72</f>
        <v>% за период</v>
      </c>
      <c r="C4" s="624">
        <f t="array" ref="C4">IFERROR(-1+PRODUCT(1+Параметры!$E$72:'Параметры'!$H$72),"0")</f>
        <v>0</v>
      </c>
      <c r="D4" s="624">
        <f t="array" ref="D4">IFERROR(-1+PRODUCT(1+Параметры!$I$72:'Параметры'!$L$72),"0")</f>
        <v>4.0112128753881926E-2</v>
      </c>
      <c r="E4" s="624">
        <f t="array" ref="E4">IFERROR(-1+PRODUCT(1+Параметры!$M$72:'Параметры'!$P$72),"0")</f>
        <v>3.9951351517419464E-2</v>
      </c>
      <c r="F4" s="624">
        <f t="array" ref="F4">IFERROR(-1+PRODUCT(1+Параметры!$Q$72:'Параметры'!$T$72),"0")</f>
        <v>3.9799274348962799E-2</v>
      </c>
      <c r="G4" s="624">
        <f t="array" ref="G4">IFERROR(-1+PRODUCT(1+Параметры!$U$72:'Параметры'!$X$72),"0")</f>
        <v>3.9889661086839334E-2</v>
      </c>
      <c r="H4" s="624">
        <f t="array" ref="H4">IFERROR(-1+PRODUCT(1+Параметры!$Y$72:'Параметры'!$AB$72),"0")</f>
        <v>3.9920000000000178E-2</v>
      </c>
      <c r="I4" s="624">
        <f t="array" ref="I4">IFERROR(-1+PRODUCT(1+Параметры!$AC$72:'Параметры'!$AF$72),"0")</f>
        <v>3.9870000000000072E-2</v>
      </c>
      <c r="J4" s="624">
        <f t="array" ref="J4">IFERROR(-1+PRODUCT(1+Параметры!$AG$72:'Параметры'!$AJ$72),"0")</f>
        <v>3.9749999999999952E-2</v>
      </c>
      <c r="K4" s="624">
        <f t="array" ref="K4">IFERROR(-1+PRODUCT(1+Параметры!$AK$72:'Параметры'!$AN$72),"0")</f>
        <v>3.9629999999999832E-2</v>
      </c>
      <c r="L4" s="625">
        <f t="array" ref="L4">IFERROR(-1+PRODUCT(1+Параметры!$AO$72:'Параметры'!$AR$72),"0")</f>
        <v>3.9549999999999974E-2</v>
      </c>
    </row>
    <row r="5" spans="1:12" ht="11.25" customHeight="1" x14ac:dyDescent="0.2">
      <c r="A5" s="627" t="str">
        <f>Параметры!$A$74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</row>
    <row r="6" spans="1:12" ht="11.25" customHeight="1" x14ac:dyDescent="0.2">
      <c r="A6" s="610"/>
      <c r="B6" s="603"/>
      <c r="C6" s="609"/>
      <c r="D6" s="609"/>
      <c r="E6" s="609"/>
      <c r="F6" s="609"/>
      <c r="G6" s="609"/>
      <c r="H6" s="609"/>
      <c r="I6" s="609"/>
      <c r="J6" s="609"/>
      <c r="K6" s="609"/>
      <c r="L6" s="609"/>
    </row>
    <row r="7" spans="1:12" ht="11.25" customHeight="1" x14ac:dyDescent="0.2">
      <c r="A7" s="619" t="str">
        <f>Параметры!$A$76</f>
        <v>Изменение цен в обрабатывающей промышленности</v>
      </c>
      <c r="B7" s="623" t="str">
        <f>Параметры!$C$76</f>
        <v>% в год</v>
      </c>
      <c r="C7" s="628">
        <f>IFERROR(AVERAGE(Параметры!$E$76:'Параметры'!$H$76),"0")</f>
        <v>0</v>
      </c>
      <c r="D7" s="628">
        <f>IFERROR(AVERAGE(Параметры!$I$76:'Параметры'!$L$76),"0")</f>
        <v>3.8172838559912936E-2</v>
      </c>
      <c r="E7" s="628">
        <f>IFERROR(AVERAGE(Параметры!$M$76:'Параметры'!$P$76),"0")</f>
        <v>4.5348049235927501E-2</v>
      </c>
      <c r="F7" s="628">
        <f>IFERROR(AVERAGE(Параметры!$Q$76:'Параметры'!$T$76),"0")</f>
        <v>4.6206517341587539E-2</v>
      </c>
      <c r="G7" s="628">
        <f>IFERROR(AVERAGE(Параметры!$U$76:'Параметры'!$X$76),"0")</f>
        <v>4.7372407398639682E-2</v>
      </c>
      <c r="H7" s="628">
        <f>IFERROR(AVERAGE(Параметры!$Y$76:'Параметры'!$AB$76),"0")</f>
        <v>4.4829452381167423E-2</v>
      </c>
      <c r="I7" s="628">
        <f>IFERROR(AVERAGE(Параметры!$AC$76:'Параметры'!$AF$76),"0")</f>
        <v>4.4391125969701406E-2</v>
      </c>
      <c r="J7" s="628">
        <f>IFERROR(AVERAGE(Параметры!$AG$76:'Параметры'!$AJ$76),"0")</f>
        <v>4.4593580638013997E-2</v>
      </c>
      <c r="K7" s="628">
        <f>IFERROR(AVERAGE(Параметры!$AK$76:'Параметры'!$AN$76),"0")</f>
        <v>4.5915873363622683E-2</v>
      </c>
      <c r="L7" s="629">
        <f>IFERROR(AVERAGE(Параметры!$AO$76:'Параметры'!$AR$76),"0")</f>
        <v>4.5962256408293101E-2</v>
      </c>
    </row>
    <row r="8" spans="1:12" ht="11.25" customHeight="1" x14ac:dyDescent="0.2">
      <c r="A8" s="622" t="str">
        <f>Параметры!$A$77</f>
        <v>то же, в пересчете на текущий период</v>
      </c>
      <c r="B8" s="617" t="str">
        <f>Параметры!$C$77</f>
        <v>% за период</v>
      </c>
      <c r="C8" s="624">
        <f t="array" ref="C8">IFERROR(-1+PRODUCT(1+Параметры!$E$77:'Параметры'!$H$77),"0")</f>
        <v>0</v>
      </c>
      <c r="D8" s="624">
        <f t="array" ref="D8">IFERROR(-1+PRODUCT(1+Параметры!$I$77:'Параметры'!$L$77),"0")</f>
        <v>3.8172838559912714E-2</v>
      </c>
      <c r="E8" s="624">
        <f t="array" ref="E8">IFERROR(-1+PRODUCT(1+Параметры!$M$77:'Параметры'!$P$77),"0")</f>
        <v>4.5348049235927279E-2</v>
      </c>
      <c r="F8" s="624">
        <f t="array" ref="F8">IFERROR(-1+PRODUCT(1+Параметры!$Q$77:'Параметры'!$T$77),"0")</f>
        <v>4.6206517341587094E-2</v>
      </c>
      <c r="G8" s="624">
        <f t="array" ref="G8">IFERROR(-1+PRODUCT(1+Параметры!$U$77:'Параметры'!$X$77),"0")</f>
        <v>4.7372407398640126E-2</v>
      </c>
      <c r="H8" s="624">
        <f t="array" ref="H8">IFERROR(-1+PRODUCT(1+Параметры!$Y$77:'Параметры'!$AB$77),"0")</f>
        <v>4.4829452381167867E-2</v>
      </c>
      <c r="I8" s="624">
        <f t="array" ref="I8">IFERROR(-1+PRODUCT(1+Параметры!$AC$77:'Параметры'!$AF$77),"0")</f>
        <v>4.4391125969701406E-2</v>
      </c>
      <c r="J8" s="624">
        <f t="array" ref="J8">IFERROR(-1+PRODUCT(1+Параметры!$AG$77:'Параметры'!$AJ$77),"0")</f>
        <v>4.4593580638013997E-2</v>
      </c>
      <c r="K8" s="624">
        <f t="array" ref="K8">IFERROR(-1+PRODUCT(1+Параметры!$AK$77:'Параметры'!$AN$77),"0")</f>
        <v>4.5915873363623128E-2</v>
      </c>
      <c r="L8" s="625">
        <f t="array" ref="L8">IFERROR(-1+PRODUCT(1+Параметры!$AO$77:'Параметры'!$AR$77),"0")</f>
        <v>4.5962256408292879E-2</v>
      </c>
    </row>
    <row r="9" spans="1:12" ht="11.25" customHeight="1" x14ac:dyDescent="0.2">
      <c r="A9" s="627" t="str">
        <f>Параметры!$A$79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9" s="602"/>
      <c r="C9" s="602"/>
      <c r="D9" s="602"/>
      <c r="E9" s="602"/>
      <c r="F9" s="602"/>
      <c r="G9" s="602"/>
      <c r="H9" s="602"/>
      <c r="I9" s="602"/>
      <c r="J9" s="602"/>
      <c r="K9" s="602"/>
      <c r="L9" s="602"/>
    </row>
    <row r="10" spans="1:12" ht="11.25" customHeight="1" x14ac:dyDescent="0.2">
      <c r="A10" s="610"/>
      <c r="B10" s="603"/>
      <c r="C10" s="609"/>
      <c r="D10" s="609"/>
      <c r="E10" s="609"/>
      <c r="F10" s="609"/>
      <c r="G10" s="609"/>
      <c r="H10" s="609"/>
      <c r="I10" s="609"/>
      <c r="J10" s="609"/>
      <c r="K10" s="609"/>
      <c r="L10" s="609"/>
    </row>
    <row r="11" spans="1:12" ht="11.25" customHeight="1" x14ac:dyDescent="0.2">
      <c r="A11" s="619" t="str">
        <f>Параметры!$A$81</f>
        <v>Изменение тарифов на электроэнергию, газ</v>
      </c>
      <c r="B11" s="623" t="str">
        <f>Параметры!$C$81</f>
        <v>% в год</v>
      </c>
      <c r="C11" s="628">
        <f>IFERROR(AVERAGE(Параметры!$E$81:'Параметры'!$H$81),"0")</f>
        <v>0</v>
      </c>
      <c r="D11" s="628">
        <f>IFERROR(AVERAGE(Параметры!$I$81:'Параметры'!$L$81),"0")</f>
        <v>4.0336857605958398E-2</v>
      </c>
      <c r="E11" s="628">
        <f>IFERROR(AVERAGE(Параметры!$M$81:'Параметры'!$P$81),"0")</f>
        <v>4.0332213518043059E-2</v>
      </c>
      <c r="F11" s="628">
        <f>IFERROR(AVERAGE(Параметры!$Q$81:'Параметры'!$T$81),"0")</f>
        <v>3.9314320378502465E-2</v>
      </c>
      <c r="G11" s="628">
        <f>IFERROR(AVERAGE(Параметры!$U$81:'Параметры'!$X$81),"0")</f>
        <v>3.9459988151488323E-2</v>
      </c>
      <c r="H11" s="628">
        <f>IFERROR(AVERAGE(Параметры!$Y$81:'Параметры'!$AB$81),"0")</f>
        <v>3.9500151202014777E-2</v>
      </c>
      <c r="I11" s="628">
        <f>IFERROR(AVERAGE(Параметры!$AC$81:'Параметры'!$AF$81),"0")</f>
        <v>3.9522715644798811E-2</v>
      </c>
      <c r="J11" s="628">
        <f>IFERROR(AVERAGE(Параметры!$AG$81:'Параметры'!$AJ$81),"0")</f>
        <v>3.9488336524699408E-2</v>
      </c>
      <c r="K11" s="628">
        <f>IFERROR(AVERAGE(Параметры!$AK$81:'Параметры'!$AN$81),"0")</f>
        <v>3.9409316459410704E-2</v>
      </c>
      <c r="L11" s="629">
        <f>IFERROR(AVERAGE(Параметры!$AO$81:'Параметры'!$AR$81),"0")</f>
        <v>3.9330233966217154E-2</v>
      </c>
    </row>
    <row r="12" spans="1:12" ht="11.25" customHeight="1" x14ac:dyDescent="0.2">
      <c r="A12" s="622" t="str">
        <f>Параметры!$A$82</f>
        <v>то же, в пересчете на текущий период</v>
      </c>
      <c r="B12" s="617" t="str">
        <f>Параметры!$C$82</f>
        <v>% за период</v>
      </c>
      <c r="C12" s="624">
        <f t="array" ref="C12">IFERROR(-1+PRODUCT(1+Параметры!$E$82:'Параметры'!$H$82),"0")</f>
        <v>0</v>
      </c>
      <c r="D12" s="624">
        <f t="array" ref="D12">IFERROR(-1+PRODUCT(1+Параметры!$I$82:'Параметры'!$L$82),"0")</f>
        <v>4.033685760595862E-2</v>
      </c>
      <c r="E12" s="624">
        <f t="array" ref="E12">IFERROR(-1+PRODUCT(1+Параметры!$M$82:'Параметры'!$P$82),"0")</f>
        <v>4.0332213518043281E-2</v>
      </c>
      <c r="F12" s="624">
        <f t="array" ref="F12">IFERROR(-1+PRODUCT(1+Параметры!$Q$82:'Параметры'!$T$82),"0")</f>
        <v>3.9314320378502909E-2</v>
      </c>
      <c r="G12" s="624">
        <f t="array" ref="G12">IFERROR(-1+PRODUCT(1+Параметры!$U$82:'Параметры'!$X$82),"0")</f>
        <v>3.9459988151488101E-2</v>
      </c>
      <c r="H12" s="624">
        <f t="array" ref="H12">IFERROR(-1+PRODUCT(1+Параметры!$Y$82:'Параметры'!$AB$82),"0")</f>
        <v>3.9500151202014333E-2</v>
      </c>
      <c r="I12" s="624">
        <f t="array" ref="I12">IFERROR(-1+PRODUCT(1+Параметры!$AC$82:'Параметры'!$AF$82),"0")</f>
        <v>3.9522715644798589E-2</v>
      </c>
      <c r="J12" s="624">
        <f t="array" ref="J12">IFERROR(-1+PRODUCT(1+Параметры!$AG$82:'Параметры'!$AJ$82),"0")</f>
        <v>3.9488336524698964E-2</v>
      </c>
      <c r="K12" s="624">
        <f t="array" ref="K12">IFERROR(-1+PRODUCT(1+Параметры!$AK$82:'Параметры'!$AN$82),"0")</f>
        <v>3.9409316459410482E-2</v>
      </c>
      <c r="L12" s="625">
        <f t="array" ref="L12">IFERROR(-1+PRODUCT(1+Параметры!$AO$82:'Параметры'!$AR$82),"0")</f>
        <v>3.9330233966217154E-2</v>
      </c>
    </row>
    <row r="13" spans="1:12" ht="11.25" customHeight="1" x14ac:dyDescent="0.2">
      <c r="A13" s="627" t="str">
        <f>Параметры!$A$84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</row>
    <row r="14" spans="1:12" ht="11.25" customHeight="1" x14ac:dyDescent="0.2">
      <c r="A14" s="610"/>
      <c r="B14" s="603"/>
      <c r="C14" s="609"/>
      <c r="D14" s="609"/>
      <c r="E14" s="609"/>
      <c r="F14" s="609"/>
      <c r="G14" s="609"/>
      <c r="H14" s="609"/>
      <c r="I14" s="609"/>
      <c r="J14" s="609"/>
      <c r="K14" s="609"/>
      <c r="L14" s="609"/>
    </row>
    <row r="15" spans="1:12" ht="11.25" customHeight="1" x14ac:dyDescent="0.2">
      <c r="A15" s="619" t="str">
        <f>Параметры!$A$86</f>
        <v>Изменение заработной платы</v>
      </c>
      <c r="B15" s="623" t="str">
        <f>Параметры!$C$86</f>
        <v>% в год</v>
      </c>
      <c r="C15" s="628">
        <f>IFERROR(AVERAGE(Параметры!$E$86:'Параметры'!$H$86),"0")</f>
        <v>0</v>
      </c>
      <c r="D15" s="628">
        <f>IFERROR(AVERAGE(Параметры!$I$86:'Параметры'!$L$86),"0")</f>
        <v>6.5636940856837134E-2</v>
      </c>
      <c r="E15" s="628">
        <f>IFERROR(AVERAGE(Параметры!$M$86:'Параметры'!$P$86),"0")</f>
        <v>6.9164258480914675E-2</v>
      </c>
      <c r="F15" s="628">
        <f>IFERROR(AVERAGE(Параметры!$Q$86:'Параметры'!$T$86),"0")</f>
        <v>6.8270657176112026E-2</v>
      </c>
      <c r="G15" s="628">
        <f>IFERROR(AVERAGE(Параметры!$U$86:'Параметры'!$X$86),"0")</f>
        <v>6.9593992275576166E-2</v>
      </c>
      <c r="H15" s="628">
        <f>IFERROR(AVERAGE(Параметры!$Y$86:'Параметры'!$AB$86),"0")</f>
        <v>6.8717549596758909E-2</v>
      </c>
      <c r="I15" s="628">
        <f>IFERROR(AVERAGE(Параметры!$AC$86:'Параметры'!$AF$86),"0")</f>
        <v>6.8028504971386461E-2</v>
      </c>
      <c r="J15" s="628">
        <f>IFERROR(AVERAGE(Параметры!$AG$86:'Параметры'!$AJ$86),"0")</f>
        <v>6.7750417348662717E-2</v>
      </c>
      <c r="K15" s="628">
        <f>IFERROR(AVERAGE(Параметры!$AK$86:'Параметры'!$AN$86),"0")</f>
        <v>6.7174282373121841E-2</v>
      </c>
      <c r="L15" s="629">
        <f>IFERROR(AVERAGE(Параметры!$AO$86:'Параметры'!$AR$86),"0")</f>
        <v>6.6623774358420818E-2</v>
      </c>
    </row>
    <row r="16" spans="1:12" ht="11.25" customHeight="1" x14ac:dyDescent="0.2">
      <c r="A16" s="622" t="str">
        <f>Параметры!$A$87</f>
        <v>то же, в пересчете на текущий период</v>
      </c>
      <c r="B16" s="617" t="str">
        <f>Параметры!$C$87</f>
        <v>% за период</v>
      </c>
      <c r="C16" s="624">
        <f t="array" ref="C16">IFERROR(-1+PRODUCT(1+Параметры!$E$87:'Параметры'!$H$87),"0")</f>
        <v>0</v>
      </c>
      <c r="D16" s="624">
        <f t="array" ref="D16">IFERROR(-1+PRODUCT(1+Параметры!$I$87:'Параметры'!$L$87),"0")</f>
        <v>6.5636940856837134E-2</v>
      </c>
      <c r="E16" s="624">
        <f t="array" ref="E16">IFERROR(-1+PRODUCT(1+Параметры!$M$87:'Параметры'!$P$87),"0")</f>
        <v>6.9164258480914453E-2</v>
      </c>
      <c r="F16" s="624">
        <f t="array" ref="F16">IFERROR(-1+PRODUCT(1+Параметры!$Q$87:'Параметры'!$T$87),"0")</f>
        <v>6.827065717611247E-2</v>
      </c>
      <c r="G16" s="624">
        <f t="array" ref="G16">IFERROR(-1+PRODUCT(1+Параметры!$U$87:'Параметры'!$X$87),"0")</f>
        <v>6.9593992275576166E-2</v>
      </c>
      <c r="H16" s="624">
        <f t="array" ref="H16">IFERROR(-1+PRODUCT(1+Параметры!$Y$87:'Параметры'!$AB$87),"0")</f>
        <v>6.8717549596758687E-2</v>
      </c>
      <c r="I16" s="624">
        <f t="array" ref="I16">IFERROR(-1+PRODUCT(1+Параметры!$AC$87:'Параметры'!$AF$87),"0")</f>
        <v>6.8028504971386683E-2</v>
      </c>
      <c r="J16" s="624">
        <f t="array" ref="J16">IFERROR(-1+PRODUCT(1+Параметры!$AG$87:'Параметры'!$AJ$87),"0")</f>
        <v>6.7750417348662939E-2</v>
      </c>
      <c r="K16" s="624">
        <f t="array" ref="K16">IFERROR(-1+PRODUCT(1+Параметры!$AK$87:'Параметры'!$AN$87),"0")</f>
        <v>6.7174282373122063E-2</v>
      </c>
      <c r="L16" s="625">
        <f t="array" ref="L16">IFERROR(-1+PRODUCT(1+Параметры!$AO$87:'Параметры'!$AR$87),"0")</f>
        <v>6.6623774358421262E-2</v>
      </c>
    </row>
    <row r="17" spans="1:12" ht="11.25" customHeight="1" x14ac:dyDescent="0.2">
      <c r="A17" s="627" t="str">
        <f>Параметры!$A$89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17" s="602"/>
      <c r="C17" s="602"/>
      <c r="D17" s="602"/>
      <c r="E17" s="602"/>
      <c r="F17" s="602"/>
      <c r="G17" s="602"/>
      <c r="H17" s="602"/>
      <c r="I17" s="602"/>
      <c r="J17" s="602"/>
      <c r="K17" s="602"/>
      <c r="L17" s="602"/>
    </row>
    <row r="18" spans="1:12" ht="11.25" customHeight="1" x14ac:dyDescent="0.2">
      <c r="A18" s="414"/>
      <c r="B18" s="603"/>
      <c r="C18" s="609"/>
      <c r="D18" s="609"/>
      <c r="E18" s="609"/>
      <c r="F18" s="609"/>
      <c r="G18" s="609"/>
      <c r="H18" s="609"/>
      <c r="I18" s="609"/>
      <c r="J18" s="609"/>
      <c r="K18" s="609"/>
      <c r="L18" s="609"/>
    </row>
    <row r="19" spans="1:12" ht="22.5" x14ac:dyDescent="0.2">
      <c r="A19" s="630" t="str">
        <f>Параметры!$A$91</f>
        <v>Изменение тарифов водоснабжения/отведения, утилизации отходов и т.п.</v>
      </c>
      <c r="B19" s="623" t="str">
        <f>Параметры!$C$91</f>
        <v>% в год</v>
      </c>
      <c r="C19" s="628">
        <f>IFERROR(AVERAGE(Параметры!$E$91:'Параметры'!$H$91),"0")</f>
        <v>0</v>
      </c>
      <c r="D19" s="628">
        <f>IFERROR(AVERAGE(Параметры!$I$91:'Параметры'!$L$91),"0")</f>
        <v>4.0440802660270059E-2</v>
      </c>
      <c r="E19" s="628">
        <f>IFERROR(AVERAGE(Параметры!$M$91:'Параметры'!$P$91),"0")</f>
        <v>4.0441791093008828E-2</v>
      </c>
      <c r="F19" s="628">
        <f>IFERROR(AVERAGE(Параметры!$Q$91:'Параметры'!$T$91),"0")</f>
        <v>3.97920103999998E-2</v>
      </c>
      <c r="G19" s="628">
        <f>IFERROR(AVERAGE(Параметры!$U$91:'Параметры'!$X$91),"0")</f>
        <v>4.0467541564836118E-2</v>
      </c>
      <c r="H19" s="628">
        <f>IFERROR(AVERAGE(Параметры!$Y$91:'Параметры'!$AB$91),"0")</f>
        <v>3.9923890663252637E-2</v>
      </c>
      <c r="I19" s="628">
        <f>IFERROR(AVERAGE(Параметры!$AC$91:'Параметры'!$AF$91),"0")</f>
        <v>3.9871738579120741E-2</v>
      </c>
      <c r="J19" s="628">
        <f>IFERROR(AVERAGE(Параметры!$AG$91:'Параметры'!$AJ$91),"0")</f>
        <v>3.9751867532941132E-2</v>
      </c>
      <c r="K19" s="628">
        <f>IFERROR(AVERAGE(Параметры!$AK$91:'Параметры'!$AN$91),"0")</f>
        <v>3.9631901785520673E-2</v>
      </c>
      <c r="L19" s="629">
        <f>IFERROR(AVERAGE(Параметры!$AO$91:'Параметры'!$AR$91),"0")</f>
        <v>3.9543862090033466E-2</v>
      </c>
    </row>
    <row r="20" spans="1:12" ht="11.25" customHeight="1" x14ac:dyDescent="0.2">
      <c r="A20" s="622" t="str">
        <f>Параметры!$A$92</f>
        <v>то же, в пересчете на текущий период</v>
      </c>
      <c r="B20" s="617" t="str">
        <f>Параметры!$C$92</f>
        <v>% за период</v>
      </c>
      <c r="C20" s="624">
        <f t="array" ref="C20">IFERROR(-1+PRODUCT(1+Параметры!$E$92:'Параметры'!$H$92),"0")</f>
        <v>0</v>
      </c>
      <c r="D20" s="624">
        <f t="array" ref="D20">IFERROR(-1+PRODUCT(1+Параметры!$I$92:'Параметры'!$L$92),"0")</f>
        <v>4.0440802660269837E-2</v>
      </c>
      <c r="E20" s="624">
        <f t="array" ref="E20">IFERROR(-1+PRODUCT(1+Параметры!$M$92:'Параметры'!$P$92),"0")</f>
        <v>4.0441791093008606E-2</v>
      </c>
      <c r="F20" s="624">
        <f t="array" ref="F20">IFERROR(-1+PRODUCT(1+Параметры!$Q$92:'Параметры'!$T$92),"0")</f>
        <v>3.9792010400000022E-2</v>
      </c>
      <c r="G20" s="624">
        <f t="array" ref="G20">IFERROR(-1+PRODUCT(1+Параметры!$U$92:'Параметры'!$X$92),"0")</f>
        <v>4.0467541564835896E-2</v>
      </c>
      <c r="H20" s="624">
        <f t="array" ref="H20">IFERROR(-1+PRODUCT(1+Параметры!$Y$92:'Параметры'!$AB$92),"0")</f>
        <v>3.9923890663253081E-2</v>
      </c>
      <c r="I20" s="624">
        <f t="array" ref="I20">IFERROR(-1+PRODUCT(1+Параметры!$AC$92:'Параметры'!$AF$92),"0")</f>
        <v>3.9871738579120297E-2</v>
      </c>
      <c r="J20" s="624">
        <f t="array" ref="J20">IFERROR(-1+PRODUCT(1+Параметры!$AG$92:'Параметры'!$AJ$92),"0")</f>
        <v>3.9751867532941354E-2</v>
      </c>
      <c r="K20" s="624">
        <f t="array" ref="K20">IFERROR(-1+PRODUCT(1+Параметры!$AK$92:'Параметры'!$AN$92),"0")</f>
        <v>3.9631901785520673E-2</v>
      </c>
      <c r="L20" s="625">
        <f t="array" ref="L20">IFERROR(-1+PRODUCT(1+Параметры!$AO$92:'Параметры'!$AR$92),"0")</f>
        <v>3.9543862090033688E-2</v>
      </c>
    </row>
    <row r="21" spans="1:12" ht="11.25" customHeight="1" x14ac:dyDescent="0.2">
      <c r="A21" s="627" t="str">
        <f>Параметры!$A$94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</row>
    <row r="22" spans="1:12" ht="11.25" customHeight="1" x14ac:dyDescent="0.2">
      <c r="A22" s="606"/>
      <c r="B22" s="602"/>
      <c r="C22" s="607"/>
      <c r="D22" s="607"/>
      <c r="E22" s="607"/>
      <c r="F22" s="607"/>
      <c r="G22" s="607"/>
      <c r="H22" s="607"/>
      <c r="I22" s="607"/>
      <c r="J22" s="607"/>
      <c r="K22" s="607"/>
      <c r="L22" s="607"/>
    </row>
    <row r="23" spans="1:12" ht="11.25" customHeight="1" x14ac:dyDescent="0.2">
      <c r="A23" s="631" t="str">
        <f>Параметры!$A$96</f>
        <v>Изменение стоимости инвестиций в основной капитал</v>
      </c>
      <c r="B23" s="623" t="str">
        <f>Параметры!$C$96</f>
        <v>% в год</v>
      </c>
      <c r="C23" s="628">
        <f>IFERROR(AVERAGE(Параметры!$E$96:'Параметры'!$H$96),"0")</f>
        <v>0</v>
      </c>
      <c r="D23" s="628">
        <f>IFERROR(AVERAGE(Параметры!$I$96:'Параметры'!$L$96),"0")</f>
        <v>4.2377116826678662E-2</v>
      </c>
      <c r="E23" s="628">
        <f>IFERROR(AVERAGE(Параметры!$M$96:'Параметры'!$P$96),"0")</f>
        <v>4.3200551547204036E-2</v>
      </c>
      <c r="F23" s="628">
        <f>IFERROR(AVERAGE(Параметры!$Q$96:'Параметры'!$T$96),"0")</f>
        <v>4.3900921854207908E-2</v>
      </c>
      <c r="G23" s="628">
        <f>IFERROR(AVERAGE(Параметры!$U$96:'Параметры'!$X$96),"0")</f>
        <v>4.4300646272306343E-2</v>
      </c>
      <c r="H23" s="628">
        <f>IFERROR(AVERAGE(Параметры!$Y$96:'Параметры'!$AB$96),"0")</f>
        <v>4.3300646272306453E-2</v>
      </c>
      <c r="I23" s="628">
        <f>IFERROR(AVERAGE(Параметры!$AC$96:'Параметры'!$AF$96),"0")</f>
        <v>4.2300646272306563E-2</v>
      </c>
      <c r="J23" s="628">
        <f>IFERROR(AVERAGE(Параметры!$AG$96:'Параметры'!$AJ$96),"0")</f>
        <v>4.1300646272306452E-2</v>
      </c>
      <c r="K23" s="628">
        <f>IFERROR(AVERAGE(Параметры!$AK$96:'Параметры'!$AN$96),"0")</f>
        <v>4.0300646272306562E-2</v>
      </c>
      <c r="L23" s="629">
        <f>IFERROR(AVERAGE(Параметры!$AO$96:'Параметры'!$AR$96),"0")</f>
        <v>4.0300646272306562E-2</v>
      </c>
    </row>
    <row r="24" spans="1:12" ht="11.25" customHeight="1" x14ac:dyDescent="0.2">
      <c r="A24" s="622" t="str">
        <f>Параметры!$A$97</f>
        <v>то же, в пересчете на текущий период</v>
      </c>
      <c r="B24" s="617" t="str">
        <f>Параметры!$C$97</f>
        <v>% за период</v>
      </c>
      <c r="C24" s="624">
        <f t="array" ref="C24">IFERROR(-1+PRODUCT(1+Параметры!$E$97:'Параметры'!$H$97),"0")</f>
        <v>0</v>
      </c>
      <c r="D24" s="624">
        <f t="array" ref="D24">IFERROR(-1+PRODUCT(1+Параметры!$I$97:'Параметры'!$L$97),"0")</f>
        <v>4.237711682667844E-2</v>
      </c>
      <c r="E24" s="624">
        <f t="array" ref="E24">IFERROR(-1+PRODUCT(1+Параметры!$M$97:'Параметры'!$P$97),"0")</f>
        <v>4.320055154720448E-2</v>
      </c>
      <c r="F24" s="624">
        <f t="array" ref="F24">IFERROR(-1+PRODUCT(1+Параметры!$Q$97:'Параметры'!$T$97),"0")</f>
        <v>4.3900921854207686E-2</v>
      </c>
      <c r="G24" s="624">
        <f t="array" ref="G24">IFERROR(-1+PRODUCT(1+Параметры!$U$97:'Параметры'!$X$97),"0")</f>
        <v>4.4300646272306565E-2</v>
      </c>
      <c r="H24" s="624">
        <f t="array" ref="H24">IFERROR(-1+PRODUCT(1+Параметры!$Y$97:'Параметры'!$AB$97),"0")</f>
        <v>4.3300646272306009E-2</v>
      </c>
      <c r="I24" s="624">
        <f t="array" ref="I24">IFERROR(-1+PRODUCT(1+Параметры!$AC$97:'Параметры'!$AF$97),"0")</f>
        <v>4.2300646272306786E-2</v>
      </c>
      <c r="J24" s="624">
        <f t="array" ref="J24">IFERROR(-1+PRODUCT(1+Параметры!$AG$97:'Параметры'!$AJ$97),"0")</f>
        <v>4.1300646272306896E-2</v>
      </c>
      <c r="K24" s="624">
        <f t="array" ref="K24">IFERROR(-1+PRODUCT(1+Параметры!$AK$97:'Параметры'!$AN$97),"0")</f>
        <v>4.030064627230634E-2</v>
      </c>
      <c r="L24" s="625">
        <f t="array" ref="L24">IFERROR(-1+PRODUCT(1+Параметры!$AO$97:'Параметры'!$AR$97),"0")</f>
        <v>4.030064627230634E-2</v>
      </c>
    </row>
    <row r="25" spans="1:12" ht="11.25" customHeight="1" x14ac:dyDescent="0.2">
      <c r="A25" s="627" t="str">
        <f>Параметры!$A$99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</row>
    <row r="26" spans="1:12" ht="11.25" customHeight="1" x14ac:dyDescent="0.2">
      <c r="A26" s="606"/>
      <c r="B26" s="602"/>
      <c r="C26" s="607"/>
      <c r="D26" s="607"/>
      <c r="E26" s="607"/>
      <c r="F26" s="607"/>
      <c r="G26" s="607"/>
      <c r="H26" s="607"/>
      <c r="I26" s="607"/>
      <c r="J26" s="607"/>
      <c r="K26" s="607"/>
      <c r="L26" s="607"/>
    </row>
    <row r="27" spans="1:12" ht="11.25" customHeight="1" x14ac:dyDescent="0.2">
      <c r="A27" s="631" t="str">
        <f>Параметры!$A$101</f>
        <v>Изменение цен в строительстве</v>
      </c>
      <c r="B27" s="623" t="str">
        <f>Параметры!$C$101</f>
        <v>% в год</v>
      </c>
      <c r="C27" s="628">
        <f>IFERROR(AVERAGE(Параметры!$E$101:'Параметры'!$H$101),"0")</f>
        <v>0</v>
      </c>
      <c r="D27" s="628">
        <f>IFERROR(AVERAGE(Параметры!$I$101:'Параметры'!$L$101),"0")</f>
        <v>5.1271423484030576E-2</v>
      </c>
      <c r="E27" s="628">
        <f>IFERROR(AVERAGE(Параметры!$M$101:'Параметры'!$P$101),"0")</f>
        <v>5.0363387780470337E-2</v>
      </c>
      <c r="F27" s="628">
        <f>IFERROR(AVERAGE(Параметры!$Q$101:'Параметры'!$T$101),"0")</f>
        <v>4.9267330074872273E-2</v>
      </c>
      <c r="G27" s="628">
        <f>IFERROR(AVERAGE(Параметры!$U$101:'Параметры'!$X$101),"0")</f>
        <v>4.7273106547426114E-2</v>
      </c>
      <c r="H27" s="628">
        <f>IFERROR(AVERAGE(Параметры!$Y$101:'Параметры'!$AB$101),"0")</f>
        <v>4.5942308087647987E-2</v>
      </c>
      <c r="I27" s="628">
        <f>IFERROR(AVERAGE(Параметры!$AC$101:'Параметры'!$AF$101),"0")</f>
        <v>4.6084178846717894E-2</v>
      </c>
      <c r="J27" s="628">
        <f>IFERROR(AVERAGE(Параметры!$AG$101:'Параметры'!$AJ$101),"0")</f>
        <v>4.6049823800539347E-2</v>
      </c>
      <c r="K27" s="628">
        <f>IFERROR(AVERAGE(Параметры!$AK$101:'Параметры'!$AN$101),"0")</f>
        <v>4.6154378696228848E-2</v>
      </c>
      <c r="L27" s="629">
        <f>IFERROR(AVERAGE(Параметры!$AO$101:'Параметры'!$AR$101),"0")</f>
        <v>4.601469397743041E-2</v>
      </c>
    </row>
    <row r="28" spans="1:12" ht="11.25" customHeight="1" x14ac:dyDescent="0.2">
      <c r="A28" s="622" t="str">
        <f>Параметры!$A$102</f>
        <v>то же, в пересчете на текущий период</v>
      </c>
      <c r="B28" s="617" t="str">
        <f>Параметры!$C$102</f>
        <v>% за период</v>
      </c>
      <c r="C28" s="624">
        <f t="array" ref="C28">IFERROR(-1+PRODUCT(1+Параметры!$E$102:'Параметры'!$H$102),"0")</f>
        <v>0</v>
      </c>
      <c r="D28" s="624">
        <f t="array" ref="D28">IFERROR(-1+PRODUCT(1+Параметры!$I$102:'Параметры'!$L$102),"0")</f>
        <v>5.1271423484030132E-2</v>
      </c>
      <c r="E28" s="624">
        <f t="array" ref="E28">IFERROR(-1+PRODUCT(1+Параметры!$M$102:'Параметры'!$P$102),"0")</f>
        <v>5.0363387780469893E-2</v>
      </c>
      <c r="F28" s="624">
        <f t="array" ref="F28">IFERROR(-1+PRODUCT(1+Параметры!$Q$102:'Параметры'!$T$102),"0")</f>
        <v>4.9267330074872051E-2</v>
      </c>
      <c r="G28" s="624">
        <f t="array" ref="G28">IFERROR(-1+PRODUCT(1+Параметры!$U$102:'Параметры'!$X$102),"0")</f>
        <v>4.7273106547426336E-2</v>
      </c>
      <c r="H28" s="624">
        <f t="array" ref="H28">IFERROR(-1+PRODUCT(1+Параметры!$Y$102:'Параметры'!$AB$102),"0")</f>
        <v>4.5942308087648431E-2</v>
      </c>
      <c r="I28" s="624">
        <f t="array" ref="I28">IFERROR(-1+PRODUCT(1+Параметры!$AC$102:'Параметры'!$AF$102),"0")</f>
        <v>4.6084178846718338E-2</v>
      </c>
      <c r="J28" s="624">
        <f t="array" ref="J28">IFERROR(-1+PRODUCT(1+Параметры!$AG$102:'Параметры'!$AJ$102),"0")</f>
        <v>4.6049823800539569E-2</v>
      </c>
      <c r="K28" s="624">
        <f t="array" ref="K28">IFERROR(-1+PRODUCT(1+Параметры!$AK$102:'Параметры'!$AN$102),"0")</f>
        <v>4.6154378696229292E-2</v>
      </c>
      <c r="L28" s="625">
        <f t="array" ref="L28">IFERROR(-1+PRODUCT(1+Параметры!$AO$102:'Параметры'!$AR$102),"0")</f>
        <v>4.601469397743041E-2</v>
      </c>
    </row>
    <row r="29" spans="1:12" ht="11.25" customHeight="1" x14ac:dyDescent="0.2">
      <c r="A29" s="627" t="str">
        <f>Параметры!$A$104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29" s="602"/>
      <c r="C29" s="602"/>
      <c r="D29" s="602"/>
      <c r="E29" s="602"/>
      <c r="F29" s="602"/>
      <c r="G29" s="602"/>
      <c r="H29" s="602"/>
      <c r="I29" s="602"/>
      <c r="J29" s="602"/>
      <c r="K29" s="602"/>
      <c r="L29" s="602"/>
    </row>
    <row r="30" spans="1:12" ht="11.25" customHeight="1" x14ac:dyDescent="0.2">
      <c r="A30" s="605"/>
      <c r="B30" s="602"/>
      <c r="C30" s="602"/>
      <c r="D30" s="602"/>
      <c r="E30" s="602"/>
      <c r="F30" s="602"/>
      <c r="G30" s="602"/>
      <c r="H30" s="602"/>
      <c r="I30" s="602"/>
      <c r="J30" s="602"/>
      <c r="K30" s="602"/>
      <c r="L30" s="602"/>
    </row>
    <row r="31" spans="1:12" ht="11.25" customHeight="1" x14ac:dyDescent="0.2">
      <c r="A31" s="605" t="s">
        <v>842</v>
      </c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</row>
    <row r="32" spans="1:12" ht="11.25" customHeight="1" x14ac:dyDescent="0.2">
      <c r="A32" s="606"/>
      <c r="B32" s="602"/>
      <c r="C32" s="607"/>
      <c r="D32" s="607"/>
      <c r="E32" s="607"/>
      <c r="F32" s="607"/>
      <c r="G32" s="607"/>
      <c r="H32" s="607"/>
      <c r="I32" s="607"/>
      <c r="J32" s="607"/>
      <c r="K32" s="607"/>
      <c r="L32" s="607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1&amp;R&amp;"Arial,полужирный"&amp;10Проект создания ИП «Бугры» на территории Ленинградской области
&amp;C&amp;"Arial,полужирный"&amp;13
ИНДЕКСЫ-ДЕФЛЯТОРЫ И КУРСЫ ВАЛЮТ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27"/>
  <dimension ref="A1:M53"/>
  <sheetViews>
    <sheetView workbookViewId="0"/>
  </sheetViews>
  <sheetFormatPr defaultRowHeight="12.75" x14ac:dyDescent="0.2"/>
  <cols>
    <col min="1" max="1" width="49.42578125" customWidth="1"/>
    <col min="2" max="2" width="6.28515625" customWidth="1"/>
    <col min="3" max="3" width="6.140625" customWidth="1"/>
    <col min="4" max="13" width="8" customWidth="1"/>
  </cols>
  <sheetData>
    <row r="1" spans="1:13" s="301" customFormat="1" ht="26.1" customHeight="1" x14ac:dyDescent="0.2">
      <c r="A1" s="613" t="str">
        <f>Параметры!$A$130</f>
        <v>УСЛОВИЯ НАЛОГООБЛОЖЕНИЯ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</row>
    <row r="2" spans="1:13" ht="11.25" customHeight="1" x14ac:dyDescent="0.2">
      <c r="A2" s="398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</row>
    <row r="3" spans="1:13" ht="11.25" customHeight="1" x14ac:dyDescent="0.2">
      <c r="A3" s="635" t="str">
        <f>Параметры!$A$134</f>
        <v>Налог на добавленную стоимость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</row>
    <row r="4" spans="1:13" ht="11.25" customHeight="1" x14ac:dyDescent="0.2">
      <c r="A4" s="657" t="str">
        <f>Параметры!$A$135</f>
        <v>зачисляется по нормативу 100% в федеральный бюджет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</row>
    <row r="5" spans="1:13" ht="11.25" customHeight="1" x14ac:dyDescent="0.2">
      <c r="A5" s="636" t="str">
        <f>Параметры!$A$136</f>
        <v>Стандартная ставка налога</v>
      </c>
      <c r="B5" s="659">
        <f>Параметры!$B$136</f>
        <v>0.2</v>
      </c>
      <c r="C5" s="623" t="str">
        <f>Параметры!$C$136</f>
        <v>%</v>
      </c>
      <c r="D5" s="641">
        <f>IFERROR(AVERAGE(Параметры!$E$136:'Параметры'!$H$136),"0")</f>
        <v>0.2</v>
      </c>
      <c r="E5" s="641">
        <f>IFERROR(AVERAGE(Параметры!$I$136:'Параметры'!$L$136),"0")</f>
        <v>0.2</v>
      </c>
      <c r="F5" s="641">
        <f>IFERROR(AVERAGE(Параметры!$M$136:'Параметры'!$P$136),"0")</f>
        <v>0.2</v>
      </c>
      <c r="G5" s="641">
        <f>IFERROR(AVERAGE(Параметры!$Q$136:'Параметры'!$T$136),"0")</f>
        <v>0.2</v>
      </c>
      <c r="H5" s="641">
        <f>IFERROR(AVERAGE(Параметры!$U$136:'Параметры'!$X$136),"0")</f>
        <v>0.2</v>
      </c>
      <c r="I5" s="641">
        <f>IFERROR(AVERAGE(Параметры!$Y$136:'Параметры'!$AB$136),"0")</f>
        <v>0.2</v>
      </c>
      <c r="J5" s="641">
        <f>IFERROR(AVERAGE(Параметры!$AC$136:'Параметры'!$AF$136),"0")</f>
        <v>0.2</v>
      </c>
      <c r="K5" s="641">
        <f>IFERROR(AVERAGE(Параметры!$AG$136:'Параметры'!$AJ$136),"0")</f>
        <v>0.2</v>
      </c>
      <c r="L5" s="641">
        <f>IFERROR(AVERAGE(Параметры!$AK$136:'Параметры'!$AN$136),"0")</f>
        <v>0.2</v>
      </c>
      <c r="M5" s="642">
        <f>IFERROR(AVERAGE(Параметры!$AO$136:'Параметры'!$AR$136),"0")</f>
        <v>0.2</v>
      </c>
    </row>
    <row r="6" spans="1:13" ht="11.25" customHeight="1" x14ac:dyDescent="0.2">
      <c r="A6" s="637" t="str">
        <f>Параметры!$A$137</f>
        <v>Периодичность выплаты налога, месяцев</v>
      </c>
      <c r="B6" s="663">
        <f>Параметры!$B$137</f>
        <v>3</v>
      </c>
      <c r="C6" s="617" t="str">
        <f>Параметры!$C$137</f>
        <v>мес.</v>
      </c>
      <c r="D6" s="599"/>
      <c r="E6" s="599"/>
      <c r="F6" s="599"/>
      <c r="G6" s="599"/>
      <c r="H6" s="599"/>
      <c r="I6" s="599"/>
      <c r="J6" s="599"/>
      <c r="K6" s="599"/>
      <c r="L6" s="599"/>
      <c r="M6" s="599"/>
    </row>
    <row r="7" spans="1:13" ht="11.25" customHeight="1" x14ac:dyDescent="0.2">
      <c r="A7" s="398"/>
      <c r="B7" s="3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</row>
    <row r="8" spans="1:13" ht="11.25" customHeight="1" x14ac:dyDescent="0.2">
      <c r="A8" s="635" t="str">
        <f>Параметры!$A$142</f>
        <v>Налог на прибыль</v>
      </c>
      <c r="B8" s="399"/>
      <c r="C8" s="599"/>
      <c r="D8" s="651"/>
      <c r="E8" s="651"/>
      <c r="F8" s="651"/>
      <c r="G8" s="651"/>
      <c r="H8" s="651"/>
      <c r="I8" s="651"/>
      <c r="J8" s="651"/>
      <c r="K8" s="651"/>
      <c r="L8" s="651"/>
      <c r="M8" s="651"/>
    </row>
    <row r="9" spans="1:13" ht="11.25" customHeight="1" x14ac:dyDescent="0.2">
      <c r="A9" s="668" t="str">
        <f>Параметры!$A$143</f>
        <v>Базовая ставка</v>
      </c>
      <c r="B9" s="399"/>
      <c r="C9" s="599"/>
      <c r="D9" s="599"/>
      <c r="E9" s="599"/>
      <c r="F9" s="599"/>
      <c r="G9" s="599"/>
      <c r="H9" s="599"/>
      <c r="I9" s="599"/>
      <c r="J9" s="599"/>
      <c r="K9" s="599"/>
      <c r="L9" s="599"/>
      <c r="M9" s="599"/>
    </row>
    <row r="10" spans="1:13" ht="11.25" customHeight="1" x14ac:dyDescent="0.2">
      <c r="A10" s="636" t="str">
        <f>Параметры!$A$144</f>
        <v>Ставка налога к уплате в федеральный бюджет</v>
      </c>
      <c r="B10" s="658"/>
      <c r="C10" s="623" t="str">
        <f>Параметры!$C$144</f>
        <v>%</v>
      </c>
      <c r="D10" s="640">
        <f>IFERROR(AVERAGE(Параметры!$E$144:'Параметры'!$H$144),"0")</f>
        <v>0.03</v>
      </c>
      <c r="E10" s="640">
        <f>IFERROR(AVERAGE(Параметры!$I$144:'Параметры'!$L$144),"0")</f>
        <v>0.03</v>
      </c>
      <c r="F10" s="640">
        <f>IFERROR(AVERAGE(Параметры!$M$144:'Параметры'!$P$144),"0")</f>
        <v>0.03</v>
      </c>
      <c r="G10" s="640">
        <f>IFERROR(AVERAGE(Параметры!$Q$144:'Параметры'!$T$144),"0")</f>
        <v>0.03</v>
      </c>
      <c r="H10" s="640">
        <f>IFERROR(AVERAGE(Параметры!$U$144:'Параметры'!$X$144),"0")</f>
        <v>0.03</v>
      </c>
      <c r="I10" s="640">
        <f>IFERROR(AVERAGE(Параметры!$Y$144:'Параметры'!$AB$144),"0")</f>
        <v>0.02</v>
      </c>
      <c r="J10" s="640">
        <f>IFERROR(AVERAGE(Параметры!$AC$144:'Параметры'!$AF$144),"0")</f>
        <v>0.02</v>
      </c>
      <c r="K10" s="640">
        <f>IFERROR(AVERAGE(Параметры!$AG$144:'Параметры'!$AJ$144),"0")</f>
        <v>0.02</v>
      </c>
      <c r="L10" s="640">
        <f>IFERROR(AVERAGE(Параметры!$AK$144:'Параметры'!$AN$144),"0")</f>
        <v>0.02</v>
      </c>
      <c r="M10" s="645">
        <f>IFERROR(AVERAGE(Параметры!$AO$144:'Параметры'!$AR$144),"0")</f>
        <v>0.02</v>
      </c>
    </row>
    <row r="11" spans="1:13" ht="11.25" customHeight="1" x14ac:dyDescent="0.2">
      <c r="A11" s="636" t="str">
        <f>Параметры!$A$145</f>
        <v>Ставка налога к уплате в бюджет субъекта РФ</v>
      </c>
      <c r="B11" s="658"/>
      <c r="C11" s="623" t="str">
        <f>Параметры!$C$145</f>
        <v>%</v>
      </c>
      <c r="D11" s="640">
        <f>IFERROR(AVERAGE(Параметры!$E$145:'Параметры'!$H$145),"0")</f>
        <v>0.17</v>
      </c>
      <c r="E11" s="640">
        <f>IFERROR(AVERAGE(Параметры!$I$145:'Параметры'!$L$145),"0")</f>
        <v>0.17</v>
      </c>
      <c r="F11" s="640">
        <f>IFERROR(AVERAGE(Параметры!$M$145:'Параметры'!$P$145),"0")</f>
        <v>0.17</v>
      </c>
      <c r="G11" s="640">
        <f>IFERROR(AVERAGE(Параметры!$Q$145:'Параметры'!$T$145),"0")</f>
        <v>0.17</v>
      </c>
      <c r="H11" s="640">
        <f>IFERROR(AVERAGE(Параметры!$U$145:'Параметры'!$X$145),"0")</f>
        <v>0.17</v>
      </c>
      <c r="I11" s="640">
        <f>IFERROR(AVERAGE(Параметры!$Y$145:'Параметры'!$AB$145),"0")</f>
        <v>0.18</v>
      </c>
      <c r="J11" s="640">
        <f>IFERROR(AVERAGE(Параметры!$AC$145:'Параметры'!$AF$145),"0")</f>
        <v>0.18</v>
      </c>
      <c r="K11" s="640">
        <f>IFERROR(AVERAGE(Параметры!$AG$145:'Параметры'!$AJ$145),"0")</f>
        <v>0.18</v>
      </c>
      <c r="L11" s="640">
        <f>IFERROR(AVERAGE(Параметры!$AK$145:'Параметры'!$AN$145),"0")</f>
        <v>0.18</v>
      </c>
      <c r="M11" s="645">
        <f>IFERROR(AVERAGE(Параметры!$AO$145:'Параметры'!$AR$145),"0")</f>
        <v>0.18</v>
      </c>
    </row>
    <row r="12" spans="1:13" ht="11.25" customHeight="1" x14ac:dyDescent="0.2">
      <c r="A12" s="636" t="str">
        <f>Параметры!$A$146</f>
        <v>Суммарная ставка налога на прибыль</v>
      </c>
      <c r="B12" s="658"/>
      <c r="C12" s="623" t="str">
        <f>Параметры!$C$146</f>
        <v>%</v>
      </c>
      <c r="D12" s="641">
        <f>IFERROR(AVERAGE(Параметры!$E$146:'Параметры'!$H$146),"0")</f>
        <v>0.2</v>
      </c>
      <c r="E12" s="641">
        <f>IFERROR(AVERAGE(Параметры!$I$146:'Параметры'!$L$146),"0")</f>
        <v>0.2</v>
      </c>
      <c r="F12" s="641">
        <f>IFERROR(AVERAGE(Параметры!$M$146:'Параметры'!$P$146),"0")</f>
        <v>0.2</v>
      </c>
      <c r="G12" s="641">
        <f>IFERROR(AVERAGE(Параметры!$Q$146:'Параметры'!$T$146),"0")</f>
        <v>0.2</v>
      </c>
      <c r="H12" s="641">
        <f>IFERROR(AVERAGE(Параметры!$U$146:'Параметры'!$X$146),"0")</f>
        <v>0.2</v>
      </c>
      <c r="I12" s="641">
        <f>IFERROR(AVERAGE(Параметры!$Y$146:'Параметры'!$AB$146),"0")</f>
        <v>0.19999999999999998</v>
      </c>
      <c r="J12" s="641">
        <f>IFERROR(AVERAGE(Параметры!$AC$146:'Параметры'!$AF$146),"0")</f>
        <v>0.19999999999999998</v>
      </c>
      <c r="K12" s="641">
        <f>IFERROR(AVERAGE(Параметры!$AG$146:'Параметры'!$AJ$146),"0")</f>
        <v>0.19999999999999998</v>
      </c>
      <c r="L12" s="641">
        <f>IFERROR(AVERAGE(Параметры!$AK$146:'Параметры'!$AN$146),"0")</f>
        <v>0.19999999999999998</v>
      </c>
      <c r="M12" s="642">
        <f>IFERROR(AVERAGE(Параметры!$AO$146:'Параметры'!$AR$146),"0")</f>
        <v>0.19999999999999998</v>
      </c>
    </row>
    <row r="13" spans="1:13" ht="11.25" customHeight="1" x14ac:dyDescent="0.2">
      <c r="A13" s="636" t="str">
        <f>Параметры!$A$147</f>
        <v>Периодичность выплаты налога, месяцев</v>
      </c>
      <c r="B13" s="662">
        <f>Параметры!$B$147</f>
        <v>3</v>
      </c>
      <c r="C13" s="623" t="str">
        <f>Параметры!$C$147</f>
        <v>мес.</v>
      </c>
      <c r="D13" s="599"/>
      <c r="E13" s="599"/>
      <c r="F13" s="599"/>
      <c r="G13" s="599"/>
      <c r="H13" s="599"/>
      <c r="I13" s="599"/>
      <c r="J13" s="599"/>
      <c r="K13" s="599"/>
      <c r="L13" s="599"/>
      <c r="M13" s="599"/>
    </row>
    <row r="14" spans="1:13" ht="11.25" customHeight="1" x14ac:dyDescent="0.2">
      <c r="A14" s="621" t="str">
        <f>Параметры!$A$148</f>
        <v>Размер списания убытков прошлых лет (% от прибыли)</v>
      </c>
      <c r="B14" s="669"/>
      <c r="C14" s="617" t="str">
        <f>Параметры!$C$148</f>
        <v>%</v>
      </c>
      <c r="D14" s="670">
        <f>IFERROR(AVERAGE(Параметры!$E$148:'Параметры'!$H$148),"0")</f>
        <v>0.5</v>
      </c>
      <c r="E14" s="670">
        <f>IFERROR(AVERAGE(Параметры!$I$148:'Параметры'!$L$148),"0")</f>
        <v>0.5</v>
      </c>
      <c r="F14" s="670">
        <f>IFERROR(AVERAGE(Параметры!$M$148:'Параметры'!$P$148),"0")</f>
        <v>1</v>
      </c>
      <c r="G14" s="670">
        <f>IFERROR(AVERAGE(Параметры!$Q$148:'Параметры'!$T$148),"0")</f>
        <v>1</v>
      </c>
      <c r="H14" s="670">
        <f>IFERROR(AVERAGE(Параметры!$U$148:'Параметры'!$X$148),"0")</f>
        <v>1</v>
      </c>
      <c r="I14" s="670">
        <f>IFERROR(AVERAGE(Параметры!$Y$148:'Параметры'!$AB$148),"0")</f>
        <v>1</v>
      </c>
      <c r="J14" s="670">
        <f>IFERROR(AVERAGE(Параметры!$AC$148:'Параметры'!$AF$148),"0")</f>
        <v>1</v>
      </c>
      <c r="K14" s="670">
        <f>IFERROR(AVERAGE(Параметры!$AG$148:'Параметры'!$AJ$148),"0")</f>
        <v>1</v>
      </c>
      <c r="L14" s="670">
        <f>IFERROR(AVERAGE(Параметры!$AK$148:'Параметры'!$AN$148),"0")</f>
        <v>1</v>
      </c>
      <c r="M14" s="671">
        <f>IFERROR(AVERAGE(Параметры!$AO$148:'Параметры'!$AR$148),"0")</f>
        <v>1</v>
      </c>
    </row>
    <row r="15" spans="1:13" ht="11.25" customHeight="1" x14ac:dyDescent="0.2">
      <c r="A15" s="672" t="str">
        <f>Параметры!$A$150</f>
        <v>Льготная ставка для Управляющей компании на 6 лет*</v>
      </c>
      <c r="B15" s="599"/>
      <c r="C15" s="599"/>
      <c r="D15" s="599"/>
      <c r="E15" s="599"/>
      <c r="F15" s="599"/>
      <c r="G15" s="599"/>
      <c r="H15" s="599"/>
      <c r="I15" s="599"/>
      <c r="J15" s="599"/>
      <c r="K15" s="599"/>
      <c r="L15" s="599"/>
      <c r="M15" s="599"/>
    </row>
    <row r="16" spans="1:13" ht="11.25" customHeight="1" x14ac:dyDescent="0.2">
      <c r="A16" s="636" t="str">
        <f>Параметры!$A$151</f>
        <v>Ставка налога к уплате в федеральный бюджет</v>
      </c>
      <c r="B16" s="658"/>
      <c r="C16" s="623" t="str">
        <f>Параметры!$C$151</f>
        <v>%</v>
      </c>
      <c r="D16" s="640">
        <f>IFERROR(AVERAGE(Параметры!$E$151:'Параметры'!$H$151),"0")</f>
        <v>0.03</v>
      </c>
      <c r="E16" s="640">
        <f>IFERROR(AVERAGE(Параметры!$I$151:'Параметры'!$L$151),"0")</f>
        <v>0.03</v>
      </c>
      <c r="F16" s="640">
        <f>IFERROR(AVERAGE(Параметры!$M$151:'Параметры'!$P$151),"0")</f>
        <v>0.03</v>
      </c>
      <c r="G16" s="640">
        <f>IFERROR(AVERAGE(Параметры!$Q$151:'Параметры'!$T$151),"0")</f>
        <v>0.03</v>
      </c>
      <c r="H16" s="640">
        <f>IFERROR(AVERAGE(Параметры!$U$151:'Параметры'!$X$151),"0")</f>
        <v>0.03</v>
      </c>
      <c r="I16" s="640">
        <f>IFERROR(AVERAGE(Параметры!$Y$151:'Параметры'!$AB$151),"0")</f>
        <v>0.02</v>
      </c>
      <c r="J16" s="640">
        <f>IFERROR(AVERAGE(Параметры!$AC$151:'Параметры'!$AF$151),"0")</f>
        <v>0.02</v>
      </c>
      <c r="K16" s="640">
        <f>IFERROR(AVERAGE(Параметры!$AG$151:'Параметры'!$AJ$151),"0")</f>
        <v>0.02</v>
      </c>
      <c r="L16" s="640">
        <f>IFERROR(AVERAGE(Параметры!$AK$151:'Параметры'!$AN$151),"0")</f>
        <v>0.02</v>
      </c>
      <c r="M16" s="645">
        <f>IFERROR(AVERAGE(Параметры!$AO$151:'Параметры'!$AR$151),"0")</f>
        <v>0.02</v>
      </c>
    </row>
    <row r="17" spans="1:13" ht="11.25" customHeight="1" x14ac:dyDescent="0.2">
      <c r="A17" s="636" t="str">
        <f>Параметры!$A$152</f>
        <v>Ставка налога к уплате в бюджет субъекта РФ</v>
      </c>
      <c r="B17" s="658"/>
      <c r="C17" s="623" t="str">
        <f>Параметры!$C$152</f>
        <v>%</v>
      </c>
      <c r="D17" s="640">
        <f>IFERROR(AVERAGE(Параметры!$E$152:'Параметры'!$H$152),"0")</f>
        <v>0.17</v>
      </c>
      <c r="E17" s="640">
        <f>IFERROR(AVERAGE(Параметры!$I$152:'Параметры'!$L$152),"0")</f>
        <v>0.13500000000000001</v>
      </c>
      <c r="F17" s="640">
        <f>IFERROR(AVERAGE(Параметры!$M$152:'Параметры'!$P$152),"0")</f>
        <v>0.13500000000000001</v>
      </c>
      <c r="G17" s="640">
        <f>IFERROR(AVERAGE(Параметры!$Q$152:'Параметры'!$T$152),"0")</f>
        <v>0.13500000000000001</v>
      </c>
      <c r="H17" s="640">
        <f>IFERROR(AVERAGE(Параметры!$U$152:'Параметры'!$X$152),"0")</f>
        <v>0.13500000000000001</v>
      </c>
      <c r="I17" s="640">
        <f>IFERROR(AVERAGE(Параметры!$Y$152:'Параметры'!$AB$152),"0")</f>
        <v>0.13500000000000001</v>
      </c>
      <c r="J17" s="640">
        <f>IFERROR(AVERAGE(Параметры!$AC$152:'Параметры'!$AF$152),"0")</f>
        <v>0.13500000000000001</v>
      </c>
      <c r="K17" s="640">
        <f>IFERROR(AVERAGE(Параметры!$AG$152:'Параметры'!$AJ$152),"0")</f>
        <v>0.18</v>
      </c>
      <c r="L17" s="640">
        <f>IFERROR(AVERAGE(Параметры!$AK$152:'Параметры'!$AN$152),"0")</f>
        <v>0.18</v>
      </c>
      <c r="M17" s="645">
        <f>IFERROR(AVERAGE(Параметры!$AO$152:'Параметры'!$AR$152),"0")</f>
        <v>0.18</v>
      </c>
    </row>
    <row r="18" spans="1:13" ht="11.25" customHeight="1" x14ac:dyDescent="0.2">
      <c r="A18" s="637" t="str">
        <f>Параметры!$A$153</f>
        <v>Суммарная ставка налога на прибыль</v>
      </c>
      <c r="B18" s="658"/>
      <c r="C18" s="617" t="str">
        <f>Параметры!$C$153</f>
        <v>%</v>
      </c>
      <c r="D18" s="641">
        <f>IFERROR(AVERAGE(Параметры!$E$153:'Параметры'!$H$153),"0")</f>
        <v>0.2</v>
      </c>
      <c r="E18" s="641">
        <f>IFERROR(AVERAGE(Параметры!$I$153:'Параметры'!$L$153),"0")</f>
        <v>0.16500000000000001</v>
      </c>
      <c r="F18" s="641">
        <f>IFERROR(AVERAGE(Параметры!$M$153:'Параметры'!$P$153),"0")</f>
        <v>0.16500000000000001</v>
      </c>
      <c r="G18" s="641">
        <f>IFERROR(AVERAGE(Параметры!$Q$153:'Параметры'!$T$153),"0")</f>
        <v>0.16500000000000001</v>
      </c>
      <c r="H18" s="641">
        <f>IFERROR(AVERAGE(Параметры!$U$153:'Параметры'!$X$153),"0")</f>
        <v>0.16500000000000001</v>
      </c>
      <c r="I18" s="641">
        <f>IFERROR(AVERAGE(Параметры!$Y$153:'Параметры'!$AB$153),"0")</f>
        <v>0.155</v>
      </c>
      <c r="J18" s="641">
        <f>IFERROR(AVERAGE(Параметры!$AC$153:'Параметры'!$AF$153),"0")</f>
        <v>0.155</v>
      </c>
      <c r="K18" s="641">
        <f>IFERROR(AVERAGE(Параметры!$AG$153:'Параметры'!$AJ$153),"0")</f>
        <v>0.19999999999999998</v>
      </c>
      <c r="L18" s="641">
        <f>IFERROR(AVERAGE(Параметры!$AK$153:'Параметры'!$AN$153),"0")</f>
        <v>0.19999999999999998</v>
      </c>
      <c r="M18" s="642">
        <f>IFERROR(AVERAGE(Параметры!$AO$153:'Параметры'!$AR$153),"0")</f>
        <v>0.19999999999999998</v>
      </c>
    </row>
    <row r="19" spans="1:13" ht="11.25" customHeight="1" x14ac:dyDescent="0.2">
      <c r="A19" s="673" t="str">
        <f>Параметры!$A$155</f>
        <v>* - Закон Ленинградской области от 28.07.2014 № 52-оз</v>
      </c>
      <c r="B19" s="399"/>
      <c r="C19" s="599"/>
      <c r="D19" s="599"/>
      <c r="E19" s="599"/>
      <c r="F19" s="599"/>
      <c r="G19" s="599"/>
      <c r="H19" s="599"/>
      <c r="I19" s="599"/>
      <c r="J19" s="599"/>
      <c r="K19" s="599"/>
      <c r="L19" s="599"/>
      <c r="M19" s="599"/>
    </row>
    <row r="20" spans="1:13" ht="11.25" customHeight="1" x14ac:dyDescent="0.2">
      <c r="A20" s="398"/>
      <c r="B20" s="3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</row>
    <row r="21" spans="1:13" ht="11.25" customHeight="1" x14ac:dyDescent="0.2">
      <c r="A21" s="635" t="str">
        <f>Параметры!$A$157</f>
        <v>Отчисления во внебюджетные фонды с ФЗП</v>
      </c>
      <c r="B21" s="399"/>
      <c r="C21" s="599"/>
      <c r="D21" s="599"/>
      <c r="E21" s="599"/>
      <c r="F21" s="599"/>
      <c r="G21" s="599"/>
      <c r="H21" s="599"/>
      <c r="I21" s="599"/>
      <c r="J21" s="599"/>
      <c r="K21" s="599"/>
      <c r="L21" s="599"/>
      <c r="M21" s="599"/>
    </row>
    <row r="22" spans="1:13" ht="11.25" customHeight="1" x14ac:dyDescent="0.2">
      <c r="A22" s="668" t="str">
        <f>Параметры!$A$158</f>
        <v>Базовые тарифы</v>
      </c>
      <c r="B22" s="399"/>
      <c r="C22" s="599"/>
      <c r="D22" s="599"/>
      <c r="E22" s="599"/>
      <c r="F22" s="599"/>
      <c r="G22" s="599"/>
      <c r="H22" s="599"/>
      <c r="I22" s="599"/>
      <c r="J22" s="599"/>
      <c r="K22" s="599"/>
      <c r="L22" s="599"/>
      <c r="M22" s="599"/>
    </row>
    <row r="23" spans="1:13" ht="11.25" customHeight="1" x14ac:dyDescent="0.2">
      <c r="A23" s="636" t="str">
        <f>Параметры!$A$159</f>
        <v>Ставка взносов в пенсионный фонд</v>
      </c>
      <c r="B23" s="658"/>
      <c r="C23" s="623" t="str">
        <f>Параметры!$C$159</f>
        <v>%</v>
      </c>
      <c r="D23" s="640">
        <f>IFERROR(AVERAGE(Параметры!$E$159:'Параметры'!$H$159),"0")</f>
        <v>0.22</v>
      </c>
      <c r="E23" s="640">
        <f>IFERROR(AVERAGE(Параметры!$I$159:'Параметры'!$L$159),"0")</f>
        <v>0.22</v>
      </c>
      <c r="F23" s="640">
        <f>IFERROR(AVERAGE(Параметры!$M$159:'Параметры'!$P$159),"0")</f>
        <v>0.22</v>
      </c>
      <c r="G23" s="640">
        <f>IFERROR(AVERAGE(Параметры!$Q$159:'Параметры'!$T$159),"0")</f>
        <v>0.22</v>
      </c>
      <c r="H23" s="640">
        <f>IFERROR(AVERAGE(Параметры!$U$159:'Параметры'!$X$159),"0")</f>
        <v>0.22</v>
      </c>
      <c r="I23" s="640">
        <f>IFERROR(AVERAGE(Параметры!$Y$159:'Параметры'!$AB$159),"0")</f>
        <v>0.22</v>
      </c>
      <c r="J23" s="640">
        <f>IFERROR(AVERAGE(Параметры!$AC$159:'Параметры'!$AF$159),"0")</f>
        <v>0.22</v>
      </c>
      <c r="K23" s="640">
        <f>IFERROR(AVERAGE(Параметры!$AG$159:'Параметры'!$AJ$159),"0")</f>
        <v>0.22</v>
      </c>
      <c r="L23" s="640">
        <f>IFERROR(AVERAGE(Параметры!$AK$159:'Параметры'!$AN$159),"0")</f>
        <v>0.22</v>
      </c>
      <c r="M23" s="645">
        <f>IFERROR(AVERAGE(Параметры!$AO$159:'Параметры'!$AR$159),"0")</f>
        <v>0.22</v>
      </c>
    </row>
    <row r="24" spans="1:13" ht="11.25" customHeight="1" x14ac:dyDescent="0.2">
      <c r="A24" s="636" t="str">
        <f>Параметры!$A$160</f>
        <v>Ставка взносов на медицинское страхование</v>
      </c>
      <c r="B24" s="658"/>
      <c r="C24" s="623" t="str">
        <f>Параметры!$C$160</f>
        <v>%</v>
      </c>
      <c r="D24" s="640">
        <f>IFERROR(AVERAGE(Параметры!$E$160:'Параметры'!$H$160),"0")</f>
        <v>5.0999999999999997E-2</v>
      </c>
      <c r="E24" s="640">
        <f>IFERROR(AVERAGE(Параметры!$I$160:'Параметры'!$L$160),"0")</f>
        <v>5.0999999999999997E-2</v>
      </c>
      <c r="F24" s="640">
        <f>IFERROR(AVERAGE(Параметры!$M$160:'Параметры'!$P$160),"0")</f>
        <v>5.0999999999999997E-2</v>
      </c>
      <c r="G24" s="640">
        <f>IFERROR(AVERAGE(Параметры!$Q$160:'Параметры'!$T$160),"0")</f>
        <v>5.0999999999999997E-2</v>
      </c>
      <c r="H24" s="640">
        <f>IFERROR(AVERAGE(Параметры!$U$160:'Параметры'!$X$160),"0")</f>
        <v>5.0999999999999997E-2</v>
      </c>
      <c r="I24" s="640">
        <f>IFERROR(AVERAGE(Параметры!$Y$160:'Параметры'!$AB$160),"0")</f>
        <v>5.0999999999999997E-2</v>
      </c>
      <c r="J24" s="640">
        <f>IFERROR(AVERAGE(Параметры!$AC$160:'Параметры'!$AF$160),"0")</f>
        <v>5.0999999999999997E-2</v>
      </c>
      <c r="K24" s="640">
        <f>IFERROR(AVERAGE(Параметры!$AG$160:'Параметры'!$AJ$160),"0")</f>
        <v>5.0999999999999997E-2</v>
      </c>
      <c r="L24" s="640">
        <f>IFERROR(AVERAGE(Параметры!$AK$160:'Параметры'!$AN$160),"0")</f>
        <v>5.0999999999999997E-2</v>
      </c>
      <c r="M24" s="645">
        <f>IFERROR(AVERAGE(Параметры!$AO$160:'Параметры'!$AR$160),"0")</f>
        <v>5.0999999999999997E-2</v>
      </c>
    </row>
    <row r="25" spans="1:13" ht="11.25" customHeight="1" x14ac:dyDescent="0.2">
      <c r="A25" s="636" t="str">
        <f>Параметры!$A$161</f>
        <v>Ставка взносов в фонд социального страхования</v>
      </c>
      <c r="B25" s="658"/>
      <c r="C25" s="623" t="str">
        <f>Параметры!$C$161</f>
        <v>%</v>
      </c>
      <c r="D25" s="640">
        <f>IFERROR(AVERAGE(Параметры!$E$161:'Параметры'!$H$161),"0")</f>
        <v>2.9000000000000001E-2</v>
      </c>
      <c r="E25" s="640">
        <f>IFERROR(AVERAGE(Параметры!$I$161:'Параметры'!$L$161),"0")</f>
        <v>2.9000000000000001E-2</v>
      </c>
      <c r="F25" s="640">
        <f>IFERROR(AVERAGE(Параметры!$M$161:'Параметры'!$P$161),"0")</f>
        <v>2.9000000000000001E-2</v>
      </c>
      <c r="G25" s="640">
        <f>IFERROR(AVERAGE(Параметры!$Q$161:'Параметры'!$T$161),"0")</f>
        <v>2.9000000000000001E-2</v>
      </c>
      <c r="H25" s="640">
        <f>IFERROR(AVERAGE(Параметры!$U$161:'Параметры'!$X$161),"0")</f>
        <v>2.9000000000000001E-2</v>
      </c>
      <c r="I25" s="640">
        <f>IFERROR(AVERAGE(Параметры!$Y$161:'Параметры'!$AB$161),"0")</f>
        <v>2.9000000000000001E-2</v>
      </c>
      <c r="J25" s="640">
        <f>IFERROR(AVERAGE(Параметры!$AC$161:'Параметры'!$AF$161),"0")</f>
        <v>2.9000000000000001E-2</v>
      </c>
      <c r="K25" s="640">
        <f>IFERROR(AVERAGE(Параметры!$AG$161:'Параметры'!$AJ$161),"0")</f>
        <v>2.9000000000000001E-2</v>
      </c>
      <c r="L25" s="640">
        <f>IFERROR(AVERAGE(Параметры!$AK$161:'Параметры'!$AN$161),"0")</f>
        <v>2.9000000000000001E-2</v>
      </c>
      <c r="M25" s="645">
        <f>IFERROR(AVERAGE(Параметры!$AO$161:'Параметры'!$AR$161),"0")</f>
        <v>2.9000000000000001E-2</v>
      </c>
    </row>
    <row r="26" spans="1:13" ht="11.25" customHeight="1" x14ac:dyDescent="0.2">
      <c r="A26" s="636" t="str">
        <f>Параметры!$A$162</f>
        <v>Ставка страхования от несчастных случаев</v>
      </c>
      <c r="B26" s="658"/>
      <c r="C26" s="623" t="str">
        <f>Параметры!$C$162</f>
        <v>%</v>
      </c>
      <c r="D26" s="640">
        <f>IFERROR(AVERAGE(Параметры!$E$162:'Параметры'!$H$162),"0")</f>
        <v>6.0000000000000001E-3</v>
      </c>
      <c r="E26" s="640">
        <f>IFERROR(AVERAGE(Параметры!$I$162:'Параметры'!$L$162),"0")</f>
        <v>6.0000000000000001E-3</v>
      </c>
      <c r="F26" s="640">
        <f>IFERROR(AVERAGE(Параметры!$M$162:'Параметры'!$P$162),"0")</f>
        <v>6.0000000000000001E-3</v>
      </c>
      <c r="G26" s="640">
        <f>IFERROR(AVERAGE(Параметры!$Q$162:'Параметры'!$T$162),"0")</f>
        <v>6.0000000000000001E-3</v>
      </c>
      <c r="H26" s="640">
        <f>IFERROR(AVERAGE(Параметры!$U$162:'Параметры'!$X$162),"0")</f>
        <v>6.0000000000000001E-3</v>
      </c>
      <c r="I26" s="640">
        <f>IFERROR(AVERAGE(Параметры!$Y$162:'Параметры'!$AB$162),"0")</f>
        <v>6.0000000000000001E-3</v>
      </c>
      <c r="J26" s="640">
        <f>IFERROR(AVERAGE(Параметры!$AC$162:'Параметры'!$AF$162),"0")</f>
        <v>6.0000000000000001E-3</v>
      </c>
      <c r="K26" s="640">
        <f>IFERROR(AVERAGE(Параметры!$AG$162:'Параметры'!$AJ$162),"0")</f>
        <v>6.0000000000000001E-3</v>
      </c>
      <c r="L26" s="640">
        <f>IFERROR(AVERAGE(Параметры!$AK$162:'Параметры'!$AN$162),"0")</f>
        <v>6.0000000000000001E-3</v>
      </c>
      <c r="M26" s="645">
        <f>IFERROR(AVERAGE(Параметры!$AO$162:'Параметры'!$AR$162),"0")</f>
        <v>6.0000000000000001E-3</v>
      </c>
    </row>
    <row r="27" spans="1:13" ht="11.25" customHeight="1" x14ac:dyDescent="0.2">
      <c r="A27" s="636" t="str">
        <f>Параметры!$A$163</f>
        <v>Ставка других социальных взносов</v>
      </c>
      <c r="B27" s="658"/>
      <c r="C27" s="623" t="str">
        <f>Параметры!$C$163</f>
        <v>%</v>
      </c>
      <c r="D27" s="640">
        <f>IFERROR(AVERAGE(Параметры!$E$163:'Параметры'!$H$163),"0")</f>
        <v>0</v>
      </c>
      <c r="E27" s="640">
        <f>IFERROR(AVERAGE(Параметры!$I$163:'Параметры'!$L$163),"0")</f>
        <v>0</v>
      </c>
      <c r="F27" s="640">
        <f>IFERROR(AVERAGE(Параметры!$M$163:'Параметры'!$P$163),"0")</f>
        <v>0</v>
      </c>
      <c r="G27" s="640">
        <f>IFERROR(AVERAGE(Параметры!$Q$163:'Параметры'!$T$163),"0")</f>
        <v>0</v>
      </c>
      <c r="H27" s="640">
        <f>IFERROR(AVERAGE(Параметры!$U$163:'Параметры'!$X$163),"0")</f>
        <v>0</v>
      </c>
      <c r="I27" s="640">
        <f>IFERROR(AVERAGE(Параметры!$Y$163:'Параметры'!$AB$163),"0")</f>
        <v>0</v>
      </c>
      <c r="J27" s="640">
        <f>IFERROR(AVERAGE(Параметры!$AC$163:'Параметры'!$AF$163),"0")</f>
        <v>0</v>
      </c>
      <c r="K27" s="640">
        <f>IFERROR(AVERAGE(Параметры!$AG$163:'Параметры'!$AJ$163),"0")</f>
        <v>0</v>
      </c>
      <c r="L27" s="640">
        <f>IFERROR(AVERAGE(Параметры!$AK$163:'Параметры'!$AN$163),"0")</f>
        <v>0</v>
      </c>
      <c r="M27" s="645">
        <f>IFERROR(AVERAGE(Параметры!$AO$163:'Параметры'!$AR$163),"0")</f>
        <v>0</v>
      </c>
    </row>
    <row r="28" spans="1:13" ht="11.25" customHeight="1" x14ac:dyDescent="0.2">
      <c r="A28" s="636" t="str">
        <f>Параметры!$A$164</f>
        <v>Суммарная ставка социальных взносов</v>
      </c>
      <c r="B28" s="658"/>
      <c r="C28" s="623" t="str">
        <f>Параметры!$C$164</f>
        <v>%</v>
      </c>
      <c r="D28" s="641">
        <f>IFERROR(AVERAGE(Параметры!$E$164:'Параметры'!$H$164),"0")</f>
        <v>0.30600000000000005</v>
      </c>
      <c r="E28" s="641">
        <f>IFERROR(AVERAGE(Параметры!$I$164:'Параметры'!$L$164),"0")</f>
        <v>0.30600000000000005</v>
      </c>
      <c r="F28" s="641">
        <f>IFERROR(AVERAGE(Параметры!$M$164:'Параметры'!$P$164),"0")</f>
        <v>0.30600000000000005</v>
      </c>
      <c r="G28" s="641">
        <f>IFERROR(AVERAGE(Параметры!$Q$164:'Параметры'!$T$164),"0")</f>
        <v>0.30600000000000005</v>
      </c>
      <c r="H28" s="641">
        <f>IFERROR(AVERAGE(Параметры!$U$164:'Параметры'!$X$164),"0")</f>
        <v>0.30600000000000005</v>
      </c>
      <c r="I28" s="641">
        <f>IFERROR(AVERAGE(Параметры!$Y$164:'Параметры'!$AB$164),"0")</f>
        <v>0.30600000000000005</v>
      </c>
      <c r="J28" s="641">
        <f>IFERROR(AVERAGE(Параметры!$AC$164:'Параметры'!$AF$164),"0")</f>
        <v>0.30600000000000005</v>
      </c>
      <c r="K28" s="641">
        <f>IFERROR(AVERAGE(Параметры!$AG$164:'Параметры'!$AJ$164),"0")</f>
        <v>0.30600000000000005</v>
      </c>
      <c r="L28" s="641">
        <f>IFERROR(AVERAGE(Параметры!$AK$164:'Параметры'!$AN$164),"0")</f>
        <v>0.30600000000000005</v>
      </c>
      <c r="M28" s="642">
        <f>IFERROR(AVERAGE(Параметры!$AO$164:'Параметры'!$AR$164),"0")</f>
        <v>0.30600000000000005</v>
      </c>
    </row>
    <row r="29" spans="1:13" ht="11.25" customHeight="1" x14ac:dyDescent="0.2">
      <c r="A29" s="637" t="str">
        <f>Параметры!$A$165</f>
        <v>Периодичность выплаты налога, месяцев</v>
      </c>
      <c r="B29" s="663">
        <f>Параметры!$B$165</f>
        <v>1</v>
      </c>
      <c r="C29" s="617" t="str">
        <f>Параметры!$C$165</f>
        <v>мес.</v>
      </c>
      <c r="D29" s="599"/>
      <c r="E29" s="599"/>
      <c r="F29" s="599"/>
      <c r="G29" s="599"/>
      <c r="H29" s="599"/>
      <c r="I29" s="599"/>
      <c r="J29" s="599"/>
      <c r="K29" s="599"/>
      <c r="L29" s="599"/>
      <c r="M29" s="599"/>
    </row>
    <row r="30" spans="1:13" ht="11.25" customHeight="1" x14ac:dyDescent="0.2">
      <c r="A30" s="398"/>
      <c r="B30" s="3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</row>
    <row r="31" spans="1:13" ht="11.25" customHeight="1" x14ac:dyDescent="0.2">
      <c r="A31" s="635" t="str">
        <f>Параметры!$A$167</f>
        <v>Налог на имущество</v>
      </c>
      <c r="B31" s="3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</row>
    <row r="32" spans="1:13" ht="11.25" customHeight="1" x14ac:dyDescent="0.2">
      <c r="A32" s="657" t="str">
        <f>Параметры!$A$168</f>
        <v>зачисляется по нормативу 100% в бюджет субъекта РФ</v>
      </c>
      <c r="B32" s="3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</row>
    <row r="33" spans="1:13" ht="11.25" customHeight="1" x14ac:dyDescent="0.2">
      <c r="A33" s="667" t="str">
        <f>Параметры!$A$169</f>
        <v>Базовая ставка</v>
      </c>
      <c r="B33" s="399"/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</row>
    <row r="34" spans="1:13" ht="22.5" x14ac:dyDescent="0.2">
      <c r="A34" s="674" t="str">
        <f>Параметры!$A$171</f>
        <v>Ставка налога для недвижимости, облагаемой от остаточной стоимости</v>
      </c>
      <c r="B34" s="658"/>
      <c r="C34" s="623" t="str">
        <f>Параметры!$C$171</f>
        <v>%</v>
      </c>
      <c r="D34" s="640">
        <f>IFERROR(AVERAGE(Параметры!$E$171:'Параметры'!$H$171),"0")</f>
        <v>2.1999999999999999E-2</v>
      </c>
      <c r="E34" s="640">
        <f>IFERROR(AVERAGE(Параметры!$I$171:'Параметры'!$L$171),"0")</f>
        <v>2.1999999999999999E-2</v>
      </c>
      <c r="F34" s="640">
        <f>IFERROR(AVERAGE(Параметры!$M$171:'Параметры'!$P$171),"0")</f>
        <v>2.1999999999999999E-2</v>
      </c>
      <c r="G34" s="640">
        <f>IFERROR(AVERAGE(Параметры!$Q$171:'Параметры'!$T$171),"0")</f>
        <v>2.1999999999999999E-2</v>
      </c>
      <c r="H34" s="640">
        <f>IFERROR(AVERAGE(Параметры!$U$171:'Параметры'!$X$171),"0")</f>
        <v>2.1999999999999999E-2</v>
      </c>
      <c r="I34" s="640">
        <f>IFERROR(AVERAGE(Параметры!$Y$171:'Параметры'!$AB$171),"0")</f>
        <v>2.1999999999999999E-2</v>
      </c>
      <c r="J34" s="640">
        <f>IFERROR(AVERAGE(Параметры!$AC$171:'Параметры'!$AF$171),"0")</f>
        <v>2.1999999999999999E-2</v>
      </c>
      <c r="K34" s="640">
        <f>IFERROR(AVERAGE(Параметры!$AG$171:'Параметры'!$AJ$171),"0")</f>
        <v>2.1999999999999999E-2</v>
      </c>
      <c r="L34" s="640">
        <f>IFERROR(AVERAGE(Параметры!$AK$171:'Параметры'!$AN$171),"0")</f>
        <v>2.1999999999999999E-2</v>
      </c>
      <c r="M34" s="645">
        <f>IFERROR(AVERAGE(Параметры!$AO$171:'Параметры'!$AR$171),"0")</f>
        <v>2.1999999999999999E-2</v>
      </c>
    </row>
    <row r="35" spans="1:13" ht="11.25" customHeight="1" x14ac:dyDescent="0.2">
      <c r="A35" s="674" t="str">
        <f>Параметры!$A$172</f>
        <v>Ставка налога для движимого имущества</v>
      </c>
      <c r="B35" s="658"/>
      <c r="C35" s="623" t="str">
        <f>Параметры!$C$172</f>
        <v>%</v>
      </c>
      <c r="D35" s="641">
        <f>IFERROR(AVERAGE(Параметры!$E$172:'Параметры'!$H$172),"0")</f>
        <v>0</v>
      </c>
      <c r="E35" s="641">
        <f>IFERROR(AVERAGE(Параметры!$I$172:'Параметры'!$L$172),"0")</f>
        <v>0</v>
      </c>
      <c r="F35" s="641">
        <f>IFERROR(AVERAGE(Параметры!$M$172:'Параметры'!$P$172),"0")</f>
        <v>0</v>
      </c>
      <c r="G35" s="641">
        <f>IFERROR(AVERAGE(Параметры!$Q$172:'Параметры'!$T$172),"0")</f>
        <v>0</v>
      </c>
      <c r="H35" s="641">
        <f>IFERROR(AVERAGE(Параметры!$U$172:'Параметры'!$X$172),"0")</f>
        <v>0</v>
      </c>
      <c r="I35" s="641">
        <f>IFERROR(AVERAGE(Параметры!$Y$172:'Параметры'!$AB$172),"0")</f>
        <v>0</v>
      </c>
      <c r="J35" s="641">
        <f>IFERROR(AVERAGE(Параметры!$AC$172:'Параметры'!$AF$172),"0")</f>
        <v>0</v>
      </c>
      <c r="K35" s="641">
        <f>IFERROR(AVERAGE(Параметры!$AG$172:'Параметры'!$AJ$172),"0")</f>
        <v>0</v>
      </c>
      <c r="L35" s="641">
        <f>IFERROR(AVERAGE(Параметры!$AK$172:'Параметры'!$AN$172),"0")</f>
        <v>0</v>
      </c>
      <c r="M35" s="642">
        <f>IFERROR(AVERAGE(Параметры!$AO$172:'Параметры'!$AR$172),"0")</f>
        <v>0</v>
      </c>
    </row>
    <row r="36" spans="1:13" ht="11.25" customHeight="1" x14ac:dyDescent="0.2">
      <c r="A36" s="637" t="str">
        <f>Параметры!$A$173</f>
        <v>Периодичность выплаты налога, месяцев</v>
      </c>
      <c r="B36" s="663">
        <f>Параметры!$B$173</f>
        <v>3</v>
      </c>
      <c r="C36" s="617" t="str">
        <f>Параметры!$C$173</f>
        <v>мес.</v>
      </c>
      <c r="D36" s="599"/>
      <c r="E36" s="599"/>
      <c r="F36" s="599"/>
      <c r="G36" s="599"/>
      <c r="H36" s="599"/>
      <c r="I36" s="599"/>
      <c r="J36" s="599"/>
      <c r="K36" s="599"/>
      <c r="L36" s="599"/>
      <c r="M36" s="599"/>
    </row>
    <row r="37" spans="1:13" ht="11.25" customHeight="1" x14ac:dyDescent="0.2">
      <c r="A37" s="668" t="str">
        <f>Параметры!$A$175</f>
        <v>Льготная ставка для Управляющей компании на 6 лет*</v>
      </c>
      <c r="B37" s="399"/>
      <c r="C37" s="599"/>
      <c r="D37" s="599"/>
      <c r="E37" s="599"/>
      <c r="F37" s="599"/>
      <c r="G37" s="599"/>
      <c r="H37" s="599"/>
      <c r="I37" s="599"/>
      <c r="J37" s="599"/>
      <c r="K37" s="599"/>
      <c r="L37" s="599"/>
      <c r="M37" s="599"/>
    </row>
    <row r="38" spans="1:13" ht="22.5" x14ac:dyDescent="0.2">
      <c r="A38" s="675" t="str">
        <f>Параметры!$A$176</f>
        <v>Ставка налога для недвижимости, облагаемой от остаточной стоимости</v>
      </c>
      <c r="B38" s="658"/>
      <c r="C38" s="617" t="str">
        <f>Параметры!$C$176</f>
        <v>%</v>
      </c>
      <c r="D38" s="641">
        <f>IFERROR(AVERAGE(Параметры!$E$176:'Параметры'!$H$176),"0")</f>
        <v>2.1999999999999999E-2</v>
      </c>
      <c r="E38" s="641">
        <f>IFERROR(AVERAGE(Параметры!$I$176:'Параметры'!$L$176),"0")</f>
        <v>0</v>
      </c>
      <c r="F38" s="641">
        <f>IFERROR(AVERAGE(Параметры!$M$176:'Параметры'!$P$176),"0")</f>
        <v>0</v>
      </c>
      <c r="G38" s="641">
        <f>IFERROR(AVERAGE(Параметры!$Q$176:'Параметры'!$T$176),"0")</f>
        <v>0</v>
      </c>
      <c r="H38" s="641">
        <f>IFERROR(AVERAGE(Параметры!$U$176:'Параметры'!$X$176),"0")</f>
        <v>0</v>
      </c>
      <c r="I38" s="641">
        <f>IFERROR(AVERAGE(Параметры!$Y$176:'Параметры'!$AB$176),"0")</f>
        <v>0</v>
      </c>
      <c r="J38" s="641">
        <f>IFERROR(AVERAGE(Параметры!$AC$176:'Параметры'!$AF$176),"0")</f>
        <v>0</v>
      </c>
      <c r="K38" s="641">
        <f>IFERROR(AVERAGE(Параметры!$AG$176:'Параметры'!$AJ$176),"0")</f>
        <v>2.1999999999999999E-2</v>
      </c>
      <c r="L38" s="641">
        <f>IFERROR(AVERAGE(Параметры!$AK$176:'Параметры'!$AN$176),"0")</f>
        <v>2.1999999999999999E-2</v>
      </c>
      <c r="M38" s="642">
        <f>IFERROR(AVERAGE(Параметры!$AO$176:'Параметры'!$AR$176),"0")</f>
        <v>2.1999999999999999E-2</v>
      </c>
    </row>
    <row r="39" spans="1:13" ht="11.25" customHeight="1" x14ac:dyDescent="0.2">
      <c r="A39" s="673" t="str">
        <f>Параметры!$A$178</f>
        <v>* - Закон Ленинградской области от 28.07.2014 № 52-оз</v>
      </c>
      <c r="B39" s="601"/>
      <c r="C39" s="603"/>
      <c r="D39" s="600"/>
      <c r="E39" s="600"/>
      <c r="F39" s="600"/>
      <c r="G39" s="600"/>
      <c r="H39" s="600"/>
      <c r="I39" s="600"/>
      <c r="J39" s="600"/>
      <c r="K39" s="600"/>
      <c r="L39" s="600"/>
      <c r="M39" s="600"/>
    </row>
    <row r="40" spans="1:13" ht="11.25" customHeight="1" x14ac:dyDescent="0.2">
      <c r="A40" s="599"/>
      <c r="B40" s="601"/>
      <c r="C40" s="603"/>
      <c r="D40" s="609"/>
      <c r="E40" s="609"/>
      <c r="F40" s="609"/>
      <c r="G40" s="609"/>
      <c r="H40" s="609"/>
      <c r="I40" s="609"/>
      <c r="J40" s="609"/>
      <c r="K40" s="609"/>
      <c r="L40" s="609"/>
      <c r="M40" s="609"/>
    </row>
    <row r="41" spans="1:13" ht="11.25" customHeight="1" x14ac:dyDescent="0.2">
      <c r="A41" s="680" t="str">
        <f>Параметры!$A$180</f>
        <v>Земельный налог</v>
      </c>
      <c r="B41" s="601"/>
      <c r="C41" s="603"/>
      <c r="D41" s="609"/>
      <c r="E41" s="609"/>
      <c r="F41" s="609"/>
      <c r="G41" s="609"/>
      <c r="H41" s="609"/>
      <c r="I41" s="609"/>
      <c r="J41" s="609"/>
      <c r="K41" s="609"/>
      <c r="L41" s="609"/>
      <c r="M41" s="609"/>
    </row>
    <row r="42" spans="1:13" ht="11.25" customHeight="1" x14ac:dyDescent="0.2">
      <c r="A42" s="657" t="str">
        <f>Параметры!$A$181</f>
        <v xml:space="preserve">зачисляется по нормативу 100% в местный бюджет </v>
      </c>
      <c r="B42" s="601"/>
      <c r="C42" s="603"/>
      <c r="D42" s="609"/>
      <c r="E42" s="609"/>
      <c r="F42" s="609"/>
      <c r="G42" s="609"/>
      <c r="H42" s="609"/>
      <c r="I42" s="609"/>
      <c r="J42" s="609"/>
      <c r="K42" s="609"/>
      <c r="L42" s="609"/>
      <c r="M42" s="609"/>
    </row>
    <row r="43" spans="1:13" ht="11.25" customHeight="1" x14ac:dyDescent="0.2">
      <c r="A43" s="668" t="str">
        <f>Параметры!$A$182</f>
        <v>Базовая ставка</v>
      </c>
      <c r="B43" s="601"/>
      <c r="C43" s="603"/>
      <c r="D43" s="609"/>
      <c r="E43" s="609"/>
      <c r="F43" s="609"/>
      <c r="G43" s="609"/>
      <c r="H43" s="609"/>
      <c r="I43" s="609"/>
      <c r="J43" s="609"/>
      <c r="K43" s="609"/>
      <c r="L43" s="609"/>
      <c r="M43" s="609"/>
    </row>
    <row r="44" spans="1:13" ht="11.25" customHeight="1" x14ac:dyDescent="0.2">
      <c r="A44" s="636" t="str">
        <f>Параметры!$A$183</f>
        <v>Ставка налога</v>
      </c>
      <c r="B44" s="658"/>
      <c r="C44" s="623" t="str">
        <f>Параметры!$C$183</f>
        <v>%</v>
      </c>
      <c r="D44" s="641">
        <f>IFERROR(AVERAGE(Параметры!$E$183:'Параметры'!$H$183),"0")</f>
        <v>1.4999999999999999E-2</v>
      </c>
      <c r="E44" s="641">
        <f>IFERROR(AVERAGE(Параметры!$I$183:'Параметры'!$L$183),"0")</f>
        <v>1.4999999999999999E-2</v>
      </c>
      <c r="F44" s="641">
        <f>IFERROR(AVERAGE(Параметры!$M$183:'Параметры'!$P$183),"0")</f>
        <v>1.4999999999999999E-2</v>
      </c>
      <c r="G44" s="641">
        <f>IFERROR(AVERAGE(Параметры!$Q$183:'Параметры'!$T$183),"0")</f>
        <v>1.4999999999999999E-2</v>
      </c>
      <c r="H44" s="641">
        <f>IFERROR(AVERAGE(Параметры!$U$183:'Параметры'!$X$183),"0")</f>
        <v>1.4999999999999999E-2</v>
      </c>
      <c r="I44" s="641">
        <f>IFERROR(AVERAGE(Параметры!$Y$183:'Параметры'!$AB$183),"0")</f>
        <v>1.4999999999999999E-2</v>
      </c>
      <c r="J44" s="641">
        <f>IFERROR(AVERAGE(Параметры!$AC$183:'Параметры'!$AF$183),"0")</f>
        <v>1.4999999999999999E-2</v>
      </c>
      <c r="K44" s="641">
        <f>IFERROR(AVERAGE(Параметры!$AG$183:'Параметры'!$AJ$183),"0")</f>
        <v>1.4999999999999999E-2</v>
      </c>
      <c r="L44" s="641">
        <f>IFERROR(AVERAGE(Параметры!$AK$183:'Параметры'!$AN$183),"0")</f>
        <v>1.4999999999999999E-2</v>
      </c>
      <c r="M44" s="642">
        <f>IFERROR(AVERAGE(Параметры!$AO$183:'Параметры'!$AR$183),"0")</f>
        <v>1.4999999999999999E-2</v>
      </c>
    </row>
    <row r="45" spans="1:13" ht="11.25" customHeight="1" x14ac:dyDescent="0.2">
      <c r="A45" s="637" t="str">
        <f>Параметры!$A$184</f>
        <v>Периодичность выплаты налога, месяцев</v>
      </c>
      <c r="B45" s="663">
        <f>Параметры!$B$184</f>
        <v>3</v>
      </c>
      <c r="C45" s="617" t="str">
        <f>Параметры!$C$184</f>
        <v>мес.</v>
      </c>
      <c r="D45" s="609"/>
      <c r="E45" s="609"/>
      <c r="F45" s="609"/>
      <c r="G45" s="609"/>
      <c r="H45" s="609"/>
      <c r="I45" s="609"/>
      <c r="J45" s="609"/>
      <c r="K45" s="609"/>
      <c r="L45" s="609"/>
      <c r="M45" s="609"/>
    </row>
    <row r="46" spans="1:13" ht="11.25" customHeight="1" x14ac:dyDescent="0.2">
      <c r="A46" s="599"/>
      <c r="B46" s="601"/>
      <c r="C46" s="603"/>
      <c r="D46" s="609"/>
      <c r="E46" s="609"/>
      <c r="F46" s="609"/>
      <c r="G46" s="609"/>
      <c r="H46" s="609"/>
      <c r="I46" s="609"/>
      <c r="J46" s="609"/>
      <c r="K46" s="609"/>
      <c r="L46" s="609"/>
      <c r="M46" s="609"/>
    </row>
    <row r="47" spans="1:13" ht="11.25" customHeight="1" x14ac:dyDescent="0.2">
      <c r="A47" s="679" t="str">
        <f>Параметры!$A$188</f>
        <v>НДФЛ</v>
      </c>
      <c r="B47" s="601"/>
      <c r="C47" s="603"/>
      <c r="D47" s="609"/>
      <c r="E47" s="609"/>
      <c r="F47" s="609"/>
      <c r="G47" s="609"/>
      <c r="H47" s="609"/>
      <c r="I47" s="609"/>
      <c r="J47" s="609"/>
      <c r="K47" s="609"/>
      <c r="L47" s="609"/>
      <c r="M47" s="609"/>
    </row>
    <row r="48" spans="1:13" ht="11.25" customHeight="1" x14ac:dyDescent="0.2">
      <c r="A48" s="636" t="str">
        <f>Параметры!$A$190</f>
        <v>Ставка налога</v>
      </c>
      <c r="B48" s="658"/>
      <c r="C48" s="623" t="str">
        <f>Параметры!$C$190</f>
        <v>%</v>
      </c>
      <c r="D48" s="641">
        <f>IFERROR(AVERAGE(Параметры!$E$190:'Параметры'!$H$190),"0")</f>
        <v>0.13</v>
      </c>
      <c r="E48" s="641">
        <f>IFERROR(AVERAGE(Параметры!$I$190:'Параметры'!$L$190),"0")</f>
        <v>0.13</v>
      </c>
      <c r="F48" s="641">
        <f>IFERROR(AVERAGE(Параметры!$M$190:'Параметры'!$P$190),"0")</f>
        <v>0.13</v>
      </c>
      <c r="G48" s="641">
        <f>IFERROR(AVERAGE(Параметры!$Q$190:'Параметры'!$T$190),"0")</f>
        <v>0.13</v>
      </c>
      <c r="H48" s="641">
        <f>IFERROR(AVERAGE(Параметры!$U$190:'Параметры'!$X$190),"0")</f>
        <v>0.13</v>
      </c>
      <c r="I48" s="641">
        <f>IFERROR(AVERAGE(Параметры!$Y$190:'Параметры'!$AB$190),"0")</f>
        <v>0.13</v>
      </c>
      <c r="J48" s="641">
        <f>IFERROR(AVERAGE(Параметры!$AC$190:'Параметры'!$AF$190),"0")</f>
        <v>0.13</v>
      </c>
      <c r="K48" s="641">
        <f>IFERROR(AVERAGE(Параметры!$AG$190:'Параметры'!$AJ$190),"0")</f>
        <v>0.13</v>
      </c>
      <c r="L48" s="641">
        <f>IFERROR(AVERAGE(Параметры!$AK$190:'Параметры'!$AN$190),"0")</f>
        <v>0.13</v>
      </c>
      <c r="M48" s="642">
        <f>IFERROR(AVERAGE(Параметры!$AO$190:'Параметры'!$AR$190),"0")</f>
        <v>0.13</v>
      </c>
    </row>
    <row r="49" spans="1:13" ht="11.25" customHeight="1" x14ac:dyDescent="0.2">
      <c r="A49" s="636" t="str">
        <f>Параметры!$A$191</f>
        <v>Периодичность выплаты налога, месяцев</v>
      </c>
      <c r="B49" s="662">
        <f>Параметры!$B$191</f>
        <v>1</v>
      </c>
      <c r="C49" s="623" t="str">
        <f>Параметры!$C$191</f>
        <v>мес.</v>
      </c>
      <c r="D49" s="609"/>
      <c r="E49" s="609"/>
      <c r="F49" s="609"/>
      <c r="G49" s="609"/>
      <c r="H49" s="609"/>
      <c r="I49" s="609"/>
      <c r="J49" s="609"/>
      <c r="K49" s="609"/>
      <c r="L49" s="609"/>
      <c r="M49" s="609"/>
    </row>
    <row r="50" spans="1:13" ht="11.25" customHeight="1" x14ac:dyDescent="0.2">
      <c r="A50" s="636" t="str">
        <f>Параметры!$A$192</f>
        <v>Норматив зачисления в бюджет субъекта РФ</v>
      </c>
      <c r="B50" s="616"/>
      <c r="C50" s="623" t="str">
        <f>Параметры!$C$192</f>
        <v>%</v>
      </c>
      <c r="D50" s="640">
        <f>IFERROR(AVERAGE(Параметры!$E$192:'Параметры'!$H$192),"0")</f>
        <v>0.85</v>
      </c>
      <c r="E50" s="640">
        <f>IFERROR(AVERAGE(Параметры!$I$192:'Параметры'!$L$192),"0")</f>
        <v>0.85</v>
      </c>
      <c r="F50" s="640">
        <f>IFERROR(AVERAGE(Параметры!$M$192:'Параметры'!$P$192),"0")</f>
        <v>0.85</v>
      </c>
      <c r="G50" s="640">
        <f>IFERROR(AVERAGE(Параметры!$Q$192:'Параметры'!$T$192),"0")</f>
        <v>0.85</v>
      </c>
      <c r="H50" s="640">
        <f>IFERROR(AVERAGE(Параметры!$U$192:'Параметры'!$X$192),"0")</f>
        <v>0.85</v>
      </c>
      <c r="I50" s="640">
        <f>IFERROR(AVERAGE(Параметры!$Y$192:'Параметры'!$AB$192),"0")</f>
        <v>0.85</v>
      </c>
      <c r="J50" s="640">
        <f>IFERROR(AVERAGE(Параметры!$AC$192:'Параметры'!$AF$192),"0")</f>
        <v>0.85</v>
      </c>
      <c r="K50" s="640">
        <f>IFERROR(AVERAGE(Параметры!$AG$192:'Параметры'!$AJ$192),"0")</f>
        <v>0.85</v>
      </c>
      <c r="L50" s="640">
        <f>IFERROR(AVERAGE(Параметры!$AK$192:'Параметры'!$AN$192),"0")</f>
        <v>0.85</v>
      </c>
      <c r="M50" s="645">
        <f>IFERROR(AVERAGE(Параметры!$AO$192:'Параметры'!$AR$192),"0")</f>
        <v>0.85</v>
      </c>
    </row>
    <row r="51" spans="1:13" ht="11.25" customHeight="1" x14ac:dyDescent="0.2">
      <c r="A51" s="637" t="str">
        <f>Параметры!$A$193</f>
        <v>Норматив зачисления в местный бюджет</v>
      </c>
      <c r="B51" s="615"/>
      <c r="C51" s="617" t="str">
        <f>Параметры!$C$193</f>
        <v>%</v>
      </c>
      <c r="D51" s="641">
        <f>IFERROR(AVERAGE(Параметры!$E$193:'Параметры'!$H$193),"0")</f>
        <v>0.15</v>
      </c>
      <c r="E51" s="641">
        <f>IFERROR(AVERAGE(Параметры!$I$193:'Параметры'!$L$193),"0")</f>
        <v>0.15</v>
      </c>
      <c r="F51" s="641">
        <f>IFERROR(AVERAGE(Параметры!$M$193:'Параметры'!$P$193),"0")</f>
        <v>0.15</v>
      </c>
      <c r="G51" s="641">
        <f>IFERROR(AVERAGE(Параметры!$Q$193:'Параметры'!$T$193),"0")</f>
        <v>0.15</v>
      </c>
      <c r="H51" s="641">
        <f>IFERROR(AVERAGE(Параметры!$U$193:'Параметры'!$X$193),"0")</f>
        <v>0.15</v>
      </c>
      <c r="I51" s="641">
        <f>IFERROR(AVERAGE(Параметры!$Y$193:'Параметры'!$AB$193),"0")</f>
        <v>0.15</v>
      </c>
      <c r="J51" s="641">
        <f>IFERROR(AVERAGE(Параметры!$AC$193:'Параметры'!$AF$193),"0")</f>
        <v>0.15</v>
      </c>
      <c r="K51" s="641">
        <f>IFERROR(AVERAGE(Параметры!$AG$193:'Параметры'!$AJ$193),"0")</f>
        <v>0.15</v>
      </c>
      <c r="L51" s="641">
        <f>IFERROR(AVERAGE(Параметры!$AK$193:'Параметры'!$AN$193),"0")</f>
        <v>0.15</v>
      </c>
      <c r="M51" s="642">
        <f>IFERROR(AVERAGE(Параметры!$AO$193:'Параметры'!$AR$193),"0")</f>
        <v>0.15</v>
      </c>
    </row>
    <row r="52" spans="1:13" ht="11.25" customHeight="1" x14ac:dyDescent="0.2">
      <c r="A52" s="398"/>
      <c r="B52" s="603"/>
      <c r="C52" s="603"/>
      <c r="D52" s="609"/>
      <c r="E52" s="609"/>
      <c r="F52" s="609"/>
      <c r="G52" s="609"/>
      <c r="H52" s="609"/>
      <c r="I52" s="609"/>
      <c r="J52" s="609"/>
      <c r="K52" s="609"/>
      <c r="L52" s="609"/>
      <c r="M52" s="609"/>
    </row>
    <row r="53" spans="1:13" ht="11.25" customHeight="1" x14ac:dyDescent="0.2">
      <c r="A53" s="398"/>
      <c r="B53" s="599"/>
      <c r="C53" s="599"/>
      <c r="D53" s="599"/>
      <c r="E53" s="599"/>
      <c r="F53" s="599"/>
      <c r="G53" s="599"/>
      <c r="H53" s="599"/>
      <c r="I53" s="599"/>
      <c r="J53" s="599"/>
      <c r="K53" s="599"/>
      <c r="L53" s="599"/>
      <c r="M53" s="599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2&amp;R&amp;"Arial,полужирный"&amp;10Проект создания ИП «Бугры» на территории Ленинградской области
&amp;C&amp;"Arial,полужирный"&amp;13
УСЛОВИЯ НАЛОГООБЛОЖЕНИЯ</oddHeader>
    <oddFooter>&amp;R&amp;P</oddFooter>
  </headerFooter>
  <rowBreaks count="1" manualBreakCount="1"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28"/>
  <dimension ref="A1:M29"/>
  <sheetViews>
    <sheetView workbookViewId="0"/>
  </sheetViews>
  <sheetFormatPr defaultRowHeight="12.75" x14ac:dyDescent="0.2"/>
  <cols>
    <col min="1" max="1" width="50.7109375" customWidth="1"/>
    <col min="2" max="3" width="12.7109375" customWidth="1"/>
    <col min="4" max="13" width="6.5703125" customWidth="1"/>
  </cols>
  <sheetData>
    <row r="1" spans="1:13" s="301" customFormat="1" ht="26.1" customHeight="1" x14ac:dyDescent="0.2">
      <c r="A1" s="613" t="str">
        <f>Параметры!$A$208</f>
        <v>СТАВКИ ДИСКОНТИРОВАНИЯ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</row>
    <row r="2" spans="1:13" ht="11.25" customHeight="1" x14ac:dyDescent="0.2">
      <c r="A2" s="398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</row>
    <row r="3" spans="1:13" ht="11.25" customHeight="1" x14ac:dyDescent="0.2">
      <c r="A3" s="665" t="str">
        <f>Параметры!$A$210</f>
        <v>Валюта, используемая при расчете эффективности</v>
      </c>
      <c r="B3" s="687" t="str">
        <f>Параметры!$B$210</f>
        <v>тыс. руб.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</row>
    <row r="4" spans="1:13" ht="11.25" customHeight="1" x14ac:dyDescent="0.2">
      <c r="A4" s="622" t="str">
        <f>Параметры!$A$211</f>
        <v>Расчет выполняется в номинальных ценах</v>
      </c>
      <c r="B4" s="650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</row>
    <row r="5" spans="1:13" ht="11.25" customHeight="1" x14ac:dyDescent="0.2">
      <c r="A5" s="398"/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</row>
    <row r="6" spans="1:13" ht="11.25" customHeight="1" x14ac:dyDescent="0.2">
      <c r="A6" s="668" t="str">
        <f>Параметры!$A$213</f>
        <v>Ставка для собственного капитала, Re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</row>
    <row r="7" spans="1:13" ht="11.25" customHeight="1" x14ac:dyDescent="0.2">
      <c r="A7" s="620" t="str">
        <f>Параметры!$A$214</f>
        <v>Цель по инфляции (I)</v>
      </c>
      <c r="B7" s="688">
        <f>Параметры!$B$214</f>
        <v>0.04</v>
      </c>
      <c r="C7" s="693" t="str">
        <f>Параметры!$C$214</f>
        <v>ЦБ РФ 4 кв. 2020</v>
      </c>
      <c r="D7" s="599"/>
      <c r="E7" s="599"/>
      <c r="F7" s="599"/>
      <c r="G7" s="599"/>
      <c r="H7" s="599"/>
      <c r="I7" s="599"/>
      <c r="J7" s="599"/>
      <c r="K7" s="599"/>
      <c r="L7" s="599"/>
      <c r="M7" s="599"/>
    </row>
    <row r="8" spans="1:13" ht="11.25" customHeight="1" x14ac:dyDescent="0.2">
      <c r="A8" s="620" t="str">
        <f>Параметры!$A$215</f>
        <v>Ключевая ставка (С)</v>
      </c>
      <c r="B8" s="692">
        <f>Параметры!$B$215</f>
        <v>4.2500000000000003E-2</v>
      </c>
      <c r="C8" s="693" t="str">
        <f>Параметры!$C$215</f>
        <v>ЦБ РФ 4 кв. 2020</v>
      </c>
      <c r="D8" s="599"/>
      <c r="E8" s="599"/>
      <c r="F8" s="599"/>
      <c r="G8" s="599"/>
      <c r="H8" s="599"/>
      <c r="I8" s="599"/>
      <c r="J8" s="599"/>
      <c r="K8" s="599"/>
      <c r="L8" s="599"/>
      <c r="M8" s="599"/>
    </row>
    <row r="9" spans="1:13" ht="11.25" customHeight="1" x14ac:dyDescent="0.2">
      <c r="A9" s="620" t="str">
        <f>Параметры!$A$216</f>
        <v>Премия за риск (R)</v>
      </c>
      <c r="B9" s="688">
        <f>Параметры!$B$216</f>
        <v>0.09</v>
      </c>
      <c r="C9" s="693" t="str">
        <f>Параметры!$C$216</f>
        <v>обоснование в тексте бизнес-плана</v>
      </c>
      <c r="D9" s="599"/>
      <c r="E9" s="599"/>
      <c r="F9" s="599"/>
      <c r="G9" s="599"/>
      <c r="H9" s="599"/>
      <c r="I9" s="599"/>
      <c r="J9" s="599"/>
      <c r="K9" s="599"/>
      <c r="L9" s="599"/>
      <c r="M9" s="599"/>
    </row>
    <row r="10" spans="1:13" ht="11.25" customHeight="1" x14ac:dyDescent="0.2">
      <c r="A10" s="665" t="str">
        <f>Параметры!$A$217</f>
        <v>Re = (1+C) / (1+I) - 1 + R</v>
      </c>
      <c r="B10" s="659">
        <f>Параметры!$B$217</f>
        <v>9.2403846153846031E-2</v>
      </c>
      <c r="C10" s="696" t="str">
        <f>Параметры!$C$217</f>
        <v>для расчета в постоянных ценах</v>
      </c>
      <c r="D10" s="599"/>
      <c r="E10" s="599"/>
      <c r="F10" s="599"/>
      <c r="G10" s="599"/>
      <c r="H10" s="599"/>
      <c r="I10" s="599"/>
      <c r="J10" s="599"/>
      <c r="K10" s="599"/>
      <c r="L10" s="599"/>
      <c r="M10" s="599"/>
    </row>
    <row r="11" spans="1:13" ht="11.25" customHeight="1" x14ac:dyDescent="0.2">
      <c r="A11" s="666" t="str">
        <f>Параметры!$A$218</f>
        <v>Re = С+R</v>
      </c>
      <c r="B11" s="660">
        <f>Параметры!$B$218</f>
        <v>0.13250000000000001</v>
      </c>
      <c r="C11" s="695" t="str">
        <f>Параметры!$C$218</f>
        <v>для расчета в прогнозных (номинальных) ценах</v>
      </c>
      <c r="D11" s="599"/>
      <c r="E11" s="599"/>
      <c r="F11" s="599"/>
      <c r="G11" s="599"/>
      <c r="H11" s="599"/>
      <c r="I11" s="599"/>
      <c r="J11" s="599"/>
      <c r="K11" s="599"/>
      <c r="L11" s="599"/>
      <c r="M11" s="599"/>
    </row>
    <row r="12" spans="1:13" ht="11.25" customHeight="1" x14ac:dyDescent="0.2">
      <c r="A12" s="398"/>
      <c r="B12" s="599"/>
      <c r="C12" s="599"/>
      <c r="D12" s="599"/>
      <c r="E12" s="599"/>
      <c r="F12" s="599"/>
      <c r="G12" s="599"/>
      <c r="H12" s="599"/>
      <c r="I12" s="599"/>
      <c r="J12" s="599"/>
      <c r="K12" s="599"/>
      <c r="L12" s="599"/>
      <c r="M12" s="599"/>
    </row>
    <row r="13" spans="1:13" ht="11.25" customHeight="1" x14ac:dyDescent="0.2">
      <c r="A13" s="666" t="str">
        <f>Параметры!$A$220</f>
        <v>Ставка для собственного капитала, Re</v>
      </c>
      <c r="B13" s="661">
        <f>Параметры!$B$220</f>
        <v>0.13250000000000001</v>
      </c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</row>
    <row r="14" spans="1:13" ht="11.25" customHeight="1" x14ac:dyDescent="0.2">
      <c r="A14" s="666" t="str">
        <f>Параметры!$A$223</f>
        <v>Ставка для заемного капитала, Rd</v>
      </c>
      <c r="B14" s="660">
        <f ca="1">Параметры!$B$223</f>
        <v>8.4197013538173215E-2</v>
      </c>
      <c r="C14" s="695" t="str">
        <f>Параметры!C223</f>
        <v>приравнена к средневзвешенной ставке по всем кредитам</v>
      </c>
      <c r="D14" s="599"/>
      <c r="E14" s="599"/>
      <c r="F14" s="599"/>
      <c r="G14" s="599"/>
      <c r="H14" s="599"/>
      <c r="I14" s="599"/>
      <c r="J14" s="599"/>
      <c r="K14" s="599"/>
      <c r="L14" s="599"/>
      <c r="M14" s="599"/>
    </row>
    <row r="15" spans="1:13" ht="11.25" customHeight="1" x14ac:dyDescent="0.2">
      <c r="A15" s="665" t="str">
        <f>Параметры!$A$226</f>
        <v>Ставка для бюджетных средств, Rf</v>
      </c>
      <c r="B15" s="698">
        <f>Параметры!$B$226</f>
        <v>8.6999999999999994E-2</v>
      </c>
      <c r="C15" s="599"/>
      <c r="D15" s="599"/>
      <c r="E15" s="599"/>
      <c r="F15" s="599"/>
      <c r="G15" s="599"/>
      <c r="H15" s="599"/>
      <c r="I15" s="599"/>
      <c r="J15" s="599"/>
      <c r="K15" s="599"/>
      <c r="L15" s="599"/>
      <c r="M15" s="599"/>
    </row>
    <row r="16" spans="1:13" ht="24.75" customHeight="1" x14ac:dyDescent="0.2">
      <c r="A16" s="697" t="str">
        <f>Параметры!$A$227</f>
        <v>Доходность к погашению по облигациям федерального займа со сроком, близким к срокам реализации проекта (C)</v>
      </c>
      <c r="B16" s="688">
        <f>Параметры!$B$227</f>
        <v>6.2E-2</v>
      </c>
      <c r="C16" s="691" t="str">
        <f>Параметры!$C$227</f>
        <v>ЦБ РФ 4 кв. 2020</v>
      </c>
      <c r="D16" s="599"/>
      <c r="E16" s="599"/>
      <c r="F16" s="599"/>
      <c r="G16" s="599"/>
      <c r="H16" s="599"/>
      <c r="I16" s="599"/>
      <c r="J16" s="599"/>
      <c r="K16" s="599"/>
      <c r="L16" s="599"/>
      <c r="M16" s="599"/>
    </row>
    <row r="17" spans="1:13" ht="61.5" customHeight="1" x14ac:dyDescent="0.2">
      <c r="A17" s="697" t="str">
        <f>Параметры!$A$228</f>
        <v>Корректировка в соответствии с Приказом Минэкономразвития России от 30.11.2015 N 894 «Об утверждении Методики оценки эффективности проекта государственно-частного партнерства, проекта муниципально-частного партнерства и определения их сравнительного преимущества» (R)</v>
      </c>
      <c r="B17" s="701">
        <f>Параметры!$B$228</f>
        <v>2.5000000000000001E-2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</row>
    <row r="18" spans="1:13" ht="11.25" customHeight="1" x14ac:dyDescent="0.2">
      <c r="A18" s="700" t="str">
        <f>Параметры!$A$229</f>
        <v>Rf = C+R</v>
      </c>
      <c r="B18" s="661">
        <f>Параметры!$B$229</f>
        <v>8.6999999999999994E-2</v>
      </c>
      <c r="C18" s="599"/>
      <c r="D18" s="599"/>
      <c r="E18" s="599"/>
      <c r="F18" s="599"/>
      <c r="G18" s="599"/>
      <c r="H18" s="599"/>
      <c r="I18" s="599"/>
      <c r="J18" s="599"/>
      <c r="K18" s="599"/>
      <c r="L18" s="599"/>
      <c r="M18" s="599"/>
    </row>
    <row r="19" spans="1:13" ht="11.25" customHeight="1" x14ac:dyDescent="0.2">
      <c r="A19" s="398"/>
      <c r="B19" s="399"/>
      <c r="C19" s="599"/>
      <c r="D19" s="599"/>
      <c r="E19" s="599"/>
      <c r="F19" s="599"/>
      <c r="G19" s="599"/>
      <c r="H19" s="599"/>
      <c r="I19" s="599"/>
      <c r="J19" s="599"/>
      <c r="K19" s="599"/>
      <c r="L19" s="599"/>
      <c r="M19" s="599"/>
    </row>
    <row r="20" spans="1:13" ht="11.25" customHeight="1" x14ac:dyDescent="0.2">
      <c r="A20" s="398"/>
      <c r="B20" s="3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</row>
    <row r="21" spans="1:13" ht="11.25" customHeight="1" x14ac:dyDescent="0.2">
      <c r="A21" s="668" t="str">
        <f>Параметры!$A$234</f>
        <v>Расчет средневзвешенной ставки:</v>
      </c>
      <c r="B21" s="399"/>
      <c r="C21" s="599"/>
      <c r="D21" s="599"/>
      <c r="E21" s="599"/>
      <c r="F21" s="599"/>
      <c r="G21" s="599"/>
      <c r="H21" s="599"/>
      <c r="I21" s="599"/>
      <c r="J21" s="599"/>
      <c r="K21" s="599"/>
      <c r="L21" s="599"/>
      <c r="M21" s="599"/>
    </row>
    <row r="22" spans="1:13" ht="11.25" customHeight="1" x14ac:dyDescent="0.2">
      <c r="A22" s="636" t="str">
        <f>Параметры!$A$235</f>
        <v>Ставка налога на прибыль, T</v>
      </c>
      <c r="B22" s="659">
        <f ca="1">Параметры!$B$235</f>
        <v>0.17700000000000007</v>
      </c>
      <c r="C22" s="695" t="str">
        <f>Параметры!$C$235</f>
        <v>средняя ставка на прогнозный период с учетом льгот (Закон Ленинградской области от 28.07.2014 № 52-оз)</v>
      </c>
      <c r="D22" s="599"/>
      <c r="E22" s="599"/>
      <c r="F22" s="599"/>
      <c r="G22" s="599"/>
      <c r="H22" s="599"/>
      <c r="I22" s="599"/>
      <c r="J22" s="599"/>
      <c r="K22" s="599"/>
      <c r="L22" s="599"/>
      <c r="M22" s="599"/>
    </row>
    <row r="23" spans="1:13" ht="11.25" customHeight="1" x14ac:dyDescent="0.2">
      <c r="A23" s="636" t="str">
        <f>Параметры!$A$236</f>
        <v>Доля заемного капитала в расчете ставки, Wd</v>
      </c>
      <c r="B23" s="698">
        <f ca="1">Параметры!$B$236</f>
        <v>0.49388387287189744</v>
      </c>
      <c r="C23" s="683"/>
      <c r="D23" s="599"/>
      <c r="E23" s="599"/>
      <c r="F23" s="599"/>
      <c r="G23" s="599"/>
      <c r="H23" s="599"/>
      <c r="I23" s="599"/>
      <c r="J23" s="599"/>
      <c r="K23" s="599"/>
      <c r="L23" s="599"/>
      <c r="M23" s="599"/>
    </row>
    <row r="24" spans="1:13" ht="11.25" customHeight="1" x14ac:dyDescent="0.2">
      <c r="A24" s="636" t="str">
        <f>Параметры!$A$237</f>
        <v>Доля бюджетных средств, Wf</v>
      </c>
      <c r="B24" s="698">
        <f>Параметры!$B$237</f>
        <v>0</v>
      </c>
      <c r="C24" s="599"/>
      <c r="D24" s="599"/>
      <c r="E24" s="599"/>
      <c r="F24" s="599"/>
      <c r="G24" s="599"/>
      <c r="H24" s="599"/>
      <c r="I24" s="599"/>
      <c r="J24" s="599"/>
      <c r="K24" s="599"/>
      <c r="L24" s="599"/>
      <c r="M24" s="599"/>
    </row>
    <row r="25" spans="1:13" ht="11.25" customHeight="1" x14ac:dyDescent="0.2">
      <c r="A25" s="636" t="str">
        <f>Параметры!$A$238</f>
        <v>Доля собственного капитала в расчете ставки, We</v>
      </c>
      <c r="B25" s="698">
        <f ca="1">Параметры!$B$238</f>
        <v>0.5061161271281025</v>
      </c>
      <c r="C25" s="599"/>
      <c r="D25" s="599"/>
      <c r="E25" s="599"/>
      <c r="F25" s="599"/>
      <c r="G25" s="599"/>
      <c r="H25" s="599"/>
      <c r="I25" s="599"/>
      <c r="J25" s="599"/>
      <c r="K25" s="599"/>
      <c r="L25" s="599"/>
      <c r="M25" s="599"/>
    </row>
    <row r="26" spans="1:13" ht="11.25" customHeight="1" x14ac:dyDescent="0.2">
      <c r="A26" s="636" t="str">
        <f>Параметры!$A$239</f>
        <v xml:space="preserve">WACC = Re * We + Rf * Wf + Rd * Wd * (1-T) = </v>
      </c>
      <c r="B26" s="703">
        <f ca="1">Параметры!$B$239</f>
        <v>0.10128364613285909</v>
      </c>
      <c r="C26" s="599"/>
      <c r="D26" s="599"/>
      <c r="E26" s="599"/>
      <c r="F26" s="599"/>
      <c r="G26" s="599"/>
      <c r="H26" s="599"/>
      <c r="I26" s="599"/>
      <c r="J26" s="599"/>
      <c r="K26" s="599"/>
      <c r="L26" s="599"/>
      <c r="M26" s="599"/>
    </row>
    <row r="27" spans="1:13" ht="70.5" customHeight="1" x14ac:dyDescent="0.2">
      <c r="A27" s="704" t="str">
        <f>Параметры!$A$240</f>
        <v xml:space="preserve">Расчет соответствует Методике расчета показателей и применения критериев эффективности региональных инвестиционных проектов, претендующих на получение государственной поддержки за счет бюджетных ассигнований Инвестиционного фонда Российской Федерации, утвержденной Приказом Минрегиона РФ от 30.10.2009 N 493 </v>
      </c>
      <c r="B27" s="600"/>
      <c r="C27" s="600"/>
      <c r="D27" s="599"/>
      <c r="E27" s="599"/>
      <c r="F27" s="599"/>
      <c r="G27" s="599"/>
      <c r="H27" s="599"/>
      <c r="I27" s="599"/>
      <c r="J27" s="599"/>
      <c r="K27" s="599"/>
      <c r="L27" s="599"/>
      <c r="M27" s="599"/>
    </row>
    <row r="28" spans="1:13" ht="11.25" customHeight="1" x14ac:dyDescent="0.2">
      <c r="A28" s="398"/>
      <c r="B28" s="399"/>
      <c r="C28" s="599"/>
      <c r="D28" s="599"/>
      <c r="E28" s="599"/>
      <c r="F28" s="599"/>
      <c r="G28" s="599"/>
      <c r="H28" s="599"/>
      <c r="I28" s="599"/>
      <c r="J28" s="599"/>
      <c r="K28" s="599"/>
      <c r="L28" s="599"/>
      <c r="M28" s="599"/>
    </row>
    <row r="29" spans="1:13" ht="11.25" customHeight="1" x14ac:dyDescent="0.2">
      <c r="A29" s="398"/>
      <c r="B29" s="601"/>
      <c r="C29" s="599"/>
      <c r="D29" s="599"/>
      <c r="E29" s="599"/>
      <c r="F29" s="599"/>
      <c r="G29" s="599"/>
      <c r="H29" s="599"/>
      <c r="I29" s="599"/>
      <c r="J29" s="599"/>
      <c r="K29" s="599"/>
      <c r="L29" s="599"/>
      <c r="M29" s="599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3&amp;R&amp;"Arial,полужирный"&amp;10Проект создания ИП «Бугры» на территории Ленинградской области
&amp;C&amp;"Arial,полужирный"&amp;13
СТАВКИ ДИСКОНТИРОВАНИЯ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9"/>
  <dimension ref="A1:N20"/>
  <sheetViews>
    <sheetView workbookViewId="0"/>
  </sheetViews>
  <sheetFormatPr defaultRowHeight="12.75" x14ac:dyDescent="0.2"/>
  <cols>
    <col min="1" max="1" width="36.5703125" customWidth="1"/>
    <col min="2" max="2" width="8" customWidth="1"/>
    <col min="3" max="3" width="9.85546875" customWidth="1"/>
    <col min="4" max="13" width="7.5703125" customWidth="1"/>
    <col min="14" max="14" width="9" customWidth="1"/>
  </cols>
  <sheetData>
    <row r="1" spans="1:14" s="301" customFormat="1" ht="26.1" customHeight="1" x14ac:dyDescent="0.2">
      <c r="A1" s="613" t="str">
        <f>Деятельность_УК!$A$64</f>
        <v>СУЩЕСТВУЮЩИЕ ОСНОВНЫЕ СРЕДСТВА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Деятельность_УК!$AT$64</f>
        <v>ИТОГО</v>
      </c>
    </row>
    <row r="2" spans="1:14" ht="11.25" customHeight="1" x14ac:dyDescent="0.2">
      <c r="A2" s="398"/>
      <c r="B2" s="599"/>
      <c r="C2" s="599"/>
      <c r="D2" s="3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1.25" customHeight="1" x14ac:dyDescent="0.2">
      <c r="A3" s="398"/>
      <c r="B3" s="599"/>
      <c r="C3" s="599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599"/>
    </row>
    <row r="4" spans="1:14" ht="11.25" customHeight="1" x14ac:dyDescent="0.2">
      <c r="A4" s="635" t="str">
        <f>Деятельность_УК!$A$67</f>
        <v>Земельные участки</v>
      </c>
      <c r="B4" s="599"/>
      <c r="C4" s="599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599"/>
    </row>
    <row r="5" spans="1:14" ht="11.25" customHeight="1" x14ac:dyDescent="0.2">
      <c r="A5" s="636" t="str">
        <f>Деятельность_УК!$A$68</f>
        <v>балансовая стоимость</v>
      </c>
      <c r="B5" s="711"/>
      <c r="C5" s="717" t="str">
        <f>Деятельность_УК!$C$68</f>
        <v>тыс. руб.</v>
      </c>
      <c r="D5" s="712">
        <f>Деятельность_УК!$H$68</f>
        <v>42736.027728946232</v>
      </c>
      <c r="E5" s="712">
        <f>Деятельность_УК!$L$68</f>
        <v>42736.027728946232</v>
      </c>
      <c r="F5" s="712">
        <f>Деятельность_УК!$P$68</f>
        <v>42736.027728946232</v>
      </c>
      <c r="G5" s="712">
        <f>Деятельность_УК!$T$68</f>
        <v>42736.027728946232</v>
      </c>
      <c r="H5" s="712">
        <f>Деятельность_УК!$X$68</f>
        <v>42736.027728946232</v>
      </c>
      <c r="I5" s="712">
        <f>Деятельность_УК!$AB$68</f>
        <v>42736.027728946232</v>
      </c>
      <c r="J5" s="712">
        <f>Деятельность_УК!$AF$68</f>
        <v>42736.027728946232</v>
      </c>
      <c r="K5" s="712">
        <f>Деятельность_УК!$AJ$68</f>
        <v>42736.027728946232</v>
      </c>
      <c r="L5" s="712">
        <f>Деятельность_УК!$AN$68</f>
        <v>42736.027728946232</v>
      </c>
      <c r="M5" s="718">
        <f>Деятельность_УК!$AR$68</f>
        <v>42736.027728946232</v>
      </c>
      <c r="N5" s="599"/>
    </row>
    <row r="6" spans="1:14" ht="11.25" customHeight="1" x14ac:dyDescent="0.2">
      <c r="A6" s="636" t="str">
        <f>Деятельность_УК!$A$69</f>
        <v>кадастровая стоимость</v>
      </c>
      <c r="B6" s="715"/>
      <c r="C6" s="664" t="str">
        <f>Деятельность_УК!$C$69</f>
        <v>тыс. руб.</v>
      </c>
      <c r="D6" s="713">
        <f>Деятельность_УК!$H$69</f>
        <v>349510.08546441566</v>
      </c>
      <c r="E6" s="713">
        <f>Деятельность_УК!$L$69</f>
        <v>349510.08546441566</v>
      </c>
      <c r="F6" s="713">
        <f>Деятельность_УК!$P$69</f>
        <v>349510.08546441566</v>
      </c>
      <c r="G6" s="713">
        <f>Деятельность_УК!$T$69</f>
        <v>349510.08546441566</v>
      </c>
      <c r="H6" s="713">
        <f>Деятельность_УК!$X$69</f>
        <v>349510.08546441566</v>
      </c>
      <c r="I6" s="713">
        <f>Деятельность_УК!$AB$69</f>
        <v>349510.08546441566</v>
      </c>
      <c r="J6" s="713">
        <f>Деятельность_УК!$AF$69</f>
        <v>349510.08546441566</v>
      </c>
      <c r="K6" s="713">
        <f>Деятельность_УК!$AJ$69</f>
        <v>349510.08546441566</v>
      </c>
      <c r="L6" s="713">
        <f>Деятельность_УК!$AN$69</f>
        <v>349510.08546441566</v>
      </c>
      <c r="M6" s="714">
        <f>Деятельность_УК!$AR$69</f>
        <v>349510.08546441566</v>
      </c>
      <c r="N6" s="599"/>
    </row>
    <row r="7" spans="1:14" ht="11.25" customHeight="1" x14ac:dyDescent="0.2">
      <c r="A7" s="673" t="str">
        <f>ИД!$D$28</f>
        <v>в расчете на площадь парка 27,15 га</v>
      </c>
      <c r="B7" s="599"/>
      <c r="C7" s="599"/>
      <c r="D7" s="651"/>
      <c r="E7" s="651"/>
      <c r="F7" s="651"/>
      <c r="G7" s="651"/>
      <c r="H7" s="651"/>
      <c r="I7" s="651"/>
      <c r="J7" s="651"/>
      <c r="K7" s="651"/>
      <c r="L7" s="651"/>
      <c r="M7" s="651"/>
      <c r="N7" s="599"/>
    </row>
    <row r="8" spans="1:14" ht="11.25" customHeight="1" x14ac:dyDescent="0.2">
      <c r="A8" s="398"/>
      <c r="B8" s="599"/>
      <c r="C8" s="599"/>
      <c r="D8" s="651"/>
      <c r="E8" s="651"/>
      <c r="F8" s="651"/>
      <c r="G8" s="651"/>
      <c r="H8" s="651"/>
      <c r="I8" s="651"/>
      <c r="J8" s="651"/>
      <c r="K8" s="651"/>
      <c r="L8" s="651"/>
      <c r="M8" s="651"/>
      <c r="N8" s="599"/>
    </row>
    <row r="9" spans="1:14" x14ac:dyDescent="0.2">
      <c r="A9" s="997"/>
      <c r="B9" s="997"/>
      <c r="C9" s="997"/>
      <c r="D9" s="997"/>
      <c r="E9" s="997"/>
      <c r="F9" s="997"/>
      <c r="G9" s="997"/>
      <c r="H9" s="997"/>
      <c r="I9" s="997"/>
      <c r="J9" s="997"/>
      <c r="K9" s="997"/>
      <c r="L9" s="997"/>
      <c r="M9" s="997"/>
      <c r="N9" s="997"/>
    </row>
    <row r="10" spans="1:14" ht="25.5" customHeight="1" x14ac:dyDescent="0.2">
      <c r="A10" s="999" t="str">
        <f>Деятельность_УК!$A$77</f>
        <v>СУЩЕСТВУЮЩИЕ КРЕДИТЫ</v>
      </c>
      <c r="B10" s="614"/>
      <c r="C10" s="1000"/>
      <c r="D10" s="614" t="str">
        <f>"2020"</f>
        <v>2020</v>
      </c>
      <c r="E10" s="614" t="str">
        <f>"2021"</f>
        <v>2021</v>
      </c>
      <c r="F10" s="614" t="str">
        <f>"2022"</f>
        <v>2022</v>
      </c>
      <c r="G10" s="614" t="str">
        <f>"2023"</f>
        <v>2023</v>
      </c>
      <c r="H10" s="614" t="str">
        <f>"2024"</f>
        <v>2024</v>
      </c>
      <c r="I10" s="614" t="str">
        <f>"2025"</f>
        <v>2025</v>
      </c>
      <c r="J10" s="614" t="str">
        <f>"2026"</f>
        <v>2026</v>
      </c>
      <c r="K10" s="614" t="str">
        <f>"2027"</f>
        <v>2027</v>
      </c>
      <c r="L10" s="614" t="str">
        <f>"2028"</f>
        <v>2028</v>
      </c>
      <c r="M10" s="614" t="str">
        <f>"2029"</f>
        <v>2029</v>
      </c>
      <c r="N10" s="1001" t="str">
        <f>Деятельность_УК!$AT$77</f>
        <v>ИТОГО</v>
      </c>
    </row>
    <row r="11" spans="1:14" ht="11.25" customHeight="1" x14ac:dyDescent="0.2">
      <c r="A11" s="413"/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682"/>
    </row>
    <row r="12" spans="1:14" ht="11.25" customHeight="1" x14ac:dyDescent="0.2">
      <c r="A12" s="665" t="str">
        <f>Деятельность_УК!$A$81</f>
        <v>Кредит на строительство корпуса А4</v>
      </c>
      <c r="B12" s="732"/>
      <c r="C12" s="774">
        <f>Деятельность_УК!$C$81</f>
        <v>1</v>
      </c>
      <c r="D12" s="599"/>
      <c r="E12" s="998"/>
      <c r="F12" s="998"/>
      <c r="G12" s="998"/>
      <c r="H12" s="998"/>
      <c r="I12" s="998"/>
      <c r="J12" s="998"/>
      <c r="K12" s="998"/>
      <c r="L12" s="998"/>
      <c r="M12" s="599"/>
      <c r="N12" s="682"/>
    </row>
    <row r="13" spans="1:14" ht="11.25" customHeight="1" x14ac:dyDescent="0.2">
      <c r="A13" s="636" t="str">
        <f>Деятельность_УК!$A$82</f>
        <v>задолженность по кредиту на начало периода</v>
      </c>
      <c r="B13" s="934">
        <f>Деятельность_УК!$B$82</f>
        <v>576667.5</v>
      </c>
      <c r="C13" s="762" t="str">
        <f>Деятельность_УК!$C$82</f>
        <v>тыс. руб.</v>
      </c>
      <c r="D13" s="775">
        <f>Деятельность_УК!$E$82</f>
        <v>576667.5</v>
      </c>
      <c r="E13" s="775">
        <f ca="1">Деятельность_УК!$I$82</f>
        <v>1100658.2382820111</v>
      </c>
      <c r="F13" s="775">
        <f ca="1">Деятельность_УК!$M$82</f>
        <v>988834.31442240742</v>
      </c>
      <c r="G13" s="775">
        <f ca="1">Деятельность_УК!$Q$82</f>
        <v>867792.50297938101</v>
      </c>
      <c r="H13" s="775">
        <f ca="1">Деятельность_УК!$U$82</f>
        <v>736772.95356879337</v>
      </c>
      <c r="I13" s="775">
        <f ca="1">Деятельность_УК!$Y$82</f>
        <v>594953.17969806422</v>
      </c>
      <c r="J13" s="775">
        <f ca="1">Деятельность_УК!$AC$82</f>
        <v>441442.89553645928</v>
      </c>
      <c r="K13" s="775">
        <f ca="1">Деятельность_УК!$AG$82</f>
        <v>275278.42706919939</v>
      </c>
      <c r="L13" s="775">
        <f ca="1">Деятельность_УК!$AK$82</f>
        <v>95416.662550931331</v>
      </c>
      <c r="M13" s="776">
        <f ca="1">Деятельность_УК!$AO$82</f>
        <v>0</v>
      </c>
      <c r="N13" s="652"/>
    </row>
    <row r="14" spans="1:14" ht="11.25" customHeight="1" x14ac:dyDescent="0.2">
      <c r="A14" s="636" t="str">
        <f>Деятельность_УК!$A$83</f>
        <v>ставка процентов по кредиту</v>
      </c>
      <c r="B14" s="1003">
        <f>Деятельность_УК!$B$83</f>
        <v>0.08</v>
      </c>
      <c r="C14" s="762" t="str">
        <f>Деятельность_УК!$C$83</f>
        <v>% в год</v>
      </c>
      <c r="D14" s="1004">
        <f>IFERROR(AVERAGE(Деятельность_УК!$E$83:'Деятельность_УК'!$H$83),"0")</f>
        <v>0.08</v>
      </c>
      <c r="E14" s="1004">
        <f>IFERROR(AVERAGE(Деятельность_УК!$I$83:'Деятельность_УК'!$L$83),"0")</f>
        <v>0.08</v>
      </c>
      <c r="F14" s="1004">
        <f>IFERROR(AVERAGE(Деятельность_УК!$M$83:'Деятельность_УК'!$P$83),"0")</f>
        <v>0.08</v>
      </c>
      <c r="G14" s="1004">
        <f>IFERROR(AVERAGE(Деятельность_УК!$Q$83:'Деятельность_УК'!$T$83),"0")</f>
        <v>0.08</v>
      </c>
      <c r="H14" s="1004">
        <f>IFERROR(AVERAGE(Деятельность_УК!$U$83:'Деятельность_УК'!$X$83),"0")</f>
        <v>0.08</v>
      </c>
      <c r="I14" s="1004">
        <f>IFERROR(AVERAGE(Деятельность_УК!$Y$83:'Деятельность_УК'!$AB$83),"0")</f>
        <v>0.08</v>
      </c>
      <c r="J14" s="1004">
        <f>IFERROR(AVERAGE(Деятельность_УК!$AC$83:'Деятельность_УК'!$AF$83),"0")</f>
        <v>0.08</v>
      </c>
      <c r="K14" s="1004">
        <f>IFERROR(AVERAGE(Деятельность_УК!$AG$83:'Деятельность_УК'!$AJ$83),"0")</f>
        <v>0.08</v>
      </c>
      <c r="L14" s="1004">
        <f>IFERROR(AVERAGE(Деятельность_УК!$AK$83:'Деятельность_УК'!$AN$83),"0")</f>
        <v>0.08</v>
      </c>
      <c r="M14" s="1005">
        <f>IFERROR(AVERAGE(Деятельность_УК!$AO$83:'Деятельность_УК'!$AR$83),"0")</f>
        <v>0.08</v>
      </c>
      <c r="N14" s="682"/>
    </row>
    <row r="15" spans="1:14" ht="11.25" customHeight="1" x14ac:dyDescent="0.2">
      <c r="A15" s="637" t="str">
        <f>Деятельность_УК!$A$84</f>
        <v>поступление кредита</v>
      </c>
      <c r="B15" s="713"/>
      <c r="C15" s="687" t="str">
        <f>Деятельность_УК!$C$84</f>
        <v>тыс. руб.</v>
      </c>
      <c r="D15" s="1002">
        <f ca="1">SUM(Деятельность_УК!$E$84:'Деятельность_УК'!$H$84)</f>
        <v>576667.5</v>
      </c>
      <c r="E15" s="1002">
        <f ca="1">SUM(Деятельность_УК!$I$84:'Деятельность_УК'!$L$84)</f>
        <v>0</v>
      </c>
      <c r="F15" s="1002">
        <f ca="1">SUM(Деятельность_УК!$M$84:'Деятельность_УК'!$P$84)</f>
        <v>0</v>
      </c>
      <c r="G15" s="1002">
        <f ca="1">SUM(Деятельность_УК!$Q$84:'Деятельность_УК'!$T$84)</f>
        <v>0</v>
      </c>
      <c r="H15" s="1002">
        <f ca="1">SUM(Деятельность_УК!$U$84:'Деятельность_УК'!$X$84)</f>
        <v>0</v>
      </c>
      <c r="I15" s="1002">
        <f ca="1">SUM(Деятельность_УК!$Y$84:'Деятельность_УК'!$AB$84)</f>
        <v>0</v>
      </c>
      <c r="J15" s="1002">
        <f ca="1">SUM(Деятельность_УК!$AC$84:'Деятельность_УК'!$AF$84)</f>
        <v>0</v>
      </c>
      <c r="K15" s="1002">
        <f ca="1">SUM(Деятельность_УК!$AG$84:'Деятельность_УК'!$AJ$84)</f>
        <v>0</v>
      </c>
      <c r="L15" s="1002">
        <f ca="1">SUM(Деятельность_УК!$AK$84:'Деятельность_УК'!$AN$84)</f>
        <v>0</v>
      </c>
      <c r="M15" s="1002">
        <f ca="1">SUM(Деятельность_УК!$AO$84:'Деятельность_УК'!$AR$84)</f>
        <v>0</v>
      </c>
      <c r="N15" s="744">
        <f ca="1">Деятельность_УК!$AT$84</f>
        <v>576667.5</v>
      </c>
    </row>
    <row r="16" spans="1:14" ht="11.25" customHeight="1" x14ac:dyDescent="0.2">
      <c r="A16" s="636" t="str">
        <f>Деятельность_УК!$A$86</f>
        <v>погашение кредита</v>
      </c>
      <c r="B16" s="712"/>
      <c r="C16" s="762" t="str">
        <f>Деятельность_УК!$C$86</f>
        <v>тыс. руб.</v>
      </c>
      <c r="D16" s="775">
        <f ca="1">SUM(Деятельность_УК!$E$86:'Деятельность_УК'!$H$86)</f>
        <v>52676.761717988906</v>
      </c>
      <c r="E16" s="775">
        <f ca="1">SUM(Деятельность_УК!$I$86:'Деятельность_УК'!$L$86)</f>
        <v>111823.92385960369</v>
      </c>
      <c r="F16" s="775">
        <f ca="1">SUM(Деятельность_УК!$M$86:'Деятельность_УК'!$P$86)</f>
        <v>121041.81144302635</v>
      </c>
      <c r="G16" s="775">
        <f ca="1">SUM(Деятельность_УК!$Q$86:'Деятельность_УК'!$T$86)</f>
        <v>131019.54941058773</v>
      </c>
      <c r="H16" s="775">
        <f ca="1">SUM(Деятельность_УК!$U$86:'Деятельность_УК'!$X$86)</f>
        <v>141819.7738707292</v>
      </c>
      <c r="I16" s="775">
        <f ca="1">SUM(Деятельность_УК!$Y$86:'Деятельность_УК'!$AB$86)</f>
        <v>153510.28416160497</v>
      </c>
      <c r="J16" s="775">
        <f ca="1">SUM(Деятельность_УК!$AC$86:'Деятельность_УК'!$AF$86)</f>
        <v>166164.46846725984</v>
      </c>
      <c r="K16" s="775">
        <f ca="1">SUM(Деятельность_УК!$AG$86:'Деятельность_УК'!$AJ$86)</f>
        <v>179861.76451826797</v>
      </c>
      <c r="L16" s="775">
        <f ca="1">SUM(Деятельность_УК!$AK$86:'Деятельность_УК'!$AN$86)</f>
        <v>95416.662550931273</v>
      </c>
      <c r="M16" s="775">
        <f ca="1">SUM(Деятельность_УК!$AO$86:'Деятельность_УК'!$AR$86)</f>
        <v>0</v>
      </c>
      <c r="N16" s="744">
        <f ca="1">Деятельность_УК!$AT$86</f>
        <v>1153335</v>
      </c>
    </row>
    <row r="17" spans="1:14" ht="11.25" customHeight="1" x14ac:dyDescent="0.2">
      <c r="A17" s="734" t="str">
        <f>Деятельность_УК!$A$87</f>
        <v>задолженность по кредиту на конец периода</v>
      </c>
      <c r="B17" s="686"/>
      <c r="C17" s="762" t="str">
        <f>Деятельность_УК!$C$87</f>
        <v>тыс. руб.</v>
      </c>
      <c r="D17" s="739">
        <f ca="1">Деятельность_УК!$H$87</f>
        <v>1100658.2382820111</v>
      </c>
      <c r="E17" s="739">
        <f ca="1">Деятельность_УК!$L$87</f>
        <v>988834.31442240742</v>
      </c>
      <c r="F17" s="739">
        <f ca="1">Деятельность_УК!$P$87</f>
        <v>867792.50297938101</v>
      </c>
      <c r="G17" s="739">
        <f ca="1">Деятельность_УК!$T$87</f>
        <v>736772.95356879337</v>
      </c>
      <c r="H17" s="739">
        <f ca="1">Деятельность_УК!$X$87</f>
        <v>594953.17969806422</v>
      </c>
      <c r="I17" s="739">
        <f ca="1">Деятельность_УК!$AB$87</f>
        <v>441442.89553645928</v>
      </c>
      <c r="J17" s="739">
        <f ca="1">Деятельность_УК!$AF$87</f>
        <v>275278.42706919939</v>
      </c>
      <c r="K17" s="739">
        <f ca="1">Деятельность_УК!$AJ$87</f>
        <v>95416.662550931331</v>
      </c>
      <c r="L17" s="739">
        <f ca="1">Деятельность_УК!$AN$87</f>
        <v>0</v>
      </c>
      <c r="M17" s="795">
        <f ca="1">Деятельность_УК!$AR$87</f>
        <v>0</v>
      </c>
      <c r="N17" s="720"/>
    </row>
    <row r="18" spans="1:14" ht="11.25" customHeight="1" x14ac:dyDescent="0.2">
      <c r="A18" s="734" t="str">
        <f>Деятельность_УК!$A$88</f>
        <v>начисленные проценты</v>
      </c>
      <c r="B18" s="712"/>
      <c r="C18" s="762" t="str">
        <f>Деятельность_УК!$C$88</f>
        <v>тыс. руб.</v>
      </c>
      <c r="D18" s="739">
        <f ca="1">SUM(Деятельность_УК!$E$88:'Деятельность_УК'!$H$88)</f>
        <v>84925.037669422512</v>
      </c>
      <c r="E18" s="739">
        <f ca="1">SUM(Деятельность_УК!$I$88:'Деятельность_УК'!$L$88)</f>
        <v>82516.816906746608</v>
      </c>
      <c r="F18" s="739">
        <f ca="1">SUM(Деятельность_УК!$M$88:'Деятельность_УК'!$P$88)</f>
        <v>73114.571571655499</v>
      </c>
      <c r="G18" s="739">
        <f ca="1">SUM(Деятельность_УК!$Q$88:'Деятельность_УК'!$T$88)</f>
        <v>62937.27884474289</v>
      </c>
      <c r="H18" s="739">
        <f ca="1">SUM(Деятельность_УК!$U$88:'Деятельность_УК'!$X$88)</f>
        <v>51921.049895398595</v>
      </c>
      <c r="I18" s="739">
        <f ca="1">SUM(Деятельность_УК!$Y$88:'Деятельность_УК'!$AB$88)</f>
        <v>39996.729398705313</v>
      </c>
      <c r="J18" s="739">
        <f ca="1">SUM(Деятельность_УК!$AC$88:'Деятельность_УК'!$AF$88)</f>
        <v>27089.461406937316</v>
      </c>
      <c r="K18" s="739">
        <f ca="1">SUM(Деятельность_УК!$AG$88:'Деятельность_УК'!$AJ$88)</f>
        <v>13118.219434909039</v>
      </c>
      <c r="L18" s="739">
        <f ca="1">SUM(Деятельность_УК!$AK$88:'Деятельность_УК'!$AN$88)</f>
        <v>963.61381982128603</v>
      </c>
      <c r="M18" s="739">
        <f ca="1">SUM(Деятельность_УК!$AO$88:'Деятельность_УК'!$AR$88)</f>
        <v>0</v>
      </c>
      <c r="N18" s="766">
        <f ca="1">Деятельность_УК!$AT$88</f>
        <v>436582.77894833899</v>
      </c>
    </row>
    <row r="19" spans="1:14" ht="11.25" customHeight="1" x14ac:dyDescent="0.2">
      <c r="A19" s="621" t="str">
        <f>Деятельность_УК!$A$89</f>
        <v>выплаченные проценты</v>
      </c>
      <c r="B19" s="750"/>
      <c r="C19" s="617" t="str">
        <f>Деятельность_УК!$C$89</f>
        <v>тыс. руб.</v>
      </c>
      <c r="D19" s="811">
        <f ca="1">SUM(Деятельность_УК!$E$89:'Деятельность_УК'!$H$89)</f>
        <v>84925.037669422512</v>
      </c>
      <c r="E19" s="811">
        <f ca="1">SUM(Деятельность_УК!$I$89:'Деятельность_УК'!$L$89)</f>
        <v>82516.816906746608</v>
      </c>
      <c r="F19" s="811">
        <f ca="1">SUM(Деятельность_УК!$M$89:'Деятельность_УК'!$P$89)</f>
        <v>73114.571571655499</v>
      </c>
      <c r="G19" s="811">
        <f ca="1">SUM(Деятельность_УК!$Q$89:'Деятельность_УК'!$T$89)</f>
        <v>62937.27884474289</v>
      </c>
      <c r="H19" s="811">
        <f ca="1">SUM(Деятельность_УК!$U$89:'Деятельность_УК'!$X$89)</f>
        <v>51921.049895398595</v>
      </c>
      <c r="I19" s="811">
        <f ca="1">SUM(Деятельность_УК!$Y$89:'Деятельность_УК'!$AB$89)</f>
        <v>39996.729398705313</v>
      </c>
      <c r="J19" s="811">
        <f ca="1">SUM(Деятельность_УК!$AC$89:'Деятельность_УК'!$AF$89)</f>
        <v>27089.461406937316</v>
      </c>
      <c r="K19" s="811">
        <f ca="1">SUM(Деятельность_УК!$AG$89:'Деятельность_УК'!$AJ$89)</f>
        <v>13118.219434909039</v>
      </c>
      <c r="L19" s="811">
        <f ca="1">SUM(Деятельность_УК!$AK$89:'Деятельность_УК'!$AN$89)</f>
        <v>963.61381982128603</v>
      </c>
      <c r="M19" s="811">
        <f ca="1">SUM(Деятельность_УК!$AO$89:'Деятельность_УК'!$AR$89)</f>
        <v>0</v>
      </c>
      <c r="N19" s="753">
        <f ca="1">Деятельность_УК!$AT$89</f>
        <v>436582.77894833899</v>
      </c>
    </row>
    <row r="20" spans="1:14" ht="11.25" customHeight="1" x14ac:dyDescent="0.2">
      <c r="A20" s="398"/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682"/>
    </row>
  </sheetData>
  <pageMargins left="0.4" right="0.4" top="1.5" bottom="0.5" header="0.7" footer="0.3"/>
  <pageSetup paperSize="9" orientation="landscape" horizontalDpi="0" verticalDpi="0" r:id="rId1"/>
  <headerFooter scaleWithDoc="0">
    <oddHeader xml:space="preserve">&amp;L&amp;"Arial,полужирный"Таб. 4&amp;C&amp;"Arial,полужирный"&amp;13
ОСНОВНЫЕ СРЕДСТВА И КРЕДИТЫ НА ДАТУ НАЧАЛА ПРОЕКТА&amp;R&amp;"Arial,полужирный"Проект создания ИП «Бугры» на территории Ленинградской области. Управляющая компания.
</oddHead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30"/>
  <dimension ref="A1:N44"/>
  <sheetViews>
    <sheetView workbookViewId="0"/>
  </sheetViews>
  <sheetFormatPr defaultRowHeight="12.75" x14ac:dyDescent="0.2"/>
  <cols>
    <col min="1" max="1" width="37.42578125" customWidth="1"/>
    <col min="2" max="2" width="11" customWidth="1"/>
    <col min="3" max="3" width="8.5703125" customWidth="1"/>
    <col min="4" max="7" width="7.140625" customWidth="1"/>
    <col min="8" max="11" width="8.140625" customWidth="1"/>
    <col min="12" max="12" width="7.5703125" customWidth="1"/>
    <col min="13" max="13" width="7.140625" customWidth="1"/>
    <col min="14" max="14" width="8" customWidth="1"/>
  </cols>
  <sheetData>
    <row r="1" spans="1:14" s="301" customFormat="1" ht="26.1" customHeight="1" x14ac:dyDescent="0.2">
      <c r="A1" s="613" t="str">
        <f>Деятельность_УК!$A$107</f>
        <v>ВЫРУЧКА И ОБЪЕМ РЕАЛИЗАЦИИ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Деятельность_УК!$AT$107</f>
        <v>ИТОГО</v>
      </c>
    </row>
    <row r="2" spans="1:14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682"/>
    </row>
    <row r="3" spans="1:14" ht="11.25" customHeight="1" x14ac:dyDescent="0.2">
      <c r="A3" s="770" t="str">
        <f>Деятельность_УК!$A$110</f>
        <v>Аренда площадей (без выкупа)</v>
      </c>
      <c r="B3" s="719"/>
      <c r="C3" s="71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682"/>
    </row>
    <row r="4" spans="1:14" ht="45" customHeight="1" x14ac:dyDescent="0.2">
      <c r="A4" s="734" t="str">
        <f>Деятельность_УК!$A$111</f>
        <v>Арендная плата (без НДС)</v>
      </c>
      <c r="B4" s="737" t="str">
        <f>Деятельность_УК!$B$111</f>
        <v>Ставка аренды, руб. / мес. / кв.м. без НДС</v>
      </c>
      <c r="C4" s="653"/>
      <c r="D4" s="726"/>
      <c r="E4" s="726"/>
      <c r="F4" s="726"/>
      <c r="G4" s="726"/>
      <c r="H4" s="726"/>
      <c r="I4" s="726"/>
      <c r="J4" s="726"/>
      <c r="K4" s="726"/>
      <c r="L4" s="726"/>
      <c r="M4" s="726"/>
      <c r="N4" s="721"/>
    </row>
    <row r="5" spans="1:14" ht="11.25" customHeight="1" x14ac:dyDescent="0.2">
      <c r="A5" s="699" t="str">
        <f>Деятельность_УК!$A$112</f>
        <v>Корпус А4</v>
      </c>
      <c r="B5" s="736">
        <f>Деятельность_УК!$B$112</f>
        <v>0.59833333333333338</v>
      </c>
      <c r="C5" s="745" t="str">
        <f>Деятельность_УК!$C$112</f>
        <v>тыс. руб.</v>
      </c>
      <c r="D5" s="739">
        <f>SUM(Деятельность_УК!E112:'Деятельность_УК'!H112)</f>
        <v>43379.166666666672</v>
      </c>
      <c r="E5" s="739">
        <f>SUM(Деятельность_УК!I112:'Деятельность_УК'!L112)</f>
        <v>104110</v>
      </c>
      <c r="F5" s="739">
        <f>SUM(Деятельность_УК!M112:'Деятельность_УК'!P112)</f>
        <v>104110</v>
      </c>
      <c r="G5" s="739">
        <f>SUM(Деятельность_УК!Q112:'Деятельность_УК'!T112)</f>
        <v>104110</v>
      </c>
      <c r="H5" s="739">
        <f>SUM(Деятельность_УК!U112:'Деятельность_УК'!X112)</f>
        <v>104110</v>
      </c>
      <c r="I5" s="739">
        <f>SUM(Деятельность_УК!Y112:'Деятельность_УК'!AB112)</f>
        <v>104110</v>
      </c>
      <c r="J5" s="739">
        <f>SUM(Деятельность_УК!AC112:'Деятельность_УК'!AF112)</f>
        <v>104110</v>
      </c>
      <c r="K5" s="739">
        <f>SUM(Деятельность_УК!AG112:'Деятельность_УК'!AJ112)</f>
        <v>104110</v>
      </c>
      <c r="L5" s="739">
        <f>SUM(Деятельность_УК!AK112:'Деятельность_УК'!AN112)</f>
        <v>104110</v>
      </c>
      <c r="M5" s="739">
        <f>SUM(Деятельность_УК!AO112:'Деятельность_УК'!AR112)</f>
        <v>104110</v>
      </c>
      <c r="N5" s="746">
        <f>Деятельность_УК!$AT$112</f>
        <v>980369.16666666674</v>
      </c>
    </row>
    <row r="6" spans="1:14" ht="11.25" customHeight="1" x14ac:dyDescent="0.2">
      <c r="A6" s="700" t="str">
        <f>Деятельность_УК!$A$113</f>
        <v>Корпус B2</v>
      </c>
      <c r="B6" s="738">
        <f>Деятельность_УК!$B$113</f>
        <v>0.70833333333333337</v>
      </c>
      <c r="C6" s="716" t="str">
        <f>Деятельность_УК!$C$113</f>
        <v>тыс. руб.</v>
      </c>
      <c r="D6" s="740">
        <f>SUM(Деятельность_УК!E113:'Деятельность_УК'!H113)</f>
        <v>0</v>
      </c>
      <c r="E6" s="740">
        <f>SUM(Деятельность_УК!I113:'Деятельность_УК'!L113)</f>
        <v>0</v>
      </c>
      <c r="F6" s="740">
        <f>SUM(Деятельность_УК!M113:'Деятельность_УК'!P113)</f>
        <v>61370</v>
      </c>
      <c r="G6" s="740">
        <f>SUM(Деятельность_УК!Q113:'Деятельность_УК'!T113)</f>
        <v>61370</v>
      </c>
      <c r="H6" s="740">
        <f>SUM(Деятельность_УК!U113:'Деятельность_УК'!X113)</f>
        <v>61370</v>
      </c>
      <c r="I6" s="740">
        <f>SUM(Деятельность_УК!Y113:'Деятельность_УК'!AB113)</f>
        <v>61370</v>
      </c>
      <c r="J6" s="740">
        <f>SUM(Деятельность_УК!AC113:'Деятельность_УК'!AF113)</f>
        <v>61370</v>
      </c>
      <c r="K6" s="740">
        <f>SUM(Деятельность_УК!AG113:'Деятельность_УК'!AJ113)</f>
        <v>61370</v>
      </c>
      <c r="L6" s="740">
        <f>SUM(Деятельность_УК!AK113:'Деятельность_УК'!AN113)</f>
        <v>61370</v>
      </c>
      <c r="M6" s="740">
        <f>SUM(Деятельность_УК!AO113:'Деятельность_УК'!AR113)</f>
        <v>61370</v>
      </c>
      <c r="N6" s="744">
        <f>Деятельность_УК!$AT$113</f>
        <v>490960</v>
      </c>
    </row>
    <row r="7" spans="1:14" ht="11.25" customHeight="1" x14ac:dyDescent="0.2">
      <c r="A7" s="637" t="str">
        <f>Деятельность_УК!$A$115</f>
        <v>арендная плата, без НДС (с учетом инфляции)</v>
      </c>
      <c r="B7" s="685"/>
      <c r="C7" s="687" t="str">
        <f>Деятельность_УК!$C$115</f>
        <v>тыс. руб.</v>
      </c>
      <c r="D7" s="740">
        <f ca="1">SUM(Деятельность_УК!E115:'Деятельность_УК'!H115)</f>
        <v>43379.166666666672</v>
      </c>
      <c r="E7" s="740">
        <f ca="1">SUM(Деятельность_УК!I115:'Деятельность_УК'!L115)</f>
        <v>105663.196840848</v>
      </c>
      <c r="F7" s="740">
        <f ca="1">SUM(Деятельность_УК!M115:'Деятельность_УК'!P115)</f>
        <v>174675.33720949697</v>
      </c>
      <c r="G7" s="740">
        <f ca="1">SUM(Деятельность_УК!Q115:'Деятельность_УК'!T115)</f>
        <v>181643.8098574375</v>
      </c>
      <c r="H7" s="740">
        <f ca="1">SUM(Деятельность_УК!U115:'Деятельность_УК'!X115)</f>
        <v>188879.30844783716</v>
      </c>
      <c r="I7" s="740">
        <f ca="1">SUM(Деятельность_УК!Y115:'Деятельность_УК'!AB115)</f>
        <v>196415.8064429916</v>
      </c>
      <c r="J7" s="740">
        <f ca="1">SUM(Деятельность_УК!AC115:'Деятельность_УК'!AF115)</f>
        <v>204253.01257052834</v>
      </c>
      <c r="K7" s="740">
        <f ca="1">SUM(Деятельность_УК!AG115:'Деятельность_УК'!AJ115)</f>
        <v>212387.31371284183</v>
      </c>
      <c r="L7" s="740">
        <f ca="1">SUM(Деятельность_УК!AK115:'Деятельность_УК'!AN115)</f>
        <v>220820.07416008311</v>
      </c>
      <c r="M7" s="740">
        <f ca="1">SUM(Деятельность_УК!AO115:'Деятельность_УК'!AR115)</f>
        <v>229564.4953531264</v>
      </c>
      <c r="N7" s="747">
        <f ca="1">Деятельность_УК!$AT$115</f>
        <v>1757681.5212618574</v>
      </c>
    </row>
    <row r="8" spans="1:14" ht="11.25" customHeight="1" x14ac:dyDescent="0.2">
      <c r="A8" s="621" t="str">
        <f>Деятельность_УК!$A$116</f>
        <v>поступление денежных средств, с НДС</v>
      </c>
      <c r="B8" s="615"/>
      <c r="C8" s="617" t="str">
        <f>Деятельность_УК!$C$116</f>
        <v>тыс. руб.</v>
      </c>
      <c r="D8" s="750">
        <f ca="1">SUM(Деятельность_УК!$E$116:'Деятельность_УК'!$H$116)</f>
        <v>52055</v>
      </c>
      <c r="E8" s="750">
        <f ca="1">SUM(Деятельность_УК!$I$116:'Деятельность_УК'!$L$116)</f>
        <v>126795.83620901759</v>
      </c>
      <c r="F8" s="750">
        <f ca="1">SUM(Деятельность_УК!$M$116:'Деятельность_УК'!$P$116)</f>
        <v>209610.40465139638</v>
      </c>
      <c r="G8" s="750">
        <f ca="1">SUM(Деятельность_УК!$Q$116:'Деятельность_УК'!$T$116)</f>
        <v>217972.57182892499</v>
      </c>
      <c r="H8" s="750">
        <f ca="1">SUM(Деятельность_УК!$U$116:'Деятельность_УК'!$X$116)</f>
        <v>226655.17013740458</v>
      </c>
      <c r="I8" s="750">
        <f ca="1">SUM(Деятельность_УК!$Y$116:'Деятельность_УК'!$AB$116)</f>
        <v>235698.96773158992</v>
      </c>
      <c r="J8" s="750">
        <f ca="1">SUM(Деятельность_УК!$AC$116:'Деятельность_УК'!$AF$116)</f>
        <v>245103.61508463402</v>
      </c>
      <c r="K8" s="750">
        <f ca="1">SUM(Деятельность_УК!$AG$116:'Деятельность_УК'!$AJ$116)</f>
        <v>254864.77645541017</v>
      </c>
      <c r="L8" s="750">
        <f ca="1">SUM(Деятельность_УК!$AK$116:'Деятельность_УК'!$AN$116)</f>
        <v>264984.0889920998</v>
      </c>
      <c r="M8" s="750">
        <f ca="1">SUM(Деятельность_УК!$AO$116:'Деятельность_УК'!$AR$116)</f>
        <v>275477.39442375168</v>
      </c>
      <c r="N8" s="753">
        <f ca="1">Деятельность_УК!$AT$116</f>
        <v>2109217.825514229</v>
      </c>
    </row>
    <row r="9" spans="1:14" ht="11.25" customHeight="1" x14ac:dyDescent="0.2">
      <c r="A9" s="621" t="str">
        <f>Деятельность_УК!$A$118</f>
        <v>НДС начисленный</v>
      </c>
      <c r="B9" s="615"/>
      <c r="C9" s="617" t="str">
        <f>Деятельность_УК!$C$118</f>
        <v>тыс. руб.</v>
      </c>
      <c r="D9" s="750">
        <f ca="1">SUM(Деятельность_УК!$E$118:'Деятельность_УК'!$H$118)</f>
        <v>8675.8333333333339</v>
      </c>
      <c r="E9" s="750">
        <f ca="1">SUM(Деятельность_УК!$I$118:'Деятельность_УК'!$L$118)</f>
        <v>21132.639368169603</v>
      </c>
      <c r="F9" s="750">
        <f ca="1">SUM(Деятельность_УК!$M$118:'Деятельность_УК'!$P$118)</f>
        <v>34935.067441899402</v>
      </c>
      <c r="G9" s="750">
        <f ca="1">SUM(Деятельность_УК!$Q$118:'Деятельность_УК'!$T$118)</f>
        <v>36328.761971487504</v>
      </c>
      <c r="H9" s="750">
        <f ca="1">SUM(Деятельность_УК!$U$118:'Деятельность_УК'!$X$118)</f>
        <v>37775.861689567435</v>
      </c>
      <c r="I9" s="750">
        <f ca="1">SUM(Деятельность_УК!$Y$118:'Деятельность_УК'!$AB$118)</f>
        <v>39283.16128859832</v>
      </c>
      <c r="J9" s="750">
        <f ca="1">SUM(Деятельность_УК!$AC$118:'Деятельность_УК'!$AF$118)</f>
        <v>40850.602514105674</v>
      </c>
      <c r="K9" s="750">
        <f ca="1">SUM(Деятельность_УК!$AG$118:'Деятельность_УК'!$AJ$118)</f>
        <v>42477.462742568365</v>
      </c>
      <c r="L9" s="750">
        <f ca="1">SUM(Деятельность_УК!$AK$118:'Деятельность_УК'!$AN$118)</f>
        <v>44164.014832016626</v>
      </c>
      <c r="M9" s="750">
        <f ca="1">SUM(Деятельность_УК!$AO$118:'Деятельность_УК'!$AR$118)</f>
        <v>45912.899070625281</v>
      </c>
      <c r="N9" s="753">
        <f ca="1">Деятельность_УК!$AT$118</f>
        <v>351536.30425237154</v>
      </c>
    </row>
    <row r="10" spans="1:14" ht="11.25" customHeight="1" x14ac:dyDescent="0.2">
      <c r="A10" s="754" t="str">
        <f>Деятельность_УК!$A$119</f>
        <v>Инфляция</v>
      </c>
      <c r="B10" s="756"/>
      <c r="C10" s="617" t="str">
        <f>Деятельность_УК!$C$119</f>
        <v>% в год</v>
      </c>
      <c r="D10" s="670">
        <f>IFERROR(AVERAGE(Деятельность_УК!$E$119:'Деятельность_УК'!$H$119),"0")</f>
        <v>0</v>
      </c>
      <c r="E10" s="670">
        <f>IFERROR(AVERAGE(Деятельность_УК!$I$119:'Деятельность_УК'!$L$119),"0")</f>
        <v>4.011212875388237E-2</v>
      </c>
      <c r="F10" s="670">
        <f>IFERROR(AVERAGE(Деятельность_УК!$M$119:'Деятельность_УК'!$P$119),"0")</f>
        <v>3.9951351517419909E-2</v>
      </c>
      <c r="G10" s="670">
        <f>IFERROR(AVERAGE(Деятельность_УК!$Q$119:'Деятельность_УК'!$T$119),"0")</f>
        <v>3.9799274348962799E-2</v>
      </c>
      <c r="H10" s="670">
        <f>IFERROR(AVERAGE(Деятельность_УК!$U$119:'Деятельность_УК'!$X$119),"0")</f>
        <v>3.9889661086839556E-2</v>
      </c>
      <c r="I10" s="670">
        <f>IFERROR(AVERAGE(Деятельность_УК!$Y$119:'Деятельность_УК'!$AB$119),"0")</f>
        <v>3.9919999999999956E-2</v>
      </c>
      <c r="J10" s="670">
        <f>IFERROR(AVERAGE(Деятельность_УК!$AC$119:'Деятельность_УК'!$AF$119),"0")</f>
        <v>3.986999999999985E-2</v>
      </c>
      <c r="K10" s="670">
        <f>IFERROR(AVERAGE(Деятельность_УК!$AG$119:'Деятельность_УК'!$AJ$119),"0")</f>
        <v>3.9749999999999952E-2</v>
      </c>
      <c r="L10" s="670">
        <f>IFERROR(AVERAGE(Деятельность_УК!$AK$119:'Деятельность_УК'!$AN$119),"0")</f>
        <v>3.9629999999999832E-2</v>
      </c>
      <c r="M10" s="671">
        <f>IFERROR(AVERAGE(Деятельность_УК!$AO$119:'Деятельность_УК'!$AR$119),"0")</f>
        <v>3.9549999999999974E-2</v>
      </c>
      <c r="N10" s="721"/>
    </row>
    <row r="11" spans="1:14" ht="11.25" customHeight="1" x14ac:dyDescent="0.2">
      <c r="A11" s="611"/>
      <c r="B11" s="725"/>
      <c r="C11" s="603"/>
      <c r="D11" s="727"/>
      <c r="E11" s="727"/>
      <c r="F11" s="727"/>
      <c r="G11" s="727"/>
      <c r="H11" s="727"/>
      <c r="I11" s="727"/>
      <c r="J11" s="727"/>
      <c r="K11" s="727"/>
      <c r="L11" s="727"/>
      <c r="M11" s="727"/>
      <c r="N11" s="721"/>
    </row>
    <row r="12" spans="1:14" ht="11.25" customHeight="1" x14ac:dyDescent="0.2">
      <c r="A12" s="993" t="str">
        <f>Деятельность_УК!$A$122</f>
        <v>Аренда площадей с выкупом</v>
      </c>
      <c r="B12" s="612"/>
      <c r="C12" s="599"/>
      <c r="D12" s="599"/>
      <c r="E12" s="599"/>
      <c r="F12" s="599"/>
      <c r="G12" s="599"/>
      <c r="H12" s="599"/>
      <c r="I12" s="599"/>
      <c r="J12" s="599"/>
      <c r="K12" s="599"/>
      <c r="L12" s="599"/>
      <c r="M12" s="599"/>
      <c r="N12" s="682"/>
    </row>
    <row r="13" spans="1:14" ht="45" x14ac:dyDescent="0.2">
      <c r="A13" s="636" t="str">
        <f>Деятельность_УК!$A$123</f>
        <v>Арендная плата (без НДС)</v>
      </c>
      <c r="B13" s="992" t="str">
        <f>Деятельность_УК!B123</f>
        <v>Ставка аренды, руб. / мес. / кв.м. без НДС</v>
      </c>
      <c r="C13" s="612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720"/>
    </row>
    <row r="14" spans="1:14" ht="11.25" customHeight="1" x14ac:dyDescent="0.2">
      <c r="A14" s="758" t="str">
        <f>Деятельность_УК!$A$124</f>
        <v>Бизнес-пространство с ЦОД</v>
      </c>
      <c r="B14" s="736">
        <f>Деятельность_УК!B124</f>
        <v>0.625</v>
      </c>
      <c r="C14" s="745" t="str">
        <f>Деятельность_УК!C124</f>
        <v>тыс. руб.</v>
      </c>
      <c r="D14" s="712">
        <f ca="1">Деятельность_УК!$H$124</f>
        <v>0</v>
      </c>
      <c r="E14" s="712">
        <f ca="1">Деятельность_УК!$L$124</f>
        <v>0</v>
      </c>
      <c r="F14" s="712">
        <f ca="1">Деятельность_УК!$P$124</f>
        <v>0</v>
      </c>
      <c r="G14" s="712">
        <f ca="1">Деятельность_УК!$T$124</f>
        <v>0</v>
      </c>
      <c r="H14" s="712">
        <f ca="1">Деятельность_УК!$X$124</f>
        <v>45684.375</v>
      </c>
      <c r="I14" s="712">
        <f ca="1">Деятельность_УК!$AB$124</f>
        <v>45684.375</v>
      </c>
      <c r="J14" s="712">
        <f ca="1">Деятельность_УК!$AF$124</f>
        <v>45684.375</v>
      </c>
      <c r="K14" s="712">
        <f ca="1">Деятельность_УК!$AJ$124</f>
        <v>45684.375</v>
      </c>
      <c r="L14" s="712">
        <f ca="1">Деятельность_УК!$AN$124</f>
        <v>45684.375</v>
      </c>
      <c r="M14" s="712">
        <f ca="1">Деятельность_УК!$AR$124</f>
        <v>0</v>
      </c>
      <c r="N14" s="766">
        <f ca="1">Деятельность_УК!AT124</f>
        <v>913687.5</v>
      </c>
    </row>
    <row r="15" spans="1:14" ht="11.25" customHeight="1" x14ac:dyDescent="0.2">
      <c r="A15" s="758" t="str">
        <f>Деятельность_УК!$A$125</f>
        <v>Корпус В1</v>
      </c>
      <c r="B15" s="736">
        <f>Деятельность_УК!B125</f>
        <v>0.70833333333333337</v>
      </c>
      <c r="C15" s="745" t="str">
        <f>Деятельность_УК!$C$125</f>
        <v>тыс. руб.</v>
      </c>
      <c r="D15" s="712">
        <f ca="1">Деятельность_УК!$H$125</f>
        <v>0</v>
      </c>
      <c r="E15" s="712">
        <f ca="1">Деятельность_УК!$L$125</f>
        <v>0</v>
      </c>
      <c r="F15" s="712">
        <f ca="1">Деятельность_УК!$P$125</f>
        <v>0</v>
      </c>
      <c r="G15" s="712">
        <f ca="1">Деятельность_УК!$T$125</f>
        <v>7671.25</v>
      </c>
      <c r="H15" s="712">
        <f ca="1">Деятельность_УК!$X$125</f>
        <v>7671.25</v>
      </c>
      <c r="I15" s="712">
        <f ca="1">Деятельность_УК!$AB$125</f>
        <v>7671.25</v>
      </c>
      <c r="J15" s="712">
        <f ca="1">Деятельность_УК!$AF$125</f>
        <v>7671.25</v>
      </c>
      <c r="K15" s="712">
        <f ca="1">Деятельность_УК!$AJ$125</f>
        <v>7671.25</v>
      </c>
      <c r="L15" s="712">
        <f ca="1">Деятельность_УК!$AN$125</f>
        <v>0</v>
      </c>
      <c r="M15" s="712">
        <f ca="1">Деятельность_УК!$AR$125</f>
        <v>0</v>
      </c>
      <c r="N15" s="766">
        <f ca="1">Деятельность_УК!AT125</f>
        <v>153425</v>
      </c>
    </row>
    <row r="16" spans="1:14" ht="11.25" customHeight="1" x14ac:dyDescent="0.2">
      <c r="A16" s="758" t="str">
        <f>Деятельность_УК!$A$126</f>
        <v>Корпус В3</v>
      </c>
      <c r="B16" s="736">
        <f>Деятельность_УК!B126</f>
        <v>0.63333333333333341</v>
      </c>
      <c r="C16" s="745" t="str">
        <f>Деятельность_УК!$C$126</f>
        <v>тыс. руб.</v>
      </c>
      <c r="D16" s="712">
        <f ca="1">Деятельность_УК!$H$126</f>
        <v>0</v>
      </c>
      <c r="E16" s="712">
        <f ca="1">Деятельность_УК!$L$126</f>
        <v>0</v>
      </c>
      <c r="F16" s="712">
        <f ca="1">Деятельность_УК!$P$126</f>
        <v>0</v>
      </c>
      <c r="G16" s="712">
        <f ca="1">Деятельность_УК!$T$126</f>
        <v>0</v>
      </c>
      <c r="H16" s="712">
        <f ca="1">Деятельность_УК!$X$126</f>
        <v>16397</v>
      </c>
      <c r="I16" s="712">
        <f ca="1">Деятельность_УК!$AB$126</f>
        <v>16397</v>
      </c>
      <c r="J16" s="712">
        <f ca="1">Деятельность_УК!$AF$126</f>
        <v>16397</v>
      </c>
      <c r="K16" s="712">
        <f ca="1">Деятельность_УК!$AJ$126</f>
        <v>16397</v>
      </c>
      <c r="L16" s="712">
        <f ca="1">Деятельность_УК!$AN$126</f>
        <v>16397</v>
      </c>
      <c r="M16" s="712">
        <f ca="1">Деятельность_УК!$AR$126</f>
        <v>0</v>
      </c>
      <c r="N16" s="766">
        <f ca="1">Деятельность_УК!AT126</f>
        <v>327940</v>
      </c>
    </row>
    <row r="17" spans="1:14" ht="11.25" customHeight="1" x14ac:dyDescent="0.2">
      <c r="A17" s="994" t="str">
        <f>Деятельность_УК!$A$127</f>
        <v>Объект II очереди</v>
      </c>
      <c r="B17" s="738">
        <f>Деятельность_УК!B127</f>
        <v>0.58333333333333337</v>
      </c>
      <c r="C17" s="716" t="str">
        <f>Деятельность_УК!$C$127</f>
        <v>тыс. руб.</v>
      </c>
      <c r="D17" s="713">
        <f ca="1">Деятельность_УК!$H$127</f>
        <v>0</v>
      </c>
      <c r="E17" s="713">
        <f ca="1">Деятельность_УК!$L$127</f>
        <v>0</v>
      </c>
      <c r="F17" s="713">
        <f ca="1">Деятельность_УК!$P$127</f>
        <v>0</v>
      </c>
      <c r="G17" s="713">
        <f ca="1">Деятельность_УК!$T$127</f>
        <v>0</v>
      </c>
      <c r="H17" s="713">
        <f ca="1">Деятельность_УК!$X$127</f>
        <v>38946.25</v>
      </c>
      <c r="I17" s="713">
        <f ca="1">Деятельность_УК!$AB$127</f>
        <v>38946.25</v>
      </c>
      <c r="J17" s="713">
        <f ca="1">Деятельность_УК!$AF$127</f>
        <v>38946.25</v>
      </c>
      <c r="K17" s="713">
        <f ca="1">Деятельность_УК!$AJ$127</f>
        <v>38946.25</v>
      </c>
      <c r="L17" s="713">
        <f ca="1">Деятельность_УК!$AN$127</f>
        <v>38946.25</v>
      </c>
      <c r="M17" s="713">
        <f ca="1">Деятельность_УК!$AR$127</f>
        <v>0</v>
      </c>
      <c r="N17" s="747">
        <f ca="1">Деятельность_УК!AT127</f>
        <v>778925</v>
      </c>
    </row>
    <row r="18" spans="1:14" ht="11.25" customHeight="1" x14ac:dyDescent="0.2">
      <c r="A18" s="637" t="str">
        <f>Деятельность_УК!$A$129</f>
        <v>арендная плата, без НДС (с учетом инфляции)</v>
      </c>
      <c r="B18" s="685"/>
      <c r="C18" s="687" t="str">
        <f>Деятельность_УК!$C$129</f>
        <v>тыс. руб.</v>
      </c>
      <c r="D18" s="740">
        <f ca="1">SUM(Деятельность_УК!$E$129:'Деятельность_УК'!$H$129)</f>
        <v>0</v>
      </c>
      <c r="E18" s="740">
        <f ca="1">SUM(Деятельность_УК!$I$129:'Деятельность_УК'!$L$129)</f>
        <v>0</v>
      </c>
      <c r="F18" s="740">
        <f ca="1">SUM(Деятельность_УК!$M$129:'Деятельность_УК'!$P$129)</f>
        <v>0</v>
      </c>
      <c r="G18" s="740">
        <f ca="1">SUM(Деятельность_УК!$Q$129:'Деятельность_УК'!$T$129)</f>
        <v>34502.622350058336</v>
      </c>
      <c r="H18" s="740">
        <f ca="1">SUM(Деятельность_УК!$U$129:'Деятельность_УК'!$X$129)</f>
        <v>512606.72672262497</v>
      </c>
      <c r="I18" s="740">
        <f ca="1">SUM(Деятельность_УК!$Y$129:'Деятельность_УК'!$AB$129)</f>
        <v>536580.89329480962</v>
      </c>
      <c r="J18" s="740">
        <f ca="1">SUM(Деятельность_УК!$AC$129:'Деятельность_УК'!$AF$129)</f>
        <v>561261.47125582001</v>
      </c>
      <c r="K18" s="740">
        <f ca="1">SUM(Деятельность_УК!$AG$129:'Деятельность_УК'!$AJ$129)</f>
        <v>587119.44654826086</v>
      </c>
      <c r="L18" s="740">
        <f ca="1">SUM(Деятельность_УК!$AK$129:'Деятельность_УК'!$AN$129)</f>
        <v>570834.69375286461</v>
      </c>
      <c r="M18" s="740">
        <f ca="1">SUM(Деятельность_УК!$AO$129:'Деятельность_УК'!$AR$129)</f>
        <v>0</v>
      </c>
      <c r="N18" s="747">
        <f ca="1">Деятельность_УК!AT129</f>
        <v>2802905.8539244388</v>
      </c>
    </row>
    <row r="19" spans="1:14" ht="11.25" customHeight="1" x14ac:dyDescent="0.2">
      <c r="A19" s="621" t="str">
        <f>Деятельность_УК!$A$130</f>
        <v>поступление денежных средств, с НДС</v>
      </c>
      <c r="B19" s="615"/>
      <c r="C19" s="617" t="str">
        <f>Деятельность_УК!$C$130</f>
        <v>тыс. руб.</v>
      </c>
      <c r="D19" s="750">
        <f ca="1">SUM(Деятельность_УК!$E$130:'Деятельность_УК'!$H$130)</f>
        <v>0</v>
      </c>
      <c r="E19" s="750">
        <f ca="1">SUM(Деятельность_УК!$I$130:'Деятельность_УК'!$L$130)</f>
        <v>0</v>
      </c>
      <c r="F19" s="750">
        <f ca="1">SUM(Деятельность_УК!$M$130:'Деятельность_УК'!$P$130)</f>
        <v>0</v>
      </c>
      <c r="G19" s="750">
        <f ca="1">SUM(Деятельность_УК!$Q$130:'Деятельность_УК'!$T$130)</f>
        <v>41403.146820070011</v>
      </c>
      <c r="H19" s="750">
        <f ca="1">SUM(Деятельность_УК!$U$130:'Деятельность_УК'!$X$130)</f>
        <v>615128.07206715003</v>
      </c>
      <c r="I19" s="750">
        <f ca="1">SUM(Деятельность_УК!$Y$130:'Деятельность_УК'!$AB$130)</f>
        <v>643897.07195377164</v>
      </c>
      <c r="J19" s="750">
        <f ca="1">SUM(Деятельность_УК!$AC$130:'Деятельность_УК'!$AF$130)</f>
        <v>673513.76550698408</v>
      </c>
      <c r="K19" s="750">
        <f ca="1">SUM(Деятельность_УК!$AG$130:'Деятельность_УК'!$AJ$130)</f>
        <v>704543.33585791313</v>
      </c>
      <c r="L19" s="750">
        <f ca="1">SUM(Деятельность_УК!$AK$130:'Деятельность_УК'!$AN$130)</f>
        <v>685001.63250343758</v>
      </c>
      <c r="M19" s="750">
        <f ca="1">SUM(Деятельность_УК!$AO$130:'Деятельность_УК'!$AR$130)</f>
        <v>0</v>
      </c>
      <c r="N19" s="753">
        <f ca="1">Деятельность_УК!$AT$130</f>
        <v>3363487.0247093262</v>
      </c>
    </row>
    <row r="20" spans="1:14" ht="11.25" customHeight="1" x14ac:dyDescent="0.2">
      <c r="A20" s="621" t="str">
        <f>Деятельность_УК!$A$132</f>
        <v>НДС начисленный</v>
      </c>
      <c r="B20" s="615"/>
      <c r="C20" s="617" t="str">
        <f>Деятельность_УК!$C$132</f>
        <v>тыс. руб.</v>
      </c>
      <c r="D20" s="750">
        <f ca="1">SUM(Деятельность_УК!$E$132:'Деятельность_УК'!$H$132)</f>
        <v>0</v>
      </c>
      <c r="E20" s="750">
        <f ca="1">SUM(Деятельность_УК!$I$132:'Деятельность_УК'!$L$132)</f>
        <v>0</v>
      </c>
      <c r="F20" s="750">
        <f ca="1">SUM(Деятельность_УК!$M$132:'Деятельность_УК'!$P$132)</f>
        <v>0</v>
      </c>
      <c r="G20" s="750">
        <f ca="1">SUM(Деятельность_УК!$Q$132:'Деятельность_УК'!$T$132)</f>
        <v>6900.5244700116691</v>
      </c>
      <c r="H20" s="750">
        <f ca="1">SUM(Деятельность_УК!$U$132:'Деятельность_УК'!$X$132)</f>
        <v>102521.34534452501</v>
      </c>
      <c r="I20" s="750">
        <f ca="1">SUM(Деятельность_УК!$Y$132:'Деятельность_УК'!$AB$132)</f>
        <v>107316.17865896193</v>
      </c>
      <c r="J20" s="750">
        <f ca="1">SUM(Деятельность_УК!$AC$132:'Деятельность_УК'!$AF$132)</f>
        <v>112252.29425116401</v>
      </c>
      <c r="K20" s="750">
        <f ca="1">SUM(Деятельность_УК!$AG$132:'Деятельность_УК'!$AJ$132)</f>
        <v>117423.88930965218</v>
      </c>
      <c r="L20" s="750">
        <f ca="1">SUM(Деятельность_УК!$AK$132:'Деятельность_УК'!$AN$132)</f>
        <v>114166.93875057294</v>
      </c>
      <c r="M20" s="750">
        <f ca="1">SUM(Деятельность_УК!$AO$132:'Деятельность_УК'!$AR$132)</f>
        <v>0</v>
      </c>
      <c r="N20" s="753">
        <f ca="1">Деятельность_УК!$AT$132</f>
        <v>560581.17078488774</v>
      </c>
    </row>
    <row r="21" spans="1:14" ht="11.25" customHeight="1" x14ac:dyDescent="0.2">
      <c r="A21" s="754" t="str">
        <f>Деятельность_УК!$A$133</f>
        <v>Изменение цен в строительстве</v>
      </c>
      <c r="B21" s="756"/>
      <c r="C21" s="617" t="str">
        <f>Деятельность_УК!$C$133</f>
        <v>% в год</v>
      </c>
      <c r="D21" s="670">
        <f>IFERROR(AVERAGE(Деятельность_УК!$E$133:'Деятельность_УК'!$H$133),"0")</f>
        <v>0</v>
      </c>
      <c r="E21" s="670">
        <f>IFERROR(AVERAGE(Деятельность_УК!$I$133:'Деятельность_УК'!$L$133),"0")</f>
        <v>5.1271423484030576E-2</v>
      </c>
      <c r="F21" s="670">
        <f>IFERROR(AVERAGE(Деятельность_УК!$M$133:'Деятельность_УК'!$P$133),"0")</f>
        <v>5.0363387780470337E-2</v>
      </c>
      <c r="G21" s="670">
        <f>IFERROR(AVERAGE(Деятельность_УК!$Q$133:'Деятельность_УК'!$T$133),"0")</f>
        <v>4.9267330074872273E-2</v>
      </c>
      <c r="H21" s="670">
        <f>IFERROR(AVERAGE(Деятельность_УК!$U$133:'Деятельность_УК'!$X$133),"0")</f>
        <v>4.7273106547426114E-2</v>
      </c>
      <c r="I21" s="670">
        <f>IFERROR(AVERAGE(Деятельность_УК!$Y$133:'Деятельность_УК'!$AB$133),"0")</f>
        <v>4.5942308087647987E-2</v>
      </c>
      <c r="J21" s="670">
        <f>IFERROR(AVERAGE(Деятельность_УК!$AC$133:'Деятельность_УК'!$AF$133),"0")</f>
        <v>4.6084178846717894E-2</v>
      </c>
      <c r="K21" s="670">
        <f>IFERROR(AVERAGE(Деятельность_УК!$AG$133:'Деятельность_УК'!$AJ$133),"0")</f>
        <v>4.6049823800539347E-2</v>
      </c>
      <c r="L21" s="670">
        <f>IFERROR(AVERAGE(Деятельность_УК!$AK$133:'Деятельность_УК'!$AN$133),"0")</f>
        <v>4.6154378696228848E-2</v>
      </c>
      <c r="M21" s="671">
        <f>IFERROR(AVERAGE(Деятельность_УК!$AO$133:'Деятельность_УК'!$AR$133),"0")</f>
        <v>4.601469397743041E-2</v>
      </c>
      <c r="N21" s="721"/>
    </row>
    <row r="22" spans="1:14" ht="11.25" customHeight="1" x14ac:dyDescent="0.2">
      <c r="A22" s="611"/>
      <c r="B22" s="725"/>
      <c r="C22" s="603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1"/>
    </row>
    <row r="23" spans="1:14" ht="11.25" customHeight="1" x14ac:dyDescent="0.2">
      <c r="A23" s="730" t="str">
        <f>Деятельность_УК!$A$136</f>
        <v>Аренда территорий (участков)</v>
      </c>
      <c r="B23" s="732"/>
      <c r="C23" s="733">
        <f>Деятельность_УК!$C$136</f>
        <v>1</v>
      </c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682"/>
    </row>
    <row r="24" spans="1:14" ht="11.25" customHeight="1" x14ac:dyDescent="0.2">
      <c r="A24" s="636" t="str">
        <f>Деятельность_УК!$A$137</f>
        <v>сдано в аренду</v>
      </c>
      <c r="B24" s="715"/>
      <c r="C24" s="745" t="str">
        <f>Деятельность_УК!$C$137</f>
        <v>га</v>
      </c>
      <c r="D24" s="771">
        <f>Деятельность_УК!H137</f>
        <v>2.5732191610821546</v>
      </c>
      <c r="E24" s="771">
        <f>Деятельность_УК!L137</f>
        <v>2.5732191610821546</v>
      </c>
      <c r="F24" s="771">
        <f>Деятельность_УК!P137</f>
        <v>3.8545048399106481</v>
      </c>
      <c r="G24" s="771">
        <f>Деятельность_УК!T137</f>
        <v>4.4951476793248943</v>
      </c>
      <c r="H24" s="771">
        <f>Деятельность_УК!X137</f>
        <v>14.3</v>
      </c>
      <c r="I24" s="771">
        <f>Деятельность_УК!AB137</f>
        <v>14.3</v>
      </c>
      <c r="J24" s="771">
        <f>Деятельность_УК!AF137</f>
        <v>14.3</v>
      </c>
      <c r="K24" s="771">
        <f>Деятельность_УК!AJ137</f>
        <v>14.3</v>
      </c>
      <c r="L24" s="771">
        <f>Деятельность_УК!AN137</f>
        <v>14.3</v>
      </c>
      <c r="M24" s="772">
        <f>Деятельность_УК!AR137</f>
        <v>14.3</v>
      </c>
      <c r="N24" s="652"/>
    </row>
    <row r="25" spans="1:14" ht="11.25" customHeight="1" x14ac:dyDescent="0.2">
      <c r="A25" s="734" t="str">
        <f>Деятельность_УК!$A$138</f>
        <v>ставка аренды за единицу (га), без НДС в мес.</v>
      </c>
      <c r="B25" s="760">
        <f>Деятельность_УК!$B$138</f>
        <v>1000</v>
      </c>
      <c r="C25" s="762" t="str">
        <f>Деятельность_УК!$C$138</f>
        <v>тыс. руб.</v>
      </c>
      <c r="D25" s="761">
        <f ca="1">IFERROR(AVERAGE(Деятельность_УК!$E$138:'Деятельность_УК'!$H$138),"0")</f>
        <v>1000</v>
      </c>
      <c r="E25" s="761">
        <f ca="1">IFERROR(AVERAGE(Деятельность_УК!$I$138:'Деятельность_УК'!$L$138),"0")</f>
        <v>1014.9188055023342</v>
      </c>
      <c r="F25" s="761">
        <f ca="1">IFERROR(AVERAGE(Деятельность_УК!$M$138:'Деятельность_УК'!$P$138),"0")</f>
        <v>1055.5676650320097</v>
      </c>
      <c r="G25" s="761">
        <f ca="1">IFERROR(AVERAGE(Деятельность_УК!$Q$138:'Деятельность_УК'!$T$138),"0")</f>
        <v>1097.6783288460085</v>
      </c>
      <c r="H25" s="761">
        <f ca="1">IFERROR(AVERAGE(Деятельность_УК!$U$138:'Деятельность_УК'!$X$138),"0")</f>
        <v>1141.4026374657794</v>
      </c>
      <c r="I25" s="761">
        <f ca="1">IFERROR(AVERAGE(Деятельность_УК!$Y$138:'Деятельность_УК'!$AB$138),"0")</f>
        <v>1186.9458934190936</v>
      </c>
      <c r="J25" s="761">
        <f ca="1">IFERROR(AVERAGE(Деятельность_УК!$AC$138:'Деятельность_УК'!$AF$138),"0")</f>
        <v>1234.30633653933</v>
      </c>
      <c r="K25" s="761">
        <f ca="1">IFERROR(AVERAGE(Деятельность_УК!$AG$138:'Деятельность_УК'!$AJ$138),"0")</f>
        <v>1283.4621326616016</v>
      </c>
      <c r="L25" s="761">
        <f ca="1">IFERROR(AVERAGE(Деятельность_УК!$AK$138:'Деятельность_УК'!$AN$138),"0")</f>
        <v>1334.4215262272369</v>
      </c>
      <c r="M25" s="763">
        <f ca="1">IFERROR(AVERAGE(Деятельность_УК!$AO$138:'Деятельность_УК'!$AR$138),"0")</f>
        <v>1387.2642938912641</v>
      </c>
      <c r="N25" s="682"/>
    </row>
    <row r="26" spans="1:14" ht="11.25" customHeight="1" x14ac:dyDescent="0.2">
      <c r="A26" s="637" t="str">
        <f>Деятельность_УК!$A$139</f>
        <v>арендная плата, без НДС (с учетом инфляции)</v>
      </c>
      <c r="B26" s="686"/>
      <c r="C26" s="687" t="str">
        <f>Деятельность_УК!$C$139</f>
        <v>тыс. руб.</v>
      </c>
      <c r="D26" s="740">
        <f ca="1">SUM(Деятельность_УК!$E$139:'Деятельность_УК'!$H$139)</f>
        <v>15439.314966492928</v>
      </c>
      <c r="E26" s="740">
        <f ca="1">SUM(Деятельность_УК!$I$139:'Деятельность_УК'!$L$139)</f>
        <v>31339.302207134628</v>
      </c>
      <c r="F26" s="740">
        <f ca="1">SUM(Деятельность_УК!$M$139:'Деятельность_УК'!$P$139)</f>
        <v>48824.288084628766</v>
      </c>
      <c r="G26" s="740">
        <f ca="1">SUM(Деятельность_УК!$Q$139:'Деятельность_УК'!$T$139)</f>
        <v>59210.71431068836</v>
      </c>
      <c r="H26" s="740">
        <f ca="1">SUM(Деятельность_УК!$U$139:'Деятельность_УК'!$X$139)</f>
        <v>195864.69258912775</v>
      </c>
      <c r="I26" s="740">
        <f ca="1">SUM(Деятельность_УК!$Y$139:'Деятельность_УК'!$AB$139)</f>
        <v>203679.91531071649</v>
      </c>
      <c r="J26" s="740">
        <f ca="1">SUM(Деятельность_УК!$AC$139:'Деятельность_УК'!$AF$139)</f>
        <v>211806.96735014906</v>
      </c>
      <c r="K26" s="740">
        <f ca="1">SUM(Деятельность_УК!$AG$139:'Деятельность_УК'!$AJ$139)</f>
        <v>220242.1019647308</v>
      </c>
      <c r="L26" s="740">
        <f ca="1">SUM(Деятельность_УК!$AK$139:'Деятельность_УК'!$AN$139)</f>
        <v>228986.73390059383</v>
      </c>
      <c r="M26" s="740">
        <f ca="1">SUM(Деятельность_УК!$AO$139:'Деятельность_УК'!$AR$139)</f>
        <v>238054.5528317409</v>
      </c>
      <c r="N26" s="747">
        <f ca="1">Деятельность_УК!$AT$139</f>
        <v>1453448.5835160036</v>
      </c>
    </row>
    <row r="27" spans="1:14" ht="11.25" customHeight="1" x14ac:dyDescent="0.2">
      <c r="A27" s="621" t="str">
        <f>Деятельность_УК!$A$141</f>
        <v>поступление денежных средств, с НДС</v>
      </c>
      <c r="B27" s="615"/>
      <c r="C27" s="617" t="str">
        <f>Деятельность_УК!$C$141</f>
        <v>тыс. руб.</v>
      </c>
      <c r="D27" s="750">
        <f ca="1">SUM(Деятельность_УК!$E$141:'Деятельность_УК'!$H$141)</f>
        <v>18527.177959791516</v>
      </c>
      <c r="E27" s="750">
        <f ca="1">SUM(Деятельность_УК!$I$141:'Деятельность_УК'!$L$141)</f>
        <v>37607.162648561556</v>
      </c>
      <c r="F27" s="750">
        <f ca="1">SUM(Деятельность_УК!$M$141:'Деятельность_УК'!$P$141)</f>
        <v>58589.145701554517</v>
      </c>
      <c r="G27" s="750">
        <f ca="1">SUM(Деятельность_УК!$Q$141:'Деятельность_УК'!$T$141)</f>
        <v>71052.857172826029</v>
      </c>
      <c r="H27" s="750">
        <f ca="1">SUM(Деятельность_УК!$U$141:'Деятельность_УК'!$X$141)</f>
        <v>235037.63110695331</v>
      </c>
      <c r="I27" s="750">
        <f ca="1">SUM(Деятельность_УК!$Y$141:'Деятельность_УК'!$AB$141)</f>
        <v>244415.89837285978</v>
      </c>
      <c r="J27" s="750">
        <f ca="1">SUM(Деятельность_УК!$AC$141:'Деятельность_УК'!$AF$141)</f>
        <v>254168.36082017887</v>
      </c>
      <c r="K27" s="750">
        <f ca="1">SUM(Деятельность_УК!$AG$141:'Деятельность_УК'!$AJ$141)</f>
        <v>264290.52235767699</v>
      </c>
      <c r="L27" s="750">
        <f ca="1">SUM(Деятельность_УК!$AK$141:'Деятельность_УК'!$AN$141)</f>
        <v>274784.08068071259</v>
      </c>
      <c r="M27" s="750">
        <f ca="1">SUM(Деятельность_УК!$AO$141:'Деятельность_УК'!$AR$141)</f>
        <v>285665.46339808911</v>
      </c>
      <c r="N27" s="753">
        <f ca="1">Деятельность_УК!$AT$141</f>
        <v>1744138.3002192043</v>
      </c>
    </row>
    <row r="28" spans="1:14" ht="11.25" customHeight="1" x14ac:dyDescent="0.2">
      <c r="A28" s="621" t="str">
        <f>Деятельность_УК!$A$143</f>
        <v>НДС начисленный</v>
      </c>
      <c r="B28" s="615"/>
      <c r="C28" s="617" t="str">
        <f>Деятельность_УК!$C$143</f>
        <v>тыс. руб.</v>
      </c>
      <c r="D28" s="750">
        <f ca="1">SUM(Деятельность_УК!$E$143:'Деятельность_УК'!$H$143)</f>
        <v>3087.8629932985859</v>
      </c>
      <c r="E28" s="750">
        <f ca="1">SUM(Деятельность_УК!$I$143:'Деятельность_УК'!$L$143)</f>
        <v>6267.8604414269257</v>
      </c>
      <c r="F28" s="750">
        <f ca="1">SUM(Деятельность_УК!$M$143:'Деятельность_УК'!$P$143)</f>
        <v>9764.857616925754</v>
      </c>
      <c r="G28" s="750">
        <f ca="1">SUM(Деятельность_УК!$Q$143:'Деятельность_УК'!$T$143)</f>
        <v>11842.142862137673</v>
      </c>
      <c r="H28" s="750">
        <f ca="1">SUM(Деятельность_УК!$U$143:'Деятельность_УК'!$X$143)</f>
        <v>39172.938517825554</v>
      </c>
      <c r="I28" s="750">
        <f ca="1">SUM(Деятельность_УК!$Y$143:'Деятельность_УК'!$AB$143)</f>
        <v>40735.983062143299</v>
      </c>
      <c r="J28" s="750">
        <f ca="1">SUM(Деятельность_УК!$AC$143:'Деятельность_УК'!$AF$143)</f>
        <v>42361.393470029812</v>
      </c>
      <c r="K28" s="750">
        <f ca="1">SUM(Деятельность_УК!$AG$143:'Деятельность_УК'!$AJ$143)</f>
        <v>44048.420392946166</v>
      </c>
      <c r="L28" s="750">
        <f ca="1">SUM(Деятельность_УК!$AK$143:'Деятельность_УК'!$AN$143)</f>
        <v>45797.346780118765</v>
      </c>
      <c r="M28" s="750">
        <f ca="1">SUM(Деятельность_УК!$AO$143:'Деятельность_УК'!$AR$143)</f>
        <v>47610.91056634819</v>
      </c>
      <c r="N28" s="753">
        <f ca="1">Деятельность_УК!$AT$143</f>
        <v>290689.71670320077</v>
      </c>
    </row>
    <row r="29" spans="1:14" ht="11.25" customHeight="1" x14ac:dyDescent="0.2">
      <c r="A29" s="643" t="str">
        <f>Деятельность_УК!$A$144</f>
        <v>Инфляция</v>
      </c>
      <c r="B29" s="756"/>
      <c r="C29" s="617" t="str">
        <f>Деятельность_УК!$C$144</f>
        <v>% в год</v>
      </c>
      <c r="D29" s="670">
        <f>IFERROR(AVERAGE(Деятельность_УК!$E$144:'Деятельность_УК'!$H$144),"0")</f>
        <v>0</v>
      </c>
      <c r="E29" s="670">
        <f>IFERROR(AVERAGE(Деятельность_УК!$I$144:'Деятельность_УК'!$L$144),"0")</f>
        <v>4.011212875388237E-2</v>
      </c>
      <c r="F29" s="670">
        <f>IFERROR(AVERAGE(Деятельность_УК!$M$144:'Деятельность_УК'!$P$144),"0")</f>
        <v>3.9951351517419909E-2</v>
      </c>
      <c r="G29" s="670">
        <f>IFERROR(AVERAGE(Деятельность_УК!$Q$144:'Деятельность_УК'!$T$144),"0")</f>
        <v>3.9799274348962799E-2</v>
      </c>
      <c r="H29" s="670">
        <f>IFERROR(AVERAGE(Деятельность_УК!$U$144:'Деятельность_УК'!$X$144),"0")</f>
        <v>3.9889661086839556E-2</v>
      </c>
      <c r="I29" s="670">
        <f>IFERROR(AVERAGE(Деятельность_УК!$Y$144:'Деятельность_УК'!$AB$144),"0")</f>
        <v>3.9919999999999956E-2</v>
      </c>
      <c r="J29" s="670">
        <f>IFERROR(AVERAGE(Деятельность_УК!$AC$144:'Деятельность_УК'!$AF$144),"0")</f>
        <v>3.986999999999985E-2</v>
      </c>
      <c r="K29" s="670">
        <f>IFERROR(AVERAGE(Деятельность_УК!$AG$144:'Деятельность_УК'!$AJ$144),"0")</f>
        <v>3.9749999999999952E-2</v>
      </c>
      <c r="L29" s="670">
        <f>IFERROR(AVERAGE(Деятельность_УК!$AK$144:'Деятельность_УК'!$AN$144),"0")</f>
        <v>3.9629999999999832E-2</v>
      </c>
      <c r="M29" s="671">
        <f>IFERROR(AVERAGE(Деятельность_УК!$AO$144:'Деятельность_УК'!$AR$144),"0")</f>
        <v>3.9549999999999974E-2</v>
      </c>
      <c r="N29" s="721"/>
    </row>
    <row r="30" spans="1:14" ht="11.25" customHeight="1" x14ac:dyDescent="0.2">
      <c r="A30" s="611"/>
      <c r="B30" s="725"/>
      <c r="C30" s="603"/>
      <c r="D30" s="727"/>
      <c r="E30" s="727"/>
      <c r="F30" s="727"/>
      <c r="G30" s="727"/>
      <c r="H30" s="727"/>
      <c r="I30" s="727"/>
      <c r="J30" s="727"/>
      <c r="K30" s="727"/>
      <c r="L30" s="727"/>
      <c r="M30" s="727"/>
      <c r="N30" s="721"/>
    </row>
    <row r="31" spans="1:14" ht="22.5" x14ac:dyDescent="0.2">
      <c r="A31" s="767" t="str">
        <f>Деятельность_УК!$A$147</f>
        <v>Прочие доходы (комиссии с аутсорсинговых услуг резидентам)</v>
      </c>
      <c r="B31" s="732"/>
      <c r="C31" s="733">
        <f>Деятельность_УК!$C$147</f>
        <v>1</v>
      </c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682"/>
    </row>
    <row r="32" spans="1:14" ht="11.25" customHeight="1" x14ac:dyDescent="0.2">
      <c r="A32" s="735" t="str">
        <f>Деятельность_УК!$A$149</f>
        <v>выручка от реализации, без НДС</v>
      </c>
      <c r="B32" s="685"/>
      <c r="C32" s="687" t="str">
        <f>Деятельность_УК!$C$149</f>
        <v>тыс. руб.</v>
      </c>
      <c r="D32" s="740">
        <f ca="1">SUM(Деятельность_УК!$E$149:'Деятельность_УК'!$H$149)</f>
        <v>1169.6279369717577</v>
      </c>
      <c r="E32" s="740">
        <f ca="1">SUM(Деятельность_УК!$I$149:'Деятельность_УК'!$L$149)</f>
        <v>4744.9610957910454</v>
      </c>
      <c r="F32" s="740">
        <f ca="1">SUM(Деятельность_УК!$M$149:'Деятельность_УК'!$P$149)</f>
        <v>6872.1568600174378</v>
      </c>
      <c r="G32" s="740">
        <f ca="1">SUM(Деятельность_УК!$Q$149:'Деятельность_УК'!$T$149)</f>
        <v>8899.5905780019839</v>
      </c>
      <c r="H32" s="740">
        <f ca="1">SUM(Деятельность_УК!$U$149:'Деятельность_УК'!$X$149)</f>
        <v>27310.53677343412</v>
      </c>
      <c r="I32" s="740">
        <f ca="1">SUM(Деятельность_УК!$Y$149:'Деятельность_УК'!$AB$149)</f>
        <v>34588.534595962235</v>
      </c>
      <c r="J32" s="740">
        <f ca="1">SUM(Деятельность_УК!$AC$149:'Деятельность_УК'!$AF$149)</f>
        <v>36133.381819173672</v>
      </c>
      <c r="K32" s="740">
        <f ca="1">SUM(Деятельность_УК!$AG$149:'Деятельность_УК'!$AJ$149)</f>
        <v>37740.151298600707</v>
      </c>
      <c r="L32" s="740">
        <f ca="1">SUM(Деятельность_УК!$AK$149:'Деятельность_УК'!$AN$149)</f>
        <v>40347.001948828081</v>
      </c>
      <c r="M32" s="740">
        <f ca="1">SUM(Деятельность_УК!$AO$149:'Деятельность_УК'!$AR$149)</f>
        <v>57868.494814309815</v>
      </c>
      <c r="N32" s="747">
        <f ca="1">Деятельность_УК!$AT$149</f>
        <v>255674.43772109083</v>
      </c>
    </row>
    <row r="33" spans="1:14" ht="11.25" customHeight="1" x14ac:dyDescent="0.2">
      <c r="A33" s="621" t="str">
        <f>Деятельность_УК!$A$150</f>
        <v>поступление денежных средств, с НДС</v>
      </c>
      <c r="B33" s="615"/>
      <c r="C33" s="617" t="str">
        <f>Деятельность_УК!$C$150</f>
        <v>тыс. руб.</v>
      </c>
      <c r="D33" s="750">
        <f ca="1">SUM(Деятельность_УК!$E$150:'Деятельность_УК'!$H$150)</f>
        <v>1403.5535243661093</v>
      </c>
      <c r="E33" s="750">
        <f ca="1">SUM(Деятельность_УК!$I$150:'Деятельность_УК'!$L$150)</f>
        <v>5693.9533149492545</v>
      </c>
      <c r="F33" s="750">
        <f ca="1">SUM(Деятельность_УК!$M$150:'Деятельность_УК'!$P$150)</f>
        <v>8246.5882320209239</v>
      </c>
      <c r="G33" s="750">
        <f ca="1">SUM(Деятельность_УК!$Q$150:'Деятельность_УК'!$T$150)</f>
        <v>10679.50869360238</v>
      </c>
      <c r="H33" s="750">
        <f ca="1">SUM(Деятельность_УК!$U$150:'Деятельность_УК'!$X$150)</f>
        <v>32772.644128120941</v>
      </c>
      <c r="I33" s="750">
        <f ca="1">SUM(Деятельность_УК!$Y$150:'Деятельность_УК'!$AB$150)</f>
        <v>41506.241515154681</v>
      </c>
      <c r="J33" s="750">
        <f ca="1">SUM(Деятельность_УК!$AC$150:'Деятельность_УК'!$AF$150)</f>
        <v>43360.058183008412</v>
      </c>
      <c r="K33" s="750">
        <f ca="1">SUM(Деятельность_УК!$AG$150:'Деятельность_УК'!$AJ$150)</f>
        <v>45288.181558320844</v>
      </c>
      <c r="L33" s="750">
        <f ca="1">SUM(Деятельность_УК!$AK$150:'Деятельность_УК'!$AN$150)</f>
        <v>48416.402338593703</v>
      </c>
      <c r="M33" s="750">
        <f ca="1">SUM(Деятельность_УК!$AO$150:'Деятельность_УК'!$AR$150)</f>
        <v>69442.193777171764</v>
      </c>
      <c r="N33" s="753">
        <f ca="1">Деятельность_УК!$AT$150</f>
        <v>306809.32526530902</v>
      </c>
    </row>
    <row r="34" spans="1:14" ht="11.25" customHeight="1" x14ac:dyDescent="0.2">
      <c r="A34" s="621" t="str">
        <f>Деятельность_УК!$A$152</f>
        <v>НДС начисленный</v>
      </c>
      <c r="B34" s="615"/>
      <c r="C34" s="617" t="str">
        <f>Деятельность_УК!$C$152</f>
        <v>тыс. руб.</v>
      </c>
      <c r="D34" s="750">
        <f ca="1">SUM(Деятельность_УК!$E$152:'Деятельность_УК'!$H$152)</f>
        <v>233.92558739435154</v>
      </c>
      <c r="E34" s="750">
        <f ca="1">SUM(Деятельность_УК!$I$152:'Деятельность_УК'!$L$152)</f>
        <v>948.9922191582092</v>
      </c>
      <c r="F34" s="750">
        <f ca="1">SUM(Деятельность_УК!$M$152:'Деятельность_УК'!$P$152)</f>
        <v>1374.4313720034875</v>
      </c>
      <c r="G34" s="750">
        <f ca="1">SUM(Деятельность_УК!$Q$152:'Деятельность_УК'!$T$152)</f>
        <v>1779.918115600397</v>
      </c>
      <c r="H34" s="750">
        <f ca="1">SUM(Деятельность_УК!$U$152:'Деятельность_УК'!$X$152)</f>
        <v>5462.1073546868238</v>
      </c>
      <c r="I34" s="750">
        <f ca="1">SUM(Деятельность_УК!$Y$152:'Деятельность_УК'!$AB$152)</f>
        <v>6917.7069191924493</v>
      </c>
      <c r="J34" s="750">
        <f ca="1">SUM(Деятельность_УК!$AC$152:'Деятельность_УК'!$AF$152)</f>
        <v>7226.6763638347356</v>
      </c>
      <c r="K34" s="750">
        <f ca="1">SUM(Деятельность_УК!$AG$152:'Деятельность_УК'!$AJ$152)</f>
        <v>7548.0302597201417</v>
      </c>
      <c r="L34" s="750">
        <f ca="1">SUM(Деятельность_УК!$AK$152:'Деятельность_УК'!$AN$152)</f>
        <v>8069.4003897656185</v>
      </c>
      <c r="M34" s="750">
        <f ca="1">SUM(Деятельность_УК!$AO$152:'Деятельность_УК'!$AR$152)</f>
        <v>11573.698962861961</v>
      </c>
      <c r="N34" s="753">
        <f ca="1">Деятельность_УК!$AT$152</f>
        <v>51134.88754421816</v>
      </c>
    </row>
    <row r="35" spans="1:14" ht="11.25" customHeight="1" x14ac:dyDescent="0.2">
      <c r="A35" s="754" t="str">
        <f>Деятельность_УК!$A$153</f>
        <v>Изменение цен в обрабатывающей промышленности</v>
      </c>
      <c r="B35" s="756"/>
      <c r="C35" s="617" t="str">
        <f>Деятельность_УК!$C$153</f>
        <v>% в год</v>
      </c>
      <c r="D35" s="670">
        <f>IFERROR(AVERAGE(Деятельность_УК!$E$153:'Деятельность_УК'!$H$153),"0")</f>
        <v>0</v>
      </c>
      <c r="E35" s="670">
        <f>IFERROR(AVERAGE(Деятельность_УК!$I$153:'Деятельность_УК'!$L$153),"0")</f>
        <v>3.8172838559912936E-2</v>
      </c>
      <c r="F35" s="670">
        <f>IFERROR(AVERAGE(Деятельность_УК!$M$153:'Деятельность_УК'!$P$153),"0")</f>
        <v>4.5348049235927501E-2</v>
      </c>
      <c r="G35" s="670">
        <f>IFERROR(AVERAGE(Деятельность_УК!$Q$153:'Деятельность_УК'!$T$153),"0")</f>
        <v>4.6206517341587539E-2</v>
      </c>
      <c r="H35" s="670">
        <f>IFERROR(AVERAGE(Деятельность_УК!$U$153:'Деятельность_УК'!$X$153),"0")</f>
        <v>4.7372407398639682E-2</v>
      </c>
      <c r="I35" s="670">
        <f>IFERROR(AVERAGE(Деятельность_УК!$Y$153:'Деятельность_УК'!$AB$153),"0")</f>
        <v>4.4829452381167423E-2</v>
      </c>
      <c r="J35" s="670">
        <f>IFERROR(AVERAGE(Деятельность_УК!$AC$153:'Деятельность_УК'!$AF$153),"0")</f>
        <v>4.4391125969701406E-2</v>
      </c>
      <c r="K35" s="670">
        <f>IFERROR(AVERAGE(Деятельность_УК!$AG$153:'Деятельность_УК'!$AJ$153),"0")</f>
        <v>4.4593580638013997E-2</v>
      </c>
      <c r="L35" s="670">
        <f>IFERROR(AVERAGE(Деятельность_УК!$AK$153:'Деятельность_УК'!$AN$153),"0")</f>
        <v>4.5915873363622683E-2</v>
      </c>
      <c r="M35" s="671">
        <f>IFERROR(AVERAGE(Деятельность_УК!$AO$153:'Деятельность_УК'!$AR$153),"0")</f>
        <v>4.5962256408293101E-2</v>
      </c>
      <c r="N35" s="721"/>
    </row>
    <row r="36" spans="1:14" ht="11.25" customHeight="1" x14ac:dyDescent="0.2">
      <c r="A36" s="599"/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82"/>
    </row>
    <row r="37" spans="1:14" ht="11.25" customHeight="1" x14ac:dyDescent="0.2">
      <c r="A37" s="680" t="str">
        <f>Деятельность_УК!$A$157</f>
        <v>Итого:</v>
      </c>
      <c r="B37" s="654"/>
      <c r="C37" s="654"/>
      <c r="D37" s="654"/>
      <c r="E37" s="654"/>
      <c r="F37" s="654"/>
      <c r="G37" s="654"/>
      <c r="H37" s="654"/>
      <c r="I37" s="654"/>
      <c r="J37" s="654"/>
      <c r="K37" s="654"/>
      <c r="L37" s="654"/>
      <c r="M37" s="654"/>
      <c r="N37" s="728"/>
    </row>
    <row r="38" spans="1:14" ht="11.25" customHeight="1" x14ac:dyDescent="0.2">
      <c r="A38" s="636" t="str">
        <f>Деятельность_УК!$A$158</f>
        <v>Выручка в отчете о прибылях и убытках, без НДС</v>
      </c>
      <c r="B38" s="711"/>
      <c r="C38" s="717" t="str">
        <f>Деятельность_УК!$C$158</f>
        <v>тыс. руб.</v>
      </c>
      <c r="D38" s="712">
        <f ca="1">SUM(Деятельность_УК!$E$158:'Деятельность_УК'!$H$158)</f>
        <v>59988.109570131353</v>
      </c>
      <c r="E38" s="712">
        <f ca="1">SUM(Деятельность_УК!$I$158:'Деятельность_УК'!$L$158)</f>
        <v>141747.4601437737</v>
      </c>
      <c r="F38" s="712">
        <f ca="1">SUM(Деятельность_УК!$M$158:'Деятельность_УК'!$P$158)</f>
        <v>230371.78215414321</v>
      </c>
      <c r="G38" s="712">
        <f ca="1">SUM(Деятельность_УК!$Q$158:'Деятельность_УК'!$T$158)</f>
        <v>284256.7370961862</v>
      </c>
      <c r="H38" s="712">
        <f ca="1">SUM(Деятельность_УК!$U$158:'Деятельность_УК'!$X$158)</f>
        <v>924661.26453302405</v>
      </c>
      <c r="I38" s="712">
        <f ca="1">SUM(Деятельность_УК!$Y$158:'Деятельность_УК'!$AB$158)</f>
        <v>971265.14964447997</v>
      </c>
      <c r="J38" s="712">
        <f ca="1">SUM(Деятельность_УК!$AC$158:'Деятельность_УК'!$AF$158)</f>
        <v>1013454.8329956711</v>
      </c>
      <c r="K38" s="712">
        <f ca="1">SUM(Деятельность_УК!$AG$158:'Деятельность_УК'!$AJ$158)</f>
        <v>1057489.0135244343</v>
      </c>
      <c r="L38" s="712">
        <f ca="1">SUM(Деятельность_УК!$AK$158:'Деятельность_УК'!$AN$158)</f>
        <v>1060988.5037623697</v>
      </c>
      <c r="M38" s="712">
        <f ca="1">SUM(Деятельность_УК!$AO$158:'Деятельность_УК'!$AR$158)</f>
        <v>525487.54299917712</v>
      </c>
      <c r="N38" s="769">
        <f ca="1">Деятельность_УК!$AT$158</f>
        <v>6269710.3964233911</v>
      </c>
    </row>
    <row r="39" spans="1:14" ht="11.25" customHeight="1" x14ac:dyDescent="0.2">
      <c r="A39" s="636" t="str">
        <f>Деятельность_УК!$A$159</f>
        <v>НДС начисленный</v>
      </c>
      <c r="B39" s="711"/>
      <c r="C39" s="717" t="str">
        <f>Деятельность_УК!$C$159</f>
        <v>тыс. руб.</v>
      </c>
      <c r="D39" s="712">
        <f ca="1">SUM(Деятельность_УК!$E$159:'Деятельность_УК'!$H$159)</f>
        <v>11997.621914026271</v>
      </c>
      <c r="E39" s="712">
        <f ca="1">SUM(Деятельность_УК!$I$159:'Деятельность_УК'!$L$159)</f>
        <v>28349.492028754736</v>
      </c>
      <c r="F39" s="712">
        <f ca="1">SUM(Деятельность_УК!$M$159:'Деятельность_УК'!$P$159)</f>
        <v>46074.356430828637</v>
      </c>
      <c r="G39" s="712">
        <f ca="1">SUM(Деятельность_УК!$Q$159:'Деятельность_УК'!$T$159)</f>
        <v>56851.347419237245</v>
      </c>
      <c r="H39" s="712">
        <f ca="1">SUM(Деятельность_УК!$U$159:'Деятельность_УК'!$X$159)</f>
        <v>184932.25290660482</v>
      </c>
      <c r="I39" s="712">
        <f ca="1">SUM(Деятельность_УК!$Y$159:'Деятельность_УК'!$AB$159)</f>
        <v>194253.02992889599</v>
      </c>
      <c r="J39" s="712">
        <f ca="1">SUM(Деятельность_УК!$AC$159:'Деятельность_УК'!$AF$159)</f>
        <v>202690.96659913423</v>
      </c>
      <c r="K39" s="712">
        <f ca="1">SUM(Деятельность_УК!$AG$159:'Деятельность_УК'!$AJ$159)</f>
        <v>211497.80270488685</v>
      </c>
      <c r="L39" s="712">
        <f ca="1">SUM(Деятельность_УК!$AK$159:'Деятельность_УК'!$AN$159)</f>
        <v>212197.70075247396</v>
      </c>
      <c r="M39" s="712">
        <f ca="1">SUM(Деятельность_УК!$AO$159:'Деятельность_УК'!$AR$159)</f>
        <v>105097.50859983545</v>
      </c>
      <c r="N39" s="769">
        <f ca="1">Деятельность_УК!$AT$159</f>
        <v>1253942.0792846782</v>
      </c>
    </row>
    <row r="40" spans="1:14" ht="11.25" customHeight="1" x14ac:dyDescent="0.2">
      <c r="A40" s="636" t="str">
        <f>Деятельность_УК!$A$160</f>
        <v>Выручка в отчете о движении денежных средств, с НДС</v>
      </c>
      <c r="B40" s="711"/>
      <c r="C40" s="717" t="str">
        <f>Деятельность_УК!$C$160</f>
        <v>тыс. руб.</v>
      </c>
      <c r="D40" s="712">
        <f ca="1">SUM(Деятельность_УК!$E$160:'Деятельность_УК'!$H$160)</f>
        <v>71985.731484157615</v>
      </c>
      <c r="E40" s="712">
        <f ca="1">SUM(Деятельность_УК!$I$160:'Деятельность_УК'!$L$160)</f>
        <v>170096.9521725284</v>
      </c>
      <c r="F40" s="712">
        <f ca="1">SUM(Деятельность_УК!$M$160:'Деятельность_УК'!$P$160)</f>
        <v>276446.13858497184</v>
      </c>
      <c r="G40" s="712">
        <f ca="1">SUM(Деятельность_УК!$Q$160:'Деятельность_УК'!$T$160)</f>
        <v>341108.0845154234</v>
      </c>
      <c r="H40" s="712">
        <f ca="1">SUM(Деятельность_УК!$U$160:'Деятельность_УК'!$X$160)</f>
        <v>1109593.5174396287</v>
      </c>
      <c r="I40" s="712">
        <f ca="1">SUM(Деятельность_УК!$Y$160:'Деятельность_УК'!$AB$160)</f>
        <v>1165518.179573376</v>
      </c>
      <c r="J40" s="712">
        <f ca="1">SUM(Деятельность_УК!$AC$160:'Деятельность_УК'!$AF$160)</f>
        <v>1216145.7995948053</v>
      </c>
      <c r="K40" s="712">
        <f ca="1">SUM(Деятельность_УК!$AG$160:'Деятельность_УК'!$AJ$160)</f>
        <v>1268986.8162293211</v>
      </c>
      <c r="L40" s="712">
        <f ca="1">SUM(Деятельность_УК!$AK$160:'Деятельность_УК'!$AN$160)</f>
        <v>1273186.2045148436</v>
      </c>
      <c r="M40" s="712">
        <f ca="1">SUM(Деятельность_УК!$AO$160:'Деятельность_УК'!$AR$160)</f>
        <v>630585.05159901245</v>
      </c>
      <c r="N40" s="753">
        <f ca="1">Деятельность_УК!$AT$160</f>
        <v>7523652.4757080674</v>
      </c>
    </row>
    <row r="41" spans="1:14" ht="11.25" customHeight="1" x14ac:dyDescent="0.2">
      <c r="A41" s="636" t="str">
        <f>Деятельность_УК!$A$161</f>
        <v>Дебиторская задолженность</v>
      </c>
      <c r="B41" s="711"/>
      <c r="C41" s="717" t="str">
        <f>Деятельность_УК!$C$161</f>
        <v>тыс. руб.</v>
      </c>
      <c r="D41" s="712">
        <f>Деятельность_УК!$H$161</f>
        <v>0</v>
      </c>
      <c r="E41" s="712">
        <f>Деятельность_УК!$L$161</f>
        <v>0</v>
      </c>
      <c r="F41" s="712">
        <f>Деятельность_УК!$P$161</f>
        <v>0</v>
      </c>
      <c r="G41" s="712">
        <f>Деятельность_УК!$T$161</f>
        <v>0</v>
      </c>
      <c r="H41" s="712">
        <f>Деятельность_УК!$X$161</f>
        <v>0</v>
      </c>
      <c r="I41" s="712">
        <f>Деятельность_УК!$AB$161</f>
        <v>0</v>
      </c>
      <c r="J41" s="712">
        <f>Деятельность_УК!$AF$161</f>
        <v>0</v>
      </c>
      <c r="K41" s="712">
        <f>Деятельность_УК!$AJ$161</f>
        <v>0</v>
      </c>
      <c r="L41" s="712">
        <f>Деятельность_УК!$AN$161</f>
        <v>0</v>
      </c>
      <c r="M41" s="718">
        <f>Деятельность_УК!$AR$161</f>
        <v>0</v>
      </c>
      <c r="N41" s="652"/>
    </row>
    <row r="42" spans="1:14" ht="11.25" customHeight="1" x14ac:dyDescent="0.2">
      <c r="A42" s="636" t="str">
        <f>Деятельность_УК!$A$162</f>
        <v>Авансы полученные</v>
      </c>
      <c r="B42" s="711"/>
      <c r="C42" s="717" t="str">
        <f>Деятельность_УК!$C$162</f>
        <v>тыс. руб.</v>
      </c>
      <c r="D42" s="712">
        <f>Деятельность_УК!$H$162</f>
        <v>0</v>
      </c>
      <c r="E42" s="712">
        <f>Деятельность_УК!$L$162</f>
        <v>0</v>
      </c>
      <c r="F42" s="712">
        <f>Деятельность_УК!$P$162</f>
        <v>0</v>
      </c>
      <c r="G42" s="712">
        <f>Деятельность_УК!$T$162</f>
        <v>0</v>
      </c>
      <c r="H42" s="712">
        <f>Деятельность_УК!$X$162</f>
        <v>0</v>
      </c>
      <c r="I42" s="712">
        <f>Деятельность_УК!$AB$162</f>
        <v>0</v>
      </c>
      <c r="J42" s="712">
        <f>Деятельность_УК!$AF$162</f>
        <v>0</v>
      </c>
      <c r="K42" s="712">
        <f>Деятельность_УК!$AJ$162</f>
        <v>0</v>
      </c>
      <c r="L42" s="712">
        <f>Деятельность_УК!$AN$162</f>
        <v>0</v>
      </c>
      <c r="M42" s="718">
        <f>Деятельность_УК!$AR$162</f>
        <v>0</v>
      </c>
      <c r="N42" s="652"/>
    </row>
    <row r="43" spans="1:14" ht="11.25" customHeight="1" x14ac:dyDescent="0.2">
      <c r="A43" s="637" t="str">
        <f>Деятельность_УК!$A$163</f>
        <v>НДС полученный с авансов</v>
      </c>
      <c r="B43" s="711"/>
      <c r="C43" s="664" t="str">
        <f>Деятельность_УК!$C$163</f>
        <v>тыс. руб.</v>
      </c>
      <c r="D43" s="713">
        <f>SUM(Деятельность_УК!$E$163:'Деятельность_УК'!$H$163)</f>
        <v>0</v>
      </c>
      <c r="E43" s="713">
        <f>SUM(Деятельность_УК!$I$163:'Деятельность_УК'!$L$163)</f>
        <v>0</v>
      </c>
      <c r="F43" s="713">
        <f>SUM(Деятельность_УК!$M$163:'Деятельность_УК'!$P$163)</f>
        <v>0</v>
      </c>
      <c r="G43" s="713">
        <f>SUM(Деятельность_УК!$Q$163:'Деятельность_УК'!$T$163)</f>
        <v>0</v>
      </c>
      <c r="H43" s="713">
        <f>SUM(Деятельность_УК!$U$163:'Деятельность_УК'!$X$163)</f>
        <v>0</v>
      </c>
      <c r="I43" s="713">
        <f>SUM(Деятельность_УК!$Y$163:'Деятельность_УК'!$AB$163)</f>
        <v>0</v>
      </c>
      <c r="J43" s="713">
        <f>SUM(Деятельность_УК!$AC$163:'Деятельность_УК'!$AF$163)</f>
        <v>0</v>
      </c>
      <c r="K43" s="713">
        <f>SUM(Деятельность_УК!$AG$163:'Деятельность_УК'!$AJ$163)</f>
        <v>0</v>
      </c>
      <c r="L43" s="713">
        <f>SUM(Деятельность_УК!$AK$163:'Деятельность_УК'!$AN$163)</f>
        <v>0</v>
      </c>
      <c r="M43" s="713">
        <f>SUM(Деятельность_УК!$AO$163:'Деятельность_УК'!$AR$163)</f>
        <v>0</v>
      </c>
      <c r="N43" s="753">
        <f>Деятельность_УК!$AT$163</f>
        <v>0</v>
      </c>
    </row>
    <row r="44" spans="1:14" ht="11.25" customHeight="1" x14ac:dyDescent="0.2">
      <c r="A44" s="599"/>
      <c r="B44" s="599"/>
      <c r="C44" s="599"/>
      <c r="D44" s="599"/>
      <c r="E44" s="599"/>
      <c r="F44" s="599"/>
      <c r="G44" s="599"/>
      <c r="H44" s="599"/>
      <c r="I44" s="599"/>
      <c r="J44" s="599"/>
      <c r="K44" s="599"/>
      <c r="L44" s="599"/>
      <c r="M44" s="599"/>
      <c r="N44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5&amp;R&amp;"Arial,полужирный"&amp;10Проект создания ИП «Бугры» на территории Ленинградской области. Управляющая компания.
&amp;C&amp;"Arial,полужирный"&amp;13
ВЫРУЧКА И ОБЪЕМ РЕАЛИЗАЦИИ</oddHeader>
    <oddFooter>&amp;R&amp;P</oddFooter>
  </headerFooter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31"/>
  <dimension ref="A1:M27"/>
  <sheetViews>
    <sheetView workbookViewId="0"/>
  </sheetViews>
  <sheetFormatPr defaultRowHeight="12.75" x14ac:dyDescent="0.2"/>
  <cols>
    <col min="1" max="1" width="47.85546875" customWidth="1"/>
    <col min="2" max="2" width="7.5703125" customWidth="1"/>
    <col min="3" max="13" width="7.85546875" customWidth="1"/>
  </cols>
  <sheetData>
    <row r="1" spans="1:13" s="301" customFormat="1" ht="26.1" customHeight="1" x14ac:dyDescent="0.2">
      <c r="A1" s="613" t="str">
        <f>Деятельность_УК!$A$169</f>
        <v>ПЕРСОНАЛ И ЗАРАБОТНАЯ ПЛАТА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  <c r="M1" s="614" t="str">
        <f>Деятельность_УК!$AT$169</f>
        <v>ИТОГО</v>
      </c>
    </row>
    <row r="2" spans="1:13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682"/>
    </row>
    <row r="3" spans="1:13" ht="11.25" customHeight="1" x14ac:dyDescent="0.2">
      <c r="A3" s="679" t="str">
        <f>Деятельность_УК!$A$171</f>
        <v>Производственный персонал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82"/>
    </row>
    <row r="4" spans="1:13" ht="11.25" customHeight="1" x14ac:dyDescent="0.2">
      <c r="A4" s="599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682"/>
    </row>
    <row r="5" spans="1:13" ht="11.25" customHeight="1" x14ac:dyDescent="0.2">
      <c r="A5" s="770" t="str">
        <f>Деятельность_УК!$A$173</f>
        <v>Производственный персонал</v>
      </c>
      <c r="B5" s="774">
        <f>Деятельность_УК!$C$173</f>
        <v>1</v>
      </c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682"/>
    </row>
    <row r="6" spans="1:13" ht="11.25" customHeight="1" x14ac:dyDescent="0.2">
      <c r="A6" s="639" t="str">
        <f>Деятельность_УК!$A$174</f>
        <v>численность</v>
      </c>
      <c r="B6" s="762" t="str">
        <f>Деятельность_УК!$C$174</f>
        <v>человек</v>
      </c>
      <c r="C6" s="775">
        <f>IFERROR(AVERAGE(Деятельность_УК!$E$174:'Деятельность_УК'!$H$174),"0")</f>
        <v>0</v>
      </c>
      <c r="D6" s="775">
        <f>IFERROR(AVERAGE(Деятельность_УК!$I$174:'Деятельность_УК'!$L$174),"0")</f>
        <v>6</v>
      </c>
      <c r="E6" s="775">
        <f>IFERROR(AVERAGE(Деятельность_УК!$M$174:'Деятельность_УК'!$P$174),"0")</f>
        <v>13.5</v>
      </c>
      <c r="F6" s="775">
        <f>IFERROR(AVERAGE(Деятельность_УК!$Q$174:'Деятельность_УК'!$T$174),"0")</f>
        <v>18</v>
      </c>
      <c r="G6" s="775">
        <f>IFERROR(AVERAGE(Деятельность_УК!$U$174:'Деятельность_УК'!$X$174),"0")</f>
        <v>18</v>
      </c>
      <c r="H6" s="775">
        <f>IFERROR(AVERAGE(Деятельность_УК!$Y$174:'Деятельность_УК'!$AB$174),"0")</f>
        <v>18</v>
      </c>
      <c r="I6" s="775">
        <f>IFERROR(AVERAGE(Деятельность_УК!$AC$174:'Деятельность_УК'!$AF$174),"0")</f>
        <v>18</v>
      </c>
      <c r="J6" s="775">
        <f>IFERROR(AVERAGE(Деятельность_УК!$AG$174:'Деятельность_УК'!$AJ$174),"0")</f>
        <v>18</v>
      </c>
      <c r="K6" s="775">
        <f>IFERROR(AVERAGE(Деятельность_УК!$AK$174:'Деятельность_УК'!$AN$174),"0")</f>
        <v>18</v>
      </c>
      <c r="L6" s="776">
        <f>IFERROR(AVERAGE(Деятельность_УК!$AO$174:'Деятельность_УК'!$AR$174),"0")</f>
        <v>18</v>
      </c>
      <c r="M6" s="682"/>
    </row>
    <row r="7" spans="1:13" ht="11.25" customHeight="1" x14ac:dyDescent="0.2">
      <c r="A7" s="639" t="str">
        <f>Деятельность_УК!$A$175</f>
        <v>средний оклад, в месяц</v>
      </c>
      <c r="B7" s="762" t="str">
        <f>Деятельность_УК!$C$175</f>
        <v>тыс. руб.</v>
      </c>
      <c r="C7" s="712">
        <f ca="1">IFERROR(AVERAGE(Деятельность_УК!$E$175:'Деятельность_УК'!$H$175),"0")</f>
        <v>38.75</v>
      </c>
      <c r="D7" s="712">
        <f ca="1">IFERROR(AVERAGE(Деятельность_УК!$I$175:'Деятельность_УК'!$L$175),"0")</f>
        <v>39.691155453006111</v>
      </c>
      <c r="E7" s="712">
        <f ca="1">IFERROR(AVERAGE(Деятельность_УК!$M$175:'Деятельность_УК'!$P$175),"0")</f>
        <v>42.349521580751535</v>
      </c>
      <c r="F7" s="712">
        <f ca="1">IFERROR(AVERAGE(Деятельность_УК!$Q$175:'Деятельность_УК'!$T$175),"0")</f>
        <v>45.264203290858809</v>
      </c>
      <c r="G7" s="712">
        <f ca="1">IFERROR(AVERAGE(Деятельность_УК!$U$175:'Деятельность_УК'!$X$175),"0")</f>
        <v>48.377185772511837</v>
      </c>
      <c r="H7" s="712">
        <f ca="1">IFERROR(AVERAGE(Деятельность_УК!$Y$175:'Деятельность_УК'!$AB$175),"0")</f>
        <v>51.727821747657259</v>
      </c>
      <c r="I7" s="712">
        <f ca="1">IFERROR(AVERAGE(Деятельность_УК!$AC$175:'Деятельность_УК'!$AF$175),"0")</f>
        <v>55.268878004037447</v>
      </c>
      <c r="J7" s="712">
        <f ca="1">IFERROR(AVERAGE(Деятельность_УК!$AG$175:'Деятельность_УК'!$AJ$175),"0")</f>
        <v>59.022894213702628</v>
      </c>
      <c r="K7" s="712">
        <f ca="1">IFERROR(AVERAGE(Деятельность_УК!$AK$175:'Деятельность_УК'!$AN$175),"0")</f>
        <v>63.008792410621638</v>
      </c>
      <c r="L7" s="718">
        <f ca="1">IFERROR(AVERAGE(Деятельность_УК!$AO$175:'Деятельность_УК'!$AR$175),"0")</f>
        <v>67.228177677778447</v>
      </c>
      <c r="M7" s="682"/>
    </row>
    <row r="8" spans="1:13" ht="11.25" customHeight="1" x14ac:dyDescent="0.2">
      <c r="A8" s="638" t="str">
        <f>Деятельность_УК!$A$176</f>
        <v>заработная плата</v>
      </c>
      <c r="B8" s="687" t="str">
        <f>Деятельность_УК!$C$176</f>
        <v>тыс. руб.</v>
      </c>
      <c r="C8" s="713">
        <f ca="1">SUM(Деятельность_УК!$E$176:'Деятельность_УК'!$H$176)</f>
        <v>0</v>
      </c>
      <c r="D8" s="713">
        <f ca="1">SUM(Деятельность_УК!$I$176:'Деятельность_УК'!$L$176)</f>
        <v>2903.1782900231469</v>
      </c>
      <c r="E8" s="713">
        <f ca="1">SUM(Деятельность_УК!$M$176:'Деятельность_УК'!$P$176)</f>
        <v>6879.8451810761344</v>
      </c>
      <c r="F8" s="713">
        <f ca="1">SUM(Деятельность_УК!$Q$176:'Деятельность_УК'!$T$176)</f>
        <v>9777.0679108255026</v>
      </c>
      <c r="G8" s="713">
        <f ca="1">SUM(Деятельность_УК!$U$176:'Деятельность_УК'!$X$176)</f>
        <v>10449.472126862556</v>
      </c>
      <c r="H8" s="713">
        <f ca="1">SUM(Деятельность_УК!$Y$176:'Деятельность_УК'!$AB$176)</f>
        <v>11173.209497493968</v>
      </c>
      <c r="I8" s="713">
        <f ca="1">SUM(Деятельность_УК!$AC$176:'Деятельность_УК'!$AF$176)</f>
        <v>11938.077648872088</v>
      </c>
      <c r="J8" s="713">
        <f ca="1">SUM(Деятельность_УК!$AG$176:'Деятельность_УК'!$AJ$176)</f>
        <v>12748.945150159769</v>
      </c>
      <c r="K8" s="713">
        <f ca="1">SUM(Деятельность_УК!$AK$176:'Деятельность_УК'!$AN$176)</f>
        <v>13609.899160694273</v>
      </c>
      <c r="L8" s="713">
        <f ca="1">SUM(Деятельность_УК!$AO$176:'Деятельность_УК'!$AR$176)</f>
        <v>14521.286378400146</v>
      </c>
      <c r="M8" s="744">
        <f ca="1">Деятельность_УК!$AT$176</f>
        <v>94000.981344407628</v>
      </c>
    </row>
    <row r="9" spans="1:13" ht="11.25" customHeight="1" x14ac:dyDescent="0.2">
      <c r="A9" s="777" t="str">
        <f>Деятельность_УК!$A$182</f>
        <v>Изменение заработной платы</v>
      </c>
      <c r="B9" s="617" t="str">
        <f>Деятельность_УК!$C$182</f>
        <v>% в год</v>
      </c>
      <c r="C9" s="670">
        <f>IFERROR(AVERAGE(Деятельность_УК!$E$182:'Деятельность_УК'!$H$182),"0")</f>
        <v>0</v>
      </c>
      <c r="D9" s="670">
        <f>IFERROR(AVERAGE(Деятельность_УК!$I$182:'Деятельность_УК'!$L$182),"0")</f>
        <v>6.5636940856837134E-2</v>
      </c>
      <c r="E9" s="670">
        <f>IFERROR(AVERAGE(Деятельность_УК!$M$182:'Деятельность_УК'!$P$182),"0")</f>
        <v>6.9164258480914675E-2</v>
      </c>
      <c r="F9" s="670">
        <f>IFERROR(AVERAGE(Деятельность_УК!$Q$182:'Деятельность_УК'!$T$182),"0")</f>
        <v>6.8270657176112026E-2</v>
      </c>
      <c r="G9" s="670">
        <f>IFERROR(AVERAGE(Деятельность_УК!$U$182:'Деятельность_УК'!$X$182),"0")</f>
        <v>6.9593992275576166E-2</v>
      </c>
      <c r="H9" s="670">
        <f>IFERROR(AVERAGE(Деятельность_УК!$Y$182:'Деятельность_УК'!$AB$182),"0")</f>
        <v>6.8717549596758909E-2</v>
      </c>
      <c r="I9" s="670">
        <f>IFERROR(AVERAGE(Деятельность_УК!$AC$182:'Деятельность_УК'!$AF$182),"0")</f>
        <v>6.8028504971386461E-2</v>
      </c>
      <c r="J9" s="670">
        <f>IFERROR(AVERAGE(Деятельность_УК!$AG$182:'Деятельность_УК'!$AJ$182),"0")</f>
        <v>6.7750417348662717E-2</v>
      </c>
      <c r="K9" s="670">
        <f>IFERROR(AVERAGE(Деятельность_УК!$AK$182:'Деятельность_УК'!$AN$182),"0")</f>
        <v>6.7174282373121841E-2</v>
      </c>
      <c r="L9" s="671">
        <f>IFERROR(AVERAGE(Деятельность_УК!$AO$182:'Деятельность_УК'!$AR$182),"0")</f>
        <v>6.6623774358420818E-2</v>
      </c>
      <c r="M9" s="721"/>
    </row>
    <row r="10" spans="1:13" ht="11.25" customHeight="1" x14ac:dyDescent="0.2">
      <c r="A10" s="599"/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682"/>
    </row>
    <row r="11" spans="1:13" ht="11.25" customHeight="1" x14ac:dyDescent="0.2">
      <c r="A11" s="679" t="str">
        <f>Деятельность_УК!$A$186</f>
        <v>Административный персонал</v>
      </c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682"/>
    </row>
    <row r="12" spans="1:13" ht="11.25" customHeight="1" x14ac:dyDescent="0.2">
      <c r="A12" s="599"/>
      <c r="B12" s="599"/>
      <c r="C12" s="599"/>
      <c r="D12" s="599"/>
      <c r="E12" s="599"/>
      <c r="F12" s="599"/>
      <c r="G12" s="599"/>
      <c r="H12" s="599"/>
      <c r="I12" s="599"/>
      <c r="J12" s="599"/>
      <c r="K12" s="599"/>
      <c r="L12" s="599"/>
      <c r="M12" s="682"/>
    </row>
    <row r="13" spans="1:13" ht="11.25" customHeight="1" x14ac:dyDescent="0.2">
      <c r="A13" s="770" t="str">
        <f>Деятельность_УК!$A$188</f>
        <v>Административный персонал</v>
      </c>
      <c r="B13" s="774">
        <f>Деятельность_УК!$C$188</f>
        <v>1</v>
      </c>
      <c r="C13" s="773"/>
      <c r="D13" s="773"/>
      <c r="E13" s="773"/>
      <c r="F13" s="773"/>
      <c r="G13" s="773"/>
      <c r="H13" s="773"/>
      <c r="I13" s="773"/>
      <c r="J13" s="773"/>
      <c r="K13" s="773"/>
      <c r="L13" s="773"/>
      <c r="M13" s="682"/>
    </row>
    <row r="14" spans="1:13" ht="11.25" customHeight="1" x14ac:dyDescent="0.2">
      <c r="A14" s="639" t="str">
        <f>Деятельность_УК!$A$189</f>
        <v>численность</v>
      </c>
      <c r="B14" s="762" t="str">
        <f>Деятельность_УК!$C$189</f>
        <v>человек</v>
      </c>
      <c r="C14" s="775">
        <f>IFERROR(AVERAGE(Деятельность_УК!$E$189:'Деятельность_УК'!$H$189),"0")</f>
        <v>7.75</v>
      </c>
      <c r="D14" s="775">
        <f>IFERROR(AVERAGE(Деятельность_УК!$I$189:'Деятельность_УК'!$L$189),"0")</f>
        <v>17</v>
      </c>
      <c r="E14" s="775">
        <f>IFERROR(AVERAGE(Деятельность_УК!$M$189:'Деятельность_УК'!$P$189),"0")</f>
        <v>21</v>
      </c>
      <c r="F14" s="775">
        <f>IFERROR(AVERAGE(Деятельность_УК!$Q$189:'Деятельность_УК'!$T$189),"0")</f>
        <v>21</v>
      </c>
      <c r="G14" s="775">
        <f>IFERROR(AVERAGE(Деятельность_УК!$U$189:'Деятельность_УК'!$X$189),"0")</f>
        <v>21</v>
      </c>
      <c r="H14" s="775">
        <f>IFERROR(AVERAGE(Деятельность_УК!$Y$189:'Деятельность_УК'!$AB$189),"0")</f>
        <v>21</v>
      </c>
      <c r="I14" s="775">
        <f>IFERROR(AVERAGE(Деятельность_УК!$AC$189:'Деятельность_УК'!$AF$189),"0")</f>
        <v>21</v>
      </c>
      <c r="J14" s="775">
        <f>IFERROR(AVERAGE(Деятельность_УК!$AG$189:'Деятельность_УК'!$AJ$189),"0")</f>
        <v>21</v>
      </c>
      <c r="K14" s="775">
        <f>IFERROR(AVERAGE(Деятельность_УК!$AK$189:'Деятельность_УК'!$AN$189),"0")</f>
        <v>21</v>
      </c>
      <c r="L14" s="776">
        <f>IFERROR(AVERAGE(Деятельность_УК!$AO$189:'Деятельность_УК'!$AR$189),"0")</f>
        <v>21</v>
      </c>
      <c r="M14" s="682"/>
    </row>
    <row r="15" spans="1:13" ht="11.25" customHeight="1" x14ac:dyDescent="0.2">
      <c r="A15" s="639" t="str">
        <f>Деятельность_УК!$A$190</f>
        <v>средний оклад, в месяц</v>
      </c>
      <c r="B15" s="762" t="str">
        <f>Деятельность_УК!$C$190</f>
        <v>тыс. руб.</v>
      </c>
      <c r="C15" s="712">
        <f ca="1">IFERROR(AVERAGE(Деятельность_УК!$E$190:'Деятельность_УК'!$H$190),"0")</f>
        <v>57.847000000000001</v>
      </c>
      <c r="D15" s="712">
        <f ca="1">IFERROR(AVERAGE(Деятельность_УК!$I$190:'Деятельность_УК'!$L$190),"0")</f>
        <v>59.251981148130184</v>
      </c>
      <c r="E15" s="712">
        <f ca="1">IFERROR(AVERAGE(Деятельность_УК!$M$190:'Деятельность_УК'!$P$190),"0")</f>
        <v>63.220458706625394</v>
      </c>
      <c r="F15" s="712">
        <f ca="1">IFERROR(AVERAGE(Деятельность_УК!$Q$190:'Деятельность_УК'!$T$190),"0")</f>
        <v>67.571570781066072</v>
      </c>
      <c r="G15" s="712">
        <f ca="1">IFERROR(AVERAGE(Деятельность_УК!$U$190:'Деятельность_УК'!$X$190),"0")</f>
        <v>72.218711364709492</v>
      </c>
      <c r="H15" s="712">
        <f ca="1">IFERROR(AVERAGE(Деятельность_УК!$Y$190:'Деятельность_УК'!$AB$190),"0")</f>
        <v>77.220627216431723</v>
      </c>
      <c r="I15" s="712">
        <f ca="1">IFERROR(AVERAGE(Деятельность_УК!$AC$190:'Деятельность_УК'!$AF$190),"0")</f>
        <v>82.506807378053011</v>
      </c>
      <c r="J15" s="712">
        <f ca="1">IFERROR(AVERAGE(Деятельность_УК!$AG$190:'Деятельность_УК'!$AJ$190),"0")</f>
        <v>88.110899653678871</v>
      </c>
      <c r="K15" s="712">
        <f ca="1">IFERROR(AVERAGE(Деятельность_УК!$AK$190:'Деятельность_УК'!$AN$190),"0")</f>
        <v>94.061151343928515</v>
      </c>
      <c r="L15" s="718">
        <f ca="1">IFERROR(AVERAGE(Деятельность_УК!$AO$190:'Деятельность_УК'!$AR$190),"0")</f>
        <v>100.35995855810194</v>
      </c>
      <c r="M15" s="682"/>
    </row>
    <row r="16" spans="1:13" ht="11.25" customHeight="1" x14ac:dyDescent="0.2">
      <c r="A16" s="638" t="str">
        <f>Деятельность_УК!$A$191</f>
        <v>заработная плата</v>
      </c>
      <c r="B16" s="687" t="str">
        <f>Деятельность_УК!$C$191</f>
        <v>тыс. руб.</v>
      </c>
      <c r="C16" s="713">
        <f ca="1">SUM(Деятельность_УК!$E$191:'Деятельность_УК'!$H$191)</f>
        <v>5379.7710000000006</v>
      </c>
      <c r="D16" s="713">
        <f ca="1">SUM(Деятельность_УК!$I$191:'Деятельность_УК'!$L$191)</f>
        <v>12132.602040492722</v>
      </c>
      <c r="E16" s="713">
        <f ca="1">SUM(Деятельность_УК!$M$191:'Деятельность_УК'!$P$191)</f>
        <v>15931.555594069599</v>
      </c>
      <c r="F16" s="713">
        <f ca="1">SUM(Деятельность_УК!$Q$191:'Деятельность_УК'!$T$191)</f>
        <v>17028.035836828647</v>
      </c>
      <c r="G16" s="713">
        <f ca="1">SUM(Деятельность_УК!$U$191:'Деятельность_УК'!$X$191)</f>
        <v>18199.115263906788</v>
      </c>
      <c r="H16" s="713">
        <f ca="1">SUM(Деятельность_УК!$Y$191:'Деятельность_УК'!$AB$191)</f>
        <v>19459.598058540796</v>
      </c>
      <c r="I16" s="713">
        <f ca="1">SUM(Деятельность_УК!$AC$191:'Деятельность_УК'!$AF$191)</f>
        <v>20791.715459269355</v>
      </c>
      <c r="J16" s="713">
        <f ca="1">SUM(Деятельность_УК!$AG$191:'Деятельность_УК'!$AJ$191)</f>
        <v>22203.946712727076</v>
      </c>
      <c r="K16" s="713">
        <f ca="1">SUM(Деятельность_УК!$AK$191:'Деятельность_УК'!$AN$191)</f>
        <v>23703.410138669984</v>
      </c>
      <c r="L16" s="713">
        <f ca="1">SUM(Деятельность_УК!$AO$191:'Деятельность_УК'!$AR$191)</f>
        <v>25290.70955664169</v>
      </c>
      <c r="M16" s="744">
        <f ca="1">Деятельность_УК!$AT$191</f>
        <v>180120.45966114665</v>
      </c>
    </row>
    <row r="17" spans="1:13" ht="11.25" customHeight="1" x14ac:dyDescent="0.2">
      <c r="A17" s="644" t="str">
        <f>Деятельность_УК!$A$197</f>
        <v>Изменение заработной платы</v>
      </c>
      <c r="B17" s="617" t="str">
        <f>Деятельность_УК!$C$197</f>
        <v>% в год</v>
      </c>
      <c r="C17" s="670">
        <f>IFERROR(AVERAGE(Деятельность_УК!$E$197:'Деятельность_УК'!$H$197),"0")</f>
        <v>0</v>
      </c>
      <c r="D17" s="670">
        <f>IFERROR(AVERAGE(Деятельность_УК!$I$197:'Деятельность_УК'!$L$197),"0")</f>
        <v>6.5636940856837134E-2</v>
      </c>
      <c r="E17" s="670">
        <f>IFERROR(AVERAGE(Деятельность_УК!$M$197:'Деятельность_УК'!$P$197),"0")</f>
        <v>6.9164258480914675E-2</v>
      </c>
      <c r="F17" s="670">
        <f>IFERROR(AVERAGE(Деятельность_УК!$Q$197:'Деятельность_УК'!$T$197),"0")</f>
        <v>6.8270657176112026E-2</v>
      </c>
      <c r="G17" s="670">
        <f>IFERROR(AVERAGE(Деятельность_УК!$U$197:'Деятельность_УК'!$X$197),"0")</f>
        <v>6.9593992275576166E-2</v>
      </c>
      <c r="H17" s="670">
        <f>IFERROR(AVERAGE(Деятельность_УК!$Y$197:'Деятельность_УК'!$AB$197),"0")</f>
        <v>6.8717549596758909E-2</v>
      </c>
      <c r="I17" s="670">
        <f>IFERROR(AVERAGE(Деятельность_УК!$AC$197:'Деятельность_УК'!$AF$197),"0")</f>
        <v>6.8028504971386461E-2</v>
      </c>
      <c r="J17" s="670">
        <f>IFERROR(AVERAGE(Деятельность_УК!$AG$197:'Деятельность_УК'!$AJ$197),"0")</f>
        <v>6.7750417348662717E-2</v>
      </c>
      <c r="K17" s="670">
        <f>IFERROR(AVERAGE(Деятельность_УК!$AK$197:'Деятельность_УК'!$AN$197),"0")</f>
        <v>6.7174282373121841E-2</v>
      </c>
      <c r="L17" s="671">
        <f>IFERROR(AVERAGE(Деятельность_УК!$AO$197:'Деятельность_УК'!$AR$197),"0")</f>
        <v>6.6623774358420818E-2</v>
      </c>
      <c r="M17" s="721"/>
    </row>
    <row r="18" spans="1:13" ht="11.25" customHeight="1" x14ac:dyDescent="0.2">
      <c r="A18" s="599"/>
      <c r="B18" s="599"/>
      <c r="C18" s="599"/>
      <c r="D18" s="599"/>
      <c r="E18" s="599"/>
      <c r="F18" s="599"/>
      <c r="G18" s="599"/>
      <c r="H18" s="599"/>
      <c r="I18" s="599"/>
      <c r="J18" s="599"/>
      <c r="K18" s="599"/>
      <c r="L18" s="599"/>
      <c r="M18" s="682"/>
    </row>
    <row r="19" spans="1:13" ht="11.25" customHeight="1" x14ac:dyDescent="0.2">
      <c r="A19" s="679" t="str">
        <f>Деятельность_УК!$A$201</f>
        <v>Затраты на производственный персонал, с соц. взносами</v>
      </c>
      <c r="B19" s="778" t="str">
        <f>Деятельность_УК!$C$201</f>
        <v>тыс. руб.</v>
      </c>
      <c r="C19" s="780">
        <f ca="1">SUM(Деятельность_УК!$E$201:'Деятельность_УК'!$H$201)</f>
        <v>0</v>
      </c>
      <c r="D19" s="780">
        <f ca="1">SUM(Деятельность_УК!$I$201:'Деятельность_УК'!$L$201)</f>
        <v>3791.5508467702298</v>
      </c>
      <c r="E19" s="780">
        <f ca="1">SUM(Деятельность_УК!$M$201:'Деятельность_УК'!$P$201)</f>
        <v>8985.0778064854312</v>
      </c>
      <c r="F19" s="780">
        <f ca="1">SUM(Деятельность_УК!$Q$201:'Деятельность_УК'!$T$201)</f>
        <v>12768.850691538108</v>
      </c>
      <c r="G19" s="780">
        <f ca="1">SUM(Деятельность_УК!$U$201:'Деятельность_УК'!$X$201)</f>
        <v>13647.0105976825</v>
      </c>
      <c r="H19" s="780">
        <f ca="1">SUM(Деятельность_УК!$Y$201:'Деятельность_УК'!$AB$201)</f>
        <v>14592.211603727123</v>
      </c>
      <c r="I19" s="780">
        <f ca="1">SUM(Деятельность_УК!$AC$201:'Деятельность_УК'!$AF$201)</f>
        <v>15591.129409426947</v>
      </c>
      <c r="J19" s="780">
        <f ca="1">SUM(Деятельность_УК!$AG$201:'Деятельность_УК'!$AJ$201)</f>
        <v>16650.122366108655</v>
      </c>
      <c r="K19" s="780">
        <f ca="1">SUM(Деятельность_УК!$AK$201:'Деятельность_УК'!$AN$201)</f>
        <v>17774.528303866722</v>
      </c>
      <c r="L19" s="780">
        <f ca="1">SUM(Деятельность_УК!$AO$201:'Деятельность_УК'!$AR$201)</f>
        <v>18964.800010190589</v>
      </c>
      <c r="M19" s="782">
        <f ca="1">Деятельность_УК!$AT$201</f>
        <v>122765.28163579627</v>
      </c>
    </row>
    <row r="20" spans="1:13" ht="11.25" customHeight="1" x14ac:dyDescent="0.2">
      <c r="A20" s="679" t="str">
        <f>Деятельность_УК!$A$209</f>
        <v>Затраты на административный персонал, с соц. взносами</v>
      </c>
      <c r="B20" s="778" t="str">
        <f>Деятельность_УК!$C$209</f>
        <v>тыс. руб.</v>
      </c>
      <c r="C20" s="780">
        <f ca="1">SUM(Деятельность_УК!$E$209:'Деятельность_УК'!$H$209)</f>
        <v>7025.9809260000002</v>
      </c>
      <c r="D20" s="780">
        <f ca="1">SUM(Деятельность_УК!$I$209:'Деятельность_УК'!$L$209)</f>
        <v>15845.178264883494</v>
      </c>
      <c r="E20" s="780">
        <f ca="1">SUM(Деятельность_УК!$M$209:'Деятельность_УК'!$P$209)</f>
        <v>20806.611605854898</v>
      </c>
      <c r="F20" s="780">
        <f ca="1">SUM(Деятельность_УК!$Q$209:'Деятельность_УК'!$T$209)</f>
        <v>22238.614802898213</v>
      </c>
      <c r="G20" s="780">
        <f ca="1">SUM(Деятельность_УК!$U$209:'Деятельность_УК'!$X$209)</f>
        <v>23768.044534662269</v>
      </c>
      <c r="H20" s="780">
        <f ca="1">SUM(Деятельность_УК!$Y$209:'Деятельность_УК'!$AB$209)</f>
        <v>25414.235064454282</v>
      </c>
      <c r="I20" s="780">
        <f ca="1">SUM(Деятельность_УК!$AC$209:'Деятельность_УК'!$AF$209)</f>
        <v>27153.98038980578</v>
      </c>
      <c r="J20" s="780">
        <f ca="1">SUM(Деятельность_УК!$AG$209:'Деятельность_УК'!$AJ$209)</f>
        <v>28998.354406821563</v>
      </c>
      <c r="K20" s="780">
        <f ca="1">SUM(Деятельность_УК!$AK$209:'Деятельность_УК'!$AN$209)</f>
        <v>30956.653641102996</v>
      </c>
      <c r="L20" s="780">
        <f ca="1">SUM(Деятельность_УК!$AO$209:'Деятельность_УК'!$AR$209)</f>
        <v>33029.666680974049</v>
      </c>
      <c r="M20" s="782">
        <f ca="1">Деятельность_УК!$AT$209</f>
        <v>235237.32031745758</v>
      </c>
    </row>
    <row r="21" spans="1:13" ht="11.25" customHeight="1" x14ac:dyDescent="0.2">
      <c r="A21" s="680" t="str">
        <f>Деятельность_УК!$A$217</f>
        <v>Итого: затраты на персонал, с соц. взносами</v>
      </c>
      <c r="B21" s="717" t="str">
        <f>Деятельность_УК!$C$217</f>
        <v>тыс. руб.</v>
      </c>
      <c r="C21" s="779">
        <f ca="1">SUM(Деятельность_УК!$E$217:'Деятельность_УК'!$H$217)</f>
        <v>7025.9809260000002</v>
      </c>
      <c r="D21" s="779">
        <f ca="1">SUM(Деятельность_УК!$I$217:'Деятельность_УК'!$L$217)</f>
        <v>19636.729111653724</v>
      </c>
      <c r="E21" s="779">
        <f ca="1">SUM(Деятельность_УК!$M$217:'Деятельность_УК'!$P$217)</f>
        <v>29791.689412340329</v>
      </c>
      <c r="F21" s="779">
        <f ca="1">SUM(Деятельность_УК!$Q$217:'Деятельность_УК'!$T$217)</f>
        <v>35007.465494436321</v>
      </c>
      <c r="G21" s="779">
        <f ca="1">SUM(Деятельность_УК!$U$217:'Деятельность_УК'!$X$217)</f>
        <v>37415.055132344765</v>
      </c>
      <c r="H21" s="779">
        <f ca="1">SUM(Деятельность_УК!$Y$217:'Деятельность_УК'!$AB$217)</f>
        <v>40006.446668181401</v>
      </c>
      <c r="I21" s="779">
        <f ca="1">SUM(Деятельность_УК!$AC$217:'Деятельность_УК'!$AF$217)</f>
        <v>42745.109799232727</v>
      </c>
      <c r="J21" s="779">
        <f ca="1">SUM(Деятельность_УК!$AG$217:'Деятельность_УК'!$AJ$217)</f>
        <v>45648.476772930218</v>
      </c>
      <c r="K21" s="779">
        <f ca="1">SUM(Деятельность_УК!$AK$217:'Деятельность_УК'!$AN$217)</f>
        <v>48731.181944969721</v>
      </c>
      <c r="L21" s="779">
        <f ca="1">SUM(Деятельность_УК!$AO$217:'Деятельность_УК'!$AR$217)</f>
        <v>51994.466691164642</v>
      </c>
      <c r="M21" s="782">
        <f ca="1">Деятельность_УК!$AT$217</f>
        <v>358002.60195325379</v>
      </c>
    </row>
    <row r="22" spans="1:13" ht="11.25" customHeight="1" x14ac:dyDescent="0.2">
      <c r="A22" s="680" t="str">
        <f>Деятельность_УК!$A$218</f>
        <v>Численность персонала (среднесписочная)</v>
      </c>
      <c r="B22" s="783" t="str">
        <f>Деятельность_УК!$C$218</f>
        <v>единиц</v>
      </c>
      <c r="C22" s="779">
        <f>IFERROR(AVERAGE(Деятельность_УК!$E$218:'Деятельность_УК'!$H$218),"0")</f>
        <v>7.75</v>
      </c>
      <c r="D22" s="779">
        <f>IFERROR(AVERAGE(Деятельность_УК!$I$218:'Деятельность_УК'!$L$218),"0")</f>
        <v>23</v>
      </c>
      <c r="E22" s="779">
        <f>IFERROR(AVERAGE(Деятельность_УК!$M$218:'Деятельность_УК'!$P$218),"0")</f>
        <v>34.5</v>
      </c>
      <c r="F22" s="779">
        <f>IFERROR(AVERAGE(Деятельность_УК!$Q$218:'Деятельность_УК'!$T$218),"0")</f>
        <v>39</v>
      </c>
      <c r="G22" s="779">
        <f>IFERROR(AVERAGE(Деятельность_УК!$U$218:'Деятельность_УК'!$X$218),"0")</f>
        <v>39</v>
      </c>
      <c r="H22" s="779">
        <f>IFERROR(AVERAGE(Деятельность_УК!$Y$218:'Деятельность_УК'!$AB$218),"0")</f>
        <v>39</v>
      </c>
      <c r="I22" s="779">
        <f>IFERROR(AVERAGE(Деятельность_УК!$AC$218:'Деятельность_УК'!$AF$218),"0")</f>
        <v>39</v>
      </c>
      <c r="J22" s="779">
        <f>IFERROR(AVERAGE(Деятельность_УК!$AG$218:'Деятельность_УК'!$AJ$218),"0")</f>
        <v>39</v>
      </c>
      <c r="K22" s="779">
        <f>IFERROR(AVERAGE(Деятельность_УК!$AK$218:'Деятельность_УК'!$AN$218),"0")</f>
        <v>39</v>
      </c>
      <c r="L22" s="784">
        <f>IFERROR(AVERAGE(Деятельность_УК!$AO$218:'Деятельность_УК'!$AR$218),"0")</f>
        <v>39</v>
      </c>
      <c r="M22" s="708"/>
    </row>
    <row r="23" spans="1:13" ht="11.25" customHeight="1" x14ac:dyDescent="0.2">
      <c r="A23" s="657" t="str">
        <f>Деятельность_УК!$A$219</f>
        <v>Cредняя заработная плата</v>
      </c>
      <c r="B23" s="717" t="str">
        <f>Деятельность_УК!$C$219</f>
        <v>тыс. руб.</v>
      </c>
      <c r="C23" s="761">
        <f ca="1">IFERROR(AVERAGE(Деятельность_УК!$E$219:'Деятельность_УК'!$H$219),"0")</f>
        <v>57.847000000000008</v>
      </c>
      <c r="D23" s="761">
        <f ca="1">IFERROR(AVERAGE(Деятельность_УК!$I$219:'Деятельность_УК'!$L$219),"0")</f>
        <v>55.638947860116367</v>
      </c>
      <c r="E23" s="761">
        <f ca="1">IFERROR(AVERAGE(Деятельность_УК!$M$219:'Деятельность_УК'!$P$219),"0")</f>
        <v>55.107318375596321</v>
      </c>
      <c r="F23" s="761">
        <f ca="1">IFERROR(AVERAGE(Деятельность_УК!$Q$219:'Деятельность_УК'!$T$219),"0")</f>
        <v>57.275862708662714</v>
      </c>
      <c r="G23" s="761">
        <f ca="1">IFERROR(AVERAGE(Деятельность_УК!$U$219:'Деятельность_УК'!$X$219),"0")</f>
        <v>61.214930322156725</v>
      </c>
      <c r="H23" s="761">
        <f ca="1">IFERROR(AVERAGE(Деятельность_УК!$Y$219:'Деятельность_УК'!$AB$219),"0")</f>
        <v>65.454717000074282</v>
      </c>
      <c r="I23" s="761">
        <f ca="1">IFERROR(AVERAGE(Деятельность_УК!$AC$219:'Деятельность_УК'!$AF$219),"0")</f>
        <v>69.935455359276588</v>
      </c>
      <c r="J23" s="761">
        <f ca="1">IFERROR(AVERAGE(Деятельность_УК!$AG$219:'Деятельность_УК'!$AJ$219),"0")</f>
        <v>74.685666373689827</v>
      </c>
      <c r="K23" s="761">
        <f ca="1">IFERROR(AVERAGE(Деятельность_УК!$AK$219:'Деятельность_УК'!$AN$219),"0")</f>
        <v>79.729293374709954</v>
      </c>
      <c r="L23" s="763">
        <f ca="1">IFERROR(AVERAGE(Деятельность_УК!$AO$219:'Деятельность_УК'!$AR$219),"0")</f>
        <v>85.068367382568027</v>
      </c>
      <c r="M23" s="652"/>
    </row>
    <row r="24" spans="1:13" ht="11.25" customHeight="1" x14ac:dyDescent="0.2">
      <c r="A24" s="657" t="str">
        <f>Деятельность_УК!$A$220</f>
        <v>Создано рабочих мест за период</v>
      </c>
      <c r="B24" s="717" t="str">
        <f>Деятельность_УК!$C$220</f>
        <v>единиц</v>
      </c>
      <c r="C24" s="742">
        <f>SUM(Деятельность_УК!$E$220:'Деятельность_УК'!$H$220)</f>
        <v>13</v>
      </c>
      <c r="D24" s="742">
        <f>SUM(Деятельность_УК!$I$220:'Деятельность_УК'!$L$220)</f>
        <v>20</v>
      </c>
      <c r="E24" s="742">
        <f>SUM(Деятельность_УК!$M$220:'Деятельность_УК'!$P$220)</f>
        <v>6</v>
      </c>
      <c r="F24" s="742">
        <f>SUM(Деятельность_УК!$Q$220:'Деятельность_УК'!$T$220)</f>
        <v>0</v>
      </c>
      <c r="G24" s="742">
        <f>SUM(Деятельность_УК!$U$220:'Деятельность_УК'!$X$220)</f>
        <v>0</v>
      </c>
      <c r="H24" s="742">
        <f>SUM(Деятельность_УК!$Y$220:'Деятельность_УК'!$AB$220)</f>
        <v>0</v>
      </c>
      <c r="I24" s="742">
        <f>SUM(Деятельность_УК!$AC$220:'Деятельность_УК'!$AF$220)</f>
        <v>0</v>
      </c>
      <c r="J24" s="742">
        <f>SUM(Деятельность_УК!$AG$220:'Деятельность_УК'!$AJ$220)</f>
        <v>0</v>
      </c>
      <c r="K24" s="742">
        <f>SUM(Деятельность_УК!$AK$220:'Деятельность_УК'!$AN$220)</f>
        <v>0</v>
      </c>
      <c r="L24" s="746">
        <f>SUM(Деятельность_УК!$AO$220:'Деятельность_УК'!$AR$220)</f>
        <v>0</v>
      </c>
      <c r="M24" s="652"/>
    </row>
    <row r="25" spans="1:13" ht="11.25" customHeight="1" x14ac:dyDescent="0.2">
      <c r="A25" s="657" t="str">
        <f>Деятельность_УК!$A$221</f>
        <v>Создано рабочих мест итого</v>
      </c>
      <c r="B25" s="717" t="str">
        <f>Деятельность_УК!$C$221</f>
        <v>единиц</v>
      </c>
      <c r="C25" s="742">
        <f>Деятельность_УК!$H$221</f>
        <v>13</v>
      </c>
      <c r="D25" s="742">
        <f>Деятельность_УК!$L$221</f>
        <v>33</v>
      </c>
      <c r="E25" s="742">
        <f>Деятельность_УК!$P$221</f>
        <v>39</v>
      </c>
      <c r="F25" s="742">
        <f>Деятельность_УК!$T$221</f>
        <v>39</v>
      </c>
      <c r="G25" s="742">
        <f>Деятельность_УК!$X$221</f>
        <v>39</v>
      </c>
      <c r="H25" s="742">
        <f>Деятельность_УК!$AB$221</f>
        <v>39</v>
      </c>
      <c r="I25" s="742">
        <f>Деятельность_УК!$AF$221</f>
        <v>39</v>
      </c>
      <c r="J25" s="742">
        <f>Деятельность_УК!$AJ$221</f>
        <v>39</v>
      </c>
      <c r="K25" s="742">
        <f>Деятельность_УК!$AN$221</f>
        <v>39</v>
      </c>
      <c r="L25" s="746">
        <f>Деятельность_УК!$AR$221</f>
        <v>39</v>
      </c>
      <c r="M25" s="652"/>
    </row>
    <row r="26" spans="1:13" ht="11.25" customHeight="1" x14ac:dyDescent="0.2">
      <c r="A26" s="638" t="str">
        <f>Деятельность_УК!$A$222</f>
        <v>заработная плата</v>
      </c>
      <c r="B26" s="664" t="str">
        <f>Деятельность_УК!$C$222</f>
        <v>тыс. руб.</v>
      </c>
      <c r="C26" s="713">
        <f ca="1">SUM(Деятельность_УК!$E$222:'Деятельность_УК'!$H$222)</f>
        <v>5379.7710000000006</v>
      </c>
      <c r="D26" s="713">
        <f ca="1">SUM(Деятельность_УК!$I$222:'Деятельность_УК'!$L$222)</f>
        <v>15035.780330515869</v>
      </c>
      <c r="E26" s="713">
        <f ca="1">SUM(Деятельность_УК!$M$222:'Деятельность_УК'!$P$222)</f>
        <v>22811.400775145732</v>
      </c>
      <c r="F26" s="713">
        <f ca="1">SUM(Деятельность_УК!$Q$222:'Деятельность_УК'!$T$222)</f>
        <v>26805.10374765415</v>
      </c>
      <c r="G26" s="713">
        <f ca="1">SUM(Деятельность_УК!$U$222:'Деятельность_УК'!$X$222)</f>
        <v>28648.587390769349</v>
      </c>
      <c r="H26" s="713">
        <f ca="1">SUM(Деятельность_УК!$Y$222:'Деятельность_УК'!$AB$222)</f>
        <v>30632.807556034768</v>
      </c>
      <c r="I26" s="713">
        <f ca="1">SUM(Деятельность_УК!$AC$222:'Деятельность_УК'!$AF$222)</f>
        <v>32729.793108141446</v>
      </c>
      <c r="J26" s="713">
        <f ca="1">SUM(Деятельность_УК!$AG$222:'Деятельность_УК'!$AJ$222)</f>
        <v>34952.891862886841</v>
      </c>
      <c r="K26" s="713">
        <f ca="1">SUM(Деятельность_УК!$AK$222:'Деятельность_УК'!$AN$222)</f>
        <v>37313.309299364264</v>
      </c>
      <c r="L26" s="713">
        <f ca="1">SUM(Деятельность_УК!$AO$222:'Деятельность_УК'!$AR$222)</f>
        <v>39811.995935041836</v>
      </c>
      <c r="M26" s="744">
        <f ca="1">Деятельность_УК!$AT$222</f>
        <v>274121.44100555428</v>
      </c>
    </row>
    <row r="27" spans="1:13" ht="11.25" customHeight="1" x14ac:dyDescent="0.2">
      <c r="A27" s="599"/>
      <c r="B27" s="599"/>
      <c r="C27" s="599"/>
      <c r="D27" s="599"/>
      <c r="E27" s="599"/>
      <c r="F27" s="599"/>
      <c r="G27" s="599"/>
      <c r="H27" s="599"/>
      <c r="I27" s="599"/>
      <c r="J27" s="599"/>
      <c r="K27" s="599"/>
      <c r="L27" s="599"/>
      <c r="M27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6&amp;R&amp;"Arial,полужирный"&amp;10Проект создания ИП «Бугры» на территории Ленинградской области. Управляющая компания.
&amp;C&amp;"Arial,полужирный"&amp;13
ПЕРСОНАЛ И ЗАРАБОТНАЯ ПЛАТА</oddHead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32"/>
  <dimension ref="A1:M51"/>
  <sheetViews>
    <sheetView workbookViewId="0"/>
  </sheetViews>
  <sheetFormatPr defaultRowHeight="12.75" x14ac:dyDescent="0.2"/>
  <cols>
    <col min="1" max="1" width="48.42578125" customWidth="1"/>
    <col min="2" max="2" width="8.42578125" customWidth="1"/>
    <col min="3" max="13" width="7.7109375" customWidth="1"/>
  </cols>
  <sheetData>
    <row r="1" spans="1:13" s="301" customFormat="1" ht="26.1" customHeight="1" x14ac:dyDescent="0.2">
      <c r="A1" s="613" t="str">
        <f>Деятельность_УК!$A$237</f>
        <v>ОПЕРАЦИОННЫЕ РАСХОДЫ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  <c r="M1" s="614" t="str">
        <f>Деятельность_УК!$AT$237</f>
        <v>ИТОГО</v>
      </c>
    </row>
    <row r="2" spans="1:13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682"/>
    </row>
    <row r="3" spans="1:13" ht="11.25" customHeight="1" x14ac:dyDescent="0.2">
      <c r="A3" s="679" t="str">
        <f>Деятельность_УК!$A$240</f>
        <v>Производственные издержки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82"/>
    </row>
    <row r="4" spans="1:13" ht="11.25" customHeight="1" x14ac:dyDescent="0.2">
      <c r="A4" s="599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682"/>
    </row>
    <row r="5" spans="1:13" ht="11.25" customHeight="1" x14ac:dyDescent="0.2">
      <c r="A5" s="731" t="str">
        <f>Деятельность_УК!$A$242</f>
        <v>Содержание и обслуживание территорий</v>
      </c>
      <c r="B5" s="733">
        <f>Деятельность_УК!$C$242</f>
        <v>1</v>
      </c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682"/>
    </row>
    <row r="6" spans="1:13" ht="11.25" customHeight="1" x14ac:dyDescent="0.2">
      <c r="A6" s="638" t="str">
        <f>Деятельность_УК!$A$243</f>
        <v>затраты за период без НДС</v>
      </c>
      <c r="B6" s="687" t="str">
        <f>Деятельность_УК!$C$243</f>
        <v>тыс. руб.</v>
      </c>
      <c r="C6" s="786">
        <f>SUM(Деятельность_УК!$E$243:'Деятельность_УК'!$H$243)</f>
        <v>1713.8212978820225</v>
      </c>
      <c r="D6" s="786">
        <f>SUM(Деятельность_УК!$I$243:'Деятельность_УК'!$L$243)</f>
        <v>3427.6425957640449</v>
      </c>
      <c r="E6" s="786">
        <f>SUM(Деятельность_УК!$M$243:'Деятельность_УК'!$P$243)</f>
        <v>5134.3722193100029</v>
      </c>
      <c r="F6" s="786">
        <f>SUM(Деятельность_УК!$Q$243:'Деятельность_УК'!$T$243)</f>
        <v>5987.737031082982</v>
      </c>
      <c r="G6" s="786">
        <f>SUM(Деятельность_УК!$U$243:'Деятельность_УК'!$X$243)</f>
        <v>19048.237266666671</v>
      </c>
      <c r="H6" s="786">
        <f>SUM(Деятельность_УК!$Y$243:'Деятельность_УК'!$AB$243)</f>
        <v>19048.237266666671</v>
      </c>
      <c r="I6" s="786">
        <f>SUM(Деятельность_УК!$AC$243:'Деятельность_УК'!$AF$243)</f>
        <v>19048.237266666671</v>
      </c>
      <c r="J6" s="786">
        <f>SUM(Деятельность_УК!$AG$243:'Деятельность_УК'!$AJ$243)</f>
        <v>19048.237266666671</v>
      </c>
      <c r="K6" s="786">
        <f>SUM(Деятельность_УК!$AK$243:'Деятельность_УК'!$AN$243)</f>
        <v>19048.237266666671</v>
      </c>
      <c r="L6" s="786">
        <f>SUM(Деятельность_УК!$AO$243:'Деятельность_УК'!$AR$243)</f>
        <v>19048.237266666671</v>
      </c>
      <c r="M6" s="744">
        <f>Деятельность_УК!$AT$243</f>
        <v>130552.99674403903</v>
      </c>
    </row>
    <row r="7" spans="1:13" ht="11.25" customHeight="1" x14ac:dyDescent="0.2">
      <c r="A7" s="787" t="str">
        <f>Деятельность_УК!$A$245</f>
        <v>НДС начисленный</v>
      </c>
      <c r="B7" s="623" t="str">
        <f>Деятельность_УК!$C$245</f>
        <v>тыс. руб.</v>
      </c>
      <c r="C7" s="749">
        <f ca="1">SUM(Деятельность_УК!$E$245:'Деятельность_УК'!$H$245)</f>
        <v>342.76425957640453</v>
      </c>
      <c r="D7" s="749">
        <f ca="1">SUM(Деятельность_УК!$I$245:'Деятельность_УК'!$L$245)</f>
        <v>695.75578579635294</v>
      </c>
      <c r="E7" s="749">
        <f ca="1">SUM(Деятельность_УК!$M$245:'Деятельность_УК'!$P$245)</f>
        <v>1083.9354589884556</v>
      </c>
      <c r="F7" s="749">
        <f ca="1">SUM(Деятельность_УК!$Q$245:'Деятельность_УК'!$T$245)</f>
        <v>1314.5218355697057</v>
      </c>
      <c r="G7" s="749">
        <f ca="1">SUM(Деятельность_УК!$U$245:'Деятельность_УК'!$X$245)</f>
        <v>4348.3416510494571</v>
      </c>
      <c r="H7" s="749">
        <f ca="1">SUM(Деятельность_УК!$Y$245:'Деятельность_УК'!$AB$245)</f>
        <v>4521.8454001085092</v>
      </c>
      <c r="I7" s="749">
        <f ca="1">SUM(Деятельность_УК!$AC$245:'Деятельность_УК'!$AF$245)</f>
        <v>4702.2719916302567</v>
      </c>
      <c r="J7" s="749">
        <f ca="1">SUM(Деятельность_УК!$AG$245:'Деятельность_УК'!$AJ$245)</f>
        <v>4889.53824514404</v>
      </c>
      <c r="K7" s="749">
        <f ca="1">SUM(Деятельность_УК!$AK$245:'Деятельность_УК'!$AN$245)</f>
        <v>5083.6755690647733</v>
      </c>
      <c r="L7" s="749">
        <f ca="1">SUM(Деятельность_УК!$AO$245:'Деятельность_УК'!$AR$245)</f>
        <v>5284.9878843231209</v>
      </c>
      <c r="M7" s="769">
        <f ca="1">Деятельность_УК!$AT$245</f>
        <v>32267.638081251076</v>
      </c>
    </row>
    <row r="8" spans="1:13" ht="11.25" customHeight="1" x14ac:dyDescent="0.2">
      <c r="A8" s="787" t="str">
        <f>Деятельность_УК!$A$246</f>
        <v>затраты с учетом инфляции, без НДС</v>
      </c>
      <c r="B8" s="623" t="str">
        <f>Деятельность_УК!$C$246</f>
        <v>тыс. руб.</v>
      </c>
      <c r="C8" s="749">
        <f ca="1">SUM(Деятельность_УК!$E$246:'Деятельность_УК'!$H$246)</f>
        <v>1713.8212978820225</v>
      </c>
      <c r="D8" s="749">
        <f ca="1">SUM(Деятельность_УК!$I$246:'Деятельность_УК'!$L$246)</f>
        <v>3478.7789289817647</v>
      </c>
      <c r="E8" s="749">
        <f ca="1">SUM(Деятельность_УК!$M$246:'Деятельность_УК'!$P$246)</f>
        <v>5419.6772949422775</v>
      </c>
      <c r="F8" s="749">
        <f ca="1">SUM(Деятельность_УК!$Q$246:'Деятельность_УК'!$T$246)</f>
        <v>6572.6091778485279</v>
      </c>
      <c r="G8" s="749">
        <f ca="1">SUM(Деятельность_УК!$U$246:'Деятельность_УК'!$X$246)</f>
        <v>21741.708255247286</v>
      </c>
      <c r="H8" s="749">
        <f ca="1">SUM(Деятельность_УК!$Y$246:'Деятельность_УК'!$AB$246)</f>
        <v>22609.227000542545</v>
      </c>
      <c r="I8" s="749">
        <f ca="1">SUM(Деятельность_УК!$AC$246:'Деятельность_УК'!$AF$246)</f>
        <v>23511.359958151283</v>
      </c>
      <c r="J8" s="749">
        <f ca="1">SUM(Деятельность_УК!$AG$246:'Деятельность_УК'!$AJ$246)</f>
        <v>24447.691225720198</v>
      </c>
      <c r="K8" s="749">
        <f ca="1">SUM(Деятельность_УК!$AK$246:'Деятельность_УК'!$AN$246)</f>
        <v>25418.377845323866</v>
      </c>
      <c r="L8" s="749">
        <f ca="1">SUM(Деятельность_УК!$AO$246:'Деятельность_УК'!$AR$246)</f>
        <v>26424.9394216156</v>
      </c>
      <c r="M8" s="753">
        <f ca="1">Деятельность_УК!$AT$246</f>
        <v>161338.19040625537</v>
      </c>
    </row>
    <row r="9" spans="1:13" ht="11.25" customHeight="1" x14ac:dyDescent="0.2">
      <c r="A9" s="644" t="str">
        <f>Деятельность_УК!$A$247</f>
        <v>Инфляция</v>
      </c>
      <c r="B9" s="617" t="str">
        <f>Деятельность_УК!$C$247</f>
        <v>% в год</v>
      </c>
      <c r="C9" s="670">
        <f>IFERROR(AVERAGE(Деятельность_УК!$E$247:'Деятельность_УК'!$H$247),"0")</f>
        <v>0</v>
      </c>
      <c r="D9" s="670">
        <f>IFERROR(AVERAGE(Деятельность_УК!$I$247:'Деятельность_УК'!$L$247),"0")</f>
        <v>4.011212875388237E-2</v>
      </c>
      <c r="E9" s="670">
        <f>IFERROR(AVERAGE(Деятельность_УК!$M$247:'Деятельность_УК'!$P$247),"0")</f>
        <v>3.9951351517419909E-2</v>
      </c>
      <c r="F9" s="670">
        <f>IFERROR(AVERAGE(Деятельность_УК!$Q$247:'Деятельность_УК'!$T$247),"0")</f>
        <v>3.9799274348962799E-2</v>
      </c>
      <c r="G9" s="670">
        <f>IFERROR(AVERAGE(Деятельность_УК!$U$247:'Деятельность_УК'!$X$247),"0")</f>
        <v>3.9889661086839556E-2</v>
      </c>
      <c r="H9" s="670">
        <f>IFERROR(AVERAGE(Деятельность_УК!$Y$247:'Деятельность_УК'!$AB$247),"0")</f>
        <v>3.9919999999999956E-2</v>
      </c>
      <c r="I9" s="670">
        <f>IFERROR(AVERAGE(Деятельность_УК!$AC$247:'Деятельность_УК'!$AF$247),"0")</f>
        <v>3.986999999999985E-2</v>
      </c>
      <c r="J9" s="670">
        <f>IFERROR(AVERAGE(Деятельность_УК!$AG$247:'Деятельность_УК'!$AJ$247),"0")</f>
        <v>3.9749999999999952E-2</v>
      </c>
      <c r="K9" s="670">
        <f>IFERROR(AVERAGE(Деятельность_УК!$AK$247:'Деятельность_УК'!$AN$247),"0")</f>
        <v>3.9629999999999832E-2</v>
      </c>
      <c r="L9" s="671">
        <f>IFERROR(AVERAGE(Деятельность_УК!$AO$247:'Деятельность_УК'!$AR$247),"0")</f>
        <v>3.9549999999999974E-2</v>
      </c>
      <c r="M9" s="721"/>
    </row>
    <row r="10" spans="1:13" ht="22.5" x14ac:dyDescent="0.2">
      <c r="A10" s="789" t="str">
        <f>Деятельность_УК!$A$250</f>
        <v>Содержание и обслуживание инфраструктуры и зданий на балансе УК</v>
      </c>
      <c r="B10" s="733">
        <f>Деятельность_УК!$C$250</f>
        <v>1</v>
      </c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682"/>
    </row>
    <row r="11" spans="1:13" ht="11.25" customHeight="1" x14ac:dyDescent="0.2">
      <c r="A11" s="638" t="str">
        <f>Деятельность_УК!$A$251</f>
        <v>затраты за период без НДС</v>
      </c>
      <c r="B11" s="687" t="str">
        <f>Деятельность_УК!$C$251</f>
        <v>тыс. руб.</v>
      </c>
      <c r="C11" s="786">
        <f ca="1">SUM(Деятельность_УК!$E$251:'Деятельность_УК'!$H$251)</f>
        <v>1201.390625</v>
      </c>
      <c r="D11" s="786">
        <f ca="1">SUM(Деятельность_УК!$I$251:'Деятельность_УК'!$L$251)</f>
        <v>2558.0467043852805</v>
      </c>
      <c r="E11" s="786">
        <f ca="1">SUM(Деятельность_УК!$M$251:'Деятельность_УК'!$P$251)</f>
        <v>4368.0525525514677</v>
      </c>
      <c r="F11" s="786">
        <f ca="1">SUM(Деятельность_УК!$Q$251:'Деятельность_УК'!$T$251)</f>
        <v>5668.6572798671623</v>
      </c>
      <c r="G11" s="786">
        <f ca="1">SUM(Деятельность_УК!$U$251:'Деятельность_УК'!$X$251)</f>
        <v>14271.929931553925</v>
      </c>
      <c r="H11" s="786">
        <f ca="1">SUM(Деятельность_УК!$Y$251:'Деятельность_УК'!$AB$251)</f>
        <v>14271.929931553919</v>
      </c>
      <c r="I11" s="786">
        <f ca="1">SUM(Деятельность_УК!$AC$251:'Деятельность_УК'!$AF$251)</f>
        <v>14271.929931553919</v>
      </c>
      <c r="J11" s="786">
        <f ca="1">SUM(Деятельность_УК!$AG$251:'Деятельность_УК'!$AJ$251)</f>
        <v>14271.929931553914</v>
      </c>
      <c r="K11" s="786">
        <f ca="1">SUM(Деятельность_УК!$AK$251:'Деятельность_УК'!$AN$251)</f>
        <v>13731.146034133624</v>
      </c>
      <c r="L11" s="786">
        <f ca="1">SUM(Деятельность_УК!$AO$251:'Деятельность_УК'!$AR$251)</f>
        <v>7998.0461485323913</v>
      </c>
      <c r="M11" s="744">
        <f ca="1">Деятельность_УК!$AT$251</f>
        <v>92613.059070685646</v>
      </c>
    </row>
    <row r="12" spans="1:13" ht="11.25" customHeight="1" x14ac:dyDescent="0.2">
      <c r="A12" s="787" t="str">
        <f>Деятельность_УК!$A$253</f>
        <v>НДС начисленный</v>
      </c>
      <c r="B12" s="623" t="str">
        <f>Деятельность_УК!$C$253</f>
        <v>тыс. руб.</v>
      </c>
      <c r="C12" s="749">
        <f ca="1">SUM(Деятельность_УК!$E$253:'Деятельность_УК'!$H$253)</f>
        <v>240.27812500000002</v>
      </c>
      <c r="D12" s="749">
        <f ca="1">SUM(Деятельность_УК!$I$253:'Деятельность_УК'!$L$253)</f>
        <v>519.7082627393238</v>
      </c>
      <c r="E12" s="749">
        <f ca="1">SUM(Деятельность_УК!$M$253:'Деятельность_УК'!$P$253)</f>
        <v>922.76164189491715</v>
      </c>
      <c r="F12" s="749">
        <f ca="1">SUM(Деятельность_УК!$Q$253:'Деятельность_УК'!$T$253)</f>
        <v>1244.4724499530696</v>
      </c>
      <c r="G12" s="749">
        <f ca="1">SUM(Деятельность_УК!$U$253:'Деятельность_УК'!$X$253)</f>
        <v>3258.0036931204891</v>
      </c>
      <c r="H12" s="749">
        <f ca="1">SUM(Деятельность_УК!$Y$253:'Деятельность_УК'!$AB$253)</f>
        <v>3388.0017246845946</v>
      </c>
      <c r="I12" s="749">
        <f ca="1">SUM(Деятельность_УК!$AC$253:'Деятельность_УК'!$AF$253)</f>
        <v>3523.186709832466</v>
      </c>
      <c r="J12" s="749">
        <f ca="1">SUM(Деятельность_УК!$AG$253:'Деятельность_УК'!$AJ$253)</f>
        <v>3663.4963254298273</v>
      </c>
      <c r="K12" s="749">
        <f ca="1">SUM(Деятельность_УК!$AK$253:'Деятельность_УК'!$AN$253)</f>
        <v>3664.627369543532</v>
      </c>
      <c r="L12" s="749">
        <f ca="1">SUM(Деятельность_УК!$AO$253:'Деятельность_УК'!$AR$253)</f>
        <v>2219.0807685507066</v>
      </c>
      <c r="M12" s="769">
        <f ca="1">Деятельность_УК!$AT$253</f>
        <v>22643.617070748918</v>
      </c>
    </row>
    <row r="13" spans="1:13" ht="11.25" customHeight="1" x14ac:dyDescent="0.2">
      <c r="A13" s="787" t="str">
        <f>Деятельность_УК!$A$254</f>
        <v>затраты с учетом инфляции, без НДС</v>
      </c>
      <c r="B13" s="623" t="str">
        <f>Деятельность_УК!$C$254</f>
        <v>тыс. руб.</v>
      </c>
      <c r="C13" s="749">
        <f ca="1">SUM(Деятельность_УК!$E$254:'Деятельность_УК'!$H$254)</f>
        <v>1201.390625</v>
      </c>
      <c r="D13" s="749">
        <f ca="1">SUM(Деятельность_УК!$I$254:'Деятельность_УК'!$L$254)</f>
        <v>2598.541313696619</v>
      </c>
      <c r="E13" s="749">
        <f ca="1">SUM(Деятельность_УК!$M$254:'Деятельность_УК'!$P$254)</f>
        <v>4613.8082094745851</v>
      </c>
      <c r="F13" s="749">
        <f ca="1">SUM(Деятельность_УК!$Q$254:'Деятельность_УК'!$T$254)</f>
        <v>6222.3622497653478</v>
      </c>
      <c r="G13" s="749">
        <f ca="1">SUM(Деятельность_УК!$U$254:'Деятельность_УК'!$X$254)</f>
        <v>16290.018465602447</v>
      </c>
      <c r="H13" s="749">
        <f ca="1">SUM(Деятельность_УК!$Y$254:'Деятельность_УК'!$AB$254)</f>
        <v>16940.008623422971</v>
      </c>
      <c r="I13" s="749">
        <f ca="1">SUM(Деятельность_УК!$AC$254:'Деятельность_УК'!$AF$254)</f>
        <v>17615.933549162328</v>
      </c>
      <c r="J13" s="749">
        <f ca="1">SUM(Деятельность_УК!$AG$254:'Деятельность_УК'!$AJ$254)</f>
        <v>18317.481627149136</v>
      </c>
      <c r="K13" s="749">
        <f ca="1">SUM(Деятельность_УК!$AK$254:'Деятельность_УК'!$AN$254)</f>
        <v>18323.136847717658</v>
      </c>
      <c r="L13" s="749">
        <f ca="1">SUM(Деятельность_УК!$AO$254:'Деятельность_УК'!$AR$254)</f>
        <v>11095.403842753532</v>
      </c>
      <c r="M13" s="753">
        <f ca="1">Деятельность_УК!$AT$254</f>
        <v>113218.08535374462</v>
      </c>
    </row>
    <row r="14" spans="1:13" ht="11.25" customHeight="1" x14ac:dyDescent="0.2">
      <c r="A14" s="644" t="str">
        <f>Деятельность_УК!$A$255</f>
        <v>Инфляция</v>
      </c>
      <c r="B14" s="617" t="str">
        <f>Деятельность_УК!$C$255</f>
        <v>% в год</v>
      </c>
      <c r="C14" s="670">
        <f>IFERROR(AVERAGE(Деятельность_УК!$E$255:'Деятельность_УК'!$H$255),"0")</f>
        <v>0</v>
      </c>
      <c r="D14" s="670">
        <f>IFERROR(AVERAGE(Деятельность_УК!$I$255:'Деятельность_УК'!$L$255),"0")</f>
        <v>4.011212875388237E-2</v>
      </c>
      <c r="E14" s="670">
        <f>IFERROR(AVERAGE(Деятельность_УК!$M$255:'Деятельность_УК'!$P$255),"0")</f>
        <v>3.9951351517419909E-2</v>
      </c>
      <c r="F14" s="670">
        <f>IFERROR(AVERAGE(Деятельность_УК!$Q$255:'Деятельность_УК'!$T$255),"0")</f>
        <v>3.9799274348962799E-2</v>
      </c>
      <c r="G14" s="670">
        <f>IFERROR(AVERAGE(Деятельность_УК!$U$255:'Деятельность_УК'!$X$255),"0")</f>
        <v>3.9889661086839556E-2</v>
      </c>
      <c r="H14" s="670">
        <f>IFERROR(AVERAGE(Деятельность_УК!$Y$255:'Деятельность_УК'!$AB$255),"0")</f>
        <v>3.9919999999999956E-2</v>
      </c>
      <c r="I14" s="670">
        <f>IFERROR(AVERAGE(Деятельность_УК!$AC$255:'Деятельность_УК'!$AF$255),"0")</f>
        <v>3.986999999999985E-2</v>
      </c>
      <c r="J14" s="670">
        <f>IFERROR(AVERAGE(Деятельность_УК!$AG$255:'Деятельность_УК'!$AJ$255),"0")</f>
        <v>3.9749999999999952E-2</v>
      </c>
      <c r="K14" s="670">
        <f>IFERROR(AVERAGE(Деятельность_УК!$AK$255:'Деятельность_УК'!$AN$255),"0")</f>
        <v>3.9629999999999832E-2</v>
      </c>
      <c r="L14" s="671">
        <f>IFERROR(AVERAGE(Деятельность_УК!$AO$255:'Деятельность_УК'!$AR$255),"0")</f>
        <v>3.9549999999999974E-2</v>
      </c>
      <c r="M14" s="721"/>
    </row>
    <row r="15" spans="1:13" ht="11.25" customHeight="1" x14ac:dyDescent="0.2">
      <c r="A15" s="731" t="str">
        <f>Деятельность_УК!$A$258</f>
        <v>Услуги ЧОП</v>
      </c>
      <c r="B15" s="733">
        <f>Деятельность_УК!$C$258</f>
        <v>1</v>
      </c>
      <c r="C15" s="773"/>
      <c r="D15" s="773"/>
      <c r="E15" s="773"/>
      <c r="F15" s="773"/>
      <c r="G15" s="773"/>
      <c r="H15" s="773"/>
      <c r="I15" s="773"/>
      <c r="J15" s="773"/>
      <c r="K15" s="773"/>
      <c r="L15" s="773"/>
      <c r="M15" s="682"/>
    </row>
    <row r="16" spans="1:13" ht="11.25" customHeight="1" x14ac:dyDescent="0.2">
      <c r="A16" s="638" t="str">
        <f>Деятельность_УК!$A$260</f>
        <v>затраты за период без НДС</v>
      </c>
      <c r="B16" s="687" t="str">
        <f>Деятельность_УК!$C$260</f>
        <v>тыс. руб.</v>
      </c>
      <c r="C16" s="786">
        <f>SUM(Деятельность_УК!$E$260:'Деятельность_УК'!$H$260)</f>
        <v>4000</v>
      </c>
      <c r="D16" s="786">
        <f>SUM(Деятельность_УК!$I$260:'Деятельность_УК'!$L$260)</f>
        <v>4000</v>
      </c>
      <c r="E16" s="786">
        <f>SUM(Деятельность_УК!$M$260:'Деятельность_УК'!$P$260)</f>
        <v>4000</v>
      </c>
      <c r="F16" s="786">
        <f>SUM(Деятельность_УК!$Q$260:'Деятельность_УК'!$T$260)</f>
        <v>4000</v>
      </c>
      <c r="G16" s="786">
        <f>SUM(Деятельность_УК!$U$260:'Деятельность_УК'!$X$260)</f>
        <v>4000</v>
      </c>
      <c r="H16" s="786">
        <f>SUM(Деятельность_УК!$Y$260:'Деятельность_УК'!$AB$260)</f>
        <v>4000</v>
      </c>
      <c r="I16" s="786">
        <f>SUM(Деятельность_УК!$AC$260:'Деятельность_УК'!$AF$260)</f>
        <v>4000</v>
      </c>
      <c r="J16" s="786">
        <f>SUM(Деятельность_УК!$AG$260:'Деятельность_УК'!$AJ$260)</f>
        <v>4000</v>
      </c>
      <c r="K16" s="786">
        <f>SUM(Деятельность_УК!$AK$260:'Деятельность_УК'!$AN$260)</f>
        <v>4000</v>
      </c>
      <c r="L16" s="786">
        <f>SUM(Деятельность_УК!$AO$260:'Деятельность_УК'!$AR$260)</f>
        <v>4000</v>
      </c>
      <c r="M16" s="744">
        <f>Деятельность_УК!$AT$260</f>
        <v>40000</v>
      </c>
    </row>
    <row r="17" spans="1:13" ht="11.25" customHeight="1" x14ac:dyDescent="0.2">
      <c r="A17" s="787" t="str">
        <f>Деятельность_УК!$A$262</f>
        <v>НДС начисленный</v>
      </c>
      <c r="B17" s="623" t="str">
        <f>Деятельность_УК!$C$262</f>
        <v>тыс. руб.</v>
      </c>
      <c r="C17" s="749">
        <f ca="1">SUM(Деятельность_УК!$E$262:'Деятельность_УК'!$H$262)</f>
        <v>800</v>
      </c>
      <c r="D17" s="749">
        <f ca="1">SUM(Деятельность_УК!$I$262:'Деятельность_УК'!$L$262)</f>
        <v>811.93504440186734</v>
      </c>
      <c r="E17" s="749">
        <f ca="1">SUM(Деятельность_УК!$M$262:'Деятельность_УК'!$P$262)</f>
        <v>844.45413202560781</v>
      </c>
      <c r="F17" s="749">
        <f ca="1">SUM(Деятельность_УК!$Q$262:'Деятельность_УК'!$T$262)</f>
        <v>878.14266307680691</v>
      </c>
      <c r="G17" s="749">
        <f ca="1">SUM(Деятельность_УК!$U$262:'Деятельность_УК'!$X$262)</f>
        <v>913.12210997262355</v>
      </c>
      <c r="H17" s="749">
        <f ca="1">SUM(Деятельность_УК!$Y$262:'Деятельность_УК'!$AB$262)</f>
        <v>949.55671473527491</v>
      </c>
      <c r="I17" s="749">
        <f ca="1">SUM(Деятельность_УК!$AC$262:'Деятельность_УК'!$AF$262)</f>
        <v>987.44506923146423</v>
      </c>
      <c r="J17" s="749">
        <f ca="1">SUM(Деятельность_УК!$AG$262:'Деятельность_УК'!$AJ$262)</f>
        <v>1026.7697061292813</v>
      </c>
      <c r="K17" s="749">
        <f ca="1">SUM(Деятельность_УК!$AK$262:'Деятельность_УК'!$AN$262)</f>
        <v>1067.5372209817895</v>
      </c>
      <c r="L17" s="749">
        <f ca="1">SUM(Деятельность_УК!$AO$262:'Деятельность_УК'!$AR$262)</f>
        <v>1109.8114351130114</v>
      </c>
      <c r="M17" s="769">
        <f ca="1">Деятельность_УК!$AT$262</f>
        <v>9388.7740956677262</v>
      </c>
    </row>
    <row r="18" spans="1:13" ht="11.25" customHeight="1" x14ac:dyDescent="0.2">
      <c r="A18" s="787" t="str">
        <f>Деятельность_УК!$A$263</f>
        <v>затраты с учетом инфляции, без НДС</v>
      </c>
      <c r="B18" s="623" t="str">
        <f>Деятельность_УК!$C$263</f>
        <v>тыс. руб.</v>
      </c>
      <c r="C18" s="749">
        <f ca="1">SUM(Деятельность_УК!$E$263:'Деятельность_УК'!$H$263)</f>
        <v>4000</v>
      </c>
      <c r="D18" s="749">
        <f ca="1">SUM(Деятельность_УК!$I$263:'Деятельность_УК'!$L$263)</f>
        <v>4059.6752220093367</v>
      </c>
      <c r="E18" s="749">
        <f ca="1">SUM(Деятельность_УК!$M$263:'Деятельность_УК'!$P$263)</f>
        <v>4222.2706601280388</v>
      </c>
      <c r="F18" s="749">
        <f ca="1">SUM(Деятельность_УК!$Q$263:'Деятельность_УК'!$T$263)</f>
        <v>4390.7133153840341</v>
      </c>
      <c r="G18" s="749">
        <f ca="1">SUM(Деятельность_УК!$U$263:'Деятельность_УК'!$X$263)</f>
        <v>4565.6105498631177</v>
      </c>
      <c r="H18" s="749">
        <f ca="1">SUM(Деятельность_УК!$Y$263:'Деятельность_УК'!$AB$263)</f>
        <v>4747.7835736763745</v>
      </c>
      <c r="I18" s="749">
        <f ca="1">SUM(Деятельность_УК!$AC$263:'Деятельность_УК'!$AF$263)</f>
        <v>4937.22534615732</v>
      </c>
      <c r="J18" s="749">
        <f ca="1">SUM(Деятельность_УК!$AG$263:'Деятельность_УК'!$AJ$263)</f>
        <v>5133.8485306464063</v>
      </c>
      <c r="K18" s="749">
        <f ca="1">SUM(Деятельность_УК!$AK$263:'Деятельность_УК'!$AN$263)</f>
        <v>5337.6861049089475</v>
      </c>
      <c r="L18" s="749">
        <f ca="1">SUM(Деятельность_УК!$AO$263:'Деятельность_УК'!$AR$263)</f>
        <v>5549.0571755650562</v>
      </c>
      <c r="M18" s="753">
        <f ca="1">Деятельность_УК!$AT$263</f>
        <v>46943.870478338627</v>
      </c>
    </row>
    <row r="19" spans="1:13" ht="11.25" customHeight="1" x14ac:dyDescent="0.2">
      <c r="A19" s="644" t="str">
        <f>Деятельность_УК!$A$264</f>
        <v>Инфляция</v>
      </c>
      <c r="B19" s="617" t="str">
        <f>Деятельность_УК!$C$264</f>
        <v>% в год</v>
      </c>
      <c r="C19" s="670">
        <f>IFERROR(AVERAGE(Деятельность_УК!$E$264:'Деятельность_УК'!$H$264),"0")</f>
        <v>0</v>
      </c>
      <c r="D19" s="670">
        <f>IFERROR(AVERAGE(Деятельность_УК!$I$264:'Деятельность_УК'!$L$264),"0")</f>
        <v>4.011212875388237E-2</v>
      </c>
      <c r="E19" s="670">
        <f>IFERROR(AVERAGE(Деятельность_УК!$M$264:'Деятельность_УК'!$P$264),"0")</f>
        <v>3.9951351517419909E-2</v>
      </c>
      <c r="F19" s="670">
        <f>IFERROR(AVERAGE(Деятельность_УК!$Q$264:'Деятельность_УК'!$T$264),"0")</f>
        <v>3.9799274348962799E-2</v>
      </c>
      <c r="G19" s="670">
        <f>IFERROR(AVERAGE(Деятельность_УК!$U$264:'Деятельность_УК'!$X$264),"0")</f>
        <v>3.9889661086839556E-2</v>
      </c>
      <c r="H19" s="670">
        <f>IFERROR(AVERAGE(Деятельность_УК!$Y$264:'Деятельность_УК'!$AB$264),"0")</f>
        <v>3.9919999999999956E-2</v>
      </c>
      <c r="I19" s="670">
        <f>IFERROR(AVERAGE(Деятельность_УК!$AC$264:'Деятельность_УК'!$AF$264),"0")</f>
        <v>3.986999999999985E-2</v>
      </c>
      <c r="J19" s="670">
        <f>IFERROR(AVERAGE(Деятельность_УК!$AG$264:'Деятельность_УК'!$AJ$264),"0")</f>
        <v>3.9749999999999952E-2</v>
      </c>
      <c r="K19" s="670">
        <f>IFERROR(AVERAGE(Деятельность_УК!$AK$264:'Деятельность_УК'!$AN$264),"0")</f>
        <v>3.9629999999999832E-2</v>
      </c>
      <c r="L19" s="671">
        <f>IFERROR(AVERAGE(Деятельность_УК!$AO$264:'Деятельность_УК'!$AR$264),"0")</f>
        <v>3.9549999999999974E-2</v>
      </c>
      <c r="M19" s="721"/>
    </row>
    <row r="20" spans="1:13" ht="22.5" customHeight="1" x14ac:dyDescent="0.2">
      <c r="A20" s="768" t="str">
        <f>Деятельность_УК!$A$267</f>
        <v>Инженерно-эксплуатационные расходы УК в части собственных нужд</v>
      </c>
      <c r="B20" s="733">
        <f>Деятельность_УК!$C$267</f>
        <v>1</v>
      </c>
      <c r="C20" s="773"/>
      <c r="D20" s="773"/>
      <c r="E20" s="773"/>
      <c r="F20" s="773"/>
      <c r="G20" s="773"/>
      <c r="H20" s="773"/>
      <c r="I20" s="773"/>
      <c r="J20" s="773"/>
      <c r="K20" s="773"/>
      <c r="L20" s="773"/>
      <c r="M20" s="682"/>
    </row>
    <row r="21" spans="1:13" ht="11.25" customHeight="1" x14ac:dyDescent="0.2">
      <c r="A21" s="638" t="str">
        <f>Деятельность_УК!$A$269</f>
        <v>затраты за период без НДС</v>
      </c>
      <c r="B21" s="687" t="str">
        <f>Деятельность_УК!$C$269</f>
        <v>тыс. руб.</v>
      </c>
      <c r="C21" s="786">
        <f>SUM(Деятельность_УК!$E$269:'Деятельность_УК'!$H$269)</f>
        <v>400</v>
      </c>
      <c r="D21" s="786">
        <f>SUM(Деятельность_УК!$I$269:'Деятельность_УК'!$L$269)</f>
        <v>400</v>
      </c>
      <c r="E21" s="786">
        <f>SUM(Деятельность_УК!$M$269:'Деятельность_УК'!$P$269)</f>
        <v>400</v>
      </c>
      <c r="F21" s="786">
        <f>SUM(Деятельность_УК!$Q$269:'Деятельность_УК'!$T$269)</f>
        <v>400</v>
      </c>
      <c r="G21" s="786">
        <f>SUM(Деятельность_УК!$U$269:'Деятельность_УК'!$X$269)</f>
        <v>400</v>
      </c>
      <c r="H21" s="786">
        <f>SUM(Деятельность_УК!$Y$269:'Деятельность_УК'!$AB$269)</f>
        <v>400</v>
      </c>
      <c r="I21" s="786">
        <f>SUM(Деятельность_УК!$AC$269:'Деятельность_УК'!$AF$269)</f>
        <v>400</v>
      </c>
      <c r="J21" s="786">
        <f>SUM(Деятельность_УК!$AG$269:'Деятельность_УК'!$AJ$269)</f>
        <v>400</v>
      </c>
      <c r="K21" s="786">
        <f>SUM(Деятельность_УК!$AK$269:'Деятельность_УК'!$AN$269)</f>
        <v>400</v>
      </c>
      <c r="L21" s="786">
        <f>SUM(Деятельность_УК!$AO$269:'Деятельность_УК'!$AR$269)</f>
        <v>400</v>
      </c>
      <c r="M21" s="744">
        <f>Деятельность_УК!$AT$269</f>
        <v>4000</v>
      </c>
    </row>
    <row r="22" spans="1:13" ht="11.25" customHeight="1" x14ac:dyDescent="0.2">
      <c r="A22" s="787" t="str">
        <f>Деятельность_УК!$A$271</f>
        <v>НДС начисленный</v>
      </c>
      <c r="B22" s="623" t="str">
        <f>Деятельность_УК!$C$271</f>
        <v>тыс. руб.</v>
      </c>
      <c r="C22" s="749">
        <f ca="1">SUM(Деятельность_УК!$E$271:'Деятельность_УК'!$H$271)</f>
        <v>80</v>
      </c>
      <c r="D22" s="749">
        <f ca="1">SUM(Деятельность_УК!$I$271:'Деятельность_УК'!$L$271)</f>
        <v>81.200136608134784</v>
      </c>
      <c r="E22" s="749">
        <f ca="1">SUM(Деятельность_УК!$M$271:'Деятельность_УК'!$P$271)</f>
        <v>84.475352378245006</v>
      </c>
      <c r="F22" s="749">
        <f ca="1">SUM(Деятельность_УК!$Q$271:'Деятельность_УК'!$T$271)</f>
        <v>87.849913026184538</v>
      </c>
      <c r="G22" s="749">
        <f ca="1">SUM(Деятельность_УК!$U$271:'Деятельность_УК'!$X$271)</f>
        <v>91.308509900116107</v>
      </c>
      <c r="H22" s="749">
        <f ca="1">SUM(Деятельность_УК!$Y$271:'Деятельность_УК'!$AB$271)</f>
        <v>94.912928906117102</v>
      </c>
      <c r="I22" s="749">
        <f ca="1">SUM(Деятельность_УК!$AC$271:'Деятельность_УК'!$AF$271)</f>
        <v>98.662813548476194</v>
      </c>
      <c r="J22" s="749">
        <f ca="1">SUM(Деятельность_УК!$AG$271:'Деятельность_УК'!$AJ$271)</f>
        <v>102.56095361510086</v>
      </c>
      <c r="K22" s="749">
        <f ca="1">SUM(Деятельность_УК!$AK$271:'Деятельность_УК'!$AN$271)</f>
        <v>106.60785135688582</v>
      </c>
      <c r="L22" s="749">
        <f ca="1">SUM(Деятельность_УК!$AO$271:'Деятельность_УК'!$AR$271)</f>
        <v>110.80600684406724</v>
      </c>
      <c r="M22" s="769">
        <f ca="1">Деятельность_УК!$AT$271</f>
        <v>938.38446618332773</v>
      </c>
    </row>
    <row r="23" spans="1:13" ht="11.25" customHeight="1" x14ac:dyDescent="0.2">
      <c r="A23" s="787" t="str">
        <f>Деятельность_УК!$A$272</f>
        <v>затраты с учетом инфляции, без НДС</v>
      </c>
      <c r="B23" s="623" t="str">
        <f>Деятельность_УК!$C$272</f>
        <v>тыс. руб.</v>
      </c>
      <c r="C23" s="749">
        <f ca="1">SUM(Деятельность_УК!$E$272:'Деятельность_УК'!$H$272)</f>
        <v>400</v>
      </c>
      <c r="D23" s="749">
        <f ca="1">SUM(Деятельность_УК!$I$272:'Деятельность_УК'!$L$272)</f>
        <v>406.00068304067383</v>
      </c>
      <c r="E23" s="749">
        <f ca="1">SUM(Деятельность_УК!$M$272:'Деятельность_УК'!$P$272)</f>
        <v>422.37676189122499</v>
      </c>
      <c r="F23" s="749">
        <f ca="1">SUM(Деятельность_УК!$Q$272:'Деятельность_УК'!$T$272)</f>
        <v>439.24956513092263</v>
      </c>
      <c r="G23" s="749">
        <f ca="1">SUM(Деятельность_УК!$U$272:'Деятельность_УК'!$X$272)</f>
        <v>456.54254950058049</v>
      </c>
      <c r="H23" s="749">
        <f ca="1">SUM(Деятельность_УК!$Y$272:'Деятельность_УК'!$AB$272)</f>
        <v>474.5646445305855</v>
      </c>
      <c r="I23" s="749">
        <f ca="1">SUM(Деятельность_УК!$AC$272:'Деятельность_УК'!$AF$272)</f>
        <v>493.31406774238098</v>
      </c>
      <c r="J23" s="749">
        <f ca="1">SUM(Деятельность_УК!$AG$272:'Деятельность_УК'!$AJ$272)</f>
        <v>512.80476807550428</v>
      </c>
      <c r="K23" s="749">
        <f ca="1">SUM(Деятельность_УК!$AK$272:'Деятельность_УК'!$AN$272)</f>
        <v>533.03925678442897</v>
      </c>
      <c r="L23" s="749">
        <f ca="1">SUM(Деятельность_УК!$AO$272:'Деятельность_УК'!$AR$272)</f>
        <v>554.03003422033623</v>
      </c>
      <c r="M23" s="753">
        <f ca="1">Деятельность_УК!$AT$272</f>
        <v>4691.9223309166382</v>
      </c>
    </row>
    <row r="24" spans="1:13" ht="11.25" customHeight="1" x14ac:dyDescent="0.2">
      <c r="A24" s="777" t="str">
        <f>Деятельность_УК!$A$273</f>
        <v>Изменение тарифов на электроэнергию, газ</v>
      </c>
      <c r="B24" s="617" t="str">
        <f>Деятельность_УК!$C$273</f>
        <v>% в год</v>
      </c>
      <c r="C24" s="670">
        <f>IFERROR(AVERAGE(Деятельность_УК!$E$273:'Деятельность_УК'!$H$273),"0")</f>
        <v>0</v>
      </c>
      <c r="D24" s="670">
        <f>IFERROR(AVERAGE(Деятельность_УК!$I$273:'Деятельность_УК'!$L$273),"0")</f>
        <v>4.0336857605958398E-2</v>
      </c>
      <c r="E24" s="670">
        <f>IFERROR(AVERAGE(Деятельность_УК!$M$273:'Деятельность_УК'!$P$273),"0")</f>
        <v>4.0332213518043059E-2</v>
      </c>
      <c r="F24" s="670">
        <f>IFERROR(AVERAGE(Деятельность_УК!$Q$273:'Деятельность_УК'!$T$273),"0")</f>
        <v>3.9314320378502465E-2</v>
      </c>
      <c r="G24" s="670">
        <f>IFERROR(AVERAGE(Деятельность_УК!$U$273:'Деятельность_УК'!$X$273),"0")</f>
        <v>3.9459988151488323E-2</v>
      </c>
      <c r="H24" s="670">
        <f>IFERROR(AVERAGE(Деятельность_УК!$Y$273:'Деятельность_УК'!$AB$273),"0")</f>
        <v>3.9500151202014777E-2</v>
      </c>
      <c r="I24" s="670">
        <f>IFERROR(AVERAGE(Деятельность_УК!$AC$273:'Деятельность_УК'!$AF$273),"0")</f>
        <v>3.9522715644798811E-2</v>
      </c>
      <c r="J24" s="670">
        <f>IFERROR(AVERAGE(Деятельность_УК!$AG$273:'Деятельность_УК'!$AJ$273),"0")</f>
        <v>3.9488336524699408E-2</v>
      </c>
      <c r="K24" s="670">
        <f>IFERROR(AVERAGE(Деятельность_УК!$AK$273:'Деятельность_УК'!$AN$273),"0")</f>
        <v>3.9409316459410704E-2</v>
      </c>
      <c r="L24" s="671">
        <f>IFERROR(AVERAGE(Деятельность_УК!$AO$273:'Деятельность_УК'!$AR$273),"0")</f>
        <v>3.9330233966217154E-2</v>
      </c>
      <c r="M24" s="721"/>
    </row>
    <row r="25" spans="1:13" ht="22.5" customHeight="1" x14ac:dyDescent="0.2">
      <c r="A25" s="768" t="str">
        <f>Деятельность_УК!$A$276</f>
        <v xml:space="preserve">Коммунальные услуги за счет УК в корпусах, арендованных резидентами </v>
      </c>
      <c r="B25" s="733">
        <f>Деятельность_УК!$C$276</f>
        <v>1</v>
      </c>
      <c r="C25" s="773"/>
      <c r="D25" s="773"/>
      <c r="E25" s="773"/>
      <c r="F25" s="773"/>
      <c r="G25" s="773"/>
      <c r="H25" s="773"/>
      <c r="I25" s="773"/>
      <c r="J25" s="773"/>
      <c r="K25" s="773"/>
      <c r="L25" s="773"/>
      <c r="M25" s="682"/>
    </row>
    <row r="26" spans="1:13" ht="11.25" customHeight="1" x14ac:dyDescent="0.2">
      <c r="A26" s="638" t="str">
        <f>Деятельность_УК!$A$277</f>
        <v>затраты за период без НДС</v>
      </c>
      <c r="B26" s="687" t="str">
        <f>Деятельность_УК!$C$277</f>
        <v>тыс. руб.</v>
      </c>
      <c r="C26" s="786">
        <f ca="1">SUM(Деятельность_УК!$E$277:'Деятельность_УК'!$H$277)</f>
        <v>3521.0138999999999</v>
      </c>
      <c r="D26" s="786">
        <f ca="1">SUM(Деятельность_УК!$I$277:'Деятельность_УК'!$L$277)</f>
        <v>7042.0277999999998</v>
      </c>
      <c r="E26" s="786">
        <f ca="1">SUM(Деятельность_УК!$M$277:'Деятельность_УК'!$P$277)</f>
        <v>10139.197043718621</v>
      </c>
      <c r="F26" s="786">
        <f ca="1">SUM(Деятельность_УК!$Q$277:'Деятельность_УК'!$T$277)</f>
        <v>11687.78166557793</v>
      </c>
      <c r="G26" s="786">
        <f ca="1">SUM(Деятельность_УК!$U$277:'Деятельность_УК'!$X$277)</f>
        <v>35388.418883784827</v>
      </c>
      <c r="H26" s="786">
        <f ca="1">SUM(Деятельность_УК!$Y$277:'Деятельность_УК'!$AB$277)</f>
        <v>35388.418883784827</v>
      </c>
      <c r="I26" s="786">
        <f ca="1">SUM(Деятельность_УК!$AC$277:'Деятельность_УК'!$AF$277)</f>
        <v>35388.418883784827</v>
      </c>
      <c r="J26" s="786">
        <f ca="1">SUM(Деятельность_УК!$AG$277:'Деятельность_УК'!$AJ$277)</f>
        <v>35388.418883784827</v>
      </c>
      <c r="K26" s="786">
        <f ca="1">SUM(Деятельность_УК!$AK$277:'Деятельность_УК'!$AN$277)</f>
        <v>33839.83426192552</v>
      </c>
      <c r="L26" s="786">
        <f ca="1">SUM(Деятельность_УК!$AO$277:'Деятельность_УК'!$AR$277)</f>
        <v>10139.197043718621</v>
      </c>
      <c r="M26" s="744">
        <f ca="1">Деятельность_УК!$AT$277</f>
        <v>217922.72725008006</v>
      </c>
    </row>
    <row r="27" spans="1:13" ht="11.25" customHeight="1" x14ac:dyDescent="0.2">
      <c r="A27" s="787" t="str">
        <f>Деятельность_УК!$A$279</f>
        <v>НДС начисленный</v>
      </c>
      <c r="B27" s="623" t="str">
        <f>Деятельность_УК!$C$279</f>
        <v>тыс. руб.</v>
      </c>
      <c r="C27" s="749">
        <f ca="1">SUM(Деятельность_УК!$E$279:'Деятельность_УК'!$H$279)</f>
        <v>704.20278000000008</v>
      </c>
      <c r="D27" s="749">
        <f ca="1">SUM(Деятельность_УК!$I$279:'Деятельность_УК'!$L$279)</f>
        <v>1429.5880503857379</v>
      </c>
      <c r="E27" s="749">
        <f ca="1">SUM(Деятельность_УК!$M$279:'Деятельность_УК'!$P$279)</f>
        <v>2141.5798341610785</v>
      </c>
      <c r="F27" s="749">
        <f ca="1">SUM(Деятельность_УК!$Q$279:'Деятельность_УК'!$T$279)</f>
        <v>2567.8994133507231</v>
      </c>
      <c r="G27" s="749">
        <f ca="1">SUM(Деятельность_УК!$U$279:'Деятельность_УК'!$X$279)</f>
        <v>8086.4925899591281</v>
      </c>
      <c r="H27" s="749">
        <f ca="1">SUM(Деятельность_УК!$Y$279:'Деятельность_УК'!$AB$279)</f>
        <v>8412.0706741413378</v>
      </c>
      <c r="I27" s="749">
        <f ca="1">SUM(Деятельность_УК!$AC$279:'Деятельность_УК'!$AF$279)</f>
        <v>8747.7474054230624</v>
      </c>
      <c r="J27" s="749">
        <f ca="1">SUM(Деятельность_УК!$AG$279:'Деятельность_УК'!$AJ$279)</f>
        <v>9096.1388651770158</v>
      </c>
      <c r="K27" s="749">
        <f ca="1">SUM(Деятельность_УК!$AK$279:'Деятельность_УК'!$AN$279)</f>
        <v>9043.4660971333687</v>
      </c>
      <c r="L27" s="749">
        <f ca="1">SUM(Деятельность_УК!$AO$279:'Деятельность_УК'!$AR$279)</f>
        <v>2816.9292835358738</v>
      </c>
      <c r="M27" s="769">
        <f ca="1">Деятельность_УК!$AT$279</f>
        <v>53046.114993267322</v>
      </c>
    </row>
    <row r="28" spans="1:13" ht="11.25" customHeight="1" x14ac:dyDescent="0.2">
      <c r="A28" s="787" t="str">
        <f>Деятельность_УК!$A$280</f>
        <v>затраты с учетом инфляции, без НДС</v>
      </c>
      <c r="B28" s="623" t="str">
        <f>Деятельность_УК!$C$280</f>
        <v>тыс. руб.</v>
      </c>
      <c r="C28" s="749">
        <f ca="1">SUM(Деятельность_УК!$E$280:'Деятельность_УК'!$H$280)</f>
        <v>3521.0138999999999</v>
      </c>
      <c r="D28" s="749">
        <f ca="1">SUM(Деятельность_УК!$I$280:'Деятельность_УК'!$L$280)</f>
        <v>7147.9402519286887</v>
      </c>
      <c r="E28" s="749">
        <f ca="1">SUM(Деятельность_УК!$M$280:'Деятельность_УК'!$P$280)</f>
        <v>10707.899170805391</v>
      </c>
      <c r="F28" s="749">
        <f ca="1">SUM(Деятельность_УК!$Q$280:'Деятельность_УК'!$T$280)</f>
        <v>12839.497066753614</v>
      </c>
      <c r="G28" s="749">
        <f ca="1">SUM(Деятельность_УК!$U$280:'Деятельность_УК'!$X$280)</f>
        <v>40432.462949795634</v>
      </c>
      <c r="H28" s="749">
        <f ca="1">SUM(Деятельность_УК!$Y$280:'Деятельность_УК'!$AB$280)</f>
        <v>42060.353370706696</v>
      </c>
      <c r="I28" s="749">
        <f ca="1">SUM(Деятельность_УК!$AC$280:'Деятельность_УК'!$AF$280)</f>
        <v>43738.737027115312</v>
      </c>
      <c r="J28" s="749">
        <f ca="1">SUM(Деятельность_УК!$AG$280:'Деятельность_УК'!$AJ$280)</f>
        <v>45480.694325885073</v>
      </c>
      <c r="K28" s="749">
        <f ca="1">SUM(Деятельность_УК!$AK$280:'Деятельность_УК'!$AN$280)</f>
        <v>45217.33048566684</v>
      </c>
      <c r="L28" s="749">
        <f ca="1">SUM(Деятельность_УК!$AO$280:'Деятельность_УК'!$AR$280)</f>
        <v>14084.646417679369</v>
      </c>
      <c r="M28" s="753">
        <f ca="1">Деятельность_УК!$AT$280</f>
        <v>265230.57496633654</v>
      </c>
    </row>
    <row r="29" spans="1:13" ht="22.5" x14ac:dyDescent="0.2">
      <c r="A29" s="755" t="str">
        <f>Деятельность_УК!$A$281</f>
        <v>Изменение тарифов водоснабжения/отведения, утилизации отходов и т.п.</v>
      </c>
      <c r="B29" s="617" t="str">
        <f>Деятельность_УК!$C$281</f>
        <v>% в год</v>
      </c>
      <c r="C29" s="670">
        <f>IFERROR(AVERAGE(Деятельность_УК!$E$281:'Деятельность_УК'!$H$281),"0")</f>
        <v>0</v>
      </c>
      <c r="D29" s="670">
        <f>IFERROR(AVERAGE(Деятельность_УК!$I$281:'Деятельность_УК'!$L$281),"0")</f>
        <v>4.0440802660270059E-2</v>
      </c>
      <c r="E29" s="670">
        <f>IFERROR(AVERAGE(Деятельность_УК!$M$281:'Деятельность_УК'!$P$281),"0")</f>
        <v>4.0441791093008828E-2</v>
      </c>
      <c r="F29" s="670">
        <f>IFERROR(AVERAGE(Деятельность_УК!$Q$281:'Деятельность_УК'!$T$281),"0")</f>
        <v>3.97920103999998E-2</v>
      </c>
      <c r="G29" s="670">
        <f>IFERROR(AVERAGE(Деятельность_УК!$U$281:'Деятельность_УК'!$X$281),"0")</f>
        <v>4.0467541564836118E-2</v>
      </c>
      <c r="H29" s="670">
        <f>IFERROR(AVERAGE(Деятельность_УК!$Y$281:'Деятельность_УК'!$AB$281),"0")</f>
        <v>3.9923890663252637E-2</v>
      </c>
      <c r="I29" s="670">
        <f>IFERROR(AVERAGE(Деятельность_УК!$AC$281:'Деятельность_УК'!$AF$281),"0")</f>
        <v>3.9871738579120741E-2</v>
      </c>
      <c r="J29" s="670">
        <f>IFERROR(AVERAGE(Деятельность_УК!$AG$281:'Деятельность_УК'!$AJ$281),"0")</f>
        <v>3.9751867532941132E-2</v>
      </c>
      <c r="K29" s="670">
        <f>IFERROR(AVERAGE(Деятельность_УК!$AK$281:'Деятельность_УК'!$AN$281),"0")</f>
        <v>3.9631901785520673E-2</v>
      </c>
      <c r="L29" s="671">
        <f>IFERROR(AVERAGE(Деятельность_УК!$AO$281:'Деятельность_УК'!$AR$281),"0")</f>
        <v>3.9543862090033466E-2</v>
      </c>
      <c r="M29" s="721"/>
    </row>
    <row r="30" spans="1:13" ht="11.25" customHeight="1" x14ac:dyDescent="0.2">
      <c r="A30" s="599"/>
      <c r="B30" s="5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682"/>
    </row>
    <row r="31" spans="1:13" ht="11.25" customHeight="1" x14ac:dyDescent="0.2">
      <c r="A31" s="679" t="str">
        <f>Деятельность_УК!$A$285</f>
        <v>Коммерческие издержки</v>
      </c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682"/>
    </row>
    <row r="32" spans="1:13" ht="11.25" customHeight="1" x14ac:dyDescent="0.2">
      <c r="A32" s="59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682"/>
    </row>
    <row r="33" spans="1:13" ht="22.5" customHeight="1" x14ac:dyDescent="0.2">
      <c r="A33" s="768" t="str">
        <f>Деятельность_УК!$A$287</f>
        <v>Мероприятия по привлечению резидентов и маркетинговому продвижению парка до 100% заполнения площадей</v>
      </c>
      <c r="B33" s="733">
        <f>Деятельность_УК!$C$287</f>
        <v>1</v>
      </c>
      <c r="C33" s="773"/>
      <c r="D33" s="773"/>
      <c r="E33" s="773"/>
      <c r="F33" s="773"/>
      <c r="G33" s="773"/>
      <c r="H33" s="773"/>
      <c r="I33" s="773"/>
      <c r="J33" s="773"/>
      <c r="K33" s="773"/>
      <c r="L33" s="773"/>
      <c r="M33" s="682"/>
    </row>
    <row r="34" spans="1:13" ht="11.25" customHeight="1" x14ac:dyDescent="0.2">
      <c r="A34" s="638" t="str">
        <f>Деятельность_УК!$A$289</f>
        <v>затраты за период без НДС</v>
      </c>
      <c r="B34" s="687" t="str">
        <f>Деятельность_УК!$C$289</f>
        <v>тыс. руб.</v>
      </c>
      <c r="C34" s="786">
        <f>SUM(Деятельность_УК!$E$289:'Деятельность_УК'!$H$289)</f>
        <v>1083.3333333333335</v>
      </c>
      <c r="D34" s="786">
        <f>SUM(Деятельность_УК!$I$289:'Деятельность_УК'!$L$289)</f>
        <v>1083.3333333333335</v>
      </c>
      <c r="E34" s="786">
        <f>SUM(Деятельность_УК!$M$289:'Деятельность_УК'!$P$289)</f>
        <v>1083.3333333333335</v>
      </c>
      <c r="F34" s="786">
        <f>SUM(Деятельность_УК!$Q$289:'Деятельность_УК'!$T$289)</f>
        <v>1083.3333333333335</v>
      </c>
      <c r="G34" s="786">
        <f>SUM(Деятельность_УК!$U$289:'Деятельность_УК'!$X$289)</f>
        <v>0</v>
      </c>
      <c r="H34" s="786">
        <f>SUM(Деятельность_УК!$Y$289:'Деятельность_УК'!$AB$289)</f>
        <v>0</v>
      </c>
      <c r="I34" s="786">
        <f>SUM(Деятельность_УК!$AC$289:'Деятельность_УК'!$AF$289)</f>
        <v>0</v>
      </c>
      <c r="J34" s="786">
        <f>SUM(Деятельность_УК!$AG$289:'Деятельность_УК'!$AJ$289)</f>
        <v>0</v>
      </c>
      <c r="K34" s="786">
        <f>SUM(Деятельность_УК!$AK$289:'Деятельность_УК'!$AN$289)</f>
        <v>0</v>
      </c>
      <c r="L34" s="786">
        <f>SUM(Деятельность_УК!$AO$289:'Деятельность_УК'!$AR$289)</f>
        <v>0</v>
      </c>
      <c r="M34" s="744">
        <f>Деятельность_УК!$AT$289</f>
        <v>4333.3333333333348</v>
      </c>
    </row>
    <row r="35" spans="1:13" ht="11.25" customHeight="1" x14ac:dyDescent="0.2">
      <c r="A35" s="787" t="str">
        <f>Деятельность_УК!$A$291</f>
        <v>НДС начисленный</v>
      </c>
      <c r="B35" s="623" t="str">
        <f>Деятельность_УК!$C$291</f>
        <v>тыс. руб.</v>
      </c>
      <c r="C35" s="749">
        <f ca="1">SUM(Деятельность_УК!$E$291:'Деятельность_УК'!$H$291)</f>
        <v>216.66666666666671</v>
      </c>
      <c r="D35" s="749">
        <f ca="1">SUM(Деятельность_УК!$I$291:'Деятельность_УК'!$L$291)</f>
        <v>219.8990745255058</v>
      </c>
      <c r="E35" s="749">
        <f ca="1">SUM(Деятельность_УК!$M$291:'Деятельность_УК'!$P$291)</f>
        <v>228.70632742360215</v>
      </c>
      <c r="F35" s="749">
        <f ca="1">SUM(Деятельность_УК!$Q$291:'Деятельность_УК'!$T$291)</f>
        <v>237.83030458330191</v>
      </c>
      <c r="G35" s="749">
        <f ca="1">SUM(Деятельность_УК!$U$291:'Деятельность_УК'!$X$291)</f>
        <v>0</v>
      </c>
      <c r="H35" s="749">
        <f ca="1">SUM(Деятельность_УК!$Y$291:'Деятельность_УК'!$AB$291)</f>
        <v>0</v>
      </c>
      <c r="I35" s="749">
        <f ca="1">SUM(Деятельность_УК!$AC$291:'Деятельность_УК'!$AF$291)</f>
        <v>0</v>
      </c>
      <c r="J35" s="749">
        <f ca="1">SUM(Деятельность_УК!$AG$291:'Деятельность_УК'!$AJ$291)</f>
        <v>0</v>
      </c>
      <c r="K35" s="749">
        <f ca="1">SUM(Деятельность_УК!$AK$291:'Деятельность_УК'!$AN$291)</f>
        <v>0</v>
      </c>
      <c r="L35" s="749">
        <f ca="1">SUM(Деятельность_УК!$AO$291:'Деятельность_УК'!$AR$291)</f>
        <v>0</v>
      </c>
      <c r="M35" s="769">
        <f ca="1">Деятельность_УК!$AT$291</f>
        <v>903.10237319907662</v>
      </c>
    </row>
    <row r="36" spans="1:13" ht="11.25" customHeight="1" x14ac:dyDescent="0.2">
      <c r="A36" s="787" t="str">
        <f>Деятельность_УК!$A$292</f>
        <v>затраты с учетом инфляции, без НДС</v>
      </c>
      <c r="B36" s="623" t="str">
        <f>Деятельность_УК!$C$292</f>
        <v>тыс. руб.</v>
      </c>
      <c r="C36" s="749">
        <f ca="1">SUM(Деятельность_УК!$E$292:'Деятельность_УК'!$H$292)</f>
        <v>1083.3333333333335</v>
      </c>
      <c r="D36" s="749">
        <f ca="1">SUM(Деятельность_УК!$I$292:'Деятельность_УК'!$L$292)</f>
        <v>1099.4953726275289</v>
      </c>
      <c r="E36" s="749">
        <f ca="1">SUM(Деятельность_УК!$M$292:'Деятельность_УК'!$P$292)</f>
        <v>1143.5316371180106</v>
      </c>
      <c r="F36" s="749">
        <f ca="1">SUM(Деятельность_УК!$Q$292:'Деятельность_УК'!$T$292)</f>
        <v>1189.1515229165093</v>
      </c>
      <c r="G36" s="749">
        <f ca="1">SUM(Деятельность_УК!$U$292:'Деятельность_УК'!$X$292)</f>
        <v>0</v>
      </c>
      <c r="H36" s="749">
        <f ca="1">SUM(Деятельность_УК!$Y$292:'Деятельность_УК'!$AB$292)</f>
        <v>0</v>
      </c>
      <c r="I36" s="749">
        <f ca="1">SUM(Деятельность_УК!$AC$292:'Деятельность_УК'!$AF$292)</f>
        <v>0</v>
      </c>
      <c r="J36" s="749">
        <f ca="1">SUM(Деятельность_УК!$AG$292:'Деятельность_УК'!$AJ$292)</f>
        <v>0</v>
      </c>
      <c r="K36" s="749">
        <f ca="1">SUM(Деятельность_УК!$AK$292:'Деятельность_УК'!$AN$292)</f>
        <v>0</v>
      </c>
      <c r="L36" s="749">
        <f ca="1">SUM(Деятельность_УК!$AO$292:'Деятельность_УК'!$AR$292)</f>
        <v>0</v>
      </c>
      <c r="M36" s="753">
        <f ca="1">Деятельность_УК!$AT$292</f>
        <v>4515.5118659953823</v>
      </c>
    </row>
    <row r="37" spans="1:13" ht="11.25" customHeight="1" x14ac:dyDescent="0.2">
      <c r="A37" s="644" t="str">
        <f>Деятельность_УК!$A$293</f>
        <v>Инфляция</v>
      </c>
      <c r="B37" s="617" t="str">
        <f>Деятельность_УК!$C$293</f>
        <v>% в год</v>
      </c>
      <c r="C37" s="670">
        <f>IFERROR(AVERAGE(Деятельность_УК!$E$293:'Деятельность_УК'!$H$293),"0")</f>
        <v>0</v>
      </c>
      <c r="D37" s="670">
        <f>IFERROR(AVERAGE(Деятельность_УК!$I$293:'Деятельность_УК'!$L$293),"0")</f>
        <v>4.011212875388237E-2</v>
      </c>
      <c r="E37" s="670">
        <f>IFERROR(AVERAGE(Деятельность_УК!$M$293:'Деятельность_УК'!$P$293),"0")</f>
        <v>3.9951351517419909E-2</v>
      </c>
      <c r="F37" s="670">
        <f>IFERROR(AVERAGE(Деятельность_УК!$Q$293:'Деятельность_УК'!$T$293),"0")</f>
        <v>3.9799274348962799E-2</v>
      </c>
      <c r="G37" s="670">
        <f>IFERROR(AVERAGE(Деятельность_УК!$U$293:'Деятельность_УК'!$X$293),"0")</f>
        <v>3.9889661086839556E-2</v>
      </c>
      <c r="H37" s="670">
        <f>IFERROR(AVERAGE(Деятельность_УК!$Y$293:'Деятельность_УК'!$AB$293),"0")</f>
        <v>3.9919999999999956E-2</v>
      </c>
      <c r="I37" s="670">
        <f>IFERROR(AVERAGE(Деятельность_УК!$AC$293:'Деятельность_УК'!$AF$293),"0")</f>
        <v>3.986999999999985E-2</v>
      </c>
      <c r="J37" s="670">
        <f>IFERROR(AVERAGE(Деятельность_УК!$AG$293:'Деятельность_УК'!$AJ$293),"0")</f>
        <v>3.9749999999999952E-2</v>
      </c>
      <c r="K37" s="670">
        <f>IFERROR(AVERAGE(Деятельность_УК!$AK$293:'Деятельность_УК'!$AN$293),"0")</f>
        <v>3.9629999999999832E-2</v>
      </c>
      <c r="L37" s="671">
        <f>IFERROR(AVERAGE(Деятельность_УК!$AO$293:'Деятельность_УК'!$AR$293),"0")</f>
        <v>3.9549999999999974E-2</v>
      </c>
      <c r="M37" s="721"/>
    </row>
    <row r="38" spans="1:13" ht="11.25" customHeight="1" x14ac:dyDescent="0.2">
      <c r="A38" s="599"/>
      <c r="B38" s="599"/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682"/>
    </row>
    <row r="39" spans="1:13" ht="11.25" customHeight="1" x14ac:dyDescent="0.2">
      <c r="A39" s="679" t="str">
        <f>Деятельность_УК!$A$297</f>
        <v>Управленческие издержки</v>
      </c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682"/>
    </row>
    <row r="40" spans="1:13" ht="11.25" customHeight="1" x14ac:dyDescent="0.2">
      <c r="A40" s="599"/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682"/>
    </row>
    <row r="41" spans="1:13" ht="11.25" customHeight="1" x14ac:dyDescent="0.2">
      <c r="A41" s="731" t="str">
        <f>Деятельность_УК!$A$299</f>
        <v>Обеспечение финансово-хозяйственной деятельности</v>
      </c>
      <c r="B41" s="733">
        <f>Деятельность_УК!$C$299</f>
        <v>1</v>
      </c>
      <c r="C41" s="773"/>
      <c r="D41" s="773"/>
      <c r="E41" s="773"/>
      <c r="F41" s="773"/>
      <c r="G41" s="773"/>
      <c r="H41" s="773"/>
      <c r="I41" s="773"/>
      <c r="J41" s="773"/>
      <c r="K41" s="773"/>
      <c r="L41" s="773"/>
      <c r="M41" s="682"/>
    </row>
    <row r="42" spans="1:13" ht="11.25" customHeight="1" x14ac:dyDescent="0.2">
      <c r="A42" s="638" t="str">
        <f>Деятельность_УК!$A$301</f>
        <v>затраты за период без НДС</v>
      </c>
      <c r="B42" s="687" t="str">
        <f>Деятельность_УК!$C$301</f>
        <v>тыс. руб.</v>
      </c>
      <c r="C42" s="786">
        <f>SUM(Деятельность_УК!$E$301:'Деятельность_УК'!$H$301)</f>
        <v>1500</v>
      </c>
      <c r="D42" s="786">
        <f>SUM(Деятельность_УК!$I$301:'Деятельность_УК'!$L$301)</f>
        <v>1500</v>
      </c>
      <c r="E42" s="786">
        <f>SUM(Деятельность_УК!$M$301:'Деятельность_УК'!$P$301)</f>
        <v>1500</v>
      </c>
      <c r="F42" s="786">
        <f>SUM(Деятельность_УК!$Q$301:'Деятельность_УК'!$T$301)</f>
        <v>1500</v>
      </c>
      <c r="G42" s="786">
        <f>SUM(Деятельность_УК!$U$301:'Деятельность_УК'!$X$301)</f>
        <v>1500</v>
      </c>
      <c r="H42" s="786">
        <f>SUM(Деятельность_УК!$Y$301:'Деятельность_УК'!$AB$301)</f>
        <v>1500</v>
      </c>
      <c r="I42" s="786">
        <f>SUM(Деятельность_УК!$AC$301:'Деятельность_УК'!$AF$301)</f>
        <v>1500</v>
      </c>
      <c r="J42" s="786">
        <f>SUM(Деятельность_УК!$AG$301:'Деятельность_УК'!$AJ$301)</f>
        <v>1500</v>
      </c>
      <c r="K42" s="786">
        <f>SUM(Деятельность_УК!$AK$301:'Деятельность_УК'!$AN$301)</f>
        <v>1500</v>
      </c>
      <c r="L42" s="786">
        <f>SUM(Деятельность_УК!$AO$301:'Деятельность_УК'!$AR$301)</f>
        <v>1500</v>
      </c>
      <c r="M42" s="744">
        <f>Деятельность_УК!$AT$301</f>
        <v>15000</v>
      </c>
    </row>
    <row r="43" spans="1:13" ht="11.25" customHeight="1" x14ac:dyDescent="0.2">
      <c r="A43" s="787" t="str">
        <f>Деятельность_УК!$A$303</f>
        <v>НДС начисленный</v>
      </c>
      <c r="B43" s="623" t="str">
        <f>Деятельность_УК!$C$303</f>
        <v>тыс. руб.</v>
      </c>
      <c r="C43" s="749">
        <f ca="1">SUM(Деятельность_УК!$E$303:'Деятельность_УК'!$H$303)</f>
        <v>300</v>
      </c>
      <c r="D43" s="749">
        <f ca="1">SUM(Деятельность_УК!$I$303:'Деятельность_УК'!$L$303)</f>
        <v>304.47564165070031</v>
      </c>
      <c r="E43" s="749">
        <f ca="1">SUM(Деятельность_УК!$M$303:'Деятельность_УК'!$P$303)</f>
        <v>316.67029950960296</v>
      </c>
      <c r="F43" s="749">
        <f ca="1">SUM(Деятельность_УК!$Q$303:'Деятельность_УК'!$T$303)</f>
        <v>329.30349865380265</v>
      </c>
      <c r="G43" s="749">
        <f ca="1">SUM(Деятельность_УК!$U$303:'Деятельность_УК'!$X$303)</f>
        <v>342.42079123973383</v>
      </c>
      <c r="H43" s="749">
        <f ca="1">SUM(Деятельность_УК!$Y$303:'Деятельность_УК'!$AB$303)</f>
        <v>356.08376802572815</v>
      </c>
      <c r="I43" s="749">
        <f ca="1">SUM(Деятельность_УК!$AC$303:'Деятельность_УК'!$AF$303)</f>
        <v>370.29190096179906</v>
      </c>
      <c r="J43" s="749">
        <f ca="1">SUM(Деятельность_УК!$AG$303:'Деятельность_УК'!$AJ$303)</f>
        <v>385.03863979848046</v>
      </c>
      <c r="K43" s="749">
        <f ca="1">SUM(Деятельность_УК!$AK$303:'Деятельность_УК'!$AN$303)</f>
        <v>400.32645786817102</v>
      </c>
      <c r="L43" s="749">
        <f ca="1">SUM(Деятельность_УК!$AO$303:'Деятельность_УК'!$AR$303)</f>
        <v>416.17928816737924</v>
      </c>
      <c r="M43" s="769">
        <f ca="1">Деятельность_УК!$AT$303</f>
        <v>3520.7902858753982</v>
      </c>
    </row>
    <row r="44" spans="1:13" ht="11.25" customHeight="1" x14ac:dyDescent="0.2">
      <c r="A44" s="787" t="str">
        <f>Деятельность_УК!$A$304</f>
        <v>затраты с учетом инфляции, без НДС</v>
      </c>
      <c r="B44" s="623" t="str">
        <f>Деятельность_УК!$C$304</f>
        <v>тыс. руб.</v>
      </c>
      <c r="C44" s="749">
        <f ca="1">SUM(Деятельность_УК!$E$304:'Деятельность_УК'!$H$304)</f>
        <v>1500</v>
      </c>
      <c r="D44" s="749">
        <f ca="1">SUM(Деятельность_УК!$I$304:'Деятельность_УК'!$L$304)</f>
        <v>1522.3782082535013</v>
      </c>
      <c r="E44" s="749">
        <f ca="1">SUM(Деятельность_УК!$M$304:'Деятельность_УК'!$P$304)</f>
        <v>1583.3514975480148</v>
      </c>
      <c r="F44" s="749">
        <f ca="1">SUM(Деятельность_УК!$Q$304:'Деятельность_УК'!$T$304)</f>
        <v>1646.5174932690131</v>
      </c>
      <c r="G44" s="749">
        <f ca="1">SUM(Деятельность_УК!$U$304:'Деятельность_УК'!$X$304)</f>
        <v>1712.103956198669</v>
      </c>
      <c r="H44" s="749">
        <f ca="1">SUM(Деятельность_УК!$Y$304:'Деятельность_УК'!$AB$304)</f>
        <v>1780.4188401286403</v>
      </c>
      <c r="I44" s="749">
        <f ca="1">SUM(Деятельность_УК!$AC$304:'Деятельность_УК'!$AF$304)</f>
        <v>1851.4595048089955</v>
      </c>
      <c r="J44" s="749">
        <f ca="1">SUM(Деятельность_УК!$AG$304:'Деятельность_УК'!$AJ$304)</f>
        <v>1925.1931989924024</v>
      </c>
      <c r="K44" s="749">
        <f ca="1">SUM(Деятельность_УК!$AK$304:'Деятельность_УК'!$AN$304)</f>
        <v>2001.6322893408551</v>
      </c>
      <c r="L44" s="749">
        <f ca="1">SUM(Деятельность_УК!$AO$304:'Деятельность_УК'!$AR$304)</f>
        <v>2080.8964408368961</v>
      </c>
      <c r="M44" s="753">
        <f ca="1">Деятельность_УК!$AT$304</f>
        <v>17603.95142937699</v>
      </c>
    </row>
    <row r="45" spans="1:13" ht="11.25" customHeight="1" x14ac:dyDescent="0.2">
      <c r="A45" s="644" t="str">
        <f>Деятельность_УК!$A$305</f>
        <v>Инфляция</v>
      </c>
      <c r="B45" s="617" t="str">
        <f>Деятельность_УК!$C$305</f>
        <v>% в год</v>
      </c>
      <c r="C45" s="670">
        <f>IFERROR(AVERAGE(Деятельность_УК!$E$305:'Деятельность_УК'!$H$305),"0")</f>
        <v>0</v>
      </c>
      <c r="D45" s="670">
        <f>IFERROR(AVERAGE(Деятельность_УК!$I$305:'Деятельность_УК'!$L$305),"0")</f>
        <v>4.011212875388237E-2</v>
      </c>
      <c r="E45" s="670">
        <f>IFERROR(AVERAGE(Деятельность_УК!$M$305:'Деятельность_УК'!$P$305),"0")</f>
        <v>3.9951351517419909E-2</v>
      </c>
      <c r="F45" s="670">
        <f>IFERROR(AVERAGE(Деятельность_УК!$Q$305:'Деятельность_УК'!$T$305),"0")</f>
        <v>3.9799274348962799E-2</v>
      </c>
      <c r="G45" s="670">
        <f>IFERROR(AVERAGE(Деятельность_УК!$U$305:'Деятельность_УК'!$X$305),"0")</f>
        <v>3.9889661086839556E-2</v>
      </c>
      <c r="H45" s="670">
        <f>IFERROR(AVERAGE(Деятельность_УК!$Y$305:'Деятельность_УК'!$AB$305),"0")</f>
        <v>3.9919999999999956E-2</v>
      </c>
      <c r="I45" s="670">
        <f>IFERROR(AVERAGE(Деятельность_УК!$AC$305:'Деятельность_УК'!$AF$305),"0")</f>
        <v>3.986999999999985E-2</v>
      </c>
      <c r="J45" s="670">
        <f>IFERROR(AVERAGE(Деятельность_УК!$AG$305:'Деятельность_УК'!$AJ$305),"0")</f>
        <v>3.9749999999999952E-2</v>
      </c>
      <c r="K45" s="670">
        <f>IFERROR(AVERAGE(Деятельность_УК!$AK$305:'Деятельность_УК'!$AN$305),"0")</f>
        <v>3.9629999999999832E-2</v>
      </c>
      <c r="L45" s="671">
        <f>IFERROR(AVERAGE(Деятельность_УК!$AO$305:'Деятельность_УК'!$AR$305),"0")</f>
        <v>3.9549999999999974E-2</v>
      </c>
      <c r="M45" s="721"/>
    </row>
    <row r="46" spans="1:13" ht="11.25" customHeight="1" x14ac:dyDescent="0.2">
      <c r="A46" s="599"/>
      <c r="B46" s="599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682"/>
    </row>
    <row r="47" spans="1:13" ht="11.25" customHeight="1" x14ac:dyDescent="0.2">
      <c r="A47" s="679" t="str">
        <f>Деятельность_УК!$A$309</f>
        <v>Итого: Производственные издержки, с НДС</v>
      </c>
      <c r="B47" s="778" t="str">
        <f>Деятельность_УК!$C$309</f>
        <v>тыс. руб.</v>
      </c>
      <c r="C47" s="780">
        <f ca="1">SUM(Деятельность_УК!$E$309:'Деятельность_УК'!$H$309)</f>
        <v>13003.470987458428</v>
      </c>
      <c r="D47" s="780">
        <f ca="1">SUM(Деятельность_УК!$I$309:'Деятельность_УК'!$L$309)</f>
        <v>21229.123679588498</v>
      </c>
      <c r="E47" s="780">
        <f ca="1">SUM(Деятельность_УК!$M$309:'Деятельность_УК'!$P$309)</f>
        <v>30463.238516689824</v>
      </c>
      <c r="F47" s="780">
        <f ca="1">SUM(Деятельность_УК!$Q$309:'Деятельность_УК'!$T$309)</f>
        <v>36557.317649858938</v>
      </c>
      <c r="G47" s="780">
        <f ca="1">SUM(Деятельность_УК!$U$309:'Деятельность_УК'!$X$309)</f>
        <v>100183.61132401087</v>
      </c>
      <c r="H47" s="780">
        <f ca="1">SUM(Деятельность_УК!$Y$309:'Деятельность_УК'!$AB$309)</f>
        <v>104198.32465545501</v>
      </c>
      <c r="I47" s="780">
        <f ca="1">SUM(Деятельность_УК!$AC$309:'Деятельность_УК'!$AF$309)</f>
        <v>108355.88393799434</v>
      </c>
      <c r="J47" s="780">
        <f ca="1">SUM(Деятельность_УК!$AG$309:'Деятельность_УК'!$AJ$309)</f>
        <v>112671.0245729716</v>
      </c>
      <c r="K47" s="780">
        <f ca="1">SUM(Деятельность_УК!$AK$309:'Деятельность_УК'!$AN$309)</f>
        <v>113795.48464848209</v>
      </c>
      <c r="L47" s="780">
        <f ca="1">SUM(Деятельность_УК!$AO$309:'Деятельность_УК'!$AR$309)</f>
        <v>69249.692270200685</v>
      </c>
      <c r="M47" s="782">
        <f ca="1">Деятельность_УК!$AT$309</f>
        <v>709707.17224271013</v>
      </c>
    </row>
    <row r="48" spans="1:13" ht="11.25" customHeight="1" x14ac:dyDescent="0.2">
      <c r="A48" s="679" t="str">
        <f>Деятельность_УК!$A$314</f>
        <v>Итого: Коммерческие издержки, с НДС</v>
      </c>
      <c r="B48" s="778" t="str">
        <f>Деятельность_УК!$C$314</f>
        <v>тыс. руб.</v>
      </c>
      <c r="C48" s="780">
        <f ca="1">SUM(Деятельность_УК!$E$314:'Деятельность_УК'!$H$314)</f>
        <v>1300.0000000000002</v>
      </c>
      <c r="D48" s="780">
        <f ca="1">SUM(Деятельность_УК!$I$314:'Деятельность_УК'!$L$314)</f>
        <v>1319.3944471530347</v>
      </c>
      <c r="E48" s="780">
        <f ca="1">SUM(Деятельность_УК!$M$314:'Деятельность_УК'!$P$314)</f>
        <v>1372.2379645416131</v>
      </c>
      <c r="F48" s="780">
        <f ca="1">SUM(Деятельность_УК!$Q$314:'Деятельность_УК'!$T$314)</f>
        <v>1426.9818274998115</v>
      </c>
      <c r="G48" s="780">
        <f ca="1">SUM(Деятельность_УК!$U$314:'Деятельность_УК'!$X$314)</f>
        <v>0</v>
      </c>
      <c r="H48" s="780">
        <f ca="1">SUM(Деятельность_УК!$Y$314:'Деятельность_УК'!$AB$314)</f>
        <v>0</v>
      </c>
      <c r="I48" s="780">
        <f ca="1">SUM(Деятельность_УК!$AC$314:'Деятельность_УК'!$AF$314)</f>
        <v>0</v>
      </c>
      <c r="J48" s="780">
        <f ca="1">SUM(Деятельность_УК!$AG$314:'Деятельность_УК'!$AJ$314)</f>
        <v>0</v>
      </c>
      <c r="K48" s="780">
        <f ca="1">SUM(Деятельность_УК!$AK$314:'Деятельность_УК'!$AN$314)</f>
        <v>0</v>
      </c>
      <c r="L48" s="780">
        <f ca="1">SUM(Деятельность_УК!$AO$314:'Деятельность_УК'!$AR$314)</f>
        <v>0</v>
      </c>
      <c r="M48" s="782">
        <f ca="1">Деятельность_УК!$AT$314</f>
        <v>5418.6142391944595</v>
      </c>
    </row>
    <row r="49" spans="1:13" ht="11.25" customHeight="1" x14ac:dyDescent="0.2">
      <c r="A49" s="679" t="str">
        <f>Деятельность_УК!$A$319</f>
        <v>Итого: Управленческие издержки, с НДС</v>
      </c>
      <c r="B49" s="778" t="str">
        <f>Деятельность_УК!$C$319</f>
        <v>тыс. руб.</v>
      </c>
      <c r="C49" s="780">
        <f ca="1">SUM(Деятельность_УК!$E$319:'Деятельность_УК'!$H$319)</f>
        <v>1800</v>
      </c>
      <c r="D49" s="780">
        <f ca="1">SUM(Деятельность_УК!$I$319:'Деятельность_УК'!$L$319)</f>
        <v>1826.8538499042015</v>
      </c>
      <c r="E49" s="780">
        <f ca="1">SUM(Деятельность_УК!$M$319:'Деятельность_УК'!$P$319)</f>
        <v>1900.0217970576175</v>
      </c>
      <c r="F49" s="780">
        <f ca="1">SUM(Деятельность_УК!$Q$319:'Деятельность_УК'!$T$319)</f>
        <v>1975.8209919228154</v>
      </c>
      <c r="G49" s="780">
        <f ca="1">SUM(Деятельность_УК!$U$319:'Деятельность_УК'!$X$319)</f>
        <v>2054.5247474384028</v>
      </c>
      <c r="H49" s="780">
        <f ca="1">SUM(Деятельность_УК!$Y$319:'Деятельность_УК'!$AB$319)</f>
        <v>2136.5026081543683</v>
      </c>
      <c r="I49" s="780">
        <f ca="1">SUM(Деятельность_УК!$AC$319:'Деятельность_УК'!$AF$319)</f>
        <v>2221.751405770794</v>
      </c>
      <c r="J49" s="780">
        <f ca="1">SUM(Деятельность_УК!$AG$319:'Деятельность_УК'!$AJ$319)</f>
        <v>2310.2318387908831</v>
      </c>
      <c r="K49" s="780">
        <f ca="1">SUM(Деятельность_УК!$AK$319:'Деятельность_УК'!$AN$319)</f>
        <v>2401.9587472090261</v>
      </c>
      <c r="L49" s="780">
        <f ca="1">SUM(Деятельность_УК!$AO$319:'Деятельность_УК'!$AR$319)</f>
        <v>2497.0757290042752</v>
      </c>
      <c r="M49" s="782">
        <f ca="1">Деятельность_УК!$AT$319</f>
        <v>21124.741715252385</v>
      </c>
    </row>
    <row r="50" spans="1:13" ht="11.25" customHeight="1" x14ac:dyDescent="0.2">
      <c r="A50" s="679" t="str">
        <f>Деятельность_УК!$A$324</f>
        <v>Всего постоянных издержек, с НДС</v>
      </c>
      <c r="B50" s="778" t="str">
        <f>Деятельность_УК!$C$324</f>
        <v>тыс. руб.</v>
      </c>
      <c r="C50" s="780">
        <f ca="1">SUM(Деятельность_УК!$E$324:'Деятельность_УК'!$H$324)</f>
        <v>16103.47098745843</v>
      </c>
      <c r="D50" s="780">
        <f ca="1">SUM(Деятельность_УК!$I$324:'Деятельность_УК'!$L$324)</f>
        <v>24375.371976645736</v>
      </c>
      <c r="E50" s="780">
        <f ca="1">SUM(Деятельность_УК!$M$324:'Деятельность_УК'!$P$324)</f>
        <v>33735.498278289051</v>
      </c>
      <c r="F50" s="780">
        <f ca="1">SUM(Деятельность_УК!$Q$324:'Деятельность_УК'!$T$324)</f>
        <v>39960.120469281566</v>
      </c>
      <c r="G50" s="780">
        <f ca="1">SUM(Деятельность_УК!$U$324:'Деятельность_УК'!$X$324)</f>
        <v>102238.13607144929</v>
      </c>
      <c r="H50" s="780">
        <f ca="1">SUM(Деятельность_УК!$Y$324:'Деятельность_УК'!$AB$324)</f>
        <v>106334.82726360938</v>
      </c>
      <c r="I50" s="780">
        <f ca="1">SUM(Деятельность_УК!$AC$324:'Деятельность_УК'!$AF$324)</f>
        <v>110577.63534376514</v>
      </c>
      <c r="J50" s="780">
        <f ca="1">SUM(Деятельность_УК!$AG$324:'Деятельность_УК'!$AJ$324)</f>
        <v>114981.25641176247</v>
      </c>
      <c r="K50" s="780">
        <f ca="1">SUM(Деятельность_УК!$AK$324:'Деятельность_УК'!$AN$324)</f>
        <v>116197.44339569111</v>
      </c>
      <c r="L50" s="780">
        <f ca="1">SUM(Деятельность_УК!$AO$324:'Деятельность_УК'!$AR$324)</f>
        <v>71746.767999204953</v>
      </c>
      <c r="M50" s="782">
        <f ca="1">Деятельность_УК!$AT$324</f>
        <v>736250.52819715696</v>
      </c>
    </row>
    <row r="51" spans="1:13" ht="11.25" customHeight="1" x14ac:dyDescent="0.2">
      <c r="A51" s="599"/>
      <c r="B51" s="599"/>
      <c r="C51" s="599"/>
      <c r="D51" s="599"/>
      <c r="E51" s="599"/>
      <c r="F51" s="599"/>
      <c r="G51" s="599"/>
      <c r="H51" s="599"/>
      <c r="I51" s="599"/>
      <c r="J51" s="599"/>
      <c r="K51" s="599"/>
      <c r="L51" s="599"/>
      <c r="M51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7&amp;R&amp;"Arial,полужирный"&amp;10Проект создания ИП «Бугры» на территории Ленинградской области. Управляющая компания.
&amp;C&amp;"Arial,полужирный"&amp;13
ОПЕРАЦИОННЫЕ РАСХОДЫ</oddHeader>
    <oddFooter>&amp;R&amp;P</oddFooter>
  </headerFooter>
  <rowBreaks count="1" manualBreakCount="1">
    <brk id="2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33"/>
  <dimension ref="A1:N94"/>
  <sheetViews>
    <sheetView workbookViewId="0"/>
  </sheetViews>
  <sheetFormatPr defaultRowHeight="12.75" x14ac:dyDescent="0.2"/>
  <cols>
    <col min="1" max="1" width="43.28515625" customWidth="1"/>
    <col min="2" max="2" width="6.28515625" customWidth="1"/>
    <col min="3" max="5" width="7.28515625" customWidth="1"/>
    <col min="6" max="6" width="7.5703125" customWidth="1"/>
    <col min="7" max="8" width="7.7109375" customWidth="1"/>
    <col min="9" max="12" width="7.5703125" customWidth="1"/>
    <col min="13" max="13" width="7.7109375" customWidth="1"/>
    <col min="14" max="14" width="8" customWidth="1"/>
  </cols>
  <sheetData>
    <row r="1" spans="1:14" s="301" customFormat="1" ht="26.1" customHeight="1" x14ac:dyDescent="0.2">
      <c r="A1" s="613" t="str">
        <f>Деятельность_УК!$A$387</f>
        <v>КАПВЛОЖЕНИЯ И ОПЕРАЦИИ С АКТИВАМИ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Деятельность_УК!$AT$387</f>
        <v>ИТОГО</v>
      </c>
    </row>
    <row r="2" spans="1:14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682"/>
    </row>
    <row r="3" spans="1:14" ht="11.25" customHeight="1" x14ac:dyDescent="0.2">
      <c r="A3" s="679" t="str">
        <f>Деятельность_УК!$A$389</f>
        <v>Здания и инфраструктура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682"/>
    </row>
    <row r="4" spans="1:14" ht="11.25" customHeight="1" x14ac:dyDescent="0.2">
      <c r="A4" s="599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682"/>
    </row>
    <row r="5" spans="1:14" ht="11.25" customHeight="1" x14ac:dyDescent="0.2">
      <c r="A5" s="729" t="str">
        <f>Деятельность_УК!$A$391</f>
        <v>Здания (график оплаты без учета НДС)</v>
      </c>
      <c r="B5" s="732"/>
      <c r="C5" s="774">
        <f>Деятельность_УК!$C$391</f>
        <v>1</v>
      </c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682"/>
    </row>
    <row r="6" spans="1:14" ht="11.25" customHeight="1" x14ac:dyDescent="0.2">
      <c r="A6" s="699" t="str">
        <f>Деятельность_УК!$A$392</f>
        <v>Корпус А4</v>
      </c>
      <c r="B6" s="791"/>
      <c r="C6" s="762" t="str">
        <f>Деятельность_УК!$C$392</f>
        <v>тыс. руб.</v>
      </c>
      <c r="D6" s="712">
        <f ca="1">SUM(Деятельность_УК!$E$392:'Деятельность_УК'!$H$392)</f>
        <v>480556.25</v>
      </c>
      <c r="E6" s="712">
        <f ca="1">SUM(Деятельность_УК!$I$392:'Деятельность_УК'!$L$392)</f>
        <v>0</v>
      </c>
      <c r="F6" s="712">
        <f ca="1">SUM(Деятельность_УК!$M$392:'Деятельность_УК'!$P$392)</f>
        <v>0</v>
      </c>
      <c r="G6" s="712">
        <f ca="1">SUM(Деятельность_УК!$Q$392:'Деятельность_УК'!$T$392)</f>
        <v>0</v>
      </c>
      <c r="H6" s="712">
        <f ca="1">SUM(Деятельность_УК!$U$392:'Деятельность_УК'!$X$392)</f>
        <v>0</v>
      </c>
      <c r="I6" s="712">
        <f ca="1">SUM(Деятельность_УК!$Y$392:'Деятельность_УК'!$AB$392)</f>
        <v>0</v>
      </c>
      <c r="J6" s="712">
        <f ca="1">SUM(Деятельность_УК!$AC$392:'Деятельность_УК'!$AF$392)</f>
        <v>0</v>
      </c>
      <c r="K6" s="712">
        <f ca="1">SUM(Деятельность_УК!$AG$392:'Деятельность_УК'!$AJ$392)</f>
        <v>0</v>
      </c>
      <c r="L6" s="712">
        <f ca="1">SUM(Деятельность_УК!$AK$392:'Деятельность_УК'!$AN$392)</f>
        <v>0</v>
      </c>
      <c r="M6" s="712">
        <f ca="1">SUM(Деятельность_УК!$AO$392:'Деятельность_УК'!$AR$392)</f>
        <v>0</v>
      </c>
      <c r="N6" s="746">
        <f ca="1">Деятельность_УК!$AT$392</f>
        <v>480556.25</v>
      </c>
    </row>
    <row r="7" spans="1:14" ht="11.25" customHeight="1" x14ac:dyDescent="0.2">
      <c r="A7" s="699" t="str">
        <f>Деятельность_УК!$A$393</f>
        <v>Бизнес-пространство с ЦОД</v>
      </c>
      <c r="B7" s="791"/>
      <c r="C7" s="762" t="str">
        <f>Деятельность_УК!$C$393</f>
        <v>тыс. руб.</v>
      </c>
      <c r="D7" s="712">
        <f ca="1">SUM(Деятельность_УК!$E$393:'Деятельность_УК'!$H$393)</f>
        <v>0</v>
      </c>
      <c r="E7" s="712">
        <f ca="1">SUM(Деятельность_УК!$I$393:'Деятельность_УК'!$L$393)</f>
        <v>0</v>
      </c>
      <c r="F7" s="712">
        <f ca="1">SUM(Деятельность_УК!$M$393:'Деятельность_УК'!$P$393)</f>
        <v>654182.46224107349</v>
      </c>
      <c r="G7" s="712">
        <f ca="1">SUM(Деятельность_УК!$Q$393:'Деятельность_УК'!$T$393)</f>
        <v>1027126.8118024521</v>
      </c>
      <c r="H7" s="712">
        <f ca="1">SUM(Деятельность_УК!$U$393:'Деятельность_УК'!$X$393)</f>
        <v>0</v>
      </c>
      <c r="I7" s="712">
        <f ca="1">SUM(Деятельность_УК!$Y$393:'Деятельность_УК'!$AB$393)</f>
        <v>0</v>
      </c>
      <c r="J7" s="712">
        <f ca="1">SUM(Деятельность_УК!$AC$393:'Деятельность_УК'!$AF$393)</f>
        <v>0</v>
      </c>
      <c r="K7" s="712">
        <f ca="1">SUM(Деятельность_УК!$AG$393:'Деятельность_УК'!$AJ$393)</f>
        <v>0</v>
      </c>
      <c r="L7" s="712">
        <f ca="1">SUM(Деятельность_УК!$AK$393:'Деятельность_УК'!$AN$393)</f>
        <v>0</v>
      </c>
      <c r="M7" s="712">
        <f ca="1">SUM(Деятельность_УК!$AO$393:'Деятельность_УК'!$AR$393)</f>
        <v>0</v>
      </c>
      <c r="N7" s="746">
        <f ca="1">Деятельность_УК!$AT$393</f>
        <v>1681309.2740435256</v>
      </c>
    </row>
    <row r="8" spans="1:14" ht="11.25" customHeight="1" x14ac:dyDescent="0.2">
      <c r="A8" s="699" t="str">
        <f>Деятельность_УК!$A$394</f>
        <v>Корпус В1</v>
      </c>
      <c r="B8" s="791"/>
      <c r="C8" s="762" t="str">
        <f>Деятельность_УК!$C$394</f>
        <v>тыс. руб.</v>
      </c>
      <c r="D8" s="712">
        <f ca="1">SUM(Деятельность_УК!$E$394:'Деятельность_УК'!$H$394)</f>
        <v>0</v>
      </c>
      <c r="E8" s="712">
        <f ca="1">SUM(Деятельность_УК!$I$394:'Деятельность_УК'!$L$394)</f>
        <v>0</v>
      </c>
      <c r="F8" s="712">
        <f ca="1">SUM(Деятельность_УК!$M$394:'Деятельность_УК'!$P$394)</f>
        <v>286272.36953887378</v>
      </c>
      <c r="G8" s="712">
        <f ca="1">SUM(Деятельность_УК!$Q$394:'Деятельность_УК'!$T$394)</f>
        <v>0</v>
      </c>
      <c r="H8" s="712">
        <f ca="1">SUM(Деятельность_УК!$U$394:'Деятельность_УК'!$X$394)</f>
        <v>0</v>
      </c>
      <c r="I8" s="712">
        <f ca="1">SUM(Деятельность_УК!$Y$394:'Деятельность_УК'!$AB$394)</f>
        <v>0</v>
      </c>
      <c r="J8" s="712">
        <f ca="1">SUM(Деятельность_УК!$AC$394:'Деятельность_УК'!$AF$394)</f>
        <v>0</v>
      </c>
      <c r="K8" s="712">
        <f ca="1">SUM(Деятельность_УК!$AG$394:'Деятельность_УК'!$AJ$394)</f>
        <v>0</v>
      </c>
      <c r="L8" s="712">
        <f ca="1">SUM(Деятельность_УК!$AK$394:'Деятельность_УК'!$AN$394)</f>
        <v>0</v>
      </c>
      <c r="M8" s="712">
        <f ca="1">SUM(Деятельность_УК!$AO$394:'Деятельность_УК'!$AR$394)</f>
        <v>0</v>
      </c>
      <c r="N8" s="746">
        <f ca="1">Деятельность_УК!$AT$394</f>
        <v>286272.36953887378</v>
      </c>
    </row>
    <row r="9" spans="1:14" ht="11.25" customHeight="1" x14ac:dyDescent="0.2">
      <c r="A9" s="699" t="str">
        <f>Деятельность_УК!$A$395</f>
        <v>Корпус В2</v>
      </c>
      <c r="B9" s="791"/>
      <c r="C9" s="762" t="str">
        <f>Деятельность_УК!$C$395</f>
        <v>тыс. руб.</v>
      </c>
      <c r="D9" s="712">
        <f ca="1">SUM(Деятельность_УК!$E$395:'Деятельность_УК'!$H$395)</f>
        <v>0</v>
      </c>
      <c r="E9" s="712">
        <f ca="1">SUM(Деятельность_УК!$I$395:'Деятельность_УК'!$L$395)</f>
        <v>459693.95354167029</v>
      </c>
      <c r="F9" s="712">
        <f ca="1">SUM(Деятельность_УК!$M$395:'Деятельность_УК'!$P$395)</f>
        <v>0</v>
      </c>
      <c r="G9" s="712">
        <f ca="1">SUM(Деятельность_УК!$Q$395:'Деятельность_УК'!$T$395)</f>
        <v>0</v>
      </c>
      <c r="H9" s="712">
        <f ca="1">SUM(Деятельность_УК!$U$395:'Деятельность_УК'!$X$395)</f>
        <v>0</v>
      </c>
      <c r="I9" s="712">
        <f ca="1">SUM(Деятельность_УК!$Y$395:'Деятельность_УК'!$AB$395)</f>
        <v>0</v>
      </c>
      <c r="J9" s="712">
        <f ca="1">SUM(Деятельность_УК!$AC$395:'Деятельность_УК'!$AF$395)</f>
        <v>0</v>
      </c>
      <c r="K9" s="712">
        <f ca="1">SUM(Деятельность_УК!$AG$395:'Деятельность_УК'!$AJ$395)</f>
        <v>0</v>
      </c>
      <c r="L9" s="712">
        <f ca="1">SUM(Деятельность_УК!$AK$395:'Деятельность_УК'!$AN$395)</f>
        <v>0</v>
      </c>
      <c r="M9" s="712">
        <f ca="1">SUM(Деятельность_УК!$AO$395:'Деятельность_УК'!$AR$395)</f>
        <v>0</v>
      </c>
      <c r="N9" s="746">
        <f ca="1">Деятельность_УК!$AT$395</f>
        <v>459693.95354167029</v>
      </c>
    </row>
    <row r="10" spans="1:14" ht="11.25" customHeight="1" x14ac:dyDescent="0.2">
      <c r="A10" s="699" t="str">
        <f>Деятельность_УК!$A$396</f>
        <v>Корпус В3</v>
      </c>
      <c r="B10" s="791"/>
      <c r="C10" s="762" t="str">
        <f>Деятельность_УК!$C$396</f>
        <v>тыс. руб.</v>
      </c>
      <c r="D10" s="712">
        <f ca="1">SUM(Деятельность_УК!$E$396:'Деятельность_УК'!$H$396)</f>
        <v>0</v>
      </c>
      <c r="E10" s="712">
        <f ca="1">SUM(Деятельность_УК!$I$396:'Деятельность_УК'!$L$396)</f>
        <v>0</v>
      </c>
      <c r="F10" s="712">
        <f ca="1">SUM(Деятельность_УК!$M$396:'Деятельность_УК'!$P$396)</f>
        <v>0</v>
      </c>
      <c r="G10" s="712">
        <f ca="1">SUM(Деятельность_УК!$Q$396:'Деятельность_УК'!$T$396)</f>
        <v>615200.25903941935</v>
      </c>
      <c r="H10" s="712">
        <f ca="1">SUM(Деятельность_УК!$U$396:'Деятельность_УК'!$X$396)</f>
        <v>0</v>
      </c>
      <c r="I10" s="712">
        <f ca="1">SUM(Деятельность_УК!$Y$396:'Деятельность_УК'!$AB$396)</f>
        <v>0</v>
      </c>
      <c r="J10" s="712">
        <f ca="1">SUM(Деятельность_УК!$AC$396:'Деятельность_УК'!$AF$396)</f>
        <v>0</v>
      </c>
      <c r="K10" s="712">
        <f ca="1">SUM(Деятельность_УК!$AG$396:'Деятельность_УК'!$AJ$396)</f>
        <v>0</v>
      </c>
      <c r="L10" s="712">
        <f ca="1">SUM(Деятельность_УК!$AK$396:'Деятельность_УК'!$AN$396)</f>
        <v>0</v>
      </c>
      <c r="M10" s="712">
        <f ca="1">SUM(Деятельность_УК!$AO$396:'Деятельность_УК'!$AR$396)</f>
        <v>0</v>
      </c>
      <c r="N10" s="746">
        <f ca="1">Деятельность_УК!$AT$396</f>
        <v>615200.25903941935</v>
      </c>
    </row>
    <row r="11" spans="1:14" ht="11.25" customHeight="1" x14ac:dyDescent="0.2">
      <c r="A11" s="699" t="str">
        <f>Деятельность_УК!$A$397</f>
        <v>Объект II очереди</v>
      </c>
      <c r="B11" s="791"/>
      <c r="C11" s="762" t="str">
        <f>Деятельность_УК!$C$397</f>
        <v>тыс. руб.</v>
      </c>
      <c r="D11" s="712">
        <f ca="1">SUM(Деятельность_УК!$E$397:'Деятельность_УК'!$H$397)</f>
        <v>0</v>
      </c>
      <c r="E11" s="712">
        <f ca="1">SUM(Деятельность_УК!$I$397:'Деятельность_УК'!$L$397)</f>
        <v>0</v>
      </c>
      <c r="F11" s="712">
        <f ca="1">SUM(Деятельность_УК!$M$397:'Деятельность_УК'!$P$397)</f>
        <v>445431.2988658431</v>
      </c>
      <c r="G11" s="712">
        <f ca="1">SUM(Деятельность_УК!$Q$397:'Деятельность_УК'!$T$397)</f>
        <v>699368.22872591694</v>
      </c>
      <c r="H11" s="712">
        <f ca="1">SUM(Деятельность_УК!$U$397:'Деятельность_УК'!$X$397)</f>
        <v>0</v>
      </c>
      <c r="I11" s="712">
        <f ca="1">SUM(Деятельность_УК!$Y$397:'Деятельность_УК'!$AB$397)</f>
        <v>0</v>
      </c>
      <c r="J11" s="712">
        <f ca="1">SUM(Деятельность_УК!$AC$397:'Деятельность_УК'!$AF$397)</f>
        <v>0</v>
      </c>
      <c r="K11" s="712">
        <f ca="1">SUM(Деятельность_УК!$AG$397:'Деятельность_УК'!$AJ$397)</f>
        <v>0</v>
      </c>
      <c r="L11" s="712">
        <f ca="1">SUM(Деятельность_УК!$AK$397:'Деятельность_УК'!$AN$397)</f>
        <v>0</v>
      </c>
      <c r="M11" s="712">
        <f ca="1">SUM(Деятельность_УК!$AO$397:'Деятельность_УК'!$AR$397)</f>
        <v>0</v>
      </c>
      <c r="N11" s="746">
        <f ca="1">Деятельность_УК!$AT$397</f>
        <v>1144799.52759176</v>
      </c>
    </row>
    <row r="12" spans="1:14" ht="11.25" customHeight="1" x14ac:dyDescent="0.2">
      <c r="A12" s="636" t="str">
        <f>Деятельность_УК!$A$398</f>
        <v>график оплаты, без НДС</v>
      </c>
      <c r="B12" s="792"/>
      <c r="C12" s="762" t="str">
        <f>Деятельность_УК!$C$398</f>
        <v>тыс. руб.</v>
      </c>
      <c r="D12" s="713">
        <f ca="1">SUM(Деятельность_УК!$E$398:'Деятельность_УК'!$H$398)</f>
        <v>480556.25</v>
      </c>
      <c r="E12" s="713">
        <f ca="1">SUM(Деятельность_УК!$I$398:'Деятельность_УК'!$L$398)</f>
        <v>459693.95354167029</v>
      </c>
      <c r="F12" s="713">
        <f ca="1">SUM(Деятельность_УК!$M$398:'Деятельность_УК'!$P$398)</f>
        <v>1385886.1306457904</v>
      </c>
      <c r="G12" s="713">
        <f ca="1">SUM(Деятельность_УК!$Q$398:'Деятельность_УК'!$T$398)</f>
        <v>2341695.2995677884</v>
      </c>
      <c r="H12" s="713">
        <f ca="1">SUM(Деятельность_УК!$U$398:'Деятельность_УК'!$X$398)</f>
        <v>0</v>
      </c>
      <c r="I12" s="713">
        <f ca="1">SUM(Деятельность_УК!$Y$398:'Деятельность_УК'!$AB$398)</f>
        <v>0</v>
      </c>
      <c r="J12" s="713">
        <f ca="1">SUM(Деятельность_УК!$AC$398:'Деятельность_УК'!$AF$398)</f>
        <v>0</v>
      </c>
      <c r="K12" s="713">
        <f ca="1">SUM(Деятельность_УК!$AG$398:'Деятельность_УК'!$AJ$398)</f>
        <v>0</v>
      </c>
      <c r="L12" s="713">
        <f ca="1">SUM(Деятельность_УК!$AK$398:'Деятельность_УК'!$AN$398)</f>
        <v>0</v>
      </c>
      <c r="M12" s="713">
        <f ca="1">SUM(Деятельность_УК!$AO$398:'Деятельность_УК'!$AR$398)</f>
        <v>0</v>
      </c>
      <c r="N12" s="744">
        <f ca="1">Деятельность_УК!$AT$398</f>
        <v>4667831.633755249</v>
      </c>
    </row>
    <row r="13" spans="1:14" ht="11.25" customHeight="1" x14ac:dyDescent="0.2">
      <c r="A13" s="636" t="str">
        <f>Деятельность_УК!$A$399</f>
        <v>ранее осуществленные инвестиции, без НДС</v>
      </c>
      <c r="B13" s="765">
        <f>Деятельность_УК!$B$399</f>
        <v>480556.25</v>
      </c>
      <c r="C13" s="687" t="str">
        <f>Деятельность_УК!$C$399</f>
        <v>тыс. руб.</v>
      </c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682"/>
    </row>
    <row r="14" spans="1:14" ht="11.25" customHeight="1" x14ac:dyDescent="0.2">
      <c r="A14" s="668" t="str">
        <f>Деятельность_УК!$A$400</f>
        <v>Принятие к учету на баланс</v>
      </c>
      <c r="B14" s="681"/>
      <c r="C14" s="681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682"/>
    </row>
    <row r="15" spans="1:14" ht="11.25" customHeight="1" x14ac:dyDescent="0.2">
      <c r="A15" s="793" t="str">
        <f>Деятельность_УК!$A$401</f>
        <v>Корпус А4</v>
      </c>
      <c r="B15" s="791"/>
      <c r="C15" s="762" t="str">
        <f>Деятельность_УК!$C$401</f>
        <v>тыс. руб.</v>
      </c>
      <c r="D15" s="712">
        <f ca="1">SUM(Деятельность_УК!$E$401:'Деятельность_УК'!$H$401)</f>
        <v>961112.5</v>
      </c>
      <c r="E15" s="712">
        <f ca="1">SUM(Деятельность_УК!$I$401:'Деятельность_УК'!$L$401)</f>
        <v>0</v>
      </c>
      <c r="F15" s="712">
        <f ca="1">SUM(Деятельность_УК!$M$401:'Деятельность_УК'!$P$401)</f>
        <v>0</v>
      </c>
      <c r="G15" s="712">
        <f ca="1">SUM(Деятельность_УК!$Q$401:'Деятельность_УК'!$T$401)</f>
        <v>0</v>
      </c>
      <c r="H15" s="712">
        <f ca="1">SUM(Деятельность_УК!$U$401:'Деятельность_УК'!$X$401)</f>
        <v>0</v>
      </c>
      <c r="I15" s="712">
        <f ca="1">SUM(Деятельность_УК!$Y$401:'Деятельность_УК'!$AB$401)</f>
        <v>0</v>
      </c>
      <c r="J15" s="712">
        <f ca="1">SUM(Деятельность_УК!$AC$401:'Деятельность_УК'!$AF$401)</f>
        <v>0</v>
      </c>
      <c r="K15" s="712">
        <f ca="1">SUM(Деятельность_УК!$AG$401:'Деятельность_УК'!$AJ$401)</f>
        <v>0</v>
      </c>
      <c r="L15" s="712">
        <f ca="1">SUM(Деятельность_УК!$AK$401:'Деятельность_УК'!$AN$401)</f>
        <v>0</v>
      </c>
      <c r="M15" s="712">
        <f ca="1">SUM(Деятельность_УК!$AO$401:'Деятельность_УК'!$AR$401)</f>
        <v>0</v>
      </c>
      <c r="N15" s="746">
        <f ca="1">Деятельность_УК!$AT$401</f>
        <v>961112.5</v>
      </c>
    </row>
    <row r="16" spans="1:14" ht="11.25" customHeight="1" x14ac:dyDescent="0.2">
      <c r="A16" s="793" t="str">
        <f>Деятельность_УК!$A$402</f>
        <v>Бизнес-пространство с ЦОД</v>
      </c>
      <c r="B16" s="791"/>
      <c r="C16" s="762" t="str">
        <f>Деятельность_УК!$C$402</f>
        <v>тыс. руб.</v>
      </c>
      <c r="D16" s="712">
        <f ca="1">SUM(Деятельность_УК!$E$402:'Деятельность_УК'!$H$402)</f>
        <v>0</v>
      </c>
      <c r="E16" s="712">
        <f ca="1">SUM(Деятельность_УК!$I$402:'Деятельность_УК'!$L$402)</f>
        <v>0</v>
      </c>
      <c r="F16" s="712">
        <f ca="1">SUM(Деятельность_УК!$M$402:'Деятельность_УК'!$P$402)</f>
        <v>0</v>
      </c>
      <c r="G16" s="712">
        <f ca="1">SUM(Деятельность_УК!$Q$402:'Деятельность_УК'!$T$402)</f>
        <v>0</v>
      </c>
      <c r="H16" s="712">
        <f ca="1">SUM(Деятельность_УК!$U$402:'Деятельность_УК'!$X$402)</f>
        <v>1681309.2740435256</v>
      </c>
      <c r="I16" s="712">
        <f ca="1">SUM(Деятельность_УК!$Y$402:'Деятельность_УК'!$AB$402)</f>
        <v>0</v>
      </c>
      <c r="J16" s="712">
        <f ca="1">SUM(Деятельность_УК!$AC$402:'Деятельность_УК'!$AF$402)</f>
        <v>0</v>
      </c>
      <c r="K16" s="712">
        <f ca="1">SUM(Деятельность_УК!$AG$402:'Деятельность_УК'!$AJ$402)</f>
        <v>0</v>
      </c>
      <c r="L16" s="712">
        <f ca="1">SUM(Деятельность_УК!$AK$402:'Деятельность_УК'!$AN$402)</f>
        <v>0</v>
      </c>
      <c r="M16" s="712">
        <f ca="1">SUM(Деятельность_УК!$AO$402:'Деятельность_УК'!$AR$402)</f>
        <v>0</v>
      </c>
      <c r="N16" s="746">
        <f ca="1">Деятельность_УК!$AT$402</f>
        <v>1681309.2740435256</v>
      </c>
    </row>
    <row r="17" spans="1:14" ht="11.25" customHeight="1" x14ac:dyDescent="0.2">
      <c r="A17" s="793" t="str">
        <f>Деятельность_УК!$A$403</f>
        <v>Корпус В1</v>
      </c>
      <c r="B17" s="791"/>
      <c r="C17" s="762" t="str">
        <f>Деятельность_УК!$C$403</f>
        <v>тыс. руб.</v>
      </c>
      <c r="D17" s="712">
        <f ca="1">SUM(Деятельность_УК!$E$403:'Деятельность_УК'!$H$403)</f>
        <v>0</v>
      </c>
      <c r="E17" s="712">
        <f ca="1">SUM(Деятельность_УК!$I$403:'Деятельность_УК'!$L$403)</f>
        <v>0</v>
      </c>
      <c r="F17" s="712">
        <f ca="1">SUM(Деятельность_УК!$M$403:'Деятельность_УК'!$P$403)</f>
        <v>0</v>
      </c>
      <c r="G17" s="712">
        <f ca="1">SUM(Деятельность_УК!$Q$403:'Деятельность_УК'!$T$403)</f>
        <v>286272.36953887378</v>
      </c>
      <c r="H17" s="712">
        <f ca="1">SUM(Деятельность_УК!$U$403:'Деятельность_УК'!$X$403)</f>
        <v>0</v>
      </c>
      <c r="I17" s="712">
        <f ca="1">SUM(Деятельность_УК!$Y$403:'Деятельность_УК'!$AB$403)</f>
        <v>0</v>
      </c>
      <c r="J17" s="712">
        <f ca="1">SUM(Деятельность_УК!$AC$403:'Деятельность_УК'!$AF$403)</f>
        <v>0</v>
      </c>
      <c r="K17" s="712">
        <f ca="1">SUM(Деятельность_УК!$AG$403:'Деятельность_УК'!$AJ$403)</f>
        <v>0</v>
      </c>
      <c r="L17" s="712">
        <f ca="1">SUM(Деятельность_УК!$AK$403:'Деятельность_УК'!$AN$403)</f>
        <v>0</v>
      </c>
      <c r="M17" s="712">
        <f ca="1">SUM(Деятельность_УК!$AO$403:'Деятельность_УК'!$AR$403)</f>
        <v>0</v>
      </c>
      <c r="N17" s="746">
        <f ca="1">Деятельность_УК!$AT$403</f>
        <v>286272.36953887378</v>
      </c>
    </row>
    <row r="18" spans="1:14" ht="11.25" customHeight="1" x14ac:dyDescent="0.2">
      <c r="A18" s="793" t="str">
        <f>Деятельность_УК!$A$404</f>
        <v>Корпус В2</v>
      </c>
      <c r="B18" s="791"/>
      <c r="C18" s="762" t="str">
        <f>Деятельность_УК!$C$404</f>
        <v>тыс. руб.</v>
      </c>
      <c r="D18" s="712">
        <f ca="1">SUM(Деятельность_УК!$E$404:'Деятельность_УК'!$H$404)</f>
        <v>0</v>
      </c>
      <c r="E18" s="712">
        <f ca="1">SUM(Деятельность_УК!$I$404:'Деятельность_УК'!$L$404)</f>
        <v>0</v>
      </c>
      <c r="F18" s="712">
        <f ca="1">SUM(Деятельность_УК!$M$404:'Деятельность_УК'!$P$404)</f>
        <v>459693.95354167029</v>
      </c>
      <c r="G18" s="712">
        <f ca="1">SUM(Деятельность_УК!$Q$404:'Деятельность_УК'!$T$404)</f>
        <v>0</v>
      </c>
      <c r="H18" s="712">
        <f ca="1">SUM(Деятельность_УК!$U$404:'Деятельность_УК'!$X$404)</f>
        <v>0</v>
      </c>
      <c r="I18" s="712">
        <f ca="1">SUM(Деятельность_УК!$Y$404:'Деятельность_УК'!$AB$404)</f>
        <v>0</v>
      </c>
      <c r="J18" s="712">
        <f ca="1">SUM(Деятельность_УК!$AC$404:'Деятельность_УК'!$AF$404)</f>
        <v>0</v>
      </c>
      <c r="K18" s="712">
        <f ca="1">SUM(Деятельность_УК!$AG$404:'Деятельность_УК'!$AJ$404)</f>
        <v>0</v>
      </c>
      <c r="L18" s="712">
        <f ca="1">SUM(Деятельность_УК!$AK$404:'Деятельность_УК'!$AN$404)</f>
        <v>0</v>
      </c>
      <c r="M18" s="712">
        <f ca="1">SUM(Деятельность_УК!$AO$404:'Деятельность_УК'!$AR$404)</f>
        <v>0</v>
      </c>
      <c r="N18" s="746">
        <f ca="1">Деятельность_УК!$AT$404</f>
        <v>459693.95354167029</v>
      </c>
    </row>
    <row r="19" spans="1:14" ht="11.25" customHeight="1" x14ac:dyDescent="0.2">
      <c r="A19" s="793" t="str">
        <f>Деятельность_УК!$A$405</f>
        <v>Корпус В3</v>
      </c>
      <c r="B19" s="791"/>
      <c r="C19" s="762" t="str">
        <f>Деятельность_УК!$C$405</f>
        <v>тыс. руб.</v>
      </c>
      <c r="D19" s="712">
        <f ca="1">SUM(Деятельность_УК!$E$405:'Деятельность_УК'!$H$405)</f>
        <v>0</v>
      </c>
      <c r="E19" s="712">
        <f ca="1">SUM(Деятельность_УК!$I$405:'Деятельность_УК'!$L$405)</f>
        <v>0</v>
      </c>
      <c r="F19" s="712">
        <f ca="1">SUM(Деятельность_УК!$M$405:'Деятельность_УК'!$P$405)</f>
        <v>0</v>
      </c>
      <c r="G19" s="712">
        <f ca="1">SUM(Деятельность_УК!$Q$405:'Деятельность_УК'!$T$405)</f>
        <v>0</v>
      </c>
      <c r="H19" s="712">
        <f ca="1">SUM(Деятельность_УК!$U$405:'Деятельность_УК'!$X$405)</f>
        <v>615200.25903941935</v>
      </c>
      <c r="I19" s="712">
        <f ca="1">SUM(Деятельность_УК!$Y$405:'Деятельность_УК'!$AB$405)</f>
        <v>0</v>
      </c>
      <c r="J19" s="712">
        <f ca="1">SUM(Деятельность_УК!$AC$405:'Деятельность_УК'!$AF$405)</f>
        <v>0</v>
      </c>
      <c r="K19" s="712">
        <f ca="1">SUM(Деятельность_УК!$AG$405:'Деятельность_УК'!$AJ$405)</f>
        <v>0</v>
      </c>
      <c r="L19" s="712">
        <f ca="1">SUM(Деятельность_УК!$AK$405:'Деятельность_УК'!$AN$405)</f>
        <v>0</v>
      </c>
      <c r="M19" s="712">
        <f ca="1">SUM(Деятельность_УК!$AO$405:'Деятельность_УК'!$AR$405)</f>
        <v>0</v>
      </c>
      <c r="N19" s="746">
        <f ca="1">Деятельность_УК!$AT$405</f>
        <v>615200.25903941935</v>
      </c>
    </row>
    <row r="20" spans="1:14" ht="11.25" customHeight="1" x14ac:dyDescent="0.2">
      <c r="A20" s="793" t="str">
        <f>Деятельность_УК!$A$406</f>
        <v>Объект II очереди</v>
      </c>
      <c r="B20" s="791"/>
      <c r="C20" s="762" t="str">
        <f>Деятельность_УК!$C$406</f>
        <v>тыс. руб.</v>
      </c>
      <c r="D20" s="712">
        <f ca="1">SUM(Деятельность_УК!$E$406:'Деятельность_УК'!$H$406)</f>
        <v>0</v>
      </c>
      <c r="E20" s="712">
        <f ca="1">SUM(Деятельность_УК!$I$406:'Деятельность_УК'!$L$406)</f>
        <v>0</v>
      </c>
      <c r="F20" s="712">
        <f ca="1">SUM(Деятельность_УК!$M$406:'Деятельность_УК'!$P$406)</f>
        <v>0</v>
      </c>
      <c r="G20" s="712">
        <f ca="1">SUM(Деятельность_УК!$Q$406:'Деятельность_УК'!$T$406)</f>
        <v>0</v>
      </c>
      <c r="H20" s="712">
        <f ca="1">SUM(Деятельность_УК!$U$406:'Деятельность_УК'!$X$406)</f>
        <v>1144799.52759176</v>
      </c>
      <c r="I20" s="712">
        <f ca="1">SUM(Деятельность_УК!$Y$406:'Деятельность_УК'!$AB$406)</f>
        <v>0</v>
      </c>
      <c r="J20" s="712">
        <f ca="1">SUM(Деятельность_УК!$AC$406:'Деятельность_УК'!$AF$406)</f>
        <v>0</v>
      </c>
      <c r="K20" s="712">
        <f ca="1">SUM(Деятельность_УК!$AG$406:'Деятельность_УК'!$AJ$406)</f>
        <v>0</v>
      </c>
      <c r="L20" s="712">
        <f ca="1">SUM(Деятельность_УК!$AK$406:'Деятельность_УК'!$AN$406)</f>
        <v>0</v>
      </c>
      <c r="M20" s="712">
        <f ca="1">SUM(Деятельность_УК!$AO$406:'Деятельность_УК'!$AR$406)</f>
        <v>0</v>
      </c>
      <c r="N20" s="746">
        <f ca="1">Деятельность_УК!$AT$406</f>
        <v>1144799.52759176</v>
      </c>
    </row>
    <row r="21" spans="1:14" ht="11.25" customHeight="1" x14ac:dyDescent="0.2">
      <c r="A21" s="636" t="str">
        <f>Деятельность_УК!$A$407</f>
        <v>итого график постановки на баланс, без НДС</v>
      </c>
      <c r="B21" s="792"/>
      <c r="C21" s="762" t="str">
        <f>Деятельность_УК!$C$407</f>
        <v>тыс. руб.</v>
      </c>
      <c r="D21" s="713">
        <f ca="1">SUM(Деятельность_УК!$E$407:'Деятельность_УК'!$H$407)</f>
        <v>961112.5</v>
      </c>
      <c r="E21" s="713">
        <f ca="1">SUM(Деятельность_УК!$I$407:'Деятельность_УК'!$L$407)</f>
        <v>0</v>
      </c>
      <c r="F21" s="713">
        <f ca="1">SUM(Деятельность_УК!$M$407:'Деятельность_УК'!$P$407)</f>
        <v>459693.95354167029</v>
      </c>
      <c r="G21" s="713">
        <f ca="1">SUM(Деятельность_УК!$Q$407:'Деятельность_УК'!$T$407)</f>
        <v>286272.36953887378</v>
      </c>
      <c r="H21" s="713">
        <f ca="1">SUM(Деятельность_УК!$U$407:'Деятельность_УК'!$X$407)</f>
        <v>3441309.0606747046</v>
      </c>
      <c r="I21" s="713">
        <f ca="1">SUM(Деятельность_УК!$Y$407:'Деятельность_УК'!$AB$407)</f>
        <v>0</v>
      </c>
      <c r="J21" s="713">
        <f ca="1">SUM(Деятельность_УК!$AC$407:'Деятельность_УК'!$AF$407)</f>
        <v>0</v>
      </c>
      <c r="K21" s="713">
        <f ca="1">SUM(Деятельность_УК!$AG$407:'Деятельность_УК'!$AJ$407)</f>
        <v>0</v>
      </c>
      <c r="L21" s="713">
        <f ca="1">SUM(Деятельность_УК!$AK$407:'Деятельность_УК'!$AN$407)</f>
        <v>0</v>
      </c>
      <c r="M21" s="713">
        <f ca="1">SUM(Деятельность_УК!$AO$407:'Деятельность_УК'!$AR$407)</f>
        <v>0</v>
      </c>
      <c r="N21" s="744">
        <f ca="1">Деятельность_УК!$AT$407</f>
        <v>5148387.883755248</v>
      </c>
    </row>
    <row r="22" spans="1:14" ht="11.25" customHeight="1" x14ac:dyDescent="0.2">
      <c r="A22" s="637" t="str">
        <f>Деятельность_УК!$A$408</f>
        <v xml:space="preserve">срок полезного использования </v>
      </c>
      <c r="B22" s="765">
        <f>Деятельность_УК!$B$408</f>
        <v>20</v>
      </c>
      <c r="C22" s="687" t="str">
        <f>Деятельность_УК!$C$408</f>
        <v>лет</v>
      </c>
      <c r="D22" s="651"/>
      <c r="E22" s="651"/>
      <c r="F22" s="651"/>
      <c r="G22" s="651"/>
      <c r="H22" s="651"/>
      <c r="I22" s="651"/>
      <c r="J22" s="651"/>
      <c r="K22" s="651"/>
      <c r="L22" s="651"/>
      <c r="M22" s="651"/>
      <c r="N22" s="652"/>
    </row>
    <row r="23" spans="1:14" ht="11.25" customHeight="1" x14ac:dyDescent="0.2">
      <c r="A23" s="668" t="str">
        <f>Деятельность_УК!$A$410</f>
        <v>Передача объектов в аренду с выкупом</v>
      </c>
      <c r="B23" s="723"/>
      <c r="C23" s="681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82"/>
    </row>
    <row r="24" spans="1:14" ht="11.25" customHeight="1" x14ac:dyDescent="0.2">
      <c r="A24" s="793" t="str">
        <f>Деятельность_УК!$A$411</f>
        <v>Корпус А4</v>
      </c>
      <c r="B24" s="791"/>
      <c r="C24" s="762" t="str">
        <f>Деятельность_УК!$C$411</f>
        <v>кв.м.</v>
      </c>
      <c r="D24" s="757">
        <f>Деятельность_УК!$H$411</f>
        <v>0</v>
      </c>
      <c r="E24" s="757">
        <f>Деятельность_УК!$L$411</f>
        <v>0</v>
      </c>
      <c r="F24" s="757">
        <f>Деятельность_УК!$P$411</f>
        <v>0</v>
      </c>
      <c r="G24" s="757">
        <f>Деятельность_УК!$T$411</f>
        <v>0</v>
      </c>
      <c r="H24" s="757">
        <f>Деятельность_УК!$X$411</f>
        <v>0</v>
      </c>
      <c r="I24" s="757">
        <f>Деятельность_УК!$AB$411</f>
        <v>0</v>
      </c>
      <c r="J24" s="757">
        <f>Деятельность_УК!$AF$411</f>
        <v>0</v>
      </c>
      <c r="K24" s="757">
        <f>Деятельность_УК!$AJ$411</f>
        <v>0</v>
      </c>
      <c r="L24" s="757">
        <f>Деятельность_УК!$AN$411</f>
        <v>0</v>
      </c>
      <c r="M24" s="794">
        <f>Деятельность_УК!$AR$411</f>
        <v>0</v>
      </c>
      <c r="N24" s="682"/>
    </row>
    <row r="25" spans="1:14" ht="11.25" customHeight="1" x14ac:dyDescent="0.2">
      <c r="A25" s="793" t="str">
        <f>Деятельность_УК!$A$412</f>
        <v>Бизнес-пространство с ЦОД</v>
      </c>
      <c r="B25" s="791"/>
      <c r="C25" s="762" t="str">
        <f>Деятельность_УК!$C$412</f>
        <v>кв.м.</v>
      </c>
      <c r="D25" s="739">
        <f>Деятельность_УК!$H$412</f>
        <v>0</v>
      </c>
      <c r="E25" s="739">
        <f>Деятельность_УК!$L$412</f>
        <v>0</v>
      </c>
      <c r="F25" s="739">
        <f>Деятельность_УК!$P$412</f>
        <v>0</v>
      </c>
      <c r="G25" s="739">
        <f>Деятельность_УК!$T$412</f>
        <v>0</v>
      </c>
      <c r="H25" s="739">
        <f>Деятельность_УК!$X$412</f>
        <v>24365</v>
      </c>
      <c r="I25" s="739">
        <f>Деятельность_УК!$AB$412</f>
        <v>24365</v>
      </c>
      <c r="J25" s="739">
        <f>Деятельность_УК!$AF$412</f>
        <v>24365</v>
      </c>
      <c r="K25" s="739">
        <f>Деятельность_УК!$AJ$412</f>
        <v>24365</v>
      </c>
      <c r="L25" s="739">
        <f>Деятельность_УК!$AN$412</f>
        <v>24365</v>
      </c>
      <c r="M25" s="795">
        <f>Деятельность_УК!$AR$412</f>
        <v>24365</v>
      </c>
      <c r="N25" s="682"/>
    </row>
    <row r="26" spans="1:14" ht="11.25" customHeight="1" x14ac:dyDescent="0.2">
      <c r="A26" s="793" t="str">
        <f>Деятельность_УК!$A$413</f>
        <v>Корпус В1</v>
      </c>
      <c r="B26" s="791"/>
      <c r="C26" s="762" t="str">
        <f>Деятельность_УК!$C$413</f>
        <v>кв.м.</v>
      </c>
      <c r="D26" s="739">
        <f>Деятельность_УК!$H$413</f>
        <v>0</v>
      </c>
      <c r="E26" s="739">
        <f>Деятельность_УК!$L$413</f>
        <v>0</v>
      </c>
      <c r="F26" s="739">
        <f>Деятельность_УК!$P$413</f>
        <v>0</v>
      </c>
      <c r="G26" s="739">
        <f>Деятельность_УК!$T$413</f>
        <v>3610</v>
      </c>
      <c r="H26" s="739">
        <f>Деятельность_УК!$X$413</f>
        <v>3610</v>
      </c>
      <c r="I26" s="739">
        <f>Деятельность_УК!$AB$413</f>
        <v>3610</v>
      </c>
      <c r="J26" s="739">
        <f>Деятельность_УК!$AF$413</f>
        <v>3610</v>
      </c>
      <c r="K26" s="739">
        <f>Деятельность_УК!$AJ$413</f>
        <v>3610</v>
      </c>
      <c r="L26" s="739">
        <f>Деятельность_УК!$AN$413</f>
        <v>3610</v>
      </c>
      <c r="M26" s="795">
        <f>Деятельность_УК!$AR$413</f>
        <v>3610</v>
      </c>
      <c r="N26" s="682"/>
    </row>
    <row r="27" spans="1:14" ht="11.25" customHeight="1" x14ac:dyDescent="0.2">
      <c r="A27" s="793" t="str">
        <f>Деятельность_УК!$A$414</f>
        <v>Корпус В2</v>
      </c>
      <c r="B27" s="791"/>
      <c r="C27" s="762" t="str">
        <f>Деятельность_УК!$C$414</f>
        <v>кв.м.</v>
      </c>
      <c r="D27" s="757">
        <f>Деятельность_УК!$H$414</f>
        <v>0</v>
      </c>
      <c r="E27" s="757">
        <f>Деятельность_УК!$L$414</f>
        <v>0</v>
      </c>
      <c r="F27" s="757">
        <f>Деятельность_УК!$P$414</f>
        <v>0</v>
      </c>
      <c r="G27" s="757">
        <f>Деятельность_УК!$T$414</f>
        <v>0</v>
      </c>
      <c r="H27" s="757">
        <f>Деятельность_УК!$X$414</f>
        <v>0</v>
      </c>
      <c r="I27" s="757">
        <f>Деятельность_УК!$AB$414</f>
        <v>0</v>
      </c>
      <c r="J27" s="757">
        <f>Деятельность_УК!$AF$414</f>
        <v>0</v>
      </c>
      <c r="K27" s="757">
        <f>Деятельность_УК!$AJ$414</f>
        <v>0</v>
      </c>
      <c r="L27" s="757">
        <f>Деятельность_УК!$AN$414</f>
        <v>0</v>
      </c>
      <c r="M27" s="794">
        <f>Деятельность_УК!$AR$414</f>
        <v>0</v>
      </c>
      <c r="N27" s="682"/>
    </row>
    <row r="28" spans="1:14" ht="11.25" customHeight="1" x14ac:dyDescent="0.2">
      <c r="A28" s="793" t="str">
        <f>Деятельность_УК!$A$415</f>
        <v>Корпус В3</v>
      </c>
      <c r="B28" s="791"/>
      <c r="C28" s="762" t="str">
        <f>Деятельность_УК!$C$415</f>
        <v>кв.м.</v>
      </c>
      <c r="D28" s="739">
        <f>Деятельность_УК!$H$415</f>
        <v>0</v>
      </c>
      <c r="E28" s="739">
        <f>Деятельность_УК!$L$415</f>
        <v>0</v>
      </c>
      <c r="F28" s="739">
        <f>Деятельность_УК!$P$415</f>
        <v>0</v>
      </c>
      <c r="G28" s="739">
        <f>Деятельность_УК!$T$415</f>
        <v>0</v>
      </c>
      <c r="H28" s="739">
        <f>Деятельность_УК!$X$415</f>
        <v>8630</v>
      </c>
      <c r="I28" s="739">
        <f>Деятельность_УК!$AB$415</f>
        <v>8630</v>
      </c>
      <c r="J28" s="739">
        <f>Деятельность_УК!$AF$415</f>
        <v>8630</v>
      </c>
      <c r="K28" s="739">
        <f>Деятельность_УК!$AJ$415</f>
        <v>8630</v>
      </c>
      <c r="L28" s="739">
        <f>Деятельность_УК!$AN$415</f>
        <v>8630</v>
      </c>
      <c r="M28" s="795">
        <f>Деятельность_УК!$AR$415</f>
        <v>8630</v>
      </c>
      <c r="N28" s="682"/>
    </row>
    <row r="29" spans="1:14" ht="11.25" customHeight="1" x14ac:dyDescent="0.2">
      <c r="A29" s="793" t="str">
        <f>Деятельность_УК!$A$416</f>
        <v>Объект II очереди</v>
      </c>
      <c r="B29" s="791"/>
      <c r="C29" s="762" t="str">
        <f>Деятельность_УК!$C$416</f>
        <v>кв.м.</v>
      </c>
      <c r="D29" s="739">
        <f>Деятельность_УК!$H$416</f>
        <v>0</v>
      </c>
      <c r="E29" s="739">
        <f>Деятельность_УК!$L$416</f>
        <v>0</v>
      </c>
      <c r="F29" s="739">
        <f>Деятельность_УК!$P$416</f>
        <v>0</v>
      </c>
      <c r="G29" s="739">
        <f>Деятельность_УК!$T$416</f>
        <v>0</v>
      </c>
      <c r="H29" s="739">
        <f>Деятельность_УК!$X$416</f>
        <v>22255</v>
      </c>
      <c r="I29" s="739">
        <f>Деятельность_УК!$AB$416</f>
        <v>22255</v>
      </c>
      <c r="J29" s="739">
        <f>Деятельность_УК!$AF$416</f>
        <v>22255</v>
      </c>
      <c r="K29" s="739">
        <f>Деятельность_УК!$AJ$416</f>
        <v>22255</v>
      </c>
      <c r="L29" s="739">
        <f>Деятельность_УК!$AN$416</f>
        <v>22255</v>
      </c>
      <c r="M29" s="795">
        <f>Деятельность_УК!$AR$416</f>
        <v>22255</v>
      </c>
      <c r="N29" s="682"/>
    </row>
    <row r="30" spans="1:14" ht="11.25" customHeight="1" x14ac:dyDescent="0.2">
      <c r="A30" s="636" t="str">
        <f>Деятельность_УК!$A$417</f>
        <v>итого передано в аренду с выкупом</v>
      </c>
      <c r="B30" s="759"/>
      <c r="C30" s="687" t="str">
        <f>Деятельность_УК!$C$417</f>
        <v>кв.м.</v>
      </c>
      <c r="D30" s="740">
        <f>Деятельность_УК!$H$417</f>
        <v>0</v>
      </c>
      <c r="E30" s="740">
        <f>Деятельность_УК!$L$417</f>
        <v>0</v>
      </c>
      <c r="F30" s="740">
        <f>Деятельность_УК!$P$417</f>
        <v>0</v>
      </c>
      <c r="G30" s="740">
        <f>Деятельность_УК!$T$417</f>
        <v>3610</v>
      </c>
      <c r="H30" s="740">
        <f>Деятельность_УК!$X$417</f>
        <v>58860</v>
      </c>
      <c r="I30" s="740">
        <f>Деятельность_УК!$AB$417</f>
        <v>58860</v>
      </c>
      <c r="J30" s="740">
        <f>Деятельность_УК!$AF$417</f>
        <v>58860</v>
      </c>
      <c r="K30" s="740">
        <f>Деятельность_УК!$AJ$417</f>
        <v>58860</v>
      </c>
      <c r="L30" s="740">
        <f>Деятельность_УК!$AN$417</f>
        <v>58860</v>
      </c>
      <c r="M30" s="741">
        <f>Деятельность_УК!$AR$417</f>
        <v>58860</v>
      </c>
      <c r="N30" s="682"/>
    </row>
    <row r="31" spans="1:14" ht="11.25" customHeight="1" x14ac:dyDescent="0.2">
      <c r="A31" s="668" t="str">
        <f>Деятельность_УК!$A$418</f>
        <v>Передача объектов в собственность резидентов</v>
      </c>
      <c r="B31" s="723"/>
      <c r="C31" s="681"/>
      <c r="D31" s="710"/>
      <c r="E31" s="710"/>
      <c r="F31" s="710"/>
      <c r="G31" s="710"/>
      <c r="H31" s="710"/>
      <c r="I31" s="710"/>
      <c r="J31" s="710"/>
      <c r="K31" s="710"/>
      <c r="L31" s="710"/>
      <c r="M31" s="710"/>
      <c r="N31" s="682"/>
    </row>
    <row r="32" spans="1:14" ht="11.25" customHeight="1" x14ac:dyDescent="0.2">
      <c r="A32" s="793" t="str">
        <f>Деятельность_УК!$A$419</f>
        <v>Корпус А4</v>
      </c>
      <c r="B32" s="791"/>
      <c r="C32" s="762" t="str">
        <f>Деятельность_УК!$C$419</f>
        <v>кв.м.</v>
      </c>
      <c r="D32" s="739">
        <f ca="1">Деятельность_УК!$H$419</f>
        <v>0</v>
      </c>
      <c r="E32" s="739">
        <f ca="1">Деятельность_УК!$L$419</f>
        <v>0</v>
      </c>
      <c r="F32" s="739">
        <f ca="1">Деятельность_УК!$P$419</f>
        <v>0</v>
      </c>
      <c r="G32" s="739">
        <f ca="1">Деятельность_УК!$T$419</f>
        <v>0</v>
      </c>
      <c r="H32" s="739">
        <f ca="1">Деятельность_УК!$X$419</f>
        <v>0</v>
      </c>
      <c r="I32" s="739">
        <f ca="1">Деятельность_УК!$AB$419</f>
        <v>0</v>
      </c>
      <c r="J32" s="739">
        <f ca="1">Деятельность_УК!$AF$419</f>
        <v>0</v>
      </c>
      <c r="K32" s="739">
        <f ca="1">Деятельность_УК!$AJ$419</f>
        <v>0</v>
      </c>
      <c r="L32" s="739">
        <f ca="1">Деятельность_УК!$AN$419</f>
        <v>0</v>
      </c>
      <c r="M32" s="795">
        <f ca="1">Деятельность_УК!$AR$419</f>
        <v>0</v>
      </c>
      <c r="N32" s="682"/>
    </row>
    <row r="33" spans="1:14" ht="11.25" customHeight="1" x14ac:dyDescent="0.2">
      <c r="A33" s="793" t="str">
        <f>Деятельность_УК!$A$420</f>
        <v>Бизнес-пространство с ЦОД</v>
      </c>
      <c r="B33" s="791"/>
      <c r="C33" s="762" t="str">
        <f>Деятельность_УК!$C$420</f>
        <v>кв.м.</v>
      </c>
      <c r="D33" s="739">
        <f ca="1">Деятельность_УК!$H$420</f>
        <v>0</v>
      </c>
      <c r="E33" s="739">
        <f ca="1">Деятельность_УК!$L$420</f>
        <v>0</v>
      </c>
      <c r="F33" s="739">
        <f ca="1">Деятельность_УК!$P$420</f>
        <v>0</v>
      </c>
      <c r="G33" s="739">
        <f ca="1">Деятельность_УК!$T$420</f>
        <v>0</v>
      </c>
      <c r="H33" s="739">
        <f ca="1">Деятельность_УК!$X$420</f>
        <v>0</v>
      </c>
      <c r="I33" s="739">
        <f ca="1">Деятельность_УК!$AB$420</f>
        <v>0</v>
      </c>
      <c r="J33" s="739">
        <f ca="1">Деятельность_УК!$AF$420</f>
        <v>0</v>
      </c>
      <c r="K33" s="739">
        <f ca="1">Деятельность_УК!$AJ$420</f>
        <v>0</v>
      </c>
      <c r="L33" s="739">
        <f ca="1">Деятельность_УК!$AN$420</f>
        <v>0</v>
      </c>
      <c r="M33" s="795">
        <f ca="1">Деятельность_УК!$AR$420</f>
        <v>24365</v>
      </c>
      <c r="N33" s="682"/>
    </row>
    <row r="34" spans="1:14" ht="11.25" customHeight="1" x14ac:dyDescent="0.2">
      <c r="A34" s="793" t="str">
        <f>Деятельность_УК!$A$421</f>
        <v>Корпус В1</v>
      </c>
      <c r="B34" s="791"/>
      <c r="C34" s="762" t="str">
        <f>Деятельность_УК!$C$421</f>
        <v>кв.м.</v>
      </c>
      <c r="D34" s="739">
        <f ca="1">Деятельность_УК!$H$421</f>
        <v>0</v>
      </c>
      <c r="E34" s="739">
        <f ca="1">Деятельность_УК!$L$421</f>
        <v>0</v>
      </c>
      <c r="F34" s="739">
        <f ca="1">Деятельность_УК!$P$421</f>
        <v>0</v>
      </c>
      <c r="G34" s="739">
        <f ca="1">Деятельность_УК!$T$421</f>
        <v>0</v>
      </c>
      <c r="H34" s="739">
        <f ca="1">Деятельность_УК!$X$421</f>
        <v>0</v>
      </c>
      <c r="I34" s="739">
        <f ca="1">Деятельность_УК!$AB$421</f>
        <v>0</v>
      </c>
      <c r="J34" s="739">
        <f ca="1">Деятельность_УК!$AF$421</f>
        <v>0</v>
      </c>
      <c r="K34" s="739">
        <f ca="1">Деятельность_УК!$AJ$421</f>
        <v>0</v>
      </c>
      <c r="L34" s="739">
        <f ca="1">Деятельность_УК!$AN$421</f>
        <v>3610</v>
      </c>
      <c r="M34" s="795">
        <f ca="1">Деятельность_УК!$AR$421</f>
        <v>3610</v>
      </c>
      <c r="N34" s="682"/>
    </row>
    <row r="35" spans="1:14" ht="11.25" customHeight="1" x14ac:dyDescent="0.2">
      <c r="A35" s="793" t="str">
        <f>Деятельность_УК!$A$422</f>
        <v>Корпус В2</v>
      </c>
      <c r="B35" s="791"/>
      <c r="C35" s="762" t="str">
        <f>Деятельность_УК!$C$422</f>
        <v>кв.м.</v>
      </c>
      <c r="D35" s="739">
        <f ca="1">Деятельность_УК!$H$422</f>
        <v>0</v>
      </c>
      <c r="E35" s="739">
        <f ca="1">Деятельность_УК!$L$422</f>
        <v>0</v>
      </c>
      <c r="F35" s="739">
        <f ca="1">Деятельность_УК!$P$422</f>
        <v>0</v>
      </c>
      <c r="G35" s="739">
        <f ca="1">Деятельность_УК!$T$422</f>
        <v>0</v>
      </c>
      <c r="H35" s="739">
        <f ca="1">Деятельность_УК!$X$422</f>
        <v>0</v>
      </c>
      <c r="I35" s="739">
        <f ca="1">Деятельность_УК!$AB$422</f>
        <v>0</v>
      </c>
      <c r="J35" s="739">
        <f ca="1">Деятельность_УК!$AF$422</f>
        <v>0</v>
      </c>
      <c r="K35" s="739">
        <f ca="1">Деятельность_УК!$AJ$422</f>
        <v>0</v>
      </c>
      <c r="L35" s="739">
        <f ca="1">Деятельность_УК!$AN$422</f>
        <v>0</v>
      </c>
      <c r="M35" s="795">
        <f ca="1">Деятельность_УК!$AR$422</f>
        <v>0</v>
      </c>
      <c r="N35" s="682"/>
    </row>
    <row r="36" spans="1:14" ht="11.25" customHeight="1" x14ac:dyDescent="0.2">
      <c r="A36" s="793" t="str">
        <f>Деятельность_УК!$A$423</f>
        <v>Корпус В3</v>
      </c>
      <c r="B36" s="791"/>
      <c r="C36" s="762" t="str">
        <f>Деятельность_УК!$C$423</f>
        <v>кв.м.</v>
      </c>
      <c r="D36" s="739">
        <f ca="1">Деятельность_УК!$H$423</f>
        <v>0</v>
      </c>
      <c r="E36" s="739">
        <f ca="1">Деятельность_УК!$L$423</f>
        <v>0</v>
      </c>
      <c r="F36" s="739">
        <f ca="1">Деятельность_УК!$P$423</f>
        <v>0</v>
      </c>
      <c r="G36" s="739">
        <f ca="1">Деятельность_УК!$T$423</f>
        <v>0</v>
      </c>
      <c r="H36" s="739">
        <f ca="1">Деятельность_УК!$X$423</f>
        <v>0</v>
      </c>
      <c r="I36" s="739">
        <f ca="1">Деятельность_УК!$AB$423</f>
        <v>0</v>
      </c>
      <c r="J36" s="739">
        <f ca="1">Деятельность_УК!$AF$423</f>
        <v>0</v>
      </c>
      <c r="K36" s="739">
        <f ca="1">Деятельность_УК!$AJ$423</f>
        <v>0</v>
      </c>
      <c r="L36" s="739">
        <f ca="1">Деятельность_УК!$AN$423</f>
        <v>0</v>
      </c>
      <c r="M36" s="795">
        <f ca="1">Деятельность_УК!$AR$423</f>
        <v>8630</v>
      </c>
      <c r="N36" s="682"/>
    </row>
    <row r="37" spans="1:14" ht="11.25" customHeight="1" x14ac:dyDescent="0.2">
      <c r="A37" s="793" t="str">
        <f>Деятельность_УК!$A$424</f>
        <v>Объект II очереди</v>
      </c>
      <c r="B37" s="791"/>
      <c r="C37" s="762" t="str">
        <f>Деятельность_УК!$C$424</f>
        <v>кв.м.</v>
      </c>
      <c r="D37" s="739">
        <f ca="1">Деятельность_УК!$H$424</f>
        <v>0</v>
      </c>
      <c r="E37" s="739">
        <f ca="1">Деятельность_УК!$L$424</f>
        <v>0</v>
      </c>
      <c r="F37" s="739">
        <f ca="1">Деятельность_УК!$P$424</f>
        <v>0</v>
      </c>
      <c r="G37" s="739">
        <f ca="1">Деятельность_УК!$T$424</f>
        <v>0</v>
      </c>
      <c r="H37" s="739">
        <f ca="1">Деятельность_УК!$X$424</f>
        <v>0</v>
      </c>
      <c r="I37" s="739">
        <f ca="1">Деятельность_УК!$AB$424</f>
        <v>0</v>
      </c>
      <c r="J37" s="739">
        <f ca="1">Деятельность_УК!$AF$424</f>
        <v>0</v>
      </c>
      <c r="K37" s="739">
        <f ca="1">Деятельность_УК!$AJ$424</f>
        <v>0</v>
      </c>
      <c r="L37" s="739">
        <f ca="1">Деятельность_УК!$AN$424</f>
        <v>0</v>
      </c>
      <c r="M37" s="795">
        <f ca="1">Деятельность_УК!$AR$424</f>
        <v>22255</v>
      </c>
      <c r="N37" s="682"/>
    </row>
    <row r="38" spans="1:14" ht="11.25" customHeight="1" x14ac:dyDescent="0.2">
      <c r="A38" s="637" t="str">
        <f>Деятельность_УК!$A$425</f>
        <v>итого передано в собственность резидентов</v>
      </c>
      <c r="B38" s="759"/>
      <c r="C38" s="687" t="str">
        <f>Деятельность_УК!$C$425</f>
        <v>кв.м.</v>
      </c>
      <c r="D38" s="740">
        <f ca="1">Деятельность_УК!$H$425</f>
        <v>0</v>
      </c>
      <c r="E38" s="740">
        <f ca="1">Деятельность_УК!$L$425</f>
        <v>0</v>
      </c>
      <c r="F38" s="740">
        <f ca="1">Деятельность_УК!$P$425</f>
        <v>0</v>
      </c>
      <c r="G38" s="740">
        <f ca="1">Деятельность_УК!$T$425</f>
        <v>0</v>
      </c>
      <c r="H38" s="740">
        <f ca="1">Деятельность_УК!$X$425</f>
        <v>0</v>
      </c>
      <c r="I38" s="740">
        <f ca="1">Деятельность_УК!$AB$425</f>
        <v>0</v>
      </c>
      <c r="J38" s="740">
        <f ca="1">Деятельность_УК!$AF$425</f>
        <v>0</v>
      </c>
      <c r="K38" s="740">
        <f ca="1">Деятельность_УК!$AJ$425</f>
        <v>0</v>
      </c>
      <c r="L38" s="740">
        <f ca="1">Деятельность_УК!$AN$425</f>
        <v>3610</v>
      </c>
      <c r="M38" s="741">
        <f ca="1">Деятельность_УК!$AR$425</f>
        <v>58860</v>
      </c>
      <c r="N38" s="682"/>
    </row>
    <row r="39" spans="1:14" ht="11.25" customHeight="1" x14ac:dyDescent="0.2">
      <c r="A39" s="414"/>
      <c r="B39" s="723"/>
      <c r="C39" s="681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682"/>
    </row>
    <row r="40" spans="1:14" ht="22.5" x14ac:dyDescent="0.2">
      <c r="A40" s="797" t="str">
        <f>Деятельность_УК!$A$426</f>
        <v>Поступление денежных средств от продажи объектов без НДС</v>
      </c>
      <c r="B40" s="723"/>
      <c r="C40" s="681"/>
      <c r="D40" s="600"/>
      <c r="E40" s="600"/>
      <c r="F40" s="600"/>
      <c r="G40" s="600"/>
      <c r="H40" s="600"/>
      <c r="I40" s="600"/>
      <c r="J40" s="600"/>
      <c r="K40" s="600"/>
      <c r="L40" s="600"/>
      <c r="M40" s="600"/>
      <c r="N40" s="682"/>
    </row>
    <row r="41" spans="1:14" ht="11.25" customHeight="1" x14ac:dyDescent="0.2">
      <c r="A41" s="793" t="str">
        <f>Деятельность_УК!$A$427</f>
        <v>Корпус А4</v>
      </c>
      <c r="B41" s="791"/>
      <c r="C41" s="762" t="str">
        <f>Деятельность_УК!$C$427</f>
        <v>тыс. руб.</v>
      </c>
      <c r="D41" s="739">
        <f ca="1">SUM(Деятельность_УК!$E$427:'Деятельность_УК'!$H$427)</f>
        <v>0</v>
      </c>
      <c r="E41" s="739">
        <f ca="1">SUM(Деятельность_УК!$I$427:'Деятельность_УК'!$L$427)</f>
        <v>0</v>
      </c>
      <c r="F41" s="739">
        <f ca="1">SUM(Деятельность_УК!$M$427:'Деятельность_УК'!$P$427)</f>
        <v>0</v>
      </c>
      <c r="G41" s="739">
        <f ca="1">SUM(Деятельность_УК!$Q$427:'Деятельность_УК'!$T$427)</f>
        <v>0</v>
      </c>
      <c r="H41" s="739">
        <f ca="1">SUM(Деятельность_УК!$U$427:'Деятельность_УК'!$X$427)</f>
        <v>0</v>
      </c>
      <c r="I41" s="739">
        <f ca="1">SUM(Деятельность_УК!$Y$427:'Деятельность_УК'!$AB$427)</f>
        <v>0</v>
      </c>
      <c r="J41" s="739">
        <f ca="1">SUM(Деятельность_УК!$AC$427:'Деятельность_УК'!$AF$427)</f>
        <v>0</v>
      </c>
      <c r="K41" s="739">
        <f ca="1">SUM(Деятельность_УК!$AG$427:'Деятельность_УК'!$AJ$427)</f>
        <v>0</v>
      </c>
      <c r="L41" s="739">
        <f ca="1">SUM(Деятельность_УК!$AK$427:'Деятельность_УК'!$AN$427)</f>
        <v>0</v>
      </c>
      <c r="M41" s="739">
        <f ca="1">SUM(Деятельность_УК!$AO$427:'Деятельность_УК'!$AR$427)</f>
        <v>0</v>
      </c>
      <c r="N41" s="746">
        <f ca="1">Деятельность_УК!$AT$427</f>
        <v>0</v>
      </c>
    </row>
    <row r="42" spans="1:14" ht="11.25" customHeight="1" x14ac:dyDescent="0.2">
      <c r="A42" s="793" t="str">
        <f>Деятельность_УК!$A$428</f>
        <v>Бизнес-пространство с ЦОД</v>
      </c>
      <c r="B42" s="791"/>
      <c r="C42" s="762" t="str">
        <f>Деятельность_УК!$C$428</f>
        <v>тыс. руб.</v>
      </c>
      <c r="D42" s="739">
        <f ca="1">SUM(Деятельность_УК!$E$428:'Деятельность_УК'!$H$428)</f>
        <v>0</v>
      </c>
      <c r="E42" s="739">
        <f ca="1">SUM(Деятельность_УК!$I$428:'Деятельность_УК'!$L$428)</f>
        <v>0</v>
      </c>
      <c r="F42" s="739">
        <f ca="1">SUM(Деятельность_УК!$M$428:'Деятельность_УК'!$P$428)</f>
        <v>0</v>
      </c>
      <c r="G42" s="739">
        <f ca="1">SUM(Деятельность_УК!$Q$428:'Деятельность_УК'!$T$428)</f>
        <v>0</v>
      </c>
      <c r="H42" s="739">
        <f ca="1">SUM(Деятельность_УК!$U$428:'Деятельность_УК'!$X$428)</f>
        <v>0</v>
      </c>
      <c r="I42" s="739">
        <f ca="1">SUM(Деятельность_УК!$Y$428:'Деятельность_УК'!$AB$428)</f>
        <v>0</v>
      </c>
      <c r="J42" s="739">
        <f ca="1">SUM(Деятельность_УК!$AC$428:'Деятельность_УК'!$AF$428)</f>
        <v>0</v>
      </c>
      <c r="K42" s="739">
        <f ca="1">SUM(Деятельность_УК!$AG$428:'Деятельность_УК'!$AJ$428)</f>
        <v>0</v>
      </c>
      <c r="L42" s="739">
        <f ca="1">SUM(Деятельность_УК!$AK$428:'Деятельность_УК'!$AN$428)</f>
        <v>0</v>
      </c>
      <c r="M42" s="739">
        <f ca="1">SUM(Деятельность_УК!$AO$428:'Деятельность_УК'!$AR$428)</f>
        <v>3244896.9071227531</v>
      </c>
      <c r="N42" s="746">
        <f ca="1">Деятельность_УК!$AT$428</f>
        <v>3244896.9071227531</v>
      </c>
    </row>
    <row r="43" spans="1:14" ht="11.25" customHeight="1" x14ac:dyDescent="0.2">
      <c r="A43" s="793" t="str">
        <f>Деятельность_УК!$A$429</f>
        <v>Корпус В1</v>
      </c>
      <c r="B43" s="791"/>
      <c r="C43" s="762" t="str">
        <f>Деятельность_УК!$C$429</f>
        <v>тыс. руб.</v>
      </c>
      <c r="D43" s="739">
        <f ca="1">SUM(Деятельность_УК!$E$429:'Деятельность_УК'!$H$429)</f>
        <v>0</v>
      </c>
      <c r="E43" s="739">
        <f ca="1">SUM(Деятельность_УК!$I$429:'Деятельность_УК'!$L$429)</f>
        <v>0</v>
      </c>
      <c r="F43" s="739">
        <f ca="1">SUM(Деятельность_УК!$M$429:'Деятельность_УК'!$P$429)</f>
        <v>0</v>
      </c>
      <c r="G43" s="739">
        <f ca="1">SUM(Деятельность_УК!$Q$429:'Деятельность_УК'!$T$429)</f>
        <v>0</v>
      </c>
      <c r="H43" s="739">
        <f ca="1">SUM(Деятельность_УК!$U$429:'Деятельность_УК'!$X$429)</f>
        <v>0</v>
      </c>
      <c r="I43" s="739">
        <f ca="1">SUM(Деятельность_УК!$Y$429:'Деятельность_УК'!$AB$429)</f>
        <v>0</v>
      </c>
      <c r="J43" s="739">
        <f ca="1">SUM(Деятельность_УК!$AC$429:'Деятельность_УК'!$AF$429)</f>
        <v>0</v>
      </c>
      <c r="K43" s="739">
        <f ca="1">SUM(Деятельность_УК!$AG$429:'Деятельность_УК'!$AJ$429)</f>
        <v>0</v>
      </c>
      <c r="L43" s="739">
        <f ca="1">SUM(Деятельность_УК!$AK$429:'Деятельность_УК'!$AN$429)</f>
        <v>409429.66220429027</v>
      </c>
      <c r="M43" s="739">
        <f ca="1">SUM(Деятельность_УК!$AO$429:'Деятельность_УК'!$AR$429)</f>
        <v>0</v>
      </c>
      <c r="N43" s="746">
        <f ca="1">Деятельность_УК!$AT$429</f>
        <v>409429.66220429027</v>
      </c>
    </row>
    <row r="44" spans="1:14" ht="11.25" customHeight="1" x14ac:dyDescent="0.2">
      <c r="A44" s="793" t="str">
        <f>Деятельность_УК!$A$430</f>
        <v>Корпус В2</v>
      </c>
      <c r="B44" s="791"/>
      <c r="C44" s="762" t="str">
        <f>Деятельность_УК!$C$430</f>
        <v>тыс. руб.</v>
      </c>
      <c r="D44" s="739">
        <f ca="1">SUM(Деятельность_УК!$E$430:'Деятельность_УК'!$H$430)</f>
        <v>0</v>
      </c>
      <c r="E44" s="739">
        <f ca="1">SUM(Деятельность_УК!$I$430:'Деятельность_УК'!$L$430)</f>
        <v>0</v>
      </c>
      <c r="F44" s="739">
        <f ca="1">SUM(Деятельность_УК!$M$430:'Деятельность_УК'!$P$430)</f>
        <v>0</v>
      </c>
      <c r="G44" s="739">
        <f ca="1">SUM(Деятельность_УК!$Q$430:'Деятельность_УК'!$T$430)</f>
        <v>0</v>
      </c>
      <c r="H44" s="739">
        <f ca="1">SUM(Деятельность_УК!$U$430:'Деятельность_УК'!$X$430)</f>
        <v>0</v>
      </c>
      <c r="I44" s="739">
        <f ca="1">SUM(Деятельность_УК!$Y$430:'Деятельность_УК'!$AB$430)</f>
        <v>0</v>
      </c>
      <c r="J44" s="739">
        <f ca="1">SUM(Деятельность_УК!$AC$430:'Деятельность_УК'!$AF$430)</f>
        <v>0</v>
      </c>
      <c r="K44" s="739">
        <f ca="1">SUM(Деятельность_УК!$AG$430:'Деятельность_УК'!$AJ$430)</f>
        <v>0</v>
      </c>
      <c r="L44" s="739">
        <f ca="1">SUM(Деятельность_УК!$AK$430:'Деятельность_УК'!$AN$430)</f>
        <v>0</v>
      </c>
      <c r="M44" s="739">
        <f ca="1">SUM(Деятельность_УК!$AO$430:'Деятельность_УК'!$AR$430)</f>
        <v>0</v>
      </c>
      <c r="N44" s="746">
        <f ca="1">Деятельность_УК!$AT$430</f>
        <v>0</v>
      </c>
    </row>
    <row r="45" spans="1:14" ht="11.25" customHeight="1" x14ac:dyDescent="0.2">
      <c r="A45" s="793" t="str">
        <f>Деятельность_УК!$A$431</f>
        <v>Корпус В3</v>
      </c>
      <c r="B45" s="791"/>
      <c r="C45" s="762" t="str">
        <f>Деятельность_УК!$C$431</f>
        <v>тыс. руб.</v>
      </c>
      <c r="D45" s="739">
        <f ca="1">SUM(Деятельность_УК!$E$431:'Деятельность_УК'!$H$431)</f>
        <v>0</v>
      </c>
      <c r="E45" s="739">
        <f ca="1">SUM(Деятельность_УК!$I$431:'Деятельность_УК'!$L$431)</f>
        <v>0</v>
      </c>
      <c r="F45" s="739">
        <f ca="1">SUM(Деятельность_УК!$M$431:'Деятельность_УК'!$P$431)</f>
        <v>0</v>
      </c>
      <c r="G45" s="739">
        <f ca="1">SUM(Деятельность_УК!$Q$431:'Деятельность_УК'!$T$431)</f>
        <v>0</v>
      </c>
      <c r="H45" s="739">
        <f ca="1">SUM(Деятельность_УК!$U$431:'Деятельность_УК'!$X$431)</f>
        <v>0</v>
      </c>
      <c r="I45" s="739">
        <f ca="1">SUM(Деятельность_УК!$Y$431:'Деятельность_УК'!$AB$431)</f>
        <v>0</v>
      </c>
      <c r="J45" s="739">
        <f ca="1">SUM(Деятельность_УК!$AC$431:'Деятельность_УК'!$AF$431)</f>
        <v>0</v>
      </c>
      <c r="K45" s="739">
        <f ca="1">SUM(Деятельность_УК!$AG$431:'Деятельность_УК'!$AJ$431)</f>
        <v>0</v>
      </c>
      <c r="L45" s="739">
        <f ca="1">SUM(Деятельность_УК!$AK$431:'Деятельность_УК'!$AN$431)</f>
        <v>0</v>
      </c>
      <c r="M45" s="739">
        <f ca="1">SUM(Деятельность_УК!$AO$431:'Деятельность_УК'!$AR$431)</f>
        <v>1023949.8200585777</v>
      </c>
      <c r="N45" s="746">
        <f ca="1">Деятельность_УК!$AT$431</f>
        <v>1023949.8200585777</v>
      </c>
    </row>
    <row r="46" spans="1:14" ht="11.25" customHeight="1" x14ac:dyDescent="0.2">
      <c r="A46" s="793" t="str">
        <f>Деятельность_УК!$A$432</f>
        <v>Объект II очереди</v>
      </c>
      <c r="B46" s="791"/>
      <c r="C46" s="762" t="str">
        <f>Деятельность_УК!$C$432</f>
        <v>тыс. руб.</v>
      </c>
      <c r="D46" s="739">
        <f ca="1">SUM(Деятельность_УК!$E$432:'Деятельность_УК'!$H$432)</f>
        <v>0</v>
      </c>
      <c r="E46" s="739">
        <f ca="1">SUM(Деятельность_УК!$I$432:'Деятельность_УК'!$L$432)</f>
        <v>0</v>
      </c>
      <c r="F46" s="739">
        <f ca="1">SUM(Деятельность_УК!$M$432:'Деятельность_УК'!$P$432)</f>
        <v>0</v>
      </c>
      <c r="G46" s="739">
        <f ca="1">SUM(Деятельность_УК!$Q$432:'Деятельность_УК'!$T$432)</f>
        <v>0</v>
      </c>
      <c r="H46" s="739">
        <f ca="1">SUM(Деятельность_УК!$U$432:'Деятельность_УК'!$X$432)</f>
        <v>0</v>
      </c>
      <c r="I46" s="739">
        <f ca="1">SUM(Деятельность_УК!$Y$432:'Деятельность_УК'!$AB$432)</f>
        <v>0</v>
      </c>
      <c r="J46" s="739">
        <f ca="1">SUM(Деятельность_УК!$AC$432:'Деятельность_УК'!$AF$432)</f>
        <v>0</v>
      </c>
      <c r="K46" s="739">
        <f ca="1">SUM(Деятельность_УК!$AG$432:'Деятельность_УК'!$AJ$432)</f>
        <v>0</v>
      </c>
      <c r="L46" s="739">
        <f ca="1">SUM(Деятельность_УК!$AK$432:'Деятельность_УК'!$AN$432)</f>
        <v>0</v>
      </c>
      <c r="M46" s="739">
        <f ca="1">SUM(Деятельность_УК!$AO$432:'Деятельность_УК'!$AR$432)</f>
        <v>2107854.2302858843</v>
      </c>
      <c r="N46" s="746">
        <f ca="1">Деятельность_УК!$AT$432</f>
        <v>2107854.2302858843</v>
      </c>
    </row>
    <row r="47" spans="1:14" ht="22.5" x14ac:dyDescent="0.2">
      <c r="A47" s="675" t="str">
        <f>Деятельность_УК!$A$433</f>
        <v>итого поступление денежных средств от продажи активов, без НДС</v>
      </c>
      <c r="B47" s="792"/>
      <c r="C47" s="687" t="str">
        <f>Деятельность_УК!$C$433</f>
        <v>тыс. руб.</v>
      </c>
      <c r="D47" s="750">
        <f ca="1">SUM(Деятельность_УК!$E$433:'Деятельность_УК'!$H$433)</f>
        <v>0</v>
      </c>
      <c r="E47" s="750">
        <f ca="1">SUM(Деятельность_УК!$I$433:'Деятельность_УК'!$L$433)</f>
        <v>0</v>
      </c>
      <c r="F47" s="750">
        <f ca="1">SUM(Деятельность_УК!$M$433:'Деятельность_УК'!$P$433)</f>
        <v>0</v>
      </c>
      <c r="G47" s="750">
        <f ca="1">SUM(Деятельность_УК!$Q$433:'Деятельность_УК'!$T$433)</f>
        <v>0</v>
      </c>
      <c r="H47" s="750">
        <f ca="1">SUM(Деятельность_УК!$U$433:'Деятельность_УК'!$X$433)</f>
        <v>0</v>
      </c>
      <c r="I47" s="750">
        <f ca="1">SUM(Деятельность_УК!$Y$433:'Деятельность_УК'!$AB$433)</f>
        <v>0</v>
      </c>
      <c r="J47" s="750">
        <f ca="1">SUM(Деятельность_УК!$AC$433:'Деятельность_УК'!$AF$433)</f>
        <v>0</v>
      </c>
      <c r="K47" s="750">
        <f ca="1">SUM(Деятельность_УК!$AG$433:'Деятельность_УК'!$AJ$433)</f>
        <v>0</v>
      </c>
      <c r="L47" s="750">
        <f ca="1">SUM(Деятельность_УК!$AK$433:'Деятельность_УК'!$AN$433)</f>
        <v>409429.66220429027</v>
      </c>
      <c r="M47" s="750">
        <f ca="1">SUM(Деятельность_УК!$AO$433:'Деятельность_УК'!$AR$433)</f>
        <v>6376700.9574672151</v>
      </c>
      <c r="N47" s="744">
        <f ca="1">Деятельность_УК!$AT$433</f>
        <v>6786130.6196715049</v>
      </c>
    </row>
    <row r="48" spans="1:14" ht="11.25" customHeight="1" x14ac:dyDescent="0.2">
      <c r="A48" s="637" t="str">
        <f>Деятельность_УК!$A$435</f>
        <v>выручка от продажи актива, без НДС</v>
      </c>
      <c r="B48" s="792"/>
      <c r="C48" s="687" t="str">
        <f>Деятельность_УК!$C$435</f>
        <v>тыс. руб.</v>
      </c>
      <c r="D48" s="713">
        <f ca="1">SUM(Деятельность_УК!$E$435:'Деятельность_УК'!$H$435)</f>
        <v>0</v>
      </c>
      <c r="E48" s="713">
        <f ca="1">SUM(Деятельность_УК!$I$435:'Деятельность_УК'!$L$435)</f>
        <v>0</v>
      </c>
      <c r="F48" s="713">
        <f ca="1">SUM(Деятельность_УК!$M$435:'Деятельность_УК'!$P$435)</f>
        <v>0</v>
      </c>
      <c r="G48" s="713">
        <f ca="1">SUM(Деятельность_УК!$Q$435:'Деятельность_УК'!$T$435)</f>
        <v>0</v>
      </c>
      <c r="H48" s="713">
        <f ca="1">SUM(Деятельность_УК!$U$435:'Деятельность_УК'!$X$435)</f>
        <v>0</v>
      </c>
      <c r="I48" s="713">
        <f ca="1">SUM(Деятельность_УК!$Y$435:'Деятельность_УК'!$AB$435)</f>
        <v>0</v>
      </c>
      <c r="J48" s="713">
        <f ca="1">SUM(Деятельность_УК!$AC$435:'Деятельность_УК'!$AF$435)</f>
        <v>0</v>
      </c>
      <c r="K48" s="713">
        <f ca="1">SUM(Деятельность_УК!$AG$435:'Деятельность_УК'!$AJ$435)</f>
        <v>0</v>
      </c>
      <c r="L48" s="713">
        <f ca="1">SUM(Деятельность_УК!$AK$435:'Деятельность_УК'!$AN$435)</f>
        <v>409429.66220429027</v>
      </c>
      <c r="M48" s="713">
        <f ca="1">SUM(Деятельность_УК!$AO$435:'Деятельность_УК'!$AR$435)</f>
        <v>6376700.9574672151</v>
      </c>
      <c r="N48" s="744">
        <f ca="1">Деятельность_УК!$AT$435</f>
        <v>6786130.6196715049</v>
      </c>
    </row>
    <row r="49" spans="1:14" ht="11.25" customHeight="1" x14ac:dyDescent="0.2">
      <c r="A49" s="620" t="str">
        <f>Деятельность_УК!$A$441</f>
        <v>незавершенные инвестиции</v>
      </c>
      <c r="B49" s="690"/>
      <c r="C49" s="623" t="str">
        <f>Деятельность_УК!$C$441</f>
        <v>тыс. руб.</v>
      </c>
      <c r="D49" s="749">
        <f ca="1">Деятельность_УК!$H$441</f>
        <v>0</v>
      </c>
      <c r="E49" s="749">
        <f ca="1">Деятельность_УК!$L$441</f>
        <v>459693.95354167023</v>
      </c>
      <c r="F49" s="749">
        <f ca="1">Деятельность_УК!$P$441</f>
        <v>1385886.1306457904</v>
      </c>
      <c r="G49" s="749">
        <f ca="1">Деятельность_УК!$T$441</f>
        <v>3441309.0606747051</v>
      </c>
      <c r="H49" s="749">
        <f ca="1">Деятельность_УК!$X$441</f>
        <v>9.3132257461547852E-10</v>
      </c>
      <c r="I49" s="749">
        <f ca="1">Деятельность_УК!$AB$441</f>
        <v>9.3132257461547852E-10</v>
      </c>
      <c r="J49" s="749">
        <f ca="1">Деятельность_УК!$AF$441</f>
        <v>9.3132257461547852E-10</v>
      </c>
      <c r="K49" s="749">
        <f ca="1">Деятельность_УК!$AJ$441</f>
        <v>9.3132257461547852E-10</v>
      </c>
      <c r="L49" s="749">
        <f ca="1">Деятельность_УК!$AN$441</f>
        <v>9.3132257461547852E-10</v>
      </c>
      <c r="M49" s="798">
        <f ca="1">Деятельность_УК!$AR$441</f>
        <v>9.3132257461547852E-10</v>
      </c>
      <c r="N49" s="721"/>
    </row>
    <row r="50" spans="1:14" ht="11.25" customHeight="1" x14ac:dyDescent="0.2">
      <c r="A50" s="620" t="str">
        <f>Деятельность_УК!$A$442</f>
        <v>кредиторская задолженность</v>
      </c>
      <c r="B50" s="690"/>
      <c r="C50" s="623" t="str">
        <f>Деятельность_УК!$C$442</f>
        <v>тыс. руб.</v>
      </c>
      <c r="D50" s="749">
        <f ca="1">Деятельность_УК!$H$442</f>
        <v>0</v>
      </c>
      <c r="E50" s="749">
        <f ca="1">Деятельность_УК!$L$442</f>
        <v>0</v>
      </c>
      <c r="F50" s="749">
        <f ca="1">Деятельность_УК!$P$442</f>
        <v>0</v>
      </c>
      <c r="G50" s="749">
        <f ca="1">Деятельность_УК!$T$442</f>
        <v>0</v>
      </c>
      <c r="H50" s="749">
        <f ca="1">Деятельность_УК!$X$442</f>
        <v>0</v>
      </c>
      <c r="I50" s="749">
        <f ca="1">Деятельность_УК!$AB$442</f>
        <v>0</v>
      </c>
      <c r="J50" s="749">
        <f ca="1">Деятельность_УК!$AF$442</f>
        <v>0</v>
      </c>
      <c r="K50" s="749">
        <f ca="1">Деятельность_УК!$AJ$442</f>
        <v>0</v>
      </c>
      <c r="L50" s="749">
        <f ca="1">Деятельность_УК!$AN$442</f>
        <v>0</v>
      </c>
      <c r="M50" s="798">
        <f ca="1">Деятельность_УК!$AR$442</f>
        <v>0</v>
      </c>
      <c r="N50" s="721"/>
    </row>
    <row r="51" spans="1:14" ht="11.25" customHeight="1" x14ac:dyDescent="0.2">
      <c r="A51" s="620" t="str">
        <f>Деятельность_УК!$A$443</f>
        <v xml:space="preserve">авансы полученные </v>
      </c>
      <c r="B51" s="690"/>
      <c r="C51" s="623" t="str">
        <f>Деятельность_УК!$C$443</f>
        <v>тыс. руб.</v>
      </c>
      <c r="D51" s="749">
        <f ca="1">Деятельность_УК!$H$443</f>
        <v>0</v>
      </c>
      <c r="E51" s="749">
        <f ca="1">Деятельность_УК!$L$443</f>
        <v>0</v>
      </c>
      <c r="F51" s="749">
        <f ca="1">Деятельность_УК!$P$443</f>
        <v>0</v>
      </c>
      <c r="G51" s="749">
        <f ca="1">Деятельность_УК!$T$443</f>
        <v>0</v>
      </c>
      <c r="H51" s="749">
        <f ca="1">Деятельность_УК!$X$443</f>
        <v>0</v>
      </c>
      <c r="I51" s="749">
        <f ca="1">Деятельность_УК!$AB$443</f>
        <v>0</v>
      </c>
      <c r="J51" s="749">
        <f ca="1">Деятельность_УК!$AF$443</f>
        <v>0</v>
      </c>
      <c r="K51" s="749">
        <f ca="1">Деятельность_УК!$AJ$443</f>
        <v>0</v>
      </c>
      <c r="L51" s="749">
        <f ca="1">Деятельность_УК!$AN$443</f>
        <v>0</v>
      </c>
      <c r="M51" s="798">
        <f ca="1">Деятельность_УК!$AR$443</f>
        <v>0</v>
      </c>
      <c r="N51" s="721"/>
    </row>
    <row r="52" spans="1:14" ht="11.25" customHeight="1" x14ac:dyDescent="0.2">
      <c r="A52" s="620" t="str">
        <f>Деятельность_УК!$A$444</f>
        <v>дебиторская задолженность</v>
      </c>
      <c r="B52" s="690"/>
      <c r="C52" s="623" t="str">
        <f>Деятельность_УК!$C$444</f>
        <v>тыс. руб.</v>
      </c>
      <c r="D52" s="749">
        <f ca="1">Деятельность_УК!$H$444</f>
        <v>0</v>
      </c>
      <c r="E52" s="749">
        <f ca="1">Деятельность_УК!$L$444</f>
        <v>0</v>
      </c>
      <c r="F52" s="749">
        <f ca="1">Деятельность_УК!$P$444</f>
        <v>0</v>
      </c>
      <c r="G52" s="749">
        <f ca="1">Деятельность_УК!$T$444</f>
        <v>0</v>
      </c>
      <c r="H52" s="749">
        <f ca="1">Деятельность_УК!$X$444</f>
        <v>0</v>
      </c>
      <c r="I52" s="749">
        <f ca="1">Деятельность_УК!$AB$444</f>
        <v>0</v>
      </c>
      <c r="J52" s="749">
        <f ca="1">Деятельность_УК!$AF$444</f>
        <v>0</v>
      </c>
      <c r="K52" s="749">
        <f ca="1">Деятельность_УК!$AJ$444</f>
        <v>0</v>
      </c>
      <c r="L52" s="749">
        <f ca="1">Деятельность_УК!$AN$444</f>
        <v>0</v>
      </c>
      <c r="M52" s="798">
        <f ca="1">Деятельность_УК!$AR$444</f>
        <v>0</v>
      </c>
      <c r="N52" s="721"/>
    </row>
    <row r="53" spans="1:14" ht="11.25" customHeight="1" x14ac:dyDescent="0.2">
      <c r="A53" s="620" t="str">
        <f>Деятельность_УК!$A$445</f>
        <v>амортизация (бухгалтерская)</v>
      </c>
      <c r="B53" s="690"/>
      <c r="C53" s="623" t="str">
        <f>Деятельность_УК!$C$445</f>
        <v>тыс. руб.</v>
      </c>
      <c r="D53" s="749">
        <f ca="1">SUM(Деятельность_УК!$E$445:'Деятельность_УК'!$H$445)</f>
        <v>24027.8125</v>
      </c>
      <c r="E53" s="749">
        <f ca="1">SUM(Деятельность_УК!$I$445:'Деятельность_УК'!$L$445)</f>
        <v>48055.625</v>
      </c>
      <c r="F53" s="749">
        <f ca="1">SUM(Деятельность_УК!$M$445:'Деятельность_УК'!$P$445)</f>
        <v>71040.322677083517</v>
      </c>
      <c r="G53" s="749">
        <f ca="1">SUM(Деятельность_УК!$Q$445:'Деятельность_УК'!$T$445)</f>
        <v>85353.941154027198</v>
      </c>
      <c r="H53" s="749">
        <f ca="1">SUM(Деятельность_УК!$U$445:'Деятельность_УК'!$X$445)</f>
        <v>257419.3941877624</v>
      </c>
      <c r="I53" s="749">
        <f ca="1">SUM(Деятельность_УК!$Y$445:'Деятельность_УК'!$AB$445)</f>
        <v>257419.3941877624</v>
      </c>
      <c r="J53" s="749">
        <f ca="1">SUM(Деятельность_УК!$AC$445:'Деятельность_УК'!$AF$445)</f>
        <v>257419.3941877624</v>
      </c>
      <c r="K53" s="749">
        <f ca="1">SUM(Деятельность_УК!$AG$445:'Деятельность_УК'!$AJ$445)</f>
        <v>257419.3941877624</v>
      </c>
      <c r="L53" s="749">
        <f ca="1">SUM(Деятельность_УК!$AK$445:'Деятельность_УК'!$AN$445)</f>
        <v>243105.77571081871</v>
      </c>
      <c r="M53" s="749">
        <f ca="1">SUM(Деятельность_УК!$AO$445:'Деятельность_УК'!$AR$445)</f>
        <v>71040.322677083444</v>
      </c>
      <c r="N53" s="753">
        <f ca="1">Деятельность_УК!$AT$445</f>
        <v>1572301.3764700622</v>
      </c>
    </row>
    <row r="54" spans="1:14" ht="11.25" customHeight="1" x14ac:dyDescent="0.2">
      <c r="A54" s="620" t="str">
        <f>Деятельность_УК!$A$446</f>
        <v>балансовая стоимость (бухгалтерская)</v>
      </c>
      <c r="B54" s="690"/>
      <c r="C54" s="623" t="str">
        <f>Деятельность_УК!$C$446</f>
        <v>тыс. руб.</v>
      </c>
      <c r="D54" s="749">
        <f ca="1">Деятельность_УК!$H$446</f>
        <v>937084.6875</v>
      </c>
      <c r="E54" s="749">
        <f ca="1">Деятельность_УК!$L$446</f>
        <v>889029.0625</v>
      </c>
      <c r="F54" s="749">
        <f ca="1">Деятельность_УК!$P$446</f>
        <v>1277682.6933645869</v>
      </c>
      <c r="G54" s="749">
        <f ca="1">Деятельность_УК!$T$446</f>
        <v>1478601.1217494332</v>
      </c>
      <c r="H54" s="749">
        <f ca="1">Деятельность_УК!$X$446</f>
        <v>4662490.788236374</v>
      </c>
      <c r="I54" s="749">
        <f ca="1">Деятельность_УК!$AB$446</f>
        <v>4405071.3940486107</v>
      </c>
      <c r="J54" s="749">
        <f ca="1">Деятельность_УК!$AF$446</f>
        <v>4147651.9998608474</v>
      </c>
      <c r="K54" s="749">
        <f ca="1">Деятельность_УК!$AJ$446</f>
        <v>3890232.605673084</v>
      </c>
      <c r="L54" s="749">
        <f ca="1">Деятельность_УК!$AN$446</f>
        <v>3430813.2709941496</v>
      </c>
      <c r="M54" s="798">
        <f ca="1">Деятельность_УК!$AR$446</f>
        <v>1066532.9940765738</v>
      </c>
      <c r="N54" s="721"/>
    </row>
    <row r="55" spans="1:14" ht="11.25" customHeight="1" x14ac:dyDescent="0.2">
      <c r="A55" s="620" t="str">
        <f>Деятельность_УК!$A$447</f>
        <v>выплаченный НДС</v>
      </c>
      <c r="B55" s="799"/>
      <c r="C55" s="623" t="str">
        <f>Деятельность_УК!$C$447</f>
        <v>тыс. руб.</v>
      </c>
      <c r="D55" s="749">
        <f ca="1">SUM(Деятельность_УК!$E$447:'Деятельность_УК'!$H$447)</f>
        <v>96111.25</v>
      </c>
      <c r="E55" s="749">
        <f ca="1">SUM(Деятельность_УК!$I$447:'Деятельность_УК'!$L$447)</f>
        <v>91938.790708334069</v>
      </c>
      <c r="F55" s="749">
        <f ca="1">SUM(Деятельность_УК!$M$447:'Деятельность_УК'!$P$447)</f>
        <v>277177.22612915805</v>
      </c>
      <c r="G55" s="749">
        <f ca="1">SUM(Деятельность_УК!$Q$447:'Деятельность_УК'!$T$447)</f>
        <v>468339.05991355778</v>
      </c>
      <c r="H55" s="749">
        <f ca="1">SUM(Деятельность_УК!$U$447:'Деятельность_УК'!$X$447)</f>
        <v>0</v>
      </c>
      <c r="I55" s="749">
        <f ca="1">SUM(Деятельность_УК!$Y$447:'Деятельность_УК'!$AB$447)</f>
        <v>0</v>
      </c>
      <c r="J55" s="749">
        <f ca="1">SUM(Деятельность_УК!$AC$447:'Деятельность_УК'!$AF$447)</f>
        <v>0</v>
      </c>
      <c r="K55" s="749">
        <f ca="1">SUM(Деятельность_УК!$AG$447:'Деятельность_УК'!$AJ$447)</f>
        <v>0</v>
      </c>
      <c r="L55" s="749">
        <f ca="1">SUM(Деятельность_УК!$AK$447:'Деятельность_УК'!$AN$447)</f>
        <v>0</v>
      </c>
      <c r="M55" s="749">
        <f ca="1">SUM(Деятельность_УК!$AO$447:'Деятельность_УК'!$AR$447)</f>
        <v>0</v>
      </c>
      <c r="N55" s="769">
        <f ca="1">Деятельность_УК!$AT$447</f>
        <v>933566.32675104996</v>
      </c>
    </row>
    <row r="56" spans="1:14" ht="11.25" customHeight="1" x14ac:dyDescent="0.2">
      <c r="A56" s="621" t="str">
        <f>Деятельность_УК!$A$448</f>
        <v>НДС начисленный к зачету</v>
      </c>
      <c r="B56" s="799"/>
      <c r="C56" s="617" t="str">
        <f>Деятельность_УК!$C$448</f>
        <v>тыс. руб.</v>
      </c>
      <c r="D56" s="750">
        <f ca="1">SUM(Деятельность_УК!$E$448:'Деятельность_УК'!$H$448)</f>
        <v>174280.23810145655</v>
      </c>
      <c r="E56" s="750">
        <f ca="1">SUM(Деятельность_УК!$I$448:'Деятельность_УК'!$L$448)</f>
        <v>0</v>
      </c>
      <c r="F56" s="750">
        <f ca="1">SUM(Деятельность_УК!$M$448:'Деятельность_УК'!$P$448)</f>
        <v>83357.121749058715</v>
      </c>
      <c r="G56" s="750">
        <f ca="1">SUM(Деятельность_УК!$Q$448:'Деятельность_УК'!$T$448)</f>
        <v>51910.277647104864</v>
      </c>
      <c r="H56" s="750">
        <f ca="1">SUM(Деятельность_УК!$U$448:'Деятельность_УК'!$X$448)</f>
        <v>624018.68925343</v>
      </c>
      <c r="I56" s="750">
        <f ca="1">SUM(Деятельность_УК!$Y$448:'Деятельность_УК'!$AB$448)</f>
        <v>0</v>
      </c>
      <c r="J56" s="750">
        <f ca="1">SUM(Деятельность_УК!$AC$448:'Деятельность_УК'!$AF$448)</f>
        <v>0</v>
      </c>
      <c r="K56" s="750">
        <f ca="1">SUM(Деятельность_УК!$AG$448:'Деятельность_УК'!$AJ$448)</f>
        <v>0</v>
      </c>
      <c r="L56" s="750">
        <f ca="1">SUM(Деятельность_УК!$AK$448:'Деятельность_УК'!$AN$448)</f>
        <v>0</v>
      </c>
      <c r="M56" s="750">
        <f ca="1">SUM(Деятельность_УК!$AO$448:'Деятельность_УК'!$AR$448)</f>
        <v>0</v>
      </c>
      <c r="N56" s="753">
        <f ca="1">Деятельность_УК!$AT$448</f>
        <v>933566.32675105007</v>
      </c>
    </row>
    <row r="57" spans="1:14" ht="11.25" customHeight="1" x14ac:dyDescent="0.2">
      <c r="A57" s="620" t="str">
        <f>Деятельность_УК!$A$449</f>
        <v>остаточная стоимость для налогообложения</v>
      </c>
      <c r="B57" s="748"/>
      <c r="C57" s="623" t="str">
        <f>Деятельность_УК!$C$449</f>
        <v>тыс. руб.</v>
      </c>
      <c r="D57" s="749">
        <f ca="1">Деятельность_УК!$H$449</f>
        <v>937084.6875</v>
      </c>
      <c r="E57" s="749">
        <f ca="1">Деятельность_УК!$L$449</f>
        <v>889029.0625</v>
      </c>
      <c r="F57" s="749">
        <f ca="1">Деятельность_УК!$P$449</f>
        <v>1277682.6933645869</v>
      </c>
      <c r="G57" s="749">
        <f ca="1">Деятельность_УК!$T$449</f>
        <v>1478601.1217494332</v>
      </c>
      <c r="H57" s="749">
        <f ca="1">Деятельность_УК!$X$449</f>
        <v>4662490.788236374</v>
      </c>
      <c r="I57" s="749">
        <f ca="1">Деятельность_УК!$AB$449</f>
        <v>4405071.3940486107</v>
      </c>
      <c r="J57" s="749">
        <f ca="1">Деятельность_УК!$AF$449</f>
        <v>4147651.9998608474</v>
      </c>
      <c r="K57" s="749">
        <f ca="1">Деятельность_УК!$AJ$449</f>
        <v>3890232.605673084</v>
      </c>
      <c r="L57" s="749">
        <f ca="1">Деятельность_УК!$AN$449</f>
        <v>3430813.2709941496</v>
      </c>
      <c r="M57" s="798">
        <f ca="1">Деятельность_УК!$AR$449</f>
        <v>1066532.9940765738</v>
      </c>
      <c r="N57" s="724"/>
    </row>
    <row r="58" spans="1:14" ht="11.25" customHeight="1" x14ac:dyDescent="0.2">
      <c r="A58" s="621" t="str">
        <f>Деятельность_УК!$A$450</f>
        <v>прибыль/убыток от продажи актива (бухгалтерская)</v>
      </c>
      <c r="B58" s="799"/>
      <c r="C58" s="617" t="str">
        <f>Деятельность_УК!$C$450</f>
        <v>тыс. руб.</v>
      </c>
      <c r="D58" s="750">
        <f ca="1">SUM(Деятельность_УК!$E$450:'Деятельность_УК'!$H$450)</f>
        <v>0</v>
      </c>
      <c r="E58" s="750">
        <f ca="1">SUM(Деятельность_УК!$I$450:'Деятельность_УК'!$L$450)</f>
        <v>0</v>
      </c>
      <c r="F58" s="750">
        <f ca="1">SUM(Деятельность_УК!$M$450:'Деятельность_УК'!$P$450)</f>
        <v>0</v>
      </c>
      <c r="G58" s="750">
        <f ca="1">SUM(Деятельность_УК!$Q$450:'Деятельность_УК'!$T$450)</f>
        <v>0</v>
      </c>
      <c r="H58" s="750">
        <f ca="1">SUM(Деятельность_УК!$U$450:'Деятельность_УК'!$X$450)</f>
        <v>0</v>
      </c>
      <c r="I58" s="750">
        <f ca="1">SUM(Деятельность_УК!$Y$450:'Деятельность_УК'!$AB$450)</f>
        <v>0</v>
      </c>
      <c r="J58" s="750">
        <f ca="1">SUM(Деятельность_УК!$AC$450:'Деятельность_УК'!$AF$450)</f>
        <v>0</v>
      </c>
      <c r="K58" s="750">
        <f ca="1">SUM(Деятельность_УК!$AG$450:'Деятельность_УК'!$AJ$450)</f>
        <v>0</v>
      </c>
      <c r="L58" s="750">
        <f ca="1">SUM(Деятельность_УК!$AK$450:'Деятельность_УК'!$AN$450)</f>
        <v>193116.10323617514</v>
      </c>
      <c r="M58" s="750">
        <f ca="1">SUM(Деятельность_УК!$AO$450:'Деятельность_УК'!$AR$450)</f>
        <v>4083461.0032267226</v>
      </c>
      <c r="N58" s="753">
        <f ca="1">Деятельность_УК!$AT$450</f>
        <v>4276577.1064628977</v>
      </c>
    </row>
    <row r="59" spans="1:14" ht="11.25" customHeight="1" x14ac:dyDescent="0.2">
      <c r="A59" s="621" t="str">
        <f>Деятельность_УК!$A$451</f>
        <v>НДС к выручке от продажи актива</v>
      </c>
      <c r="B59" s="799"/>
      <c r="C59" s="617" t="str">
        <f>Деятельность_УК!$C$451</f>
        <v>тыс. руб.</v>
      </c>
      <c r="D59" s="750">
        <f ca="1">SUM(Деятельность_УК!$E$451:'Деятельность_УК'!$H$451)</f>
        <v>0</v>
      </c>
      <c r="E59" s="750">
        <f ca="1">SUM(Деятельность_УК!$I$451:'Деятельность_УК'!$L$451)</f>
        <v>0</v>
      </c>
      <c r="F59" s="750">
        <f ca="1">SUM(Деятельность_УК!$M$451:'Деятельность_УК'!$P$451)</f>
        <v>0</v>
      </c>
      <c r="G59" s="750">
        <f ca="1">SUM(Деятельность_УК!$Q$451:'Деятельность_УК'!$T$451)</f>
        <v>0</v>
      </c>
      <c r="H59" s="750">
        <f ca="1">SUM(Деятельность_УК!$U$451:'Деятельность_УК'!$X$451)</f>
        <v>0</v>
      </c>
      <c r="I59" s="750">
        <f ca="1">SUM(Деятельность_УК!$Y$451:'Деятельность_УК'!$AB$451)</f>
        <v>0</v>
      </c>
      <c r="J59" s="750">
        <f ca="1">SUM(Деятельность_УК!$AC$451:'Деятельность_УК'!$AF$451)</f>
        <v>0</v>
      </c>
      <c r="K59" s="750">
        <f ca="1">SUM(Деятельность_УК!$AG$451:'Деятельность_УК'!$AJ$451)</f>
        <v>0</v>
      </c>
      <c r="L59" s="750">
        <f ca="1">SUM(Деятельность_УК!$AK$451:'Деятельность_УК'!$AN$451)</f>
        <v>81885.932440858058</v>
      </c>
      <c r="M59" s="750">
        <f ca="1">SUM(Деятельность_УК!$AO$451:'Деятельность_УК'!$AR$451)</f>
        <v>1275340.1914934432</v>
      </c>
      <c r="N59" s="753">
        <f ca="1">Деятельность_УК!$AT$451</f>
        <v>1357226.1239343013</v>
      </c>
    </row>
    <row r="60" spans="1:14" ht="11.25" customHeight="1" x14ac:dyDescent="0.2">
      <c r="A60" s="604"/>
      <c r="B60" s="653"/>
      <c r="C60" s="603"/>
      <c r="D60" s="709"/>
      <c r="E60" s="709"/>
      <c r="F60" s="709"/>
      <c r="G60" s="709"/>
      <c r="H60" s="709"/>
      <c r="I60" s="709"/>
      <c r="J60" s="709"/>
      <c r="K60" s="709"/>
      <c r="L60" s="709"/>
      <c r="M60" s="709"/>
      <c r="N60" s="724"/>
    </row>
    <row r="61" spans="1:14" ht="11.25" customHeight="1" x14ac:dyDescent="0.2">
      <c r="A61" s="729" t="str">
        <f>Деятельность_УК!$A$452</f>
        <v>Инфраструктура (без учета НДС)</v>
      </c>
      <c r="B61" s="732"/>
      <c r="C61" s="774">
        <f>Деятельность_УК!$C$452</f>
        <v>1</v>
      </c>
      <c r="D61" s="599"/>
      <c r="E61" s="599"/>
      <c r="F61" s="599"/>
      <c r="G61" s="599"/>
      <c r="H61" s="599"/>
      <c r="I61" s="599"/>
      <c r="J61" s="599"/>
      <c r="K61" s="599"/>
      <c r="L61" s="599"/>
      <c r="M61" s="599"/>
      <c r="N61" s="682"/>
    </row>
    <row r="62" spans="1:14" ht="11.25" customHeight="1" x14ac:dyDescent="0.2">
      <c r="A62" s="793" t="str">
        <f>Деятельность_УК!$A$453</f>
        <v>Электроснабжение</v>
      </c>
      <c r="B62" s="791"/>
      <c r="C62" s="762">
        <f>Деятельность_УК!$C$453</f>
        <v>0</v>
      </c>
      <c r="D62" s="712">
        <f ca="1">SUM(Деятельность_УК!$E$453:'Деятельность_УК'!$H$453)</f>
        <v>0</v>
      </c>
      <c r="E62" s="712">
        <f ca="1">SUM(Деятельность_УК!$I$453:'Деятельность_УК'!$L$453)</f>
        <v>0</v>
      </c>
      <c r="F62" s="712">
        <f ca="1">SUM(Деятельность_УК!$M$453:'Деятельность_УК'!$P$453)</f>
        <v>0</v>
      </c>
      <c r="G62" s="712">
        <f ca="1">SUM(Деятельность_УК!$Q$453:'Деятельность_УК'!$T$453)</f>
        <v>0</v>
      </c>
      <c r="H62" s="712">
        <f ca="1">SUM(Деятельность_УК!$U$453:'Деятельность_УК'!$X$453)</f>
        <v>0</v>
      </c>
      <c r="I62" s="712">
        <f ca="1">SUM(Деятельность_УК!$Y$453:'Деятельность_УК'!$AB$453)</f>
        <v>0</v>
      </c>
      <c r="J62" s="712">
        <f ca="1">SUM(Деятельность_УК!$AC$453:'Деятельность_УК'!$AF$453)</f>
        <v>0</v>
      </c>
      <c r="K62" s="712">
        <f ca="1">SUM(Деятельность_УК!$AG$453:'Деятельность_УК'!$AJ$453)</f>
        <v>0</v>
      </c>
      <c r="L62" s="712">
        <f ca="1">SUM(Деятельность_УК!$AK$453:'Деятельность_УК'!$AN$453)</f>
        <v>0</v>
      </c>
      <c r="M62" s="712">
        <f ca="1">SUM(Деятельность_УК!$AO$453:'Деятельность_УК'!$AR$453)</f>
        <v>0</v>
      </c>
      <c r="N62" s="746">
        <f ca="1">Деятельность_УК!$AT$453</f>
        <v>0</v>
      </c>
    </row>
    <row r="63" spans="1:14" ht="11.25" customHeight="1" x14ac:dyDescent="0.2">
      <c r="A63" s="793" t="str">
        <f>Деятельность_УК!$A$454</f>
        <v>Водоснабжение</v>
      </c>
      <c r="B63" s="791"/>
      <c r="C63" s="762">
        <f>Деятельность_УК!$C$454</f>
        <v>0</v>
      </c>
      <c r="D63" s="712">
        <f ca="1">SUM(Деятельность_УК!$E$454:'Деятельность_УК'!$H$454)</f>
        <v>0</v>
      </c>
      <c r="E63" s="712">
        <f ca="1">SUM(Деятельность_УК!$I$454:'Деятельность_УК'!$L$454)</f>
        <v>33944.994052011716</v>
      </c>
      <c r="F63" s="712">
        <f ca="1">SUM(Деятельность_УК!$M$454:'Деятельность_УК'!$P$454)</f>
        <v>0</v>
      </c>
      <c r="G63" s="712">
        <f ca="1">SUM(Деятельность_УК!$Q$454:'Деятельность_УК'!$T$454)</f>
        <v>0</v>
      </c>
      <c r="H63" s="712">
        <f ca="1">SUM(Деятельность_УК!$U$454:'Деятельность_УК'!$X$454)</f>
        <v>0</v>
      </c>
      <c r="I63" s="712">
        <f ca="1">SUM(Деятельность_УК!$Y$454:'Деятельность_УК'!$AB$454)</f>
        <v>0</v>
      </c>
      <c r="J63" s="712">
        <f ca="1">SUM(Деятельность_УК!$AC$454:'Деятельность_УК'!$AF$454)</f>
        <v>0</v>
      </c>
      <c r="K63" s="712">
        <f ca="1">SUM(Деятельность_УК!$AG$454:'Деятельность_УК'!$AJ$454)</f>
        <v>0</v>
      </c>
      <c r="L63" s="712">
        <f ca="1">SUM(Деятельность_УК!$AK$454:'Деятельность_УК'!$AN$454)</f>
        <v>0</v>
      </c>
      <c r="M63" s="712">
        <f ca="1">SUM(Деятельность_УК!$AO$454:'Деятельность_УК'!$AR$454)</f>
        <v>0</v>
      </c>
      <c r="N63" s="746">
        <f ca="1">Деятельность_УК!$AT$454</f>
        <v>33944.994052011716</v>
      </c>
    </row>
    <row r="64" spans="1:14" ht="11.25" customHeight="1" x14ac:dyDescent="0.2">
      <c r="A64" s="793" t="str">
        <f>Деятельность_УК!$A$455</f>
        <v>Водоотведение</v>
      </c>
      <c r="B64" s="791"/>
      <c r="C64" s="762">
        <f>Деятельность_УК!$C$455</f>
        <v>0</v>
      </c>
      <c r="D64" s="712">
        <f ca="1">SUM(Деятельность_УК!$E$455:'Деятельность_УК'!$H$455)</f>
        <v>0</v>
      </c>
      <c r="E64" s="712">
        <f ca="1">SUM(Деятельность_УК!$I$455:'Деятельность_УК'!$L$455)</f>
        <v>0</v>
      </c>
      <c r="F64" s="712">
        <f ca="1">SUM(Деятельность_УК!$M$455:'Деятельность_УК'!$P$455)</f>
        <v>311959.36184987205</v>
      </c>
      <c r="G64" s="712">
        <f ca="1">SUM(Деятельность_УК!$Q$455:'Деятельность_УК'!$T$455)</f>
        <v>0</v>
      </c>
      <c r="H64" s="712">
        <f ca="1">SUM(Деятельность_УК!$U$455:'Деятельность_УК'!$X$455)</f>
        <v>0</v>
      </c>
      <c r="I64" s="712">
        <f ca="1">SUM(Деятельность_УК!$Y$455:'Деятельность_УК'!$AB$455)</f>
        <v>0</v>
      </c>
      <c r="J64" s="712">
        <f ca="1">SUM(Деятельность_УК!$AC$455:'Деятельность_УК'!$AF$455)</f>
        <v>0</v>
      </c>
      <c r="K64" s="712">
        <f ca="1">SUM(Деятельность_УК!$AG$455:'Деятельность_УК'!$AJ$455)</f>
        <v>0</v>
      </c>
      <c r="L64" s="712">
        <f ca="1">SUM(Деятельность_УК!$AK$455:'Деятельность_УК'!$AN$455)</f>
        <v>0</v>
      </c>
      <c r="M64" s="712">
        <f ca="1">SUM(Деятельность_УК!$AO$455:'Деятельность_УК'!$AR$455)</f>
        <v>0</v>
      </c>
      <c r="N64" s="746">
        <f ca="1">Деятельность_УК!$AT$455</f>
        <v>311959.36184987205</v>
      </c>
    </row>
    <row r="65" spans="1:14" ht="11.25" customHeight="1" x14ac:dyDescent="0.2">
      <c r="A65" s="793" t="str">
        <f>Деятельность_УК!$A$456</f>
        <v>Газоснабжение</v>
      </c>
      <c r="B65" s="791"/>
      <c r="C65" s="762">
        <f>Деятельность_УК!$C$456</f>
        <v>0</v>
      </c>
      <c r="D65" s="712">
        <f ca="1">SUM(Деятельность_УК!$E$456:'Деятельность_УК'!$H$456)</f>
        <v>0</v>
      </c>
      <c r="E65" s="712">
        <f ca="1">SUM(Деятельность_УК!$I$456:'Деятельность_УК'!$L$456)</f>
        <v>0</v>
      </c>
      <c r="F65" s="712">
        <f ca="1">SUM(Деятельность_УК!$M$456:'Деятельность_УК'!$P$456)</f>
        <v>0</v>
      </c>
      <c r="G65" s="712">
        <f ca="1">SUM(Деятельность_УК!$Q$456:'Деятельность_УК'!$T$456)</f>
        <v>0</v>
      </c>
      <c r="H65" s="712">
        <f ca="1">SUM(Деятельность_УК!$U$456:'Деятельность_УК'!$X$456)</f>
        <v>0</v>
      </c>
      <c r="I65" s="712">
        <f ca="1">SUM(Деятельность_УК!$Y$456:'Деятельность_УК'!$AB$456)</f>
        <v>0</v>
      </c>
      <c r="J65" s="712">
        <f ca="1">SUM(Деятельность_УК!$AC$456:'Деятельность_УК'!$AF$456)</f>
        <v>0</v>
      </c>
      <c r="K65" s="712">
        <f ca="1">SUM(Деятельность_УК!$AG$456:'Деятельность_УК'!$AJ$456)</f>
        <v>0</v>
      </c>
      <c r="L65" s="712">
        <f ca="1">SUM(Деятельность_УК!$AK$456:'Деятельность_УК'!$AN$456)</f>
        <v>0</v>
      </c>
      <c r="M65" s="712">
        <f ca="1">SUM(Деятельность_УК!$AO$456:'Деятельность_УК'!$AR$456)</f>
        <v>0</v>
      </c>
      <c r="N65" s="746">
        <f ca="1">Деятельность_УК!$AT$456</f>
        <v>0</v>
      </c>
    </row>
    <row r="66" spans="1:14" ht="11.25" customHeight="1" x14ac:dyDescent="0.2">
      <c r="A66" s="793" t="str">
        <f>Деятельность_УК!$A$457</f>
        <v>Транспортная инфраструктура</v>
      </c>
      <c r="B66" s="791"/>
      <c r="C66" s="762">
        <f>Деятельность_УК!$C$457</f>
        <v>0</v>
      </c>
      <c r="D66" s="712">
        <f ca="1">SUM(Деятельность_УК!$E$457:'Деятельность_УК'!$H$457)</f>
        <v>155976.66666666669</v>
      </c>
      <c r="E66" s="712">
        <f ca="1">SUM(Деятельность_УК!$I$457:'Деятельность_УК'!$L$457)</f>
        <v>58503.066297770456</v>
      </c>
      <c r="F66" s="712">
        <f ca="1">SUM(Деятельность_УК!$M$457:'Деятельность_УК'!$P$457)</f>
        <v>0</v>
      </c>
      <c r="G66" s="712">
        <f ca="1">SUM(Деятельность_УК!$Q$457:'Деятельность_УК'!$T$457)</f>
        <v>0</v>
      </c>
      <c r="H66" s="712">
        <f ca="1">SUM(Деятельность_УК!$U$457:'Деятельность_УК'!$X$457)</f>
        <v>0</v>
      </c>
      <c r="I66" s="712">
        <f ca="1">SUM(Деятельность_УК!$Y$457:'Деятельность_УК'!$AB$457)</f>
        <v>0</v>
      </c>
      <c r="J66" s="712">
        <f ca="1">SUM(Деятельность_УК!$AC$457:'Деятельность_УК'!$AF$457)</f>
        <v>0</v>
      </c>
      <c r="K66" s="712">
        <f ca="1">SUM(Деятельность_УК!$AG$457:'Деятельность_УК'!$AJ$457)</f>
        <v>0</v>
      </c>
      <c r="L66" s="712">
        <f ca="1">SUM(Деятельность_УК!$AK$457:'Деятельность_УК'!$AN$457)</f>
        <v>0</v>
      </c>
      <c r="M66" s="712">
        <f ca="1">SUM(Деятельность_УК!$AO$457:'Деятельность_УК'!$AR$457)</f>
        <v>0</v>
      </c>
      <c r="N66" s="746">
        <f ca="1">Деятельность_УК!$AT$457</f>
        <v>214479.73296443713</v>
      </c>
    </row>
    <row r="67" spans="1:14" ht="11.25" customHeight="1" x14ac:dyDescent="0.2">
      <c r="A67" s="793" t="str">
        <f>Деятельность_УК!$A$458</f>
        <v xml:space="preserve">Прочие объекты инфраструктуры </v>
      </c>
      <c r="B67" s="791"/>
      <c r="C67" s="762">
        <f>Деятельность_УК!$C$458</f>
        <v>0</v>
      </c>
      <c r="D67" s="712">
        <f ca="1">SUM(Деятельность_УК!$E$458:'Деятельность_УК'!$H$458)</f>
        <v>0</v>
      </c>
      <c r="E67" s="712">
        <f ca="1">SUM(Деятельность_УК!$I$458:'Деятельность_УК'!$L$458)</f>
        <v>0</v>
      </c>
      <c r="F67" s="712">
        <f ca="1">SUM(Деятельность_УК!$M$458:'Деятельность_УК'!$P$458)</f>
        <v>0</v>
      </c>
      <c r="G67" s="712">
        <f ca="1">SUM(Деятельность_УК!$Q$458:'Деятельность_УК'!$T$458)</f>
        <v>0</v>
      </c>
      <c r="H67" s="712">
        <f ca="1">SUM(Деятельность_УК!$U$458:'Деятельность_УК'!$X$458)</f>
        <v>0</v>
      </c>
      <c r="I67" s="712">
        <f ca="1">SUM(Деятельность_УК!$Y$458:'Деятельность_УК'!$AB$458)</f>
        <v>0</v>
      </c>
      <c r="J67" s="712">
        <f ca="1">SUM(Деятельность_УК!$AC$458:'Деятельность_УК'!$AF$458)</f>
        <v>0</v>
      </c>
      <c r="K67" s="712">
        <f ca="1">SUM(Деятельность_УК!$AG$458:'Деятельность_УК'!$AJ$458)</f>
        <v>0</v>
      </c>
      <c r="L67" s="712">
        <f ca="1">SUM(Деятельность_УК!$AK$458:'Деятельность_УК'!$AN$458)</f>
        <v>0</v>
      </c>
      <c r="M67" s="712">
        <f ca="1">SUM(Деятельность_УК!$AO$458:'Деятельность_УК'!$AR$458)</f>
        <v>0</v>
      </c>
      <c r="N67" s="746">
        <f ca="1">Деятельность_УК!$AT$458</f>
        <v>0</v>
      </c>
    </row>
    <row r="68" spans="1:14" ht="11.25" customHeight="1" x14ac:dyDescent="0.2">
      <c r="A68" s="637" t="str">
        <f>Деятельность_УК!$A$459</f>
        <v>график оплаты, без НДС</v>
      </c>
      <c r="B68" s="792"/>
      <c r="C68" s="687" t="str">
        <f>Деятельность_УК!$C$459</f>
        <v>тыс. руб.</v>
      </c>
      <c r="D68" s="713">
        <f ca="1">SUM(Деятельность_УК!$E$459:'Деятельность_УК'!$H$459)</f>
        <v>155976.66666666669</v>
      </c>
      <c r="E68" s="713">
        <f ca="1">SUM(Деятельность_УК!$I$459:'Деятельность_УК'!$L$459)</f>
        <v>92448.060349782158</v>
      </c>
      <c r="F68" s="713">
        <f ca="1">SUM(Деятельность_УК!$M$459:'Деятельность_УК'!$P$459)</f>
        <v>311959.36184987205</v>
      </c>
      <c r="G68" s="713">
        <f ca="1">SUM(Деятельность_УК!$Q$459:'Деятельность_УК'!$T$459)</f>
        <v>0</v>
      </c>
      <c r="H68" s="713">
        <f ca="1">SUM(Деятельность_УК!$U$459:'Деятельность_УК'!$X$459)</f>
        <v>0</v>
      </c>
      <c r="I68" s="713">
        <f ca="1">SUM(Деятельность_УК!$Y$459:'Деятельность_УК'!$AB$459)</f>
        <v>0</v>
      </c>
      <c r="J68" s="713">
        <f ca="1">SUM(Деятельность_УК!$AC$459:'Деятельность_УК'!$AF$459)</f>
        <v>0</v>
      </c>
      <c r="K68" s="713">
        <f ca="1">SUM(Деятельность_УК!$AG$459:'Деятельность_УК'!$AJ$459)</f>
        <v>0</v>
      </c>
      <c r="L68" s="713">
        <f ca="1">SUM(Деятельность_УК!$AK$459:'Деятельность_УК'!$AN$459)</f>
        <v>0</v>
      </c>
      <c r="M68" s="713">
        <f ca="1">SUM(Деятельность_УК!$AO$459:'Деятельность_УК'!$AR$459)</f>
        <v>0</v>
      </c>
      <c r="N68" s="744">
        <f ca="1">Деятельность_УК!$AT$459</f>
        <v>560384.0888663209</v>
      </c>
    </row>
    <row r="69" spans="1:14" ht="11.25" customHeight="1" x14ac:dyDescent="0.2">
      <c r="A69" s="636" t="str">
        <f>Деятельность_УК!$A$460</f>
        <v>график постановки на баланс, без НДС</v>
      </c>
      <c r="B69" s="685"/>
      <c r="C69" s="762" t="str">
        <f>Деятельность_УК!$C$460</f>
        <v>тыс. руб.</v>
      </c>
      <c r="D69" s="713">
        <f ca="1">SUM(Деятельность_УК!$E$460:'Деятельность_УК'!$H$460)</f>
        <v>0</v>
      </c>
      <c r="E69" s="713">
        <f ca="1">SUM(Деятельность_УК!$I$460:'Деятельность_УК'!$L$460)</f>
        <v>248424.72701644886</v>
      </c>
      <c r="F69" s="713">
        <f ca="1">SUM(Деятельность_УК!$M$460:'Деятельность_УК'!$P$460)</f>
        <v>311959.36184987205</v>
      </c>
      <c r="G69" s="713">
        <f ca="1">SUM(Деятельность_УК!$Q$460:'Деятельность_УК'!$T$460)</f>
        <v>0</v>
      </c>
      <c r="H69" s="713">
        <f ca="1">SUM(Деятельность_УК!$U$460:'Деятельность_УК'!$X$460)</f>
        <v>0</v>
      </c>
      <c r="I69" s="713">
        <f ca="1">SUM(Деятельность_УК!$Y$460:'Деятельность_УК'!$AB$460)</f>
        <v>0</v>
      </c>
      <c r="J69" s="713">
        <f ca="1">SUM(Деятельность_УК!$AC$460:'Деятельность_УК'!$AF$460)</f>
        <v>0</v>
      </c>
      <c r="K69" s="713">
        <f ca="1">SUM(Деятельность_УК!$AG$460:'Деятельность_УК'!$AJ$460)</f>
        <v>0</v>
      </c>
      <c r="L69" s="713">
        <f ca="1">SUM(Деятельность_УК!$AK$460:'Деятельность_УК'!$AN$460)</f>
        <v>0</v>
      </c>
      <c r="M69" s="713">
        <f ca="1">SUM(Деятельность_УК!$AO$460:'Деятельность_УК'!$AR$460)</f>
        <v>0</v>
      </c>
      <c r="N69" s="744">
        <f ca="1">Деятельность_УК!$AT$460</f>
        <v>560384.0888663209</v>
      </c>
    </row>
    <row r="70" spans="1:14" ht="11.25" customHeight="1" x14ac:dyDescent="0.2">
      <c r="A70" s="637" t="str">
        <f>Деятельность_УК!$A$461</f>
        <v xml:space="preserve">срок полезного использования </v>
      </c>
      <c r="B70" s="765">
        <f>Деятельность_УК!$B$461</f>
        <v>20</v>
      </c>
      <c r="C70" s="687" t="str">
        <f>Деятельность_УК!$C$461</f>
        <v>лет</v>
      </c>
      <c r="D70" s="651"/>
      <c r="E70" s="651"/>
      <c r="F70" s="651"/>
      <c r="G70" s="651"/>
      <c r="H70" s="651"/>
      <c r="I70" s="651"/>
      <c r="J70" s="651"/>
      <c r="K70" s="651"/>
      <c r="L70" s="651"/>
      <c r="M70" s="651"/>
      <c r="N70" s="652"/>
    </row>
    <row r="71" spans="1:14" ht="11.25" customHeight="1" x14ac:dyDescent="0.2">
      <c r="A71" s="620" t="str">
        <f>Деятельность_УК!$A$466</f>
        <v>незавершенные инвестиции</v>
      </c>
      <c r="B71" s="690"/>
      <c r="C71" s="623" t="str">
        <f>Деятельность_УК!$C$466</f>
        <v>тыс. руб.</v>
      </c>
      <c r="D71" s="749">
        <f ca="1">Деятельность_УК!$H$466</f>
        <v>155976.66666666669</v>
      </c>
      <c r="E71" s="749">
        <f ca="1">Деятельность_УК!$L$466</f>
        <v>0</v>
      </c>
      <c r="F71" s="749">
        <f ca="1">Деятельность_УК!$P$466</f>
        <v>0</v>
      </c>
      <c r="G71" s="749">
        <f ca="1">Деятельность_УК!$T$466</f>
        <v>0</v>
      </c>
      <c r="H71" s="749">
        <f ca="1">Деятельность_УК!$X$466</f>
        <v>0</v>
      </c>
      <c r="I71" s="749">
        <f ca="1">Деятельность_УК!$AB$466</f>
        <v>0</v>
      </c>
      <c r="J71" s="749">
        <f ca="1">Деятельность_УК!$AF$466</f>
        <v>0</v>
      </c>
      <c r="K71" s="749">
        <f ca="1">Деятельность_УК!$AJ$466</f>
        <v>0</v>
      </c>
      <c r="L71" s="749">
        <f ca="1">Деятельность_УК!$AN$466</f>
        <v>0</v>
      </c>
      <c r="M71" s="798">
        <f ca="1">Деятельность_УК!$AR$466</f>
        <v>0</v>
      </c>
      <c r="N71" s="721"/>
    </row>
    <row r="72" spans="1:14" ht="11.25" customHeight="1" x14ac:dyDescent="0.2">
      <c r="A72" s="620" t="str">
        <f>Деятельность_УК!$A$467</f>
        <v>кредиторская задолженность</v>
      </c>
      <c r="B72" s="690"/>
      <c r="C72" s="623" t="str">
        <f>Деятельность_УК!$C$467</f>
        <v>тыс. руб.</v>
      </c>
      <c r="D72" s="749">
        <f ca="1">Деятельность_УК!$H$467</f>
        <v>0</v>
      </c>
      <c r="E72" s="749">
        <f ca="1">Деятельность_УК!$L$467</f>
        <v>0</v>
      </c>
      <c r="F72" s="749">
        <f ca="1">Деятельность_УК!$P$467</f>
        <v>0</v>
      </c>
      <c r="G72" s="749">
        <f ca="1">Деятельность_УК!$T$467</f>
        <v>0</v>
      </c>
      <c r="H72" s="749">
        <f ca="1">Деятельность_УК!$X$467</f>
        <v>0</v>
      </c>
      <c r="I72" s="749">
        <f ca="1">Деятельность_УК!$AB$467</f>
        <v>0</v>
      </c>
      <c r="J72" s="749">
        <f ca="1">Деятельность_УК!$AF$467</f>
        <v>0</v>
      </c>
      <c r="K72" s="749">
        <f ca="1">Деятельность_УК!$AJ$467</f>
        <v>0</v>
      </c>
      <c r="L72" s="749">
        <f ca="1">Деятельность_УК!$AN$467</f>
        <v>0</v>
      </c>
      <c r="M72" s="798">
        <f ca="1">Деятельность_УК!$AR$467</f>
        <v>0</v>
      </c>
      <c r="N72" s="721"/>
    </row>
    <row r="73" spans="1:14" ht="11.25" customHeight="1" x14ac:dyDescent="0.2">
      <c r="A73" s="620" t="str">
        <f>Деятельность_УК!$A$468</f>
        <v xml:space="preserve">авансы полученные </v>
      </c>
      <c r="B73" s="690"/>
      <c r="C73" s="623" t="str">
        <f>Деятельность_УК!$C$468</f>
        <v>тыс. руб.</v>
      </c>
      <c r="D73" s="749">
        <f>Деятельность_УК!$H$468</f>
        <v>0</v>
      </c>
      <c r="E73" s="749">
        <f>Деятельность_УК!$L$468</f>
        <v>0</v>
      </c>
      <c r="F73" s="749">
        <f>Деятельность_УК!$P$468</f>
        <v>0</v>
      </c>
      <c r="G73" s="749">
        <f>Деятельность_УК!$T$468</f>
        <v>0</v>
      </c>
      <c r="H73" s="749">
        <f>Деятельность_УК!$X$468</f>
        <v>0</v>
      </c>
      <c r="I73" s="749">
        <f>Деятельность_УК!$AB$468</f>
        <v>0</v>
      </c>
      <c r="J73" s="749">
        <f>Деятельность_УК!$AF$468</f>
        <v>0</v>
      </c>
      <c r="K73" s="749">
        <f>Деятельность_УК!$AJ$468</f>
        <v>0</v>
      </c>
      <c r="L73" s="749">
        <f>Деятельность_УК!$AN$468</f>
        <v>0</v>
      </c>
      <c r="M73" s="798">
        <f>Деятельность_УК!$AR$468</f>
        <v>0</v>
      </c>
      <c r="N73" s="721"/>
    </row>
    <row r="74" spans="1:14" ht="11.25" customHeight="1" x14ac:dyDescent="0.2">
      <c r="A74" s="620" t="str">
        <f>Деятельность_УК!$A$469</f>
        <v>дебиторская задолженность</v>
      </c>
      <c r="B74" s="690"/>
      <c r="C74" s="623" t="str">
        <f>Деятельность_УК!$C$469</f>
        <v>тыс. руб.</v>
      </c>
      <c r="D74" s="749">
        <f>Деятельность_УК!$H$469</f>
        <v>0</v>
      </c>
      <c r="E74" s="749">
        <f>Деятельность_УК!$L$469</f>
        <v>0</v>
      </c>
      <c r="F74" s="749">
        <f>Деятельность_УК!$P$469</f>
        <v>0</v>
      </c>
      <c r="G74" s="749">
        <f>Деятельность_УК!$T$469</f>
        <v>0</v>
      </c>
      <c r="H74" s="749">
        <f>Деятельность_УК!$X$469</f>
        <v>0</v>
      </c>
      <c r="I74" s="749">
        <f>Деятельность_УК!$AB$469</f>
        <v>0</v>
      </c>
      <c r="J74" s="749">
        <f>Деятельность_УК!$AF$469</f>
        <v>0</v>
      </c>
      <c r="K74" s="749">
        <f>Деятельность_УК!$AJ$469</f>
        <v>0</v>
      </c>
      <c r="L74" s="749">
        <f>Деятельность_УК!$AN$469</f>
        <v>0</v>
      </c>
      <c r="M74" s="798">
        <f>Деятельность_УК!$AR$469</f>
        <v>0</v>
      </c>
      <c r="N74" s="721"/>
    </row>
    <row r="75" spans="1:14" ht="11.25" customHeight="1" x14ac:dyDescent="0.2">
      <c r="A75" s="620" t="str">
        <f>Деятельность_УК!$A$470</f>
        <v>амортизация (бухгалтерская)</v>
      </c>
      <c r="B75" s="690"/>
      <c r="C75" s="623" t="str">
        <f>Деятельность_УК!$C$470</f>
        <v>тыс. руб.</v>
      </c>
      <c r="D75" s="749">
        <f ca="1">SUM(Деятельность_УК!$E$470:'Деятельность_УК'!$H$470)</f>
        <v>0</v>
      </c>
      <c r="E75" s="749">
        <f ca="1">SUM(Деятельность_УК!$I$470:'Деятельность_УК'!$L$470)</f>
        <v>3105.3090877056106</v>
      </c>
      <c r="F75" s="749">
        <f ca="1">SUM(Деятельность_УК!$M$470:'Деятельность_УК'!$P$470)</f>
        <v>16320.728373945843</v>
      </c>
      <c r="G75" s="749">
        <f ca="1">SUM(Деятельность_УК!$Q$470:'Деятельность_УК'!$T$470)</f>
        <v>28019.204443316044</v>
      </c>
      <c r="H75" s="749">
        <f ca="1">SUM(Деятельность_УК!$U$470:'Деятельность_УК'!$X$470)</f>
        <v>28019.204443316044</v>
      </c>
      <c r="I75" s="749">
        <f ca="1">SUM(Деятельность_УК!$Y$470:'Деятельность_УК'!$AB$470)</f>
        <v>28019.204443316044</v>
      </c>
      <c r="J75" s="749">
        <f ca="1">SUM(Деятельность_УК!$AC$470:'Деятельность_УК'!$AF$470)</f>
        <v>28019.204443316044</v>
      </c>
      <c r="K75" s="749">
        <f ca="1">SUM(Деятельность_УК!$AG$470:'Деятельность_УК'!$AJ$470)</f>
        <v>28019.204443316044</v>
      </c>
      <c r="L75" s="749">
        <f ca="1">SUM(Деятельность_УК!$AK$470:'Деятельность_УК'!$AN$470)</f>
        <v>28019.204443316044</v>
      </c>
      <c r="M75" s="749">
        <f ca="1">SUM(Деятельность_УК!$AO$470:'Деятельность_УК'!$AR$470)</f>
        <v>28019.204443316044</v>
      </c>
      <c r="N75" s="753">
        <f ca="1">Деятельность_УК!$AT$470</f>
        <v>215560.46856486387</v>
      </c>
    </row>
    <row r="76" spans="1:14" ht="11.25" customHeight="1" x14ac:dyDescent="0.2">
      <c r="A76" s="620" t="str">
        <f>Деятельность_УК!$A$471</f>
        <v>балансовая стоимость (бухгалтерская)</v>
      </c>
      <c r="B76" s="690"/>
      <c r="C76" s="623" t="str">
        <f>Деятельность_УК!$C$471</f>
        <v>тыс. руб.</v>
      </c>
      <c r="D76" s="749">
        <f ca="1">Деятельность_УК!$H$471</f>
        <v>0</v>
      </c>
      <c r="E76" s="749">
        <f ca="1">Деятельность_УК!$L$471</f>
        <v>245319.41792874323</v>
      </c>
      <c r="F76" s="749">
        <f ca="1">Деятельность_УК!$P$471</f>
        <v>540958.05140466942</v>
      </c>
      <c r="G76" s="749">
        <f ca="1">Деятельность_УК!$T$471</f>
        <v>512938.84696135344</v>
      </c>
      <c r="H76" s="749">
        <f ca="1">Деятельность_УК!$X$471</f>
        <v>484919.64251803735</v>
      </c>
      <c r="I76" s="749">
        <f ca="1">Деятельность_УК!$AB$471</f>
        <v>456900.43807472137</v>
      </c>
      <c r="J76" s="749">
        <f ca="1">Деятельность_УК!$AF$471</f>
        <v>428881.23363140528</v>
      </c>
      <c r="K76" s="749">
        <f ca="1">Деятельность_УК!$AJ$471</f>
        <v>400862.02918808919</v>
      </c>
      <c r="L76" s="749">
        <f ca="1">Деятельность_УК!$AN$471</f>
        <v>372842.8247447731</v>
      </c>
      <c r="M76" s="798">
        <f ca="1">Деятельность_УК!$AR$471</f>
        <v>344823.62030145701</v>
      </c>
      <c r="N76" s="721"/>
    </row>
    <row r="77" spans="1:14" ht="11.25" customHeight="1" x14ac:dyDescent="0.2">
      <c r="A77" s="620" t="str">
        <f>Деятельность_УК!$A$472</f>
        <v>выплаченный НДС</v>
      </c>
      <c r="B77" s="799"/>
      <c r="C77" s="623" t="str">
        <f>Деятельность_УК!$C$472</f>
        <v>тыс. руб.</v>
      </c>
      <c r="D77" s="749">
        <f ca="1">SUM(Деятельность_УК!$E$472:'Деятельность_УК'!$H$472)</f>
        <v>31195.333333333339</v>
      </c>
      <c r="E77" s="749">
        <f ca="1">SUM(Деятельность_УК!$I$472:'Деятельность_УК'!$L$472)</f>
        <v>18489.612069956434</v>
      </c>
      <c r="F77" s="749">
        <f ca="1">SUM(Деятельность_УК!$M$472:'Деятельность_УК'!$P$472)</f>
        <v>62391.872369974415</v>
      </c>
      <c r="G77" s="749">
        <f ca="1">SUM(Деятельность_УК!$Q$472:'Деятельность_УК'!$T$472)</f>
        <v>0</v>
      </c>
      <c r="H77" s="749">
        <f ca="1">SUM(Деятельность_УК!$U$472:'Деятельность_УК'!$X$472)</f>
        <v>0</v>
      </c>
      <c r="I77" s="749">
        <f ca="1">SUM(Деятельность_УК!$Y$472:'Деятельность_УК'!$AB$472)</f>
        <v>0</v>
      </c>
      <c r="J77" s="749">
        <f ca="1">SUM(Деятельность_УК!$AC$472:'Деятельность_УК'!$AF$472)</f>
        <v>0</v>
      </c>
      <c r="K77" s="749">
        <f ca="1">SUM(Деятельность_УК!$AG$472:'Деятельность_УК'!$AJ$472)</f>
        <v>0</v>
      </c>
      <c r="L77" s="749">
        <f ca="1">SUM(Деятельность_УК!$AK$472:'Деятельность_УК'!$AN$472)</f>
        <v>0</v>
      </c>
      <c r="M77" s="749">
        <f ca="1">SUM(Деятельность_УК!$AO$472:'Деятельность_УК'!$AR$472)</f>
        <v>0</v>
      </c>
      <c r="N77" s="769">
        <f ca="1">Деятельность_УК!$AT$472</f>
        <v>112076.81777326419</v>
      </c>
    </row>
    <row r="78" spans="1:14" ht="11.25" customHeight="1" x14ac:dyDescent="0.2">
      <c r="A78" s="621" t="str">
        <f>Деятельность_УК!$A$473</f>
        <v>НДС начисленный к зачету</v>
      </c>
      <c r="B78" s="799"/>
      <c r="C78" s="617" t="str">
        <f>Деятельность_УК!$C$473</f>
        <v>тыс. руб.</v>
      </c>
      <c r="D78" s="750">
        <f ca="1">SUM(Деятельность_УК!$E$473:'Деятельность_УК'!$H$473)</f>
        <v>0</v>
      </c>
      <c r="E78" s="750">
        <f ca="1">SUM(Деятельность_УК!$I$473:'Деятельность_УК'!$L$473)</f>
        <v>49684.945403289777</v>
      </c>
      <c r="F78" s="750">
        <f ca="1">SUM(Деятельность_УК!$M$473:'Деятельность_УК'!$P$473)</f>
        <v>62391.872369974408</v>
      </c>
      <c r="G78" s="750">
        <f ca="1">SUM(Деятельность_УК!$Q$473:'Деятельность_УК'!$T$473)</f>
        <v>0</v>
      </c>
      <c r="H78" s="750">
        <f ca="1">SUM(Деятельность_УК!$U$473:'Деятельность_УК'!$X$473)</f>
        <v>0</v>
      </c>
      <c r="I78" s="750">
        <f ca="1">SUM(Деятельность_УК!$Y$473:'Деятельность_УК'!$AB$473)</f>
        <v>0</v>
      </c>
      <c r="J78" s="750">
        <f ca="1">SUM(Деятельность_УК!$AC$473:'Деятельность_УК'!$AF$473)</f>
        <v>0</v>
      </c>
      <c r="K78" s="750">
        <f ca="1">SUM(Деятельность_УК!$AG$473:'Деятельность_УК'!$AJ$473)</f>
        <v>0</v>
      </c>
      <c r="L78" s="750">
        <f ca="1">SUM(Деятельность_УК!$AK$473:'Деятельность_УК'!$AN$473)</f>
        <v>0</v>
      </c>
      <c r="M78" s="750">
        <f ca="1">SUM(Деятельность_УК!$AO$473:'Деятельность_УК'!$AR$473)</f>
        <v>0</v>
      </c>
      <c r="N78" s="753">
        <f ca="1">Деятельность_УК!$AT$473</f>
        <v>112076.81777326419</v>
      </c>
    </row>
    <row r="79" spans="1:14" ht="11.25" customHeight="1" x14ac:dyDescent="0.2">
      <c r="A79" s="621" t="str">
        <f>Деятельность_УК!$A$474</f>
        <v>кадастровая стоимость</v>
      </c>
      <c r="B79" s="690"/>
      <c r="C79" s="617" t="str">
        <f>Деятельность_УК!$C$474</f>
        <v>тыс. руб.</v>
      </c>
      <c r="D79" s="713">
        <f ca="1">Деятельность_УК!$H$474</f>
        <v>0</v>
      </c>
      <c r="E79" s="713">
        <f ca="1">Деятельность_УК!$L$474</f>
        <v>298109.67241973861</v>
      </c>
      <c r="F79" s="713">
        <f ca="1">Деятельность_УК!$P$474</f>
        <v>672460.90663958504</v>
      </c>
      <c r="G79" s="713">
        <f ca="1">Деятельность_УК!$T$474</f>
        <v>672460.90663958504</v>
      </c>
      <c r="H79" s="713">
        <f ca="1">Деятельность_УК!$X$474</f>
        <v>672460.90663958504</v>
      </c>
      <c r="I79" s="713">
        <f ca="1">Деятельность_УК!$AB$474</f>
        <v>672460.90663958504</v>
      </c>
      <c r="J79" s="713">
        <f ca="1">Деятельность_УК!$AF$474</f>
        <v>672460.90663958504</v>
      </c>
      <c r="K79" s="713">
        <f ca="1">Деятельность_УК!$AJ$474</f>
        <v>672460.90663958504</v>
      </c>
      <c r="L79" s="713">
        <f ca="1">Деятельность_УК!$AN$474</f>
        <v>672460.90663958504</v>
      </c>
      <c r="M79" s="714">
        <f ca="1">Деятельность_УК!$AR$474</f>
        <v>672460.90663958504</v>
      </c>
      <c r="N79" s="724"/>
    </row>
    <row r="80" spans="1:14" ht="11.25" customHeight="1" x14ac:dyDescent="0.2">
      <c r="A80" s="621" t="str">
        <f>Деятельность_УК!$A$475</f>
        <v>остаточная стоимость для налогообложения</v>
      </c>
      <c r="B80" s="748"/>
      <c r="C80" s="617" t="str">
        <f>Деятельность_УК!$C$475</f>
        <v>тыс. руб.</v>
      </c>
      <c r="D80" s="750">
        <f ca="1">Деятельность_УК!$H$475</f>
        <v>0</v>
      </c>
      <c r="E80" s="750">
        <f ca="1">Деятельность_УК!$L$475</f>
        <v>245319.41792874323</v>
      </c>
      <c r="F80" s="750">
        <f ca="1">Деятельность_УК!$P$475</f>
        <v>540958.05140466942</v>
      </c>
      <c r="G80" s="750">
        <f ca="1">Деятельность_УК!$T$475</f>
        <v>512938.84696135344</v>
      </c>
      <c r="H80" s="750">
        <f ca="1">Деятельность_УК!$X$475</f>
        <v>484919.64251803735</v>
      </c>
      <c r="I80" s="750">
        <f ca="1">Деятельность_УК!$AB$475</f>
        <v>456900.43807472137</v>
      </c>
      <c r="J80" s="750">
        <f ca="1">Деятельность_УК!$AF$475</f>
        <v>428881.23363140528</v>
      </c>
      <c r="K80" s="750">
        <f ca="1">Деятельность_УК!$AJ$475</f>
        <v>400862.02918808919</v>
      </c>
      <c r="L80" s="750">
        <f ca="1">Деятельность_УК!$AN$475</f>
        <v>372842.8247447731</v>
      </c>
      <c r="M80" s="751">
        <f ca="1">Деятельность_УК!$AR$475</f>
        <v>344823.62030145701</v>
      </c>
      <c r="N80" s="724"/>
    </row>
    <row r="81" spans="1:14" ht="11.25" customHeight="1" x14ac:dyDescent="0.2">
      <c r="A81" s="604"/>
      <c r="B81" s="653"/>
      <c r="C81" s="603"/>
      <c r="D81" s="709"/>
      <c r="E81" s="709"/>
      <c r="F81" s="709"/>
      <c r="G81" s="709"/>
      <c r="H81" s="709"/>
      <c r="I81" s="709"/>
      <c r="J81" s="709"/>
      <c r="K81" s="709"/>
      <c r="L81" s="709"/>
      <c r="M81" s="709"/>
      <c r="N81" s="724"/>
    </row>
    <row r="82" spans="1:14" ht="11.25" customHeight="1" x14ac:dyDescent="0.2">
      <c r="A82" s="754" t="str">
        <f>Деятельность_УК!$A$477</f>
        <v>Изменение цен в строительстве</v>
      </c>
      <c r="B82" s="756"/>
      <c r="C82" s="617" t="str">
        <f>Деятельность_УК!$C$477</f>
        <v>% в год</v>
      </c>
      <c r="D82" s="670">
        <f>IFERROR(AVERAGE(Деятельность_УК!$E$477:'Деятельность_УК'!$H$477),"0")</f>
        <v>0</v>
      </c>
      <c r="E82" s="670">
        <f>IFERROR(AVERAGE(Деятельность_УК!$I$477:'Деятельность_УК'!$L$477),"0")</f>
        <v>5.1271423484030576E-2</v>
      </c>
      <c r="F82" s="670">
        <f>IFERROR(AVERAGE(Деятельность_УК!$M$477:'Деятельность_УК'!$P$477),"0")</f>
        <v>5.0363387780470337E-2</v>
      </c>
      <c r="G82" s="670">
        <f>IFERROR(AVERAGE(Деятельность_УК!$Q$477:'Деятельность_УК'!$T$477),"0")</f>
        <v>4.9267330074872273E-2</v>
      </c>
      <c r="H82" s="670">
        <f>IFERROR(AVERAGE(Деятельность_УК!$U$477:'Деятельность_УК'!$X$477),"0")</f>
        <v>4.7273106547426114E-2</v>
      </c>
      <c r="I82" s="670">
        <f>IFERROR(AVERAGE(Деятельность_УК!$Y$477:'Деятельность_УК'!$AB$477),"0")</f>
        <v>4.5942308087647987E-2</v>
      </c>
      <c r="J82" s="670">
        <f>IFERROR(AVERAGE(Деятельность_УК!$AC$477:'Деятельность_УК'!$AF$477),"0")</f>
        <v>4.6084178846717894E-2</v>
      </c>
      <c r="K82" s="670">
        <f>IFERROR(AVERAGE(Деятельность_УК!$AG$477:'Деятельность_УК'!$AJ$477),"0")</f>
        <v>4.6049823800539347E-2</v>
      </c>
      <c r="L82" s="670">
        <f>IFERROR(AVERAGE(Деятельность_УК!$AK$477:'Деятельность_УК'!$AN$477),"0")</f>
        <v>4.6154378696228848E-2</v>
      </c>
      <c r="M82" s="671">
        <f>IFERROR(AVERAGE(Деятельность_УК!$AO$477:'Деятельность_УК'!$AR$477),"0")</f>
        <v>4.601469397743041E-2</v>
      </c>
      <c r="N82" s="721"/>
    </row>
    <row r="83" spans="1:14" ht="11.25" customHeight="1" x14ac:dyDescent="0.2">
      <c r="A83" s="604"/>
      <c r="B83" s="653"/>
      <c r="C83" s="603"/>
      <c r="D83" s="709"/>
      <c r="E83" s="709"/>
      <c r="F83" s="709"/>
      <c r="G83" s="709"/>
      <c r="H83" s="709"/>
      <c r="I83" s="709"/>
      <c r="J83" s="709"/>
      <c r="K83" s="709"/>
      <c r="L83" s="709"/>
      <c r="M83" s="709"/>
      <c r="N83" s="724"/>
    </row>
    <row r="84" spans="1:14" ht="11.25" customHeight="1" x14ac:dyDescent="0.2">
      <c r="A84" s="599"/>
      <c r="B84" s="599"/>
      <c r="C84" s="599"/>
      <c r="D84" s="599"/>
      <c r="E84" s="599"/>
      <c r="F84" s="599"/>
      <c r="G84" s="599"/>
      <c r="H84" s="599"/>
      <c r="I84" s="599"/>
      <c r="J84" s="599"/>
      <c r="K84" s="599"/>
      <c r="L84" s="599"/>
      <c r="M84" s="599"/>
      <c r="N84" s="682"/>
    </row>
    <row r="85" spans="1:14" ht="11.25" customHeight="1" x14ac:dyDescent="0.2">
      <c r="A85" s="633" t="str">
        <f>Деятельность_УК!$A$482</f>
        <v>Итого: Инвестиции в здания и инфраструктуру, с НДС</v>
      </c>
      <c r="B85" s="677"/>
      <c r="C85" s="778" t="str">
        <f>Деятельность_УК!$C$482</f>
        <v>тыс. руб.</v>
      </c>
      <c r="D85" s="780">
        <f ca="1">SUM(Деятельность_УК!$E$482:'Деятельность_УК'!$H$482)</f>
        <v>763839.5</v>
      </c>
      <c r="E85" s="780">
        <f ca="1">SUM(Деятельность_УК!$I$482:'Деятельность_УК'!$L$482)</f>
        <v>662570.41666974302</v>
      </c>
      <c r="F85" s="780">
        <f ca="1">SUM(Деятельность_УК!$M$482:'Деятельность_УК'!$P$482)</f>
        <v>2037414.5909947951</v>
      </c>
      <c r="G85" s="780">
        <f ca="1">SUM(Деятельность_УК!$Q$482:'Деятельность_УК'!$T$482)</f>
        <v>2810034.3594813468</v>
      </c>
      <c r="H85" s="780">
        <f ca="1">SUM(Деятельность_УК!$U$482:'Деятельность_УК'!$X$482)</f>
        <v>0</v>
      </c>
      <c r="I85" s="780">
        <f ca="1">SUM(Деятельность_УК!$Y$482:'Деятельность_УК'!$AB$482)</f>
        <v>0</v>
      </c>
      <c r="J85" s="780">
        <f ca="1">SUM(Деятельность_УК!$AC$482:'Деятельность_УК'!$AF$482)</f>
        <v>0</v>
      </c>
      <c r="K85" s="780">
        <f ca="1">SUM(Деятельность_УК!$AG$482:'Деятельность_УК'!$AJ$482)</f>
        <v>0</v>
      </c>
      <c r="L85" s="780">
        <f ca="1">SUM(Деятельность_УК!$AK$482:'Деятельность_УК'!$AN$482)</f>
        <v>0</v>
      </c>
      <c r="M85" s="780">
        <f ca="1">SUM(Деятельность_УК!$AO$482:'Деятельность_УК'!$AR$482)</f>
        <v>0</v>
      </c>
      <c r="N85" s="782">
        <f ca="1">Деятельность_УК!$AT$482</f>
        <v>6273858.8671458848</v>
      </c>
    </row>
    <row r="86" spans="1:14" ht="11.25" customHeight="1" x14ac:dyDescent="0.2">
      <c r="A86" s="636" t="str">
        <f>Деятельность_УК!$A$494</f>
        <v>выручка от продажи актива, без НДС</v>
      </c>
      <c r="B86" s="711"/>
      <c r="C86" s="717" t="str">
        <f>Деятельность_УК!$C$494</f>
        <v>тыс. руб.</v>
      </c>
      <c r="D86" s="712">
        <f ca="1">SUM(Деятельность_УК!$E$494:'Деятельность_УК'!$H$494)</f>
        <v>0</v>
      </c>
      <c r="E86" s="712">
        <f ca="1">SUM(Деятельность_УК!$I$494:'Деятельность_УК'!$L$494)</f>
        <v>0</v>
      </c>
      <c r="F86" s="712">
        <f ca="1">SUM(Деятельность_УК!$M$494:'Деятельность_УК'!$P$494)</f>
        <v>0</v>
      </c>
      <c r="G86" s="712">
        <f ca="1">SUM(Деятельность_УК!$Q$494:'Деятельность_УК'!$T$494)</f>
        <v>0</v>
      </c>
      <c r="H86" s="712">
        <f ca="1">SUM(Деятельность_УК!$U$494:'Деятельность_УК'!$X$494)</f>
        <v>0</v>
      </c>
      <c r="I86" s="712">
        <f ca="1">SUM(Деятельность_УК!$Y$494:'Деятельность_УК'!$AB$494)</f>
        <v>0</v>
      </c>
      <c r="J86" s="712">
        <f ca="1">SUM(Деятельность_УК!$AC$494:'Деятельность_УК'!$AF$494)</f>
        <v>0</v>
      </c>
      <c r="K86" s="712">
        <f ca="1">SUM(Деятельность_УК!$AG$494:'Деятельность_УК'!$AJ$494)</f>
        <v>0</v>
      </c>
      <c r="L86" s="712">
        <f ca="1">SUM(Деятельность_УК!$AK$494:'Деятельность_УК'!$AN$494)</f>
        <v>409429.66220429027</v>
      </c>
      <c r="M86" s="712">
        <f ca="1">SUM(Деятельность_УК!$AO$494:'Деятельность_УК'!$AR$494)</f>
        <v>6376700.9574672151</v>
      </c>
      <c r="N86" s="746">
        <f ca="1">Деятельность_УК!$AT$494</f>
        <v>6786130.6196715049</v>
      </c>
    </row>
    <row r="87" spans="1:14" ht="11.25" customHeight="1" x14ac:dyDescent="0.2">
      <c r="A87" s="637" t="str">
        <f>Деятельность_УК!$A$495</f>
        <v>прибыль/убыток от продажи актива (бухгалтерская)</v>
      </c>
      <c r="B87" s="711"/>
      <c r="C87" s="664" t="str">
        <f>Деятельность_УК!$C$495</f>
        <v>тыс. руб.</v>
      </c>
      <c r="D87" s="713">
        <f ca="1">SUM(Деятельность_УК!$E$495:'Деятельность_УК'!$H$495)</f>
        <v>0</v>
      </c>
      <c r="E87" s="713">
        <f ca="1">SUM(Деятельность_УК!$I$495:'Деятельность_УК'!$L$495)</f>
        <v>0</v>
      </c>
      <c r="F87" s="713">
        <f ca="1">SUM(Деятельность_УК!$M$495:'Деятельность_УК'!$P$495)</f>
        <v>0</v>
      </c>
      <c r="G87" s="713">
        <f ca="1">SUM(Деятельность_УК!$Q$495:'Деятельность_УК'!$T$495)</f>
        <v>0</v>
      </c>
      <c r="H87" s="713">
        <f ca="1">SUM(Деятельность_УК!$U$495:'Деятельность_УК'!$X$495)</f>
        <v>0</v>
      </c>
      <c r="I87" s="713">
        <f ca="1">SUM(Деятельность_УК!$Y$495:'Деятельность_УК'!$AB$495)</f>
        <v>0</v>
      </c>
      <c r="J87" s="713">
        <f ca="1">SUM(Деятельность_УК!$AC$495:'Деятельность_УК'!$AF$495)</f>
        <v>0</v>
      </c>
      <c r="K87" s="713">
        <f ca="1">SUM(Деятельность_УК!$AG$495:'Деятельность_УК'!$AJ$495)</f>
        <v>0</v>
      </c>
      <c r="L87" s="713">
        <f ca="1">SUM(Деятельность_УК!$AK$495:'Деятельность_УК'!$AN$495)</f>
        <v>193116.10323617514</v>
      </c>
      <c r="M87" s="713">
        <f ca="1">SUM(Деятельность_УК!$AO$495:'Деятельность_УК'!$AR$495)</f>
        <v>4083461.0032267226</v>
      </c>
      <c r="N87" s="744">
        <f ca="1">Деятельность_УК!$AT$495</f>
        <v>4276577.1064628977</v>
      </c>
    </row>
    <row r="88" spans="1:14" ht="11.25" customHeight="1" x14ac:dyDescent="0.2">
      <c r="A88" s="637" t="str">
        <f>Деятельность_УК!$A$496</f>
        <v>НДС к выручке от продажи актива</v>
      </c>
      <c r="B88" s="711"/>
      <c r="C88" s="664" t="str">
        <f>Деятельность_УК!$C$496</f>
        <v>тыс. руб.</v>
      </c>
      <c r="D88" s="713">
        <f ca="1">SUM(Деятельность_УК!$E$496:'Деятельность_УК'!$H$496)</f>
        <v>0</v>
      </c>
      <c r="E88" s="713">
        <f ca="1">SUM(Деятельность_УК!$I$496:'Деятельность_УК'!$L$496)</f>
        <v>0</v>
      </c>
      <c r="F88" s="713">
        <f ca="1">SUM(Деятельность_УК!$M$496:'Деятельность_УК'!$P$496)</f>
        <v>0</v>
      </c>
      <c r="G88" s="713">
        <f ca="1">SUM(Деятельность_УК!$Q$496:'Деятельность_УК'!$T$496)</f>
        <v>0</v>
      </c>
      <c r="H88" s="713">
        <f ca="1">SUM(Деятельность_УК!$U$496:'Деятельность_УК'!$X$496)</f>
        <v>0</v>
      </c>
      <c r="I88" s="713">
        <f ca="1">SUM(Деятельность_УК!$Y$496:'Деятельность_УК'!$AB$496)</f>
        <v>0</v>
      </c>
      <c r="J88" s="713">
        <f ca="1">SUM(Деятельность_УК!$AC$496:'Деятельность_УК'!$AF$496)</f>
        <v>0</v>
      </c>
      <c r="K88" s="713">
        <f ca="1">SUM(Деятельность_УК!$AG$496:'Деятельность_УК'!$AJ$496)</f>
        <v>0</v>
      </c>
      <c r="L88" s="713">
        <f ca="1">SUM(Деятельность_УК!$AK$496:'Деятельность_УК'!$AN$496)</f>
        <v>81885.932440858058</v>
      </c>
      <c r="M88" s="713">
        <f ca="1">SUM(Деятельность_УК!$AO$496:'Деятельность_УК'!$AR$496)</f>
        <v>1275340.1914934432</v>
      </c>
      <c r="N88" s="744">
        <f ca="1">Деятельность_УК!$AT$496</f>
        <v>1357226.1239343013</v>
      </c>
    </row>
    <row r="89" spans="1:14" ht="11.25" customHeight="1" x14ac:dyDescent="0.2">
      <c r="A89" s="398"/>
      <c r="B89" s="599"/>
      <c r="C89" s="399"/>
      <c r="D89" s="651"/>
      <c r="E89" s="651"/>
      <c r="F89" s="651"/>
      <c r="G89" s="651"/>
      <c r="H89" s="651"/>
      <c r="I89" s="651"/>
      <c r="J89" s="651"/>
      <c r="K89" s="651"/>
      <c r="L89" s="651"/>
      <c r="M89" s="651"/>
      <c r="N89" s="652"/>
    </row>
    <row r="90" spans="1:14" ht="11.25" customHeight="1" x14ac:dyDescent="0.2">
      <c r="A90" s="632" t="str">
        <f>Деятельность_УК!$A$498</f>
        <v>Итого инвестиции, с НДС и пошлинами</v>
      </c>
      <c r="B90" s="711"/>
      <c r="C90" s="717" t="str">
        <f>Деятельность_УК!$C$498</f>
        <v>тыс. руб.</v>
      </c>
      <c r="D90" s="779">
        <f ca="1">SUM(Деятельность_УК!$E$498:'Деятельность_УК'!$H$498)</f>
        <v>763839.5</v>
      </c>
      <c r="E90" s="779">
        <f ca="1">SUM(Деятельность_УК!$I$498:'Деятельность_УК'!$L$498)</f>
        <v>662570.41666974302</v>
      </c>
      <c r="F90" s="779">
        <f ca="1">SUM(Деятельность_УК!$M$498:'Деятельность_УК'!$P$498)</f>
        <v>2037414.5909947951</v>
      </c>
      <c r="G90" s="779">
        <f ca="1">SUM(Деятельность_УК!$Q$498:'Деятельность_УК'!$T$498)</f>
        <v>2810034.3594813468</v>
      </c>
      <c r="H90" s="779">
        <f ca="1">SUM(Деятельность_УК!$U$498:'Деятельность_УК'!$X$498)</f>
        <v>0</v>
      </c>
      <c r="I90" s="779">
        <f ca="1">SUM(Деятельность_УК!$Y$498:'Деятельность_УК'!$AB$498)</f>
        <v>0</v>
      </c>
      <c r="J90" s="779">
        <f ca="1">SUM(Деятельность_УК!$AC$498:'Деятельность_УК'!$AF$498)</f>
        <v>0</v>
      </c>
      <c r="K90" s="779">
        <f ca="1">SUM(Деятельность_УК!$AG$498:'Деятельность_УК'!$AJ$498)</f>
        <v>0</v>
      </c>
      <c r="L90" s="779">
        <f ca="1">SUM(Деятельность_УК!$AK$498:'Деятельность_УК'!$AN$498)</f>
        <v>0</v>
      </c>
      <c r="M90" s="779">
        <f ca="1">SUM(Деятельность_УК!$AO$498:'Деятельность_УК'!$AR$498)</f>
        <v>0</v>
      </c>
      <c r="N90" s="801">
        <f ca="1">Деятельность_УК!$AT$498</f>
        <v>6273858.8671458848</v>
      </c>
    </row>
    <row r="91" spans="1:14" ht="11.25" customHeight="1" x14ac:dyDescent="0.2">
      <c r="A91" s="800" t="str">
        <f>Деятельность_УК!$A$499</f>
        <v>в том числе капвложения, с НДС и пошлинами</v>
      </c>
      <c r="B91" s="711"/>
      <c r="C91" s="664" t="str">
        <f>Деятельность_УК!$C$499</f>
        <v>тыс. руб.</v>
      </c>
      <c r="D91" s="780">
        <f ca="1">SUM(Деятельность_УК!$E$499:'Деятельность_УК'!$H$499)</f>
        <v>763839.5</v>
      </c>
      <c r="E91" s="780">
        <f ca="1">SUM(Деятельность_УК!$I$499:'Деятельность_УК'!$L$499)</f>
        <v>662570.41666974302</v>
      </c>
      <c r="F91" s="780">
        <f ca="1">SUM(Деятельность_УК!$M$499:'Деятельность_УК'!$P$499)</f>
        <v>2037414.5909947951</v>
      </c>
      <c r="G91" s="780">
        <f ca="1">SUM(Деятельность_УК!$Q$499:'Деятельность_УК'!$T$499)</f>
        <v>2810034.3594813468</v>
      </c>
      <c r="H91" s="780">
        <f ca="1">SUM(Деятельность_УК!$U$499:'Деятельность_УК'!$X$499)</f>
        <v>0</v>
      </c>
      <c r="I91" s="780">
        <f ca="1">SUM(Деятельность_УК!$Y$499:'Деятельность_УК'!$AB$499)</f>
        <v>0</v>
      </c>
      <c r="J91" s="780">
        <f ca="1">SUM(Деятельность_УК!$AC$499:'Деятельность_УК'!$AF$499)</f>
        <v>0</v>
      </c>
      <c r="K91" s="780">
        <f ca="1">SUM(Деятельность_УК!$AG$499:'Деятельность_УК'!$AJ$499)</f>
        <v>0</v>
      </c>
      <c r="L91" s="780">
        <f ca="1">SUM(Деятельность_УК!$AK$499:'Деятельность_УК'!$AN$499)</f>
        <v>0</v>
      </c>
      <c r="M91" s="780">
        <f ca="1">SUM(Деятельность_УК!$AO$499:'Деятельность_УК'!$AR$499)</f>
        <v>0</v>
      </c>
      <c r="N91" s="782">
        <f ca="1">Деятельность_УК!$AT$499</f>
        <v>6273858.8671458848</v>
      </c>
    </row>
    <row r="92" spans="1:14" ht="11.25" customHeight="1" x14ac:dyDescent="0.2">
      <c r="A92" s="637" t="str">
        <f>Деятельность_УК!$A$501</f>
        <v>в том числе НДС по капвложениям</v>
      </c>
      <c r="B92" s="711"/>
      <c r="C92" s="664" t="str">
        <f>Деятельность_УК!$C$501</f>
        <v>тыс. руб.</v>
      </c>
      <c r="D92" s="713">
        <f ca="1">SUM(Деятельность_УК!$E$501:'Деятельность_УК'!$H$501)</f>
        <v>127306.58333333334</v>
      </c>
      <c r="E92" s="713">
        <f ca="1">SUM(Деятельность_УК!$I$501:'Деятельность_УК'!$L$501)</f>
        <v>110428.4027782905</v>
      </c>
      <c r="F92" s="713">
        <f ca="1">SUM(Деятельность_УК!$M$501:'Деятельность_УК'!$P$501)</f>
        <v>339569.09849913249</v>
      </c>
      <c r="G92" s="713">
        <f ca="1">SUM(Деятельность_УК!$Q$501:'Деятельность_УК'!$T$501)</f>
        <v>468339.05991355778</v>
      </c>
      <c r="H92" s="713">
        <f ca="1">SUM(Деятельность_УК!$U$501:'Деятельность_УК'!$X$501)</f>
        <v>0</v>
      </c>
      <c r="I92" s="713">
        <f ca="1">SUM(Деятельность_УК!$Y$501:'Деятельность_УК'!$AB$501)</f>
        <v>0</v>
      </c>
      <c r="J92" s="713">
        <f ca="1">SUM(Деятельность_УК!$AC$501:'Деятельность_УК'!$AF$501)</f>
        <v>0</v>
      </c>
      <c r="K92" s="713">
        <f ca="1">SUM(Деятельность_УК!$AG$501:'Деятельность_УК'!$AJ$501)</f>
        <v>0</v>
      </c>
      <c r="L92" s="713">
        <f ca="1">SUM(Деятельность_УК!$AK$501:'Деятельность_УК'!$AN$501)</f>
        <v>0</v>
      </c>
      <c r="M92" s="713">
        <f ca="1">SUM(Деятельность_УК!$AO$501:'Деятельность_УК'!$AR$501)</f>
        <v>0</v>
      </c>
      <c r="N92" s="744">
        <f ca="1">Деятельность_УК!$AT$501</f>
        <v>1045643.1445243141</v>
      </c>
    </row>
    <row r="93" spans="1:14" ht="11.25" customHeight="1" x14ac:dyDescent="0.2">
      <c r="A93" s="414"/>
      <c r="B93" s="599"/>
      <c r="C93" s="399"/>
      <c r="D93" s="651"/>
      <c r="E93" s="651"/>
      <c r="F93" s="651"/>
      <c r="G93" s="651"/>
      <c r="H93" s="651"/>
      <c r="I93" s="651"/>
      <c r="J93" s="651"/>
      <c r="K93" s="651"/>
      <c r="L93" s="651"/>
      <c r="M93" s="651"/>
      <c r="N93" s="652"/>
    </row>
    <row r="94" spans="1:14" ht="11.25" customHeight="1" x14ac:dyDescent="0.2">
      <c r="A94" s="599"/>
      <c r="B94" s="599"/>
      <c r="C94" s="599"/>
      <c r="D94" s="599"/>
      <c r="E94" s="599"/>
      <c r="F94" s="599"/>
      <c r="G94" s="599"/>
      <c r="H94" s="599"/>
      <c r="I94" s="599"/>
      <c r="J94" s="599"/>
      <c r="K94" s="599"/>
      <c r="L94" s="599"/>
      <c r="M94" s="599"/>
      <c r="N94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8&amp;R&amp;"Arial,полужирный"&amp;10Проект создания ИП «Бугры» на территории Ленинградской области. Управляющая компания.
&amp;C&amp;"Arial,полужирный"&amp;13
КАПВЛОЖЕНИЯ И ОПЕРАЦИИ С АКТИВАМИ</oddHeader>
    <oddFooter>&amp;R&amp;P</oddFooter>
  </headerFooter>
  <rowBreaks count="2" manualBreakCount="2"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7"/>
  <dimension ref="A2:AY458"/>
  <sheetViews>
    <sheetView topLeftCell="A146" workbookViewId="0">
      <selection activeCell="I172" sqref="I172"/>
    </sheetView>
  </sheetViews>
  <sheetFormatPr defaultRowHeight="11.25" x14ac:dyDescent="0.2"/>
  <cols>
    <col min="1" max="1" width="9.140625" style="1"/>
    <col min="2" max="2" width="47.140625" style="273" customWidth="1"/>
    <col min="3" max="3" width="14.140625" style="1" customWidth="1"/>
    <col min="4" max="4" width="12.42578125" style="1" customWidth="1"/>
    <col min="5" max="5" width="9.42578125" style="1" bestFit="1" customWidth="1"/>
    <col min="6" max="6" width="11" style="1" customWidth="1"/>
    <col min="7" max="7" width="10.140625" style="1" bestFit="1" customWidth="1"/>
    <col min="8" max="10" width="9.42578125" style="1" bestFit="1" customWidth="1"/>
    <col min="11" max="11" width="9.85546875" style="1" customWidth="1"/>
    <col min="12" max="43" width="9.42578125" style="1" bestFit="1" customWidth="1"/>
    <col min="44" max="16384" width="9.140625" style="1"/>
  </cols>
  <sheetData>
    <row r="2" spans="2:23" ht="12" thickBot="1" x14ac:dyDescent="0.25"/>
    <row r="3" spans="2:23" ht="23.25" customHeight="1" thickBot="1" x14ac:dyDescent="0.25">
      <c r="B3" s="476" t="s">
        <v>634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</row>
    <row r="4" spans="2:23" x14ac:dyDescent="0.2">
      <c r="B4" s="252"/>
    </row>
    <row r="5" spans="2:23" x14ac:dyDescent="0.2">
      <c r="B5" s="252"/>
    </row>
    <row r="6" spans="2:23" x14ac:dyDescent="0.2">
      <c r="D6" s="51">
        <v>2020</v>
      </c>
      <c r="E6" s="51">
        <v>2021</v>
      </c>
      <c r="F6" s="51">
        <v>2022</v>
      </c>
      <c r="G6" s="51">
        <v>2023</v>
      </c>
      <c r="H6" s="51">
        <v>2024</v>
      </c>
      <c r="I6" s="51">
        <v>2025</v>
      </c>
      <c r="J6" s="51">
        <v>2026</v>
      </c>
      <c r="K6" s="51">
        <v>2027</v>
      </c>
      <c r="L6" s="51">
        <v>2028</v>
      </c>
      <c r="M6" s="51">
        <v>2029</v>
      </c>
      <c r="N6" s="51">
        <v>2030</v>
      </c>
      <c r="O6" s="51">
        <v>2031</v>
      </c>
      <c r="P6" s="51">
        <v>2032</v>
      </c>
      <c r="Q6" s="51">
        <v>2033</v>
      </c>
      <c r="R6" s="51">
        <v>2034</v>
      </c>
      <c r="S6" s="51">
        <v>2035</v>
      </c>
      <c r="T6" s="51">
        <v>2036</v>
      </c>
    </row>
    <row r="7" spans="2:23" x14ac:dyDescent="0.2">
      <c r="B7" s="251" t="s">
        <v>443</v>
      </c>
      <c r="D7" s="502">
        <v>1</v>
      </c>
      <c r="E7" s="502">
        <v>1.0401121287538824</v>
      </c>
      <c r="F7" s="502">
        <v>1.0399513515174199</v>
      </c>
      <c r="G7" s="502">
        <v>1.0397992743489628</v>
      </c>
      <c r="H7" s="502">
        <v>1.0398896610868396</v>
      </c>
      <c r="I7" s="502">
        <v>1.03992</v>
      </c>
      <c r="J7" s="502">
        <v>1.0398699999999999</v>
      </c>
      <c r="K7" s="502">
        <v>1.03975</v>
      </c>
      <c r="L7" s="502">
        <v>1.0396299999999998</v>
      </c>
      <c r="M7" s="502">
        <v>1.03955</v>
      </c>
      <c r="N7" s="502">
        <v>1.0395099999999999</v>
      </c>
      <c r="O7" s="502">
        <v>1.03955</v>
      </c>
      <c r="P7" s="502">
        <v>1.0396399999999999</v>
      </c>
      <c r="Q7" s="502">
        <v>1.0397000000000001</v>
      </c>
      <c r="R7" s="502">
        <v>1.03982</v>
      </c>
      <c r="S7" s="502">
        <v>1.03993</v>
      </c>
      <c r="T7" s="502">
        <v>1.0400100000000001</v>
      </c>
    </row>
    <row r="8" spans="2:23" x14ac:dyDescent="0.2">
      <c r="B8" s="251" t="s">
        <v>559</v>
      </c>
      <c r="C8" s="41"/>
      <c r="D8" s="502">
        <v>1</v>
      </c>
      <c r="E8" s="503">
        <v>1.0381728385599129</v>
      </c>
      <c r="F8" s="503">
        <v>1.0453480492359275</v>
      </c>
      <c r="G8" s="503">
        <v>1.0462065173415875</v>
      </c>
      <c r="H8" s="503">
        <v>1.0473724073986397</v>
      </c>
      <c r="I8" s="503">
        <v>1.0448294523811674</v>
      </c>
      <c r="J8" s="503">
        <v>1.0443911259697014</v>
      </c>
      <c r="K8" s="503">
        <v>1.044593580638014</v>
      </c>
      <c r="L8" s="503">
        <v>1.0459158733636227</v>
      </c>
      <c r="M8" s="503">
        <v>1.0459622564082931</v>
      </c>
      <c r="N8" s="503">
        <v>1.0460816021014325</v>
      </c>
      <c r="O8" s="503">
        <v>1.0452060937550258</v>
      </c>
      <c r="P8" s="503">
        <v>1.0446617599479044</v>
      </c>
      <c r="Q8" s="503">
        <v>1.0441502521412609</v>
      </c>
      <c r="R8" s="503">
        <v>1.043726203961415</v>
      </c>
      <c r="S8" s="503">
        <v>1.0432914554053905</v>
      </c>
      <c r="T8" s="503">
        <v>1.0422976065023095</v>
      </c>
    </row>
    <row r="9" spans="2:23" x14ac:dyDescent="0.2">
      <c r="B9" s="251" t="s">
        <v>560</v>
      </c>
      <c r="C9" s="271"/>
      <c r="D9" s="502">
        <v>1</v>
      </c>
      <c r="E9" s="503">
        <v>1.0403368576059584</v>
      </c>
      <c r="F9" s="503">
        <v>1.0403322135180431</v>
      </c>
      <c r="G9" s="503">
        <v>1.0393143203785025</v>
      </c>
      <c r="H9" s="503">
        <v>1.0394599881514883</v>
      </c>
      <c r="I9" s="503">
        <v>1.0395001512020148</v>
      </c>
      <c r="J9" s="503">
        <v>1.0395227156447988</v>
      </c>
      <c r="K9" s="503">
        <v>1.0394883365246994</v>
      </c>
      <c r="L9" s="503">
        <v>1.0394093164594107</v>
      </c>
      <c r="M9" s="502">
        <v>1.0393302339662172</v>
      </c>
      <c r="N9" s="502">
        <v>1.0392721974118773</v>
      </c>
      <c r="O9" s="502">
        <v>1.0392487234687549</v>
      </c>
      <c r="P9" s="502">
        <v>1.0392789574585781</v>
      </c>
      <c r="Q9" s="502">
        <v>1.0393327422549312</v>
      </c>
      <c r="R9" s="502">
        <v>1.039376771018077</v>
      </c>
      <c r="S9" s="502">
        <v>1.0394531213762719</v>
      </c>
      <c r="T9" s="502">
        <v>1.0394531213762719</v>
      </c>
    </row>
    <row r="10" spans="2:23" ht="22.5" x14ac:dyDescent="0.2">
      <c r="B10" s="251" t="s">
        <v>561</v>
      </c>
      <c r="C10" s="268"/>
      <c r="D10" s="502">
        <v>1</v>
      </c>
      <c r="E10" s="503">
        <v>1.0404408026602701</v>
      </c>
      <c r="F10" s="503">
        <v>1.0404417910930088</v>
      </c>
      <c r="G10" s="503">
        <v>1.0397920103999998</v>
      </c>
      <c r="H10" s="503">
        <v>1.0404675415648361</v>
      </c>
      <c r="I10" s="503">
        <v>1.0399238906632526</v>
      </c>
      <c r="J10" s="503">
        <v>1.0398717385791207</v>
      </c>
      <c r="K10" s="503">
        <v>1.0397518675329411</v>
      </c>
      <c r="L10" s="503">
        <v>1.0396319017855207</v>
      </c>
      <c r="M10" s="502">
        <v>1.0395438620900335</v>
      </c>
      <c r="N10" s="502">
        <v>1.0395082528291482</v>
      </c>
      <c r="O10" s="502">
        <v>1.0395541168761731</v>
      </c>
      <c r="P10" s="502">
        <v>1.0396357067835444</v>
      </c>
      <c r="Q10" s="502">
        <v>1.0397024970839699</v>
      </c>
      <c r="R10" s="502">
        <v>1.0398183182653318</v>
      </c>
      <c r="S10" s="502">
        <v>1.0399339791253144</v>
      </c>
      <c r="T10" s="502">
        <v>1.0399339791253144</v>
      </c>
    </row>
    <row r="11" spans="2:23" x14ac:dyDescent="0.2">
      <c r="B11" s="504" t="s">
        <v>562</v>
      </c>
      <c r="C11" s="276"/>
      <c r="D11" s="502">
        <v>1</v>
      </c>
      <c r="E11" s="503">
        <v>1.0423771168266787</v>
      </c>
      <c r="F11" s="503">
        <v>1.043200551547204</v>
      </c>
      <c r="G11" s="503">
        <v>1.0439009218542079</v>
      </c>
      <c r="H11" s="503">
        <v>1.0443006462723063</v>
      </c>
      <c r="I11" s="503">
        <v>1.0433006462723065</v>
      </c>
      <c r="J11" s="503">
        <v>1.0423006462723066</v>
      </c>
      <c r="K11" s="503">
        <v>1.0413006462723065</v>
      </c>
      <c r="L11" s="503">
        <v>1.0403006462723066</v>
      </c>
      <c r="M11" s="503">
        <v>1.0403006462723066</v>
      </c>
      <c r="N11" s="503">
        <v>1.0403006462723066</v>
      </c>
      <c r="O11" s="503">
        <v>1.0403006462723066</v>
      </c>
      <c r="P11" s="503">
        <v>1.0403006462723066</v>
      </c>
      <c r="Q11" s="503">
        <v>1.0403006462723066</v>
      </c>
      <c r="R11" s="503">
        <v>1.0403006462723066</v>
      </c>
      <c r="S11" s="503">
        <v>1.0403006462723066</v>
      </c>
      <c r="T11" s="503">
        <v>1.0403006462723066</v>
      </c>
    </row>
    <row r="12" spans="2:23" x14ac:dyDescent="0.2">
      <c r="B12" s="251" t="s">
        <v>563</v>
      </c>
      <c r="C12" s="41"/>
      <c r="D12" s="502">
        <v>1</v>
      </c>
      <c r="E12" s="503">
        <v>1.0656369408568371</v>
      </c>
      <c r="F12" s="503">
        <v>1.0691642584809147</v>
      </c>
      <c r="G12" s="503">
        <v>1.068270657176112</v>
      </c>
      <c r="H12" s="503">
        <v>1.0695939922755762</v>
      </c>
      <c r="I12" s="503">
        <v>1.0687175495967589</v>
      </c>
      <c r="J12" s="503">
        <v>1.0680285049713865</v>
      </c>
      <c r="K12" s="503">
        <v>1.0677504173486627</v>
      </c>
      <c r="L12" s="503">
        <v>1.0671742823731218</v>
      </c>
      <c r="M12" s="502">
        <v>1.0666237743584208</v>
      </c>
      <c r="N12" s="502">
        <v>1.0668588404028787</v>
      </c>
      <c r="O12" s="502">
        <v>1.0666519446000378</v>
      </c>
      <c r="P12" s="502">
        <v>1.0664179285023676</v>
      </c>
      <c r="Q12" s="502">
        <v>1.0663794600225469</v>
      </c>
      <c r="R12" s="502">
        <v>1.066408873958705</v>
      </c>
      <c r="S12" s="502">
        <v>1.0665285432563814</v>
      </c>
      <c r="T12" s="502">
        <v>1.0667951764451826</v>
      </c>
    </row>
    <row r="13" spans="2:23" x14ac:dyDescent="0.2">
      <c r="B13" s="251" t="s">
        <v>564</v>
      </c>
      <c r="C13" s="41"/>
      <c r="D13" s="502">
        <v>1</v>
      </c>
      <c r="E13" s="503">
        <v>1.0512714234840306</v>
      </c>
      <c r="F13" s="503">
        <v>1.0503633877804703</v>
      </c>
      <c r="G13" s="503">
        <v>1.0492673300748723</v>
      </c>
      <c r="H13" s="503">
        <v>1.0472731065474261</v>
      </c>
      <c r="I13" s="503">
        <v>1.045942308087648</v>
      </c>
      <c r="J13" s="503">
        <v>1.0460841788467179</v>
      </c>
      <c r="K13" s="503">
        <v>1.0460498238005393</v>
      </c>
      <c r="L13" s="503">
        <v>1.0461543786962288</v>
      </c>
      <c r="M13" s="503">
        <v>1.0460146939774304</v>
      </c>
      <c r="N13" s="503">
        <v>1.0465545624062254</v>
      </c>
      <c r="O13" s="503">
        <v>1.0451334550401226</v>
      </c>
      <c r="P13" s="503">
        <v>1.0448145091589476</v>
      </c>
      <c r="Q13" s="503">
        <v>1.0436301700416994</v>
      </c>
      <c r="R13" s="503">
        <v>1.042258269089634</v>
      </c>
      <c r="S13" s="503">
        <v>1.0410743463259815</v>
      </c>
      <c r="T13" s="503">
        <v>1.0405223722631891</v>
      </c>
    </row>
    <row r="14" spans="2:23" x14ac:dyDescent="0.2">
      <c r="B14" s="505"/>
      <c r="C14" s="277"/>
      <c r="D14" s="278"/>
      <c r="E14" s="271"/>
      <c r="F14" s="271"/>
      <c r="G14" s="271"/>
      <c r="H14" s="271"/>
      <c r="I14" s="271"/>
      <c r="J14" s="271"/>
      <c r="K14" s="271"/>
      <c r="L14" s="271"/>
      <c r="M14" s="271"/>
      <c r="N14" s="41"/>
    </row>
    <row r="15" spans="2:23" x14ac:dyDescent="0.2">
      <c r="B15" s="506" t="s">
        <v>565</v>
      </c>
      <c r="C15" s="277"/>
      <c r="D15" s="278"/>
      <c r="E15" s="271"/>
      <c r="F15" s="271"/>
      <c r="G15" s="271"/>
      <c r="H15" s="271"/>
      <c r="I15" s="271"/>
      <c r="J15" s="271"/>
      <c r="K15" s="271"/>
      <c r="L15" s="271"/>
      <c r="M15" s="271"/>
      <c r="N15" s="41"/>
    </row>
    <row r="16" spans="2:23" x14ac:dyDescent="0.2">
      <c r="B16" s="506" t="s">
        <v>566</v>
      </c>
      <c r="C16" s="277"/>
      <c r="D16" s="278"/>
      <c r="E16" s="271"/>
      <c r="F16" s="271"/>
      <c r="G16" s="271"/>
      <c r="H16" s="271"/>
      <c r="I16" s="271"/>
      <c r="J16" s="271"/>
      <c r="K16" s="271"/>
      <c r="L16" s="271"/>
      <c r="M16" s="271"/>
      <c r="N16" s="41"/>
    </row>
    <row r="17" spans="2:23" x14ac:dyDescent="0.2">
      <c r="B17" s="506" t="s">
        <v>841</v>
      </c>
      <c r="C17" s="277"/>
      <c r="D17" s="278"/>
      <c r="E17" s="271"/>
      <c r="F17" s="271"/>
      <c r="G17" s="271"/>
      <c r="H17" s="271"/>
      <c r="I17" s="271"/>
      <c r="J17" s="271"/>
      <c r="K17" s="271"/>
      <c r="L17" s="271"/>
      <c r="M17" s="271"/>
      <c r="N17" s="41"/>
    </row>
    <row r="18" spans="2:23" x14ac:dyDescent="0.2">
      <c r="B18" s="506"/>
      <c r="C18" s="277"/>
      <c r="D18" s="278"/>
      <c r="E18" s="271"/>
      <c r="F18" s="271"/>
      <c r="G18" s="271"/>
      <c r="H18" s="271"/>
      <c r="I18" s="271"/>
      <c r="J18" s="271"/>
      <c r="K18" s="271"/>
      <c r="L18" s="271"/>
      <c r="M18" s="271"/>
      <c r="N18" s="41"/>
    </row>
    <row r="19" spans="2:23" x14ac:dyDescent="0.2">
      <c r="B19" s="273" t="s">
        <v>635</v>
      </c>
      <c r="C19" s="433">
        <v>1.4999999999999999E-2</v>
      </c>
      <c r="D19" s="278"/>
      <c r="E19" s="271"/>
      <c r="F19" s="271"/>
      <c r="G19" s="271"/>
      <c r="H19" s="271"/>
      <c r="I19" s="271"/>
      <c r="J19" s="271"/>
      <c r="K19" s="271"/>
      <c r="L19" s="271"/>
      <c r="M19" s="271"/>
      <c r="N19" s="41"/>
    </row>
    <row r="20" spans="2:23" x14ac:dyDescent="0.2">
      <c r="B20" s="273" t="s">
        <v>636</v>
      </c>
      <c r="C20" s="433">
        <v>6.0000000000000001E-3</v>
      </c>
      <c r="D20" s="278" t="s">
        <v>637</v>
      </c>
      <c r="E20" s="271"/>
      <c r="F20" s="271"/>
      <c r="G20" s="271"/>
      <c r="H20" s="271"/>
      <c r="I20" s="271"/>
      <c r="J20" s="271"/>
      <c r="K20" s="271"/>
      <c r="L20" s="271"/>
      <c r="M20" s="271"/>
      <c r="N20" s="41"/>
    </row>
    <row r="21" spans="2:23" x14ac:dyDescent="0.2">
      <c r="B21" s="57" t="s">
        <v>640</v>
      </c>
      <c r="C21" s="507">
        <v>78.5</v>
      </c>
      <c r="D21" s="278"/>
      <c r="E21" s="271"/>
      <c r="F21" s="271"/>
      <c r="G21" s="271"/>
      <c r="H21" s="271"/>
      <c r="I21" s="271"/>
      <c r="J21" s="271"/>
      <c r="K21" s="271"/>
      <c r="L21" s="271"/>
      <c r="M21" s="271"/>
      <c r="N21" s="41"/>
    </row>
    <row r="22" spans="2:23" x14ac:dyDescent="0.2">
      <c r="B22" s="57" t="s">
        <v>641</v>
      </c>
      <c r="C22" s="507">
        <v>92.4</v>
      </c>
      <c r="D22" s="278"/>
      <c r="E22" s="271"/>
      <c r="F22" s="271"/>
      <c r="G22" s="271"/>
      <c r="H22" s="271"/>
      <c r="I22" s="271"/>
      <c r="J22" s="271"/>
      <c r="K22" s="271"/>
      <c r="L22" s="271"/>
      <c r="M22" s="271"/>
      <c r="N22" s="41"/>
    </row>
    <row r="23" spans="2:23" x14ac:dyDescent="0.2">
      <c r="B23" s="506"/>
      <c r="C23" s="277"/>
      <c r="D23" s="278"/>
      <c r="E23" s="271"/>
      <c r="F23" s="271"/>
      <c r="G23" s="271"/>
      <c r="H23" s="271"/>
      <c r="I23" s="271"/>
      <c r="J23" s="271"/>
      <c r="K23" s="271"/>
      <c r="L23" s="271"/>
      <c r="M23" s="271"/>
      <c r="N23" s="41"/>
    </row>
    <row r="24" spans="2:23" ht="12" thickBot="1" x14ac:dyDescent="0.25">
      <c r="B24" s="252"/>
    </row>
    <row r="25" spans="2:23" ht="23.25" customHeight="1" thickBot="1" x14ac:dyDescent="0.25">
      <c r="B25" s="476" t="s">
        <v>567</v>
      </c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</row>
    <row r="26" spans="2:23" x14ac:dyDescent="0.2">
      <c r="B26" s="252"/>
    </row>
    <row r="27" spans="2:23" x14ac:dyDescent="0.2">
      <c r="B27" s="252"/>
    </row>
    <row r="28" spans="2:23" x14ac:dyDescent="0.2">
      <c r="B28" s="273" t="s">
        <v>799</v>
      </c>
      <c r="C28" s="513">
        <f>698610.8/542682*C30*10000</f>
        <v>349510.08546441566</v>
      </c>
      <c r="D28" s="96" t="str">
        <f>"в расчете на площадь парка " &amp; C30 &amp; " га"</f>
        <v>в расчете на площадь парка 27,15 га</v>
      </c>
    </row>
    <row r="29" spans="2:23" x14ac:dyDescent="0.2">
      <c r="B29" s="273" t="s">
        <v>811</v>
      </c>
      <c r="C29" s="513">
        <f>85422/542682*C30*10000</f>
        <v>42736.027728946232</v>
      </c>
      <c r="D29" s="96" t="str">
        <f>"в расчете на площадь парка " &amp; C30 &amp; " га"</f>
        <v>в расчете на площадь парка 27,15 га</v>
      </c>
    </row>
    <row r="30" spans="2:23" x14ac:dyDescent="0.2">
      <c r="B30" s="273" t="s">
        <v>611</v>
      </c>
      <c r="C30" s="564">
        <v>27.15</v>
      </c>
      <c r="D30" s="514"/>
    </row>
    <row r="31" spans="2:23" x14ac:dyDescent="0.2">
      <c r="B31" s="251" t="s">
        <v>633</v>
      </c>
      <c r="C31" s="507">
        <f>(50898-23879+4042-2042)/10000</f>
        <v>2.9018999999999999</v>
      </c>
      <c r="D31" s="1" t="s">
        <v>742</v>
      </c>
    </row>
    <row r="33" spans="2:7" ht="22.5" x14ac:dyDescent="0.2">
      <c r="B33" s="535" t="s">
        <v>756</v>
      </c>
      <c r="C33" s="516" t="s">
        <v>618</v>
      </c>
      <c r="D33" s="516" t="s">
        <v>760</v>
      </c>
      <c r="E33" s="516"/>
      <c r="F33" s="516"/>
      <c r="G33" s="529"/>
    </row>
    <row r="34" spans="2:7" x14ac:dyDescent="0.2">
      <c r="B34" s="510" t="s">
        <v>612</v>
      </c>
      <c r="C34" s="516"/>
      <c r="D34" s="516"/>
      <c r="E34" s="529"/>
      <c r="F34" s="529"/>
      <c r="G34" s="529"/>
    </row>
    <row r="35" spans="2:7" x14ac:dyDescent="0.2">
      <c r="B35" s="254" t="s">
        <v>757</v>
      </c>
      <c r="C35" s="513">
        <v>1153335</v>
      </c>
      <c r="D35" s="513">
        <v>14500</v>
      </c>
      <c r="E35" s="529"/>
      <c r="F35" s="529"/>
      <c r="G35" s="529"/>
    </row>
    <row r="36" spans="2:7" x14ac:dyDescent="0.2">
      <c r="B36" s="254" t="s">
        <v>619</v>
      </c>
      <c r="C36" s="513">
        <v>1827000</v>
      </c>
      <c r="D36" s="513">
        <v>24365</v>
      </c>
      <c r="E36" s="529"/>
      <c r="F36" s="529"/>
      <c r="G36" s="529"/>
    </row>
    <row r="37" spans="2:7" x14ac:dyDescent="0.2">
      <c r="B37" s="254" t="s">
        <v>758</v>
      </c>
      <c r="C37" s="513">
        <v>320000</v>
      </c>
      <c r="D37" s="513">
        <v>3610</v>
      </c>
      <c r="E37" s="529"/>
      <c r="F37" s="529"/>
      <c r="G37" s="529"/>
    </row>
    <row r="38" spans="2:7" x14ac:dyDescent="0.2">
      <c r="B38" s="254" t="s">
        <v>759</v>
      </c>
      <c r="C38" s="513">
        <v>540000</v>
      </c>
      <c r="D38" s="513">
        <v>7220</v>
      </c>
      <c r="E38" s="529"/>
      <c r="F38" s="529"/>
      <c r="G38" s="529"/>
    </row>
    <row r="39" spans="2:7" x14ac:dyDescent="0.2">
      <c r="B39" s="254" t="s">
        <v>620</v>
      </c>
      <c r="C39" s="513">
        <v>655000</v>
      </c>
      <c r="D39" s="513">
        <v>8630</v>
      </c>
      <c r="E39" s="529"/>
      <c r="F39" s="529"/>
      <c r="G39" s="529"/>
    </row>
    <row r="40" spans="2:7" x14ac:dyDescent="0.2">
      <c r="B40" s="254" t="s">
        <v>747</v>
      </c>
      <c r="C40" s="513">
        <v>1244000</v>
      </c>
      <c r="D40" s="513">
        <v>22255</v>
      </c>
      <c r="E40" s="529"/>
      <c r="F40" s="529"/>
      <c r="G40" s="529"/>
    </row>
    <row r="41" spans="2:7" x14ac:dyDescent="0.2">
      <c r="B41" s="510" t="s">
        <v>489</v>
      </c>
      <c r="C41" s="508">
        <f>SUM(C35:C40)</f>
        <v>5739335</v>
      </c>
      <c r="D41" s="508">
        <f>SUM(D35:D40)</f>
        <v>80580</v>
      </c>
      <c r="E41" s="529"/>
      <c r="F41" s="529"/>
      <c r="G41" s="529"/>
    </row>
    <row r="42" spans="2:7" x14ac:dyDescent="0.2">
      <c r="B42" s="510"/>
      <c r="C42" s="508"/>
      <c r="D42" s="508"/>
      <c r="E42" s="529"/>
      <c r="F42" s="529"/>
      <c r="G42" s="529"/>
    </row>
    <row r="43" spans="2:7" ht="22.5" x14ac:dyDescent="0.2">
      <c r="B43" s="582" t="s">
        <v>798</v>
      </c>
      <c r="C43" s="583">
        <f>C41/D41</f>
        <v>71.225304045668906</v>
      </c>
      <c r="D43" s="508"/>
      <c r="E43" s="529"/>
      <c r="F43" s="529"/>
      <c r="G43" s="529"/>
    </row>
    <row r="44" spans="2:7" x14ac:dyDescent="0.2">
      <c r="B44" s="510"/>
      <c r="C44" s="508"/>
      <c r="D44" s="508"/>
      <c r="E44" s="529"/>
      <c r="F44" s="529"/>
      <c r="G44" s="529"/>
    </row>
    <row r="45" spans="2:7" ht="22.5" x14ac:dyDescent="0.2">
      <c r="B45" s="510" t="s">
        <v>601</v>
      </c>
      <c r="C45" s="529" t="s">
        <v>618</v>
      </c>
      <c r="D45" s="530"/>
      <c r="E45" s="529"/>
      <c r="F45" s="529"/>
      <c r="G45" s="529"/>
    </row>
    <row r="46" spans="2:7" x14ac:dyDescent="0.2">
      <c r="B46" s="254" t="s">
        <v>613</v>
      </c>
      <c r="C46" s="513">
        <v>0</v>
      </c>
      <c r="D46" s="530"/>
    </row>
    <row r="47" spans="2:7" x14ac:dyDescent="0.2">
      <c r="B47" s="254" t="s">
        <v>614</v>
      </c>
      <c r="C47" s="513">
        <v>40000</v>
      </c>
      <c r="D47" s="530"/>
    </row>
    <row r="48" spans="2:7" x14ac:dyDescent="0.2">
      <c r="B48" s="254" t="s">
        <v>615</v>
      </c>
      <c r="C48" s="513">
        <v>350000</v>
      </c>
      <c r="D48" s="530"/>
    </row>
    <row r="49" spans="2:43" x14ac:dyDescent="0.2">
      <c r="B49" s="254" t="s">
        <v>616</v>
      </c>
      <c r="C49" s="513">
        <v>0</v>
      </c>
      <c r="D49" s="530"/>
    </row>
    <row r="50" spans="2:43" x14ac:dyDescent="0.2">
      <c r="B50" s="254" t="s">
        <v>617</v>
      </c>
      <c r="C50" s="513">
        <v>256400</v>
      </c>
      <c r="D50" s="530"/>
    </row>
    <row r="51" spans="2:43" ht="22.5" x14ac:dyDescent="0.2">
      <c r="B51" s="254" t="s">
        <v>622</v>
      </c>
      <c r="C51" s="513">
        <v>0</v>
      </c>
      <c r="D51" s="530"/>
    </row>
    <row r="52" spans="2:43" x14ac:dyDescent="0.2">
      <c r="B52" s="510" t="s">
        <v>489</v>
      </c>
      <c r="C52" s="508">
        <f>SUM(C46:C51)</f>
        <v>646400</v>
      </c>
      <c r="D52" s="530"/>
    </row>
    <row r="53" spans="2:43" x14ac:dyDescent="0.2">
      <c r="B53" s="252" t="s">
        <v>490</v>
      </c>
      <c r="C53" s="530">
        <f>C52+C41</f>
        <v>6385735</v>
      </c>
      <c r="D53" s="530"/>
    </row>
    <row r="54" spans="2:43" x14ac:dyDescent="0.2">
      <c r="C54" s="280"/>
    </row>
    <row r="55" spans="2:43" x14ac:dyDescent="0.2">
      <c r="C55" s="273"/>
    </row>
    <row r="56" spans="2:43" x14ac:dyDescent="0.2">
      <c r="D56" s="1021" t="s">
        <v>568</v>
      </c>
      <c r="E56" s="1021"/>
      <c r="F56" s="1021"/>
      <c r="G56" s="1021"/>
      <c r="H56" s="1021" t="s">
        <v>569</v>
      </c>
      <c r="I56" s="1021"/>
      <c r="J56" s="1021"/>
      <c r="K56" s="1021"/>
      <c r="L56" s="1021" t="s">
        <v>570</v>
      </c>
      <c r="M56" s="1021"/>
      <c r="N56" s="1021"/>
      <c r="O56" s="1021"/>
      <c r="P56" s="1021" t="s">
        <v>571</v>
      </c>
      <c r="Q56" s="1021"/>
      <c r="R56" s="1021"/>
      <c r="S56" s="1021"/>
      <c r="T56" s="1021" t="s">
        <v>572</v>
      </c>
      <c r="U56" s="1021"/>
      <c r="V56" s="1021"/>
      <c r="W56" s="1021"/>
      <c r="X56" s="1021" t="s">
        <v>573</v>
      </c>
      <c r="Y56" s="1021"/>
      <c r="Z56" s="1021"/>
      <c r="AA56" s="1021"/>
      <c r="AB56" s="1021" t="s">
        <v>574</v>
      </c>
      <c r="AC56" s="1021"/>
      <c r="AD56" s="1021"/>
      <c r="AE56" s="1021"/>
      <c r="AF56" s="1021" t="s">
        <v>575</v>
      </c>
      <c r="AG56" s="1021"/>
      <c r="AH56" s="1021"/>
      <c r="AI56" s="1021"/>
      <c r="AJ56" s="1021" t="s">
        <v>576</v>
      </c>
      <c r="AK56" s="1021"/>
      <c r="AL56" s="1021"/>
      <c r="AM56" s="1021"/>
      <c r="AN56" s="1021" t="s">
        <v>577</v>
      </c>
      <c r="AO56" s="1021"/>
      <c r="AP56" s="1021"/>
      <c r="AQ56" s="1021"/>
    </row>
    <row r="57" spans="2:43" ht="22.5" x14ac:dyDescent="0.2">
      <c r="B57" s="252" t="s">
        <v>623</v>
      </c>
      <c r="C57" s="51" t="s">
        <v>489</v>
      </c>
      <c r="D57" s="51" t="str">
        <f>Параметры!E$34</f>
        <v>1 кв. 2020</v>
      </c>
      <c r="E57" s="51" t="str">
        <f>Параметры!F$34</f>
        <v>2 кв. 2020</v>
      </c>
      <c r="F57" s="51" t="str">
        <f>Параметры!G$34</f>
        <v>3 кв. 2020</v>
      </c>
      <c r="G57" s="51" t="str">
        <f>Параметры!H$34</f>
        <v>4 кв. 2020</v>
      </c>
      <c r="H57" s="51" t="str">
        <f>Параметры!I$34</f>
        <v>1 кв. 2021</v>
      </c>
      <c r="I57" s="51" t="str">
        <f>Параметры!J$34</f>
        <v>2 кв. 2021</v>
      </c>
      <c r="J57" s="51" t="str">
        <f>Параметры!K$34</f>
        <v>3 кв. 2021</v>
      </c>
      <c r="K57" s="51" t="str">
        <f>Параметры!L$34</f>
        <v>4 кв. 2021</v>
      </c>
      <c r="L57" s="51" t="str">
        <f>Параметры!M$34</f>
        <v>1 кв. 2022</v>
      </c>
      <c r="M57" s="51" t="str">
        <f>Параметры!N$34</f>
        <v>2 кв. 2022</v>
      </c>
      <c r="N57" s="51" t="str">
        <f>Параметры!O$34</f>
        <v>3 кв. 2022</v>
      </c>
      <c r="O57" s="51" t="str">
        <f>Параметры!P$34</f>
        <v>4 кв. 2022</v>
      </c>
      <c r="P57" s="51" t="str">
        <f>Параметры!Q$34</f>
        <v>1 кв. 2023</v>
      </c>
      <c r="Q57" s="51" t="str">
        <f>Параметры!R$34</f>
        <v>2 кв. 2023</v>
      </c>
      <c r="R57" s="51" t="str">
        <f>Параметры!S$34</f>
        <v>3 кв. 2023</v>
      </c>
      <c r="S57" s="51" t="str">
        <f>Параметры!T$34</f>
        <v>4 кв. 2023</v>
      </c>
      <c r="T57" s="51" t="str">
        <f>Параметры!U$34</f>
        <v>1 кв. 2024</v>
      </c>
      <c r="U57" s="51" t="str">
        <f>Параметры!V$34</f>
        <v>2 кв. 2024</v>
      </c>
      <c r="V57" s="51" t="str">
        <f>Параметры!W$34</f>
        <v>3 кв. 2024</v>
      </c>
      <c r="W57" s="51" t="str">
        <f>Параметры!X$34</f>
        <v>4 кв. 2024</v>
      </c>
      <c r="X57" s="51" t="str">
        <f>Параметры!Y$34</f>
        <v>1 кв. 2025</v>
      </c>
      <c r="Y57" s="51" t="str">
        <f>Параметры!Z$34</f>
        <v>2 кв. 2025</v>
      </c>
      <c r="Z57" s="51" t="str">
        <f>Параметры!AA$34</f>
        <v>3 кв. 2025</v>
      </c>
      <c r="AA57" s="51" t="str">
        <f>Параметры!AB$34</f>
        <v>4 кв. 2025</v>
      </c>
      <c r="AB57" s="51" t="str">
        <f>Параметры!AC$34</f>
        <v>1 кв. 2026</v>
      </c>
      <c r="AC57" s="51" t="str">
        <f>Параметры!AD$34</f>
        <v>2 кв. 2026</v>
      </c>
      <c r="AD57" s="51" t="str">
        <f>Параметры!AE$34</f>
        <v>3 кв. 2026</v>
      </c>
      <c r="AE57" s="51" t="str">
        <f>Параметры!AF$34</f>
        <v>4 кв. 2026</v>
      </c>
      <c r="AF57" s="51" t="str">
        <f>Параметры!AG$34</f>
        <v>1 кв. 2027</v>
      </c>
      <c r="AG57" s="51" t="str">
        <f>Параметры!AH$34</f>
        <v>2 кв. 2027</v>
      </c>
      <c r="AH57" s="51" t="str">
        <f>Параметры!AI$34</f>
        <v>3 кв. 2027</v>
      </c>
      <c r="AI57" s="51" t="str">
        <f>Параметры!AJ$34</f>
        <v>4 кв. 2027</v>
      </c>
      <c r="AJ57" s="51" t="str">
        <f>Параметры!AK$34</f>
        <v>1 кв. 2028</v>
      </c>
      <c r="AK57" s="51" t="str">
        <f>Параметры!AL$34</f>
        <v>2 кв. 2028</v>
      </c>
      <c r="AL57" s="51" t="str">
        <f>Параметры!AM$34</f>
        <v>3 кв. 2028</v>
      </c>
      <c r="AM57" s="51" t="str">
        <f>Параметры!AN$34</f>
        <v>4 кв. 2028</v>
      </c>
      <c r="AN57" s="51" t="str">
        <f>Параметры!AO$34</f>
        <v>1 кв. 2029</v>
      </c>
      <c r="AO57" s="51" t="str">
        <f>Параметры!AP$34</f>
        <v>2 кв. 2029</v>
      </c>
      <c r="AP57" s="51" t="str">
        <f>Параметры!AQ$34</f>
        <v>3 кв. 2029</v>
      </c>
      <c r="AQ57" s="51" t="str">
        <f>Параметры!AR$34</f>
        <v>4 кв. 2029</v>
      </c>
    </row>
    <row r="58" spans="2:43" x14ac:dyDescent="0.2">
      <c r="B58" s="565" t="s">
        <v>750</v>
      </c>
      <c r="C58" s="566">
        <f>SUM(D58:AY58)</f>
        <v>7</v>
      </c>
      <c r="D58" s="22">
        <v>0</v>
      </c>
      <c r="E58" s="451">
        <f>E59-D59</f>
        <v>0</v>
      </c>
      <c r="F58" s="451">
        <f t="shared" ref="F58:AQ58" si="0">F59-E59</f>
        <v>1</v>
      </c>
      <c r="G58" s="451">
        <f t="shared" si="0"/>
        <v>0</v>
      </c>
      <c r="H58" s="451">
        <f t="shared" si="0"/>
        <v>0</v>
      </c>
      <c r="I58" s="451">
        <f t="shared" si="0"/>
        <v>0</v>
      </c>
      <c r="J58" s="451">
        <f t="shared" si="0"/>
        <v>0</v>
      </c>
      <c r="K58" s="451">
        <f t="shared" si="0"/>
        <v>0</v>
      </c>
      <c r="L58" s="451">
        <f t="shared" si="0"/>
        <v>1</v>
      </c>
      <c r="M58" s="451">
        <f t="shared" si="0"/>
        <v>0</v>
      </c>
      <c r="N58" s="451">
        <f t="shared" si="0"/>
        <v>0</v>
      </c>
      <c r="O58" s="451">
        <f t="shared" si="0"/>
        <v>0</v>
      </c>
      <c r="P58" s="451">
        <f t="shared" si="0"/>
        <v>1</v>
      </c>
      <c r="Q58" s="451">
        <f t="shared" si="0"/>
        <v>0</v>
      </c>
      <c r="R58" s="451">
        <f t="shared" si="0"/>
        <v>0</v>
      </c>
      <c r="S58" s="451">
        <f t="shared" si="0"/>
        <v>0</v>
      </c>
      <c r="T58" s="451">
        <f t="shared" si="0"/>
        <v>4</v>
      </c>
      <c r="U58" s="451">
        <f t="shared" si="0"/>
        <v>0</v>
      </c>
      <c r="V58" s="451">
        <f t="shared" si="0"/>
        <v>0</v>
      </c>
      <c r="W58" s="451">
        <f t="shared" si="0"/>
        <v>0</v>
      </c>
      <c r="X58" s="451">
        <f t="shared" si="0"/>
        <v>0</v>
      </c>
      <c r="Y58" s="451">
        <f t="shared" si="0"/>
        <v>0</v>
      </c>
      <c r="Z58" s="451">
        <f t="shared" si="0"/>
        <v>0</v>
      </c>
      <c r="AA58" s="451">
        <f t="shared" si="0"/>
        <v>0</v>
      </c>
      <c r="AB58" s="451">
        <f t="shared" si="0"/>
        <v>0</v>
      </c>
      <c r="AC58" s="451">
        <f t="shared" si="0"/>
        <v>0</v>
      </c>
      <c r="AD58" s="451">
        <f t="shared" si="0"/>
        <v>0</v>
      </c>
      <c r="AE58" s="451">
        <f t="shared" si="0"/>
        <v>0</v>
      </c>
      <c r="AF58" s="451">
        <f t="shared" si="0"/>
        <v>0</v>
      </c>
      <c r="AG58" s="451">
        <f t="shared" si="0"/>
        <v>0</v>
      </c>
      <c r="AH58" s="451">
        <f t="shared" si="0"/>
        <v>0</v>
      </c>
      <c r="AI58" s="451">
        <f t="shared" si="0"/>
        <v>0</v>
      </c>
      <c r="AJ58" s="451">
        <f t="shared" si="0"/>
        <v>0</v>
      </c>
      <c r="AK58" s="451">
        <f t="shared" si="0"/>
        <v>0</v>
      </c>
      <c r="AL58" s="451">
        <f t="shared" si="0"/>
        <v>0</v>
      </c>
      <c r="AM58" s="451">
        <f t="shared" si="0"/>
        <v>0</v>
      </c>
      <c r="AN58" s="451">
        <f t="shared" si="0"/>
        <v>0</v>
      </c>
      <c r="AO58" s="451">
        <f t="shared" si="0"/>
        <v>0</v>
      </c>
      <c r="AP58" s="451">
        <f t="shared" si="0"/>
        <v>0</v>
      </c>
      <c r="AQ58" s="451">
        <f t="shared" si="0"/>
        <v>0</v>
      </c>
    </row>
    <row r="59" spans="2:43" s="532" customFormat="1" x14ac:dyDescent="0.2">
      <c r="B59" s="565" t="s">
        <v>749</v>
      </c>
      <c r="C59" s="566">
        <f>MAX(D59:AY59)</f>
        <v>7</v>
      </c>
      <c r="D59" s="347">
        <f t="shared" ref="D59:S59" si="1">COUNTIF(D69:D72,"&gt;0")+COUNTIF(D63:D64,"&gt;0")</f>
        <v>0</v>
      </c>
      <c r="E59" s="347">
        <f t="shared" si="1"/>
        <v>0</v>
      </c>
      <c r="F59" s="347">
        <f t="shared" si="1"/>
        <v>1</v>
      </c>
      <c r="G59" s="347">
        <f t="shared" si="1"/>
        <v>1</v>
      </c>
      <c r="H59" s="347">
        <f t="shared" si="1"/>
        <v>1</v>
      </c>
      <c r="I59" s="347">
        <f t="shared" si="1"/>
        <v>1</v>
      </c>
      <c r="J59" s="347">
        <f t="shared" si="1"/>
        <v>1</v>
      </c>
      <c r="K59" s="347">
        <f t="shared" si="1"/>
        <v>1</v>
      </c>
      <c r="L59" s="347">
        <f t="shared" si="1"/>
        <v>2</v>
      </c>
      <c r="M59" s="347">
        <f t="shared" si="1"/>
        <v>2</v>
      </c>
      <c r="N59" s="347">
        <f t="shared" si="1"/>
        <v>2</v>
      </c>
      <c r="O59" s="347">
        <f t="shared" si="1"/>
        <v>2</v>
      </c>
      <c r="P59" s="347">
        <f t="shared" si="1"/>
        <v>3</v>
      </c>
      <c r="Q59" s="347">
        <f t="shared" si="1"/>
        <v>3</v>
      </c>
      <c r="R59" s="347">
        <f t="shared" si="1"/>
        <v>3</v>
      </c>
      <c r="S59" s="347">
        <f t="shared" si="1"/>
        <v>3</v>
      </c>
      <c r="T59" s="991">
        <f>COUNTIF(T69:T72,"&gt;0")+COUNTIF(T63:T64,"&gt;0")+1</f>
        <v>7</v>
      </c>
      <c r="U59" s="347">
        <f>T59</f>
        <v>7</v>
      </c>
      <c r="V59" s="347">
        <f t="shared" ref="V59:AQ59" si="2">U59</f>
        <v>7</v>
      </c>
      <c r="W59" s="347">
        <f t="shared" si="2"/>
        <v>7</v>
      </c>
      <c r="X59" s="347">
        <f t="shared" si="2"/>
        <v>7</v>
      </c>
      <c r="Y59" s="347">
        <f t="shared" si="2"/>
        <v>7</v>
      </c>
      <c r="Z59" s="347">
        <f t="shared" si="2"/>
        <v>7</v>
      </c>
      <c r="AA59" s="347">
        <f t="shared" si="2"/>
        <v>7</v>
      </c>
      <c r="AB59" s="347">
        <f t="shared" si="2"/>
        <v>7</v>
      </c>
      <c r="AC59" s="347">
        <f t="shared" si="2"/>
        <v>7</v>
      </c>
      <c r="AD59" s="347">
        <f t="shared" si="2"/>
        <v>7</v>
      </c>
      <c r="AE59" s="347">
        <f t="shared" si="2"/>
        <v>7</v>
      </c>
      <c r="AF59" s="347">
        <f t="shared" si="2"/>
        <v>7</v>
      </c>
      <c r="AG59" s="347">
        <f t="shared" si="2"/>
        <v>7</v>
      </c>
      <c r="AH59" s="347">
        <f t="shared" si="2"/>
        <v>7</v>
      </c>
      <c r="AI59" s="347">
        <f t="shared" si="2"/>
        <v>7</v>
      </c>
      <c r="AJ59" s="347">
        <f t="shared" si="2"/>
        <v>7</v>
      </c>
      <c r="AK59" s="347">
        <f t="shared" si="2"/>
        <v>7</v>
      </c>
      <c r="AL59" s="347">
        <f t="shared" si="2"/>
        <v>7</v>
      </c>
      <c r="AM59" s="347">
        <f t="shared" si="2"/>
        <v>7</v>
      </c>
      <c r="AN59" s="347">
        <f t="shared" si="2"/>
        <v>7</v>
      </c>
      <c r="AO59" s="347">
        <f t="shared" si="2"/>
        <v>7</v>
      </c>
      <c r="AP59" s="347">
        <f t="shared" si="2"/>
        <v>7</v>
      </c>
      <c r="AQ59" s="347">
        <f t="shared" si="2"/>
        <v>7</v>
      </c>
    </row>
    <row r="60" spans="2:43" s="532" customFormat="1" x14ac:dyDescent="0.2">
      <c r="B60" s="567" t="s">
        <v>578</v>
      </c>
      <c r="C60" s="566">
        <f>SUM(C59:C59)</f>
        <v>7</v>
      </c>
      <c r="D60" s="566">
        <f>D59</f>
        <v>0</v>
      </c>
      <c r="E60" s="566">
        <f t="shared" ref="E60:AQ60" si="3">E59</f>
        <v>0</v>
      </c>
      <c r="F60" s="566">
        <f t="shared" si="3"/>
        <v>1</v>
      </c>
      <c r="G60" s="566">
        <f t="shared" si="3"/>
        <v>1</v>
      </c>
      <c r="H60" s="566">
        <f t="shared" si="3"/>
        <v>1</v>
      </c>
      <c r="I60" s="566">
        <f t="shared" si="3"/>
        <v>1</v>
      </c>
      <c r="J60" s="566">
        <f t="shared" si="3"/>
        <v>1</v>
      </c>
      <c r="K60" s="566">
        <f t="shared" si="3"/>
        <v>1</v>
      </c>
      <c r="L60" s="566">
        <f t="shared" si="3"/>
        <v>2</v>
      </c>
      <c r="M60" s="566">
        <f t="shared" si="3"/>
        <v>2</v>
      </c>
      <c r="N60" s="566">
        <f t="shared" si="3"/>
        <v>2</v>
      </c>
      <c r="O60" s="566">
        <f t="shared" si="3"/>
        <v>2</v>
      </c>
      <c r="P60" s="566">
        <f t="shared" si="3"/>
        <v>3</v>
      </c>
      <c r="Q60" s="566">
        <f t="shared" si="3"/>
        <v>3</v>
      </c>
      <c r="R60" s="566">
        <f t="shared" si="3"/>
        <v>3</v>
      </c>
      <c r="S60" s="566">
        <f t="shared" si="3"/>
        <v>3</v>
      </c>
      <c r="T60" s="566">
        <f t="shared" si="3"/>
        <v>7</v>
      </c>
      <c r="U60" s="566">
        <f t="shared" si="3"/>
        <v>7</v>
      </c>
      <c r="V60" s="566">
        <f t="shared" si="3"/>
        <v>7</v>
      </c>
      <c r="W60" s="566">
        <f t="shared" si="3"/>
        <v>7</v>
      </c>
      <c r="X60" s="566">
        <f t="shared" si="3"/>
        <v>7</v>
      </c>
      <c r="Y60" s="566">
        <f t="shared" si="3"/>
        <v>7</v>
      </c>
      <c r="Z60" s="566">
        <f t="shared" si="3"/>
        <v>7</v>
      </c>
      <c r="AA60" s="566">
        <f t="shared" si="3"/>
        <v>7</v>
      </c>
      <c r="AB60" s="566">
        <f t="shared" si="3"/>
        <v>7</v>
      </c>
      <c r="AC60" s="566">
        <f t="shared" si="3"/>
        <v>7</v>
      </c>
      <c r="AD60" s="566">
        <f t="shared" si="3"/>
        <v>7</v>
      </c>
      <c r="AE60" s="566">
        <f t="shared" si="3"/>
        <v>7</v>
      </c>
      <c r="AF60" s="566">
        <f t="shared" si="3"/>
        <v>7</v>
      </c>
      <c r="AG60" s="566">
        <f t="shared" si="3"/>
        <v>7</v>
      </c>
      <c r="AH60" s="566">
        <f t="shared" si="3"/>
        <v>7</v>
      </c>
      <c r="AI60" s="566">
        <f t="shared" si="3"/>
        <v>7</v>
      </c>
      <c r="AJ60" s="566">
        <f t="shared" si="3"/>
        <v>7</v>
      </c>
      <c r="AK60" s="566">
        <f t="shared" si="3"/>
        <v>7</v>
      </c>
      <c r="AL60" s="566">
        <f t="shared" si="3"/>
        <v>7</v>
      </c>
      <c r="AM60" s="566">
        <f t="shared" si="3"/>
        <v>7</v>
      </c>
      <c r="AN60" s="566">
        <f t="shared" si="3"/>
        <v>7</v>
      </c>
      <c r="AO60" s="566">
        <f t="shared" si="3"/>
        <v>7</v>
      </c>
      <c r="AP60" s="566">
        <f t="shared" si="3"/>
        <v>7</v>
      </c>
      <c r="AQ60" s="566">
        <f t="shared" si="3"/>
        <v>7</v>
      </c>
    </row>
    <row r="62" spans="2:43" ht="22.5" x14ac:dyDescent="0.2">
      <c r="B62" s="252" t="s">
        <v>745</v>
      </c>
      <c r="C62" s="51" t="s">
        <v>489</v>
      </c>
      <c r="D62" s="562" t="str">
        <f>Параметры!E$34</f>
        <v>1 кв. 2020</v>
      </c>
      <c r="E62" s="562" t="str">
        <f>Параметры!F$34</f>
        <v>2 кв. 2020</v>
      </c>
      <c r="F62" s="562" t="str">
        <f>Параметры!G$34</f>
        <v>3 кв. 2020</v>
      </c>
      <c r="G62" s="562" t="str">
        <f>Параметры!H$34</f>
        <v>4 кв. 2020</v>
      </c>
      <c r="H62" s="562" t="str">
        <f>Параметры!I$34</f>
        <v>1 кв. 2021</v>
      </c>
      <c r="I62" s="562" t="str">
        <f>Параметры!J$34</f>
        <v>2 кв. 2021</v>
      </c>
      <c r="J62" s="562" t="str">
        <f>Параметры!K$34</f>
        <v>3 кв. 2021</v>
      </c>
      <c r="K62" s="562" t="str">
        <f>Параметры!L$34</f>
        <v>4 кв. 2021</v>
      </c>
      <c r="L62" s="562" t="str">
        <f>Параметры!M$34</f>
        <v>1 кв. 2022</v>
      </c>
      <c r="M62" s="562" t="str">
        <f>Параметры!N$34</f>
        <v>2 кв. 2022</v>
      </c>
      <c r="N62" s="562" t="str">
        <f>Параметры!O$34</f>
        <v>3 кв. 2022</v>
      </c>
      <c r="O62" s="562" t="str">
        <f>Параметры!P$34</f>
        <v>4 кв. 2022</v>
      </c>
      <c r="P62" s="562" t="str">
        <f>Параметры!Q$34</f>
        <v>1 кв. 2023</v>
      </c>
      <c r="Q62" s="562" t="str">
        <f>Параметры!R$34</f>
        <v>2 кв. 2023</v>
      </c>
      <c r="R62" s="562" t="str">
        <f>Параметры!S$34</f>
        <v>3 кв. 2023</v>
      </c>
      <c r="S62" s="562" t="str">
        <f>Параметры!T$34</f>
        <v>4 кв. 2023</v>
      </c>
      <c r="T62" s="562" t="str">
        <f>Параметры!U$34</f>
        <v>1 кв. 2024</v>
      </c>
      <c r="U62" s="562" t="str">
        <f>Параметры!V$34</f>
        <v>2 кв. 2024</v>
      </c>
      <c r="V62" s="562" t="str">
        <f>Параметры!W$34</f>
        <v>3 кв. 2024</v>
      </c>
      <c r="W62" s="562" t="str">
        <f>Параметры!X$34</f>
        <v>4 кв. 2024</v>
      </c>
      <c r="X62" s="562" t="str">
        <f>Параметры!Y$34</f>
        <v>1 кв. 2025</v>
      </c>
      <c r="Y62" s="562" t="str">
        <f>Параметры!Z$34</f>
        <v>2 кв. 2025</v>
      </c>
      <c r="Z62" s="562" t="str">
        <f>Параметры!AA$34</f>
        <v>3 кв. 2025</v>
      </c>
      <c r="AA62" s="562" t="str">
        <f>Параметры!AB$34</f>
        <v>4 кв. 2025</v>
      </c>
      <c r="AB62" s="562" t="str">
        <f>Параметры!AC$34</f>
        <v>1 кв. 2026</v>
      </c>
      <c r="AC62" s="562" t="str">
        <f>Параметры!AD$34</f>
        <v>2 кв. 2026</v>
      </c>
      <c r="AD62" s="562" t="str">
        <f>Параметры!AE$34</f>
        <v>3 кв. 2026</v>
      </c>
      <c r="AE62" s="562" t="str">
        <f>Параметры!AF$34</f>
        <v>4 кв. 2026</v>
      </c>
      <c r="AF62" s="562" t="str">
        <f>Параметры!AG$34</f>
        <v>1 кв. 2027</v>
      </c>
      <c r="AG62" s="562" t="str">
        <f>Параметры!AH$34</f>
        <v>2 кв. 2027</v>
      </c>
      <c r="AH62" s="562" t="str">
        <f>Параметры!AI$34</f>
        <v>3 кв. 2027</v>
      </c>
      <c r="AI62" s="562" t="str">
        <f>Параметры!AJ$34</f>
        <v>4 кв. 2027</v>
      </c>
      <c r="AJ62" s="562" t="str">
        <f>Параметры!AK$34</f>
        <v>1 кв. 2028</v>
      </c>
      <c r="AK62" s="562" t="str">
        <f>Параметры!AL$34</f>
        <v>2 кв. 2028</v>
      </c>
      <c r="AL62" s="562" t="str">
        <f>Параметры!AM$34</f>
        <v>3 кв. 2028</v>
      </c>
      <c r="AM62" s="562" t="str">
        <f>Параметры!AN$34</f>
        <v>4 кв. 2028</v>
      </c>
      <c r="AN62" s="562" t="str">
        <f>Параметры!AO$34</f>
        <v>1 кв. 2029</v>
      </c>
      <c r="AO62" s="562" t="str">
        <f>Параметры!AP$34</f>
        <v>2 кв. 2029</v>
      </c>
      <c r="AP62" s="562" t="str">
        <f>Параметры!AQ$34</f>
        <v>3 кв. 2029</v>
      </c>
      <c r="AQ62" s="562" t="str">
        <f>Параметры!AR$34</f>
        <v>4 кв. 2029</v>
      </c>
    </row>
    <row r="63" spans="2:43" x14ac:dyDescent="0.2">
      <c r="B63" s="251" t="s">
        <v>743</v>
      </c>
      <c r="C63" s="527">
        <f t="shared" ref="C63:C65" si="4">MAX(D63:AY63)</f>
        <v>14500</v>
      </c>
      <c r="D63" s="347"/>
      <c r="E63" s="347"/>
      <c r="F63" s="347">
        <v>14500</v>
      </c>
      <c r="G63" s="347">
        <f>F63</f>
        <v>14500</v>
      </c>
      <c r="H63" s="347">
        <f t="shared" ref="H63:AQ63" si="5">G63</f>
        <v>14500</v>
      </c>
      <c r="I63" s="347">
        <f t="shared" si="5"/>
        <v>14500</v>
      </c>
      <c r="J63" s="347">
        <f t="shared" si="5"/>
        <v>14500</v>
      </c>
      <c r="K63" s="347">
        <f t="shared" si="5"/>
        <v>14500</v>
      </c>
      <c r="L63" s="347">
        <f t="shared" si="5"/>
        <v>14500</v>
      </c>
      <c r="M63" s="347">
        <f t="shared" si="5"/>
        <v>14500</v>
      </c>
      <c r="N63" s="347">
        <f t="shared" si="5"/>
        <v>14500</v>
      </c>
      <c r="O63" s="347">
        <f t="shared" si="5"/>
        <v>14500</v>
      </c>
      <c r="P63" s="347">
        <f t="shared" si="5"/>
        <v>14500</v>
      </c>
      <c r="Q63" s="347">
        <f t="shared" si="5"/>
        <v>14500</v>
      </c>
      <c r="R63" s="347">
        <f t="shared" si="5"/>
        <v>14500</v>
      </c>
      <c r="S63" s="347">
        <f t="shared" si="5"/>
        <v>14500</v>
      </c>
      <c r="T63" s="347">
        <f t="shared" si="5"/>
        <v>14500</v>
      </c>
      <c r="U63" s="347">
        <f t="shared" si="5"/>
        <v>14500</v>
      </c>
      <c r="V63" s="347">
        <f t="shared" si="5"/>
        <v>14500</v>
      </c>
      <c r="W63" s="347">
        <f t="shared" si="5"/>
        <v>14500</v>
      </c>
      <c r="X63" s="347">
        <f t="shared" si="5"/>
        <v>14500</v>
      </c>
      <c r="Y63" s="347">
        <f t="shared" si="5"/>
        <v>14500</v>
      </c>
      <c r="Z63" s="347">
        <f t="shared" si="5"/>
        <v>14500</v>
      </c>
      <c r="AA63" s="347">
        <f t="shared" si="5"/>
        <v>14500</v>
      </c>
      <c r="AB63" s="347">
        <f t="shared" si="5"/>
        <v>14500</v>
      </c>
      <c r="AC63" s="347">
        <f t="shared" si="5"/>
        <v>14500</v>
      </c>
      <c r="AD63" s="347">
        <f t="shared" si="5"/>
        <v>14500</v>
      </c>
      <c r="AE63" s="347">
        <f t="shared" si="5"/>
        <v>14500</v>
      </c>
      <c r="AF63" s="347">
        <f t="shared" si="5"/>
        <v>14500</v>
      </c>
      <c r="AG63" s="347">
        <f t="shared" si="5"/>
        <v>14500</v>
      </c>
      <c r="AH63" s="347">
        <f t="shared" si="5"/>
        <v>14500</v>
      </c>
      <c r="AI63" s="347">
        <f t="shared" si="5"/>
        <v>14500</v>
      </c>
      <c r="AJ63" s="347">
        <f t="shared" si="5"/>
        <v>14500</v>
      </c>
      <c r="AK63" s="347">
        <f t="shared" si="5"/>
        <v>14500</v>
      </c>
      <c r="AL63" s="347">
        <f t="shared" si="5"/>
        <v>14500</v>
      </c>
      <c r="AM63" s="347">
        <f t="shared" si="5"/>
        <v>14500</v>
      </c>
      <c r="AN63" s="347">
        <f t="shared" si="5"/>
        <v>14500</v>
      </c>
      <c r="AO63" s="347">
        <f t="shared" si="5"/>
        <v>14500</v>
      </c>
      <c r="AP63" s="347">
        <f t="shared" si="5"/>
        <v>14500</v>
      </c>
      <c r="AQ63" s="347">
        <f t="shared" si="5"/>
        <v>14500</v>
      </c>
    </row>
    <row r="64" spans="2:43" x14ac:dyDescent="0.2">
      <c r="B64" s="251" t="s">
        <v>744</v>
      </c>
      <c r="C64" s="527">
        <f t="shared" si="4"/>
        <v>7220</v>
      </c>
      <c r="D64" s="347"/>
      <c r="E64" s="347"/>
      <c r="F64" s="347"/>
      <c r="G64" s="347"/>
      <c r="H64" s="347"/>
      <c r="I64" s="347"/>
      <c r="J64" s="347"/>
      <c r="K64" s="347"/>
      <c r="L64" s="347">
        <v>7220</v>
      </c>
      <c r="M64" s="347">
        <f>L64</f>
        <v>7220</v>
      </c>
      <c r="N64" s="347">
        <f t="shared" ref="N64:AQ64" si="6">M64</f>
        <v>7220</v>
      </c>
      <c r="O64" s="347">
        <f t="shared" si="6"/>
        <v>7220</v>
      </c>
      <c r="P64" s="347">
        <f t="shared" si="6"/>
        <v>7220</v>
      </c>
      <c r="Q64" s="347">
        <f t="shared" si="6"/>
        <v>7220</v>
      </c>
      <c r="R64" s="347">
        <f t="shared" si="6"/>
        <v>7220</v>
      </c>
      <c r="S64" s="347">
        <f t="shared" si="6"/>
        <v>7220</v>
      </c>
      <c r="T64" s="347">
        <f t="shared" si="6"/>
        <v>7220</v>
      </c>
      <c r="U64" s="347">
        <f t="shared" si="6"/>
        <v>7220</v>
      </c>
      <c r="V64" s="347">
        <f t="shared" si="6"/>
        <v>7220</v>
      </c>
      <c r="W64" s="347">
        <f t="shared" si="6"/>
        <v>7220</v>
      </c>
      <c r="X64" s="347">
        <f t="shared" si="6"/>
        <v>7220</v>
      </c>
      <c r="Y64" s="347">
        <f t="shared" si="6"/>
        <v>7220</v>
      </c>
      <c r="Z64" s="347">
        <f t="shared" si="6"/>
        <v>7220</v>
      </c>
      <c r="AA64" s="347">
        <f t="shared" si="6"/>
        <v>7220</v>
      </c>
      <c r="AB64" s="347">
        <f t="shared" si="6"/>
        <v>7220</v>
      </c>
      <c r="AC64" s="347">
        <f t="shared" si="6"/>
        <v>7220</v>
      </c>
      <c r="AD64" s="347">
        <f t="shared" si="6"/>
        <v>7220</v>
      </c>
      <c r="AE64" s="347">
        <f t="shared" si="6"/>
        <v>7220</v>
      </c>
      <c r="AF64" s="347">
        <f t="shared" si="6"/>
        <v>7220</v>
      </c>
      <c r="AG64" s="347">
        <f t="shared" si="6"/>
        <v>7220</v>
      </c>
      <c r="AH64" s="347">
        <f t="shared" si="6"/>
        <v>7220</v>
      </c>
      <c r="AI64" s="347">
        <f t="shared" si="6"/>
        <v>7220</v>
      </c>
      <c r="AJ64" s="347">
        <f t="shared" si="6"/>
        <v>7220</v>
      </c>
      <c r="AK64" s="347">
        <f t="shared" si="6"/>
        <v>7220</v>
      </c>
      <c r="AL64" s="347">
        <f t="shared" si="6"/>
        <v>7220</v>
      </c>
      <c r="AM64" s="347">
        <f t="shared" si="6"/>
        <v>7220</v>
      </c>
      <c r="AN64" s="347">
        <f t="shared" si="6"/>
        <v>7220</v>
      </c>
      <c r="AO64" s="347">
        <f t="shared" si="6"/>
        <v>7220</v>
      </c>
      <c r="AP64" s="347">
        <f t="shared" si="6"/>
        <v>7220</v>
      </c>
      <c r="AQ64" s="347">
        <f t="shared" si="6"/>
        <v>7220</v>
      </c>
    </row>
    <row r="65" spans="2:51" x14ac:dyDescent="0.2">
      <c r="B65" s="253" t="s">
        <v>489</v>
      </c>
      <c r="C65" s="527">
        <f t="shared" si="4"/>
        <v>21720</v>
      </c>
      <c r="D65" s="527">
        <f t="shared" ref="D65:AQ65" si="7">SUM(D63:D64)</f>
        <v>0</v>
      </c>
      <c r="E65" s="527">
        <f t="shared" si="7"/>
        <v>0</v>
      </c>
      <c r="F65" s="527">
        <f t="shared" si="7"/>
        <v>14500</v>
      </c>
      <c r="G65" s="527">
        <f t="shared" si="7"/>
        <v>14500</v>
      </c>
      <c r="H65" s="527">
        <f t="shared" si="7"/>
        <v>14500</v>
      </c>
      <c r="I65" s="527">
        <f t="shared" si="7"/>
        <v>14500</v>
      </c>
      <c r="J65" s="527">
        <f t="shared" si="7"/>
        <v>14500</v>
      </c>
      <c r="K65" s="527">
        <f t="shared" si="7"/>
        <v>14500</v>
      </c>
      <c r="L65" s="527">
        <f t="shared" si="7"/>
        <v>21720</v>
      </c>
      <c r="M65" s="527">
        <f t="shared" si="7"/>
        <v>21720</v>
      </c>
      <c r="N65" s="527">
        <f t="shared" si="7"/>
        <v>21720</v>
      </c>
      <c r="O65" s="527">
        <f t="shared" si="7"/>
        <v>21720</v>
      </c>
      <c r="P65" s="527">
        <f t="shared" si="7"/>
        <v>21720</v>
      </c>
      <c r="Q65" s="527">
        <f t="shared" si="7"/>
        <v>21720</v>
      </c>
      <c r="R65" s="527">
        <f t="shared" si="7"/>
        <v>21720</v>
      </c>
      <c r="S65" s="527">
        <f t="shared" si="7"/>
        <v>21720</v>
      </c>
      <c r="T65" s="527">
        <f t="shared" si="7"/>
        <v>21720</v>
      </c>
      <c r="U65" s="527">
        <f t="shared" si="7"/>
        <v>21720</v>
      </c>
      <c r="V65" s="527">
        <f t="shared" si="7"/>
        <v>21720</v>
      </c>
      <c r="W65" s="527">
        <f t="shared" si="7"/>
        <v>21720</v>
      </c>
      <c r="X65" s="527">
        <f t="shared" si="7"/>
        <v>21720</v>
      </c>
      <c r="Y65" s="527">
        <f t="shared" si="7"/>
        <v>21720</v>
      </c>
      <c r="Z65" s="527">
        <f t="shared" si="7"/>
        <v>21720</v>
      </c>
      <c r="AA65" s="527">
        <f t="shared" si="7"/>
        <v>21720</v>
      </c>
      <c r="AB65" s="527">
        <f t="shared" si="7"/>
        <v>21720</v>
      </c>
      <c r="AC65" s="527">
        <f t="shared" si="7"/>
        <v>21720</v>
      </c>
      <c r="AD65" s="527">
        <f t="shared" si="7"/>
        <v>21720</v>
      </c>
      <c r="AE65" s="527">
        <f t="shared" si="7"/>
        <v>21720</v>
      </c>
      <c r="AF65" s="527">
        <f t="shared" si="7"/>
        <v>21720</v>
      </c>
      <c r="AG65" s="527">
        <f t="shared" si="7"/>
        <v>21720</v>
      </c>
      <c r="AH65" s="527">
        <f t="shared" si="7"/>
        <v>21720</v>
      </c>
      <c r="AI65" s="527">
        <f t="shared" si="7"/>
        <v>21720</v>
      </c>
      <c r="AJ65" s="527">
        <f t="shared" si="7"/>
        <v>21720</v>
      </c>
      <c r="AK65" s="527">
        <f t="shared" si="7"/>
        <v>21720</v>
      </c>
      <c r="AL65" s="527">
        <f t="shared" si="7"/>
        <v>21720</v>
      </c>
      <c r="AM65" s="527">
        <f t="shared" si="7"/>
        <v>21720</v>
      </c>
      <c r="AN65" s="527">
        <f t="shared" si="7"/>
        <v>21720</v>
      </c>
      <c r="AO65" s="527">
        <f t="shared" si="7"/>
        <v>21720</v>
      </c>
      <c r="AP65" s="527">
        <f t="shared" si="7"/>
        <v>21720</v>
      </c>
      <c r="AQ65" s="527">
        <f t="shared" si="7"/>
        <v>21720</v>
      </c>
    </row>
    <row r="66" spans="2:51" x14ac:dyDescent="0.2">
      <c r="B66" s="505"/>
      <c r="C66" s="468"/>
      <c r="D66" s="451"/>
      <c r="E66" s="451"/>
      <c r="F66" s="451"/>
      <c r="G66" s="451"/>
      <c r="H66" s="451"/>
      <c r="I66" s="451"/>
      <c r="J66" s="451"/>
      <c r="K66" s="451"/>
      <c r="L66" s="451"/>
      <c r="M66" s="451"/>
      <c r="N66" s="451"/>
      <c r="O66" s="451"/>
      <c r="P66" s="451"/>
      <c r="Q66" s="451"/>
      <c r="R66" s="451"/>
      <c r="S66" s="451"/>
      <c r="T66" s="451"/>
      <c r="U66" s="451"/>
      <c r="V66" s="451"/>
      <c r="W66" s="451"/>
      <c r="X66" s="451"/>
      <c r="Y66" s="451"/>
      <c r="Z66" s="451"/>
      <c r="AA66" s="451"/>
      <c r="AB66" s="451"/>
      <c r="AC66" s="451"/>
      <c r="AD66" s="451"/>
      <c r="AE66" s="451"/>
      <c r="AF66" s="451"/>
      <c r="AG66" s="451"/>
      <c r="AH66" s="451"/>
      <c r="AI66" s="451"/>
      <c r="AJ66" s="451"/>
      <c r="AK66" s="451"/>
      <c r="AL66" s="451"/>
      <c r="AM66" s="451"/>
      <c r="AN66" s="451"/>
      <c r="AO66" s="451"/>
      <c r="AP66" s="451"/>
      <c r="AQ66" s="451"/>
    </row>
    <row r="67" spans="2:51" x14ac:dyDescent="0.2">
      <c r="B67" s="505"/>
      <c r="C67" s="468"/>
      <c r="D67" s="451"/>
      <c r="E67" s="451"/>
      <c r="F67" s="451"/>
      <c r="G67" s="451"/>
      <c r="H67" s="451"/>
      <c r="I67" s="451"/>
      <c r="J67" s="451"/>
      <c r="K67" s="451"/>
      <c r="L67" s="451"/>
      <c r="M67" s="451"/>
      <c r="N67" s="451"/>
      <c r="O67" s="451"/>
      <c r="P67" s="451"/>
      <c r="Q67" s="451"/>
      <c r="R67" s="451"/>
      <c r="S67" s="451"/>
      <c r="T67" s="451"/>
      <c r="U67" s="451"/>
      <c r="V67" s="451"/>
      <c r="W67" s="451"/>
      <c r="X67" s="451"/>
      <c r="Y67" s="451"/>
      <c r="Z67" s="451"/>
      <c r="AA67" s="451"/>
      <c r="AB67" s="451"/>
      <c r="AC67" s="451"/>
      <c r="AD67" s="451"/>
      <c r="AE67" s="451"/>
      <c r="AF67" s="451"/>
      <c r="AG67" s="451"/>
      <c r="AH67" s="451"/>
      <c r="AI67" s="451"/>
      <c r="AJ67" s="451"/>
      <c r="AK67" s="451"/>
      <c r="AL67" s="451"/>
      <c r="AM67" s="451"/>
      <c r="AN67" s="451"/>
      <c r="AO67" s="451"/>
      <c r="AP67" s="451"/>
      <c r="AQ67" s="451"/>
    </row>
    <row r="68" spans="2:51" ht="22.5" x14ac:dyDescent="0.2">
      <c r="B68" s="252" t="s">
        <v>746</v>
      </c>
      <c r="C68" s="561" t="s">
        <v>489</v>
      </c>
      <c r="D68" s="562" t="str">
        <f>Параметры!E$34</f>
        <v>1 кв. 2020</v>
      </c>
      <c r="E68" s="562" t="str">
        <f>Параметры!F$34</f>
        <v>2 кв. 2020</v>
      </c>
      <c r="F68" s="562" t="str">
        <f>Параметры!G$34</f>
        <v>3 кв. 2020</v>
      </c>
      <c r="G68" s="562" t="str">
        <f>Параметры!H$34</f>
        <v>4 кв. 2020</v>
      </c>
      <c r="H68" s="562" t="str">
        <f>Параметры!I$34</f>
        <v>1 кв. 2021</v>
      </c>
      <c r="I68" s="562" t="str">
        <f>Параметры!J$34</f>
        <v>2 кв. 2021</v>
      </c>
      <c r="J68" s="562" t="str">
        <f>Параметры!K$34</f>
        <v>3 кв. 2021</v>
      </c>
      <c r="K68" s="562" t="str">
        <f>Параметры!L$34</f>
        <v>4 кв. 2021</v>
      </c>
      <c r="L68" s="562" t="str">
        <f>Параметры!M$34</f>
        <v>1 кв. 2022</v>
      </c>
      <c r="M68" s="562" t="str">
        <f>Параметры!N$34</f>
        <v>2 кв. 2022</v>
      </c>
      <c r="N68" s="562" t="str">
        <f>Параметры!O$34</f>
        <v>3 кв. 2022</v>
      </c>
      <c r="O68" s="562" t="str">
        <f>Параметры!P$34</f>
        <v>4 кв. 2022</v>
      </c>
      <c r="P68" s="562" t="str">
        <f>Параметры!Q$34</f>
        <v>1 кв. 2023</v>
      </c>
      <c r="Q68" s="562" t="str">
        <f>Параметры!R$34</f>
        <v>2 кв. 2023</v>
      </c>
      <c r="R68" s="562" t="str">
        <f>Параметры!S$34</f>
        <v>3 кв. 2023</v>
      </c>
      <c r="S68" s="562" t="str">
        <f>Параметры!T$34</f>
        <v>4 кв. 2023</v>
      </c>
      <c r="T68" s="562" t="str">
        <f>Параметры!U$34</f>
        <v>1 кв. 2024</v>
      </c>
      <c r="U68" s="562" t="str">
        <f>Параметры!V$34</f>
        <v>2 кв. 2024</v>
      </c>
      <c r="V68" s="562" t="str">
        <f>Параметры!W$34</f>
        <v>3 кв. 2024</v>
      </c>
      <c r="W68" s="562" t="str">
        <f>Параметры!X$34</f>
        <v>4 кв. 2024</v>
      </c>
      <c r="X68" s="562" t="str">
        <f>Параметры!Y$34</f>
        <v>1 кв. 2025</v>
      </c>
      <c r="Y68" s="562" t="str">
        <f>Параметры!Z$34</f>
        <v>2 кв. 2025</v>
      </c>
      <c r="Z68" s="562" t="str">
        <f>Параметры!AA$34</f>
        <v>3 кв. 2025</v>
      </c>
      <c r="AA68" s="562" t="str">
        <f>Параметры!AB$34</f>
        <v>4 кв. 2025</v>
      </c>
      <c r="AB68" s="562" t="str">
        <f>Параметры!AC$34</f>
        <v>1 кв. 2026</v>
      </c>
      <c r="AC68" s="562" t="str">
        <f>Параметры!AD$34</f>
        <v>2 кв. 2026</v>
      </c>
      <c r="AD68" s="562" t="str">
        <f>Параметры!AE$34</f>
        <v>3 кв. 2026</v>
      </c>
      <c r="AE68" s="562" t="str">
        <f>Параметры!AF$34</f>
        <v>4 кв. 2026</v>
      </c>
      <c r="AF68" s="562" t="str">
        <f>Параметры!AG$34</f>
        <v>1 кв. 2027</v>
      </c>
      <c r="AG68" s="562" t="str">
        <f>Параметры!AH$34</f>
        <v>2 кв. 2027</v>
      </c>
      <c r="AH68" s="562" t="str">
        <f>Параметры!AI$34</f>
        <v>3 кв. 2027</v>
      </c>
      <c r="AI68" s="562" t="str">
        <f>Параметры!AJ$34</f>
        <v>4 кв. 2027</v>
      </c>
      <c r="AJ68" s="562" t="str">
        <f>Параметры!AK$34</f>
        <v>1 кв. 2028</v>
      </c>
      <c r="AK68" s="562" t="str">
        <f>Параметры!AL$34</f>
        <v>2 кв. 2028</v>
      </c>
      <c r="AL68" s="562" t="str">
        <f>Параметры!AM$34</f>
        <v>3 кв. 2028</v>
      </c>
      <c r="AM68" s="562" t="str">
        <f>Параметры!AN$34</f>
        <v>4 кв. 2028</v>
      </c>
      <c r="AN68" s="562" t="str">
        <f>Параметры!AO$34</f>
        <v>1 кв. 2029</v>
      </c>
      <c r="AO68" s="562" t="str">
        <f>Параметры!AP$34</f>
        <v>2 кв. 2029</v>
      </c>
      <c r="AP68" s="562" t="str">
        <f>Параметры!AQ$34</f>
        <v>3 кв. 2029</v>
      </c>
      <c r="AQ68" s="562" t="str">
        <f>Параметры!AR$34</f>
        <v>4 кв. 2029</v>
      </c>
    </row>
    <row r="69" spans="2:51" x14ac:dyDescent="0.2">
      <c r="B69" s="251" t="s">
        <v>748</v>
      </c>
      <c r="C69" s="527">
        <f t="shared" ref="C69:C73" si="8">MAX(D69:AY69)</f>
        <v>24365</v>
      </c>
      <c r="D69" s="347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  <c r="P69" s="347"/>
      <c r="Q69" s="347"/>
      <c r="R69" s="347"/>
      <c r="S69" s="347"/>
      <c r="T69" s="347">
        <v>24365</v>
      </c>
      <c r="U69" s="347">
        <f>T69</f>
        <v>24365</v>
      </c>
      <c r="V69" s="347">
        <f t="shared" ref="V69:AQ69" si="9">U69</f>
        <v>24365</v>
      </c>
      <c r="W69" s="347">
        <f t="shared" si="9"/>
        <v>24365</v>
      </c>
      <c r="X69" s="347">
        <f t="shared" si="9"/>
        <v>24365</v>
      </c>
      <c r="Y69" s="347">
        <f t="shared" si="9"/>
        <v>24365</v>
      </c>
      <c r="Z69" s="347">
        <f t="shared" si="9"/>
        <v>24365</v>
      </c>
      <c r="AA69" s="347">
        <f t="shared" si="9"/>
        <v>24365</v>
      </c>
      <c r="AB69" s="347">
        <f t="shared" si="9"/>
        <v>24365</v>
      </c>
      <c r="AC69" s="347">
        <f t="shared" si="9"/>
        <v>24365</v>
      </c>
      <c r="AD69" s="347">
        <f t="shared" si="9"/>
        <v>24365</v>
      </c>
      <c r="AE69" s="347">
        <f t="shared" si="9"/>
        <v>24365</v>
      </c>
      <c r="AF69" s="347">
        <f t="shared" si="9"/>
        <v>24365</v>
      </c>
      <c r="AG69" s="347">
        <f t="shared" si="9"/>
        <v>24365</v>
      </c>
      <c r="AH69" s="347">
        <f t="shared" si="9"/>
        <v>24365</v>
      </c>
      <c r="AI69" s="347">
        <f t="shared" si="9"/>
        <v>24365</v>
      </c>
      <c r="AJ69" s="347">
        <f t="shared" si="9"/>
        <v>24365</v>
      </c>
      <c r="AK69" s="347">
        <f t="shared" si="9"/>
        <v>24365</v>
      </c>
      <c r="AL69" s="347">
        <f t="shared" si="9"/>
        <v>24365</v>
      </c>
      <c r="AM69" s="347">
        <f t="shared" si="9"/>
        <v>24365</v>
      </c>
      <c r="AN69" s="347">
        <f t="shared" si="9"/>
        <v>24365</v>
      </c>
      <c r="AO69" s="347">
        <f t="shared" si="9"/>
        <v>24365</v>
      </c>
      <c r="AP69" s="347">
        <f t="shared" si="9"/>
        <v>24365</v>
      </c>
      <c r="AQ69" s="347">
        <f t="shared" si="9"/>
        <v>24365</v>
      </c>
    </row>
    <row r="70" spans="2:51" x14ac:dyDescent="0.2">
      <c r="B70" s="251" t="s">
        <v>783</v>
      </c>
      <c r="C70" s="527">
        <f t="shared" si="8"/>
        <v>3610</v>
      </c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>
        <v>3610</v>
      </c>
      <c r="Q70" s="347">
        <f>P70</f>
        <v>3610</v>
      </c>
      <c r="R70" s="347">
        <f t="shared" ref="R70:AQ70" si="10">Q70</f>
        <v>3610</v>
      </c>
      <c r="S70" s="347">
        <f t="shared" si="10"/>
        <v>3610</v>
      </c>
      <c r="T70" s="347">
        <f t="shared" si="10"/>
        <v>3610</v>
      </c>
      <c r="U70" s="347">
        <f t="shared" si="10"/>
        <v>3610</v>
      </c>
      <c r="V70" s="347">
        <f t="shared" si="10"/>
        <v>3610</v>
      </c>
      <c r="W70" s="347">
        <f t="shared" si="10"/>
        <v>3610</v>
      </c>
      <c r="X70" s="347">
        <f t="shared" si="10"/>
        <v>3610</v>
      </c>
      <c r="Y70" s="347">
        <f t="shared" si="10"/>
        <v>3610</v>
      </c>
      <c r="Z70" s="347">
        <f t="shared" si="10"/>
        <v>3610</v>
      </c>
      <c r="AA70" s="347">
        <f t="shared" si="10"/>
        <v>3610</v>
      </c>
      <c r="AB70" s="347">
        <f t="shared" si="10"/>
        <v>3610</v>
      </c>
      <c r="AC70" s="347">
        <f t="shared" si="10"/>
        <v>3610</v>
      </c>
      <c r="AD70" s="347">
        <f t="shared" si="10"/>
        <v>3610</v>
      </c>
      <c r="AE70" s="347">
        <f t="shared" si="10"/>
        <v>3610</v>
      </c>
      <c r="AF70" s="347">
        <f t="shared" si="10"/>
        <v>3610</v>
      </c>
      <c r="AG70" s="347">
        <f t="shared" si="10"/>
        <v>3610</v>
      </c>
      <c r="AH70" s="347">
        <f t="shared" si="10"/>
        <v>3610</v>
      </c>
      <c r="AI70" s="347">
        <f t="shared" si="10"/>
        <v>3610</v>
      </c>
      <c r="AJ70" s="347">
        <f t="shared" si="10"/>
        <v>3610</v>
      </c>
      <c r="AK70" s="347">
        <f t="shared" si="10"/>
        <v>3610</v>
      </c>
      <c r="AL70" s="347">
        <f t="shared" si="10"/>
        <v>3610</v>
      </c>
      <c r="AM70" s="347">
        <f t="shared" si="10"/>
        <v>3610</v>
      </c>
      <c r="AN70" s="347">
        <f t="shared" si="10"/>
        <v>3610</v>
      </c>
      <c r="AO70" s="347">
        <f t="shared" si="10"/>
        <v>3610</v>
      </c>
      <c r="AP70" s="347">
        <f t="shared" si="10"/>
        <v>3610</v>
      </c>
      <c r="AQ70" s="347">
        <f t="shared" si="10"/>
        <v>3610</v>
      </c>
    </row>
    <row r="71" spans="2:51" x14ac:dyDescent="0.2">
      <c r="B71" s="251" t="s">
        <v>784</v>
      </c>
      <c r="C71" s="527">
        <f t="shared" si="8"/>
        <v>8630</v>
      </c>
      <c r="D71" s="347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  <c r="P71" s="347"/>
      <c r="Q71" s="347"/>
      <c r="R71" s="347"/>
      <c r="S71" s="347"/>
      <c r="T71" s="347">
        <v>8630</v>
      </c>
      <c r="U71" s="347">
        <f>T71</f>
        <v>8630</v>
      </c>
      <c r="V71" s="347">
        <f t="shared" ref="V71:AQ71" si="11">U71</f>
        <v>8630</v>
      </c>
      <c r="W71" s="347">
        <f t="shared" si="11"/>
        <v>8630</v>
      </c>
      <c r="X71" s="347">
        <f t="shared" si="11"/>
        <v>8630</v>
      </c>
      <c r="Y71" s="347">
        <f t="shared" si="11"/>
        <v>8630</v>
      </c>
      <c r="Z71" s="347">
        <f t="shared" si="11"/>
        <v>8630</v>
      </c>
      <c r="AA71" s="347">
        <f t="shared" si="11"/>
        <v>8630</v>
      </c>
      <c r="AB71" s="347">
        <f t="shared" si="11"/>
        <v>8630</v>
      </c>
      <c r="AC71" s="347">
        <f t="shared" si="11"/>
        <v>8630</v>
      </c>
      <c r="AD71" s="347">
        <f t="shared" si="11"/>
        <v>8630</v>
      </c>
      <c r="AE71" s="347">
        <f t="shared" si="11"/>
        <v>8630</v>
      </c>
      <c r="AF71" s="347">
        <f t="shared" si="11"/>
        <v>8630</v>
      </c>
      <c r="AG71" s="347">
        <f t="shared" si="11"/>
        <v>8630</v>
      </c>
      <c r="AH71" s="347">
        <f t="shared" si="11"/>
        <v>8630</v>
      </c>
      <c r="AI71" s="347">
        <f t="shared" si="11"/>
        <v>8630</v>
      </c>
      <c r="AJ71" s="347">
        <f t="shared" si="11"/>
        <v>8630</v>
      </c>
      <c r="AK71" s="347">
        <f t="shared" si="11"/>
        <v>8630</v>
      </c>
      <c r="AL71" s="347">
        <f t="shared" si="11"/>
        <v>8630</v>
      </c>
      <c r="AM71" s="347">
        <f t="shared" si="11"/>
        <v>8630</v>
      </c>
      <c r="AN71" s="347">
        <f t="shared" si="11"/>
        <v>8630</v>
      </c>
      <c r="AO71" s="347">
        <f t="shared" si="11"/>
        <v>8630</v>
      </c>
      <c r="AP71" s="347">
        <f t="shared" si="11"/>
        <v>8630</v>
      </c>
      <c r="AQ71" s="347">
        <f t="shared" si="11"/>
        <v>8630</v>
      </c>
    </row>
    <row r="72" spans="2:51" x14ac:dyDescent="0.2">
      <c r="B72" s="251" t="s">
        <v>747</v>
      </c>
      <c r="C72" s="527">
        <f t="shared" si="8"/>
        <v>22255</v>
      </c>
      <c r="D72" s="347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347"/>
      <c r="T72" s="347">
        <v>22255</v>
      </c>
      <c r="U72" s="347">
        <f>T72</f>
        <v>22255</v>
      </c>
      <c r="V72" s="347">
        <f t="shared" ref="V72:AQ72" si="12">U72</f>
        <v>22255</v>
      </c>
      <c r="W72" s="347">
        <f t="shared" si="12"/>
        <v>22255</v>
      </c>
      <c r="X72" s="347">
        <f t="shared" si="12"/>
        <v>22255</v>
      </c>
      <c r="Y72" s="347">
        <f t="shared" si="12"/>
        <v>22255</v>
      </c>
      <c r="Z72" s="347">
        <f t="shared" si="12"/>
        <v>22255</v>
      </c>
      <c r="AA72" s="347">
        <f t="shared" si="12"/>
        <v>22255</v>
      </c>
      <c r="AB72" s="347">
        <f t="shared" si="12"/>
        <v>22255</v>
      </c>
      <c r="AC72" s="347">
        <f t="shared" si="12"/>
        <v>22255</v>
      </c>
      <c r="AD72" s="347">
        <f t="shared" si="12"/>
        <v>22255</v>
      </c>
      <c r="AE72" s="347">
        <f t="shared" si="12"/>
        <v>22255</v>
      </c>
      <c r="AF72" s="347">
        <f t="shared" si="12"/>
        <v>22255</v>
      </c>
      <c r="AG72" s="347">
        <f t="shared" si="12"/>
        <v>22255</v>
      </c>
      <c r="AH72" s="347">
        <f t="shared" si="12"/>
        <v>22255</v>
      </c>
      <c r="AI72" s="347">
        <f t="shared" si="12"/>
        <v>22255</v>
      </c>
      <c r="AJ72" s="347">
        <f t="shared" si="12"/>
        <v>22255</v>
      </c>
      <c r="AK72" s="347">
        <f t="shared" si="12"/>
        <v>22255</v>
      </c>
      <c r="AL72" s="347">
        <f t="shared" si="12"/>
        <v>22255</v>
      </c>
      <c r="AM72" s="347">
        <f t="shared" si="12"/>
        <v>22255</v>
      </c>
      <c r="AN72" s="347">
        <f t="shared" si="12"/>
        <v>22255</v>
      </c>
      <c r="AO72" s="347">
        <f t="shared" si="12"/>
        <v>22255</v>
      </c>
      <c r="AP72" s="347">
        <f t="shared" si="12"/>
        <v>22255</v>
      </c>
      <c r="AQ72" s="347">
        <f t="shared" si="12"/>
        <v>22255</v>
      </c>
    </row>
    <row r="73" spans="2:51" x14ac:dyDescent="0.2">
      <c r="B73" s="253" t="s">
        <v>489</v>
      </c>
      <c r="C73" s="527">
        <f t="shared" si="8"/>
        <v>58860</v>
      </c>
      <c r="D73" s="527">
        <f t="shared" ref="D73:AQ73" si="13">SUM(D69:D72)</f>
        <v>0</v>
      </c>
      <c r="E73" s="527">
        <f t="shared" si="13"/>
        <v>0</v>
      </c>
      <c r="F73" s="527">
        <f t="shared" si="13"/>
        <v>0</v>
      </c>
      <c r="G73" s="527">
        <f t="shared" si="13"/>
        <v>0</v>
      </c>
      <c r="H73" s="527">
        <f t="shared" si="13"/>
        <v>0</v>
      </c>
      <c r="I73" s="527">
        <f t="shared" si="13"/>
        <v>0</v>
      </c>
      <c r="J73" s="527">
        <f t="shared" si="13"/>
        <v>0</v>
      </c>
      <c r="K73" s="527">
        <f t="shared" si="13"/>
        <v>0</v>
      </c>
      <c r="L73" s="527">
        <f t="shared" si="13"/>
        <v>0</v>
      </c>
      <c r="M73" s="527">
        <f t="shared" si="13"/>
        <v>0</v>
      </c>
      <c r="N73" s="527">
        <f t="shared" si="13"/>
        <v>0</v>
      </c>
      <c r="O73" s="527">
        <f t="shared" si="13"/>
        <v>0</v>
      </c>
      <c r="P73" s="527">
        <f t="shared" si="13"/>
        <v>3610</v>
      </c>
      <c r="Q73" s="527">
        <f t="shared" si="13"/>
        <v>3610</v>
      </c>
      <c r="R73" s="527">
        <f t="shared" si="13"/>
        <v>3610</v>
      </c>
      <c r="S73" s="527">
        <f t="shared" si="13"/>
        <v>3610</v>
      </c>
      <c r="T73" s="527">
        <f t="shared" si="13"/>
        <v>58860</v>
      </c>
      <c r="U73" s="527">
        <f t="shared" si="13"/>
        <v>58860</v>
      </c>
      <c r="V73" s="527">
        <f t="shared" si="13"/>
        <v>58860</v>
      </c>
      <c r="W73" s="527">
        <f t="shared" si="13"/>
        <v>58860</v>
      </c>
      <c r="X73" s="527">
        <f t="shared" si="13"/>
        <v>58860</v>
      </c>
      <c r="Y73" s="527">
        <f t="shared" si="13"/>
        <v>58860</v>
      </c>
      <c r="Z73" s="527">
        <f t="shared" si="13"/>
        <v>58860</v>
      </c>
      <c r="AA73" s="527">
        <f t="shared" si="13"/>
        <v>58860</v>
      </c>
      <c r="AB73" s="527">
        <f t="shared" si="13"/>
        <v>58860</v>
      </c>
      <c r="AC73" s="527">
        <f t="shared" si="13"/>
        <v>58860</v>
      </c>
      <c r="AD73" s="527">
        <f t="shared" si="13"/>
        <v>58860</v>
      </c>
      <c r="AE73" s="527">
        <f t="shared" si="13"/>
        <v>58860</v>
      </c>
      <c r="AF73" s="527">
        <f t="shared" si="13"/>
        <v>58860</v>
      </c>
      <c r="AG73" s="527">
        <f t="shared" si="13"/>
        <v>58860</v>
      </c>
      <c r="AH73" s="527">
        <f t="shared" si="13"/>
        <v>58860</v>
      </c>
      <c r="AI73" s="527">
        <f t="shared" si="13"/>
        <v>58860</v>
      </c>
      <c r="AJ73" s="527">
        <f t="shared" si="13"/>
        <v>58860</v>
      </c>
      <c r="AK73" s="527">
        <f t="shared" si="13"/>
        <v>58860</v>
      </c>
      <c r="AL73" s="527">
        <f t="shared" si="13"/>
        <v>58860</v>
      </c>
      <c r="AM73" s="527">
        <f t="shared" si="13"/>
        <v>58860</v>
      </c>
      <c r="AN73" s="527">
        <f t="shared" si="13"/>
        <v>58860</v>
      </c>
      <c r="AO73" s="527">
        <f t="shared" si="13"/>
        <v>58860</v>
      </c>
      <c r="AP73" s="527">
        <f t="shared" si="13"/>
        <v>58860</v>
      </c>
      <c r="AQ73" s="527">
        <f t="shared" si="13"/>
        <v>58860</v>
      </c>
    </row>
    <row r="74" spans="2:51" x14ac:dyDescent="0.2">
      <c r="B74" s="505"/>
      <c r="C74" s="468"/>
      <c r="D74" s="451"/>
      <c r="E74" s="451"/>
      <c r="F74" s="451"/>
      <c r="G74" s="451"/>
      <c r="H74" s="451"/>
      <c r="I74" s="451"/>
      <c r="J74" s="451"/>
      <c r="K74" s="451"/>
      <c r="L74" s="451"/>
      <c r="M74" s="451"/>
      <c r="N74" s="451"/>
      <c r="O74" s="451"/>
      <c r="P74" s="451"/>
      <c r="Q74" s="451"/>
      <c r="R74" s="451"/>
      <c r="S74" s="451"/>
      <c r="T74" s="451"/>
      <c r="U74" s="451"/>
      <c r="V74" s="451"/>
      <c r="W74" s="451"/>
      <c r="X74" s="451"/>
      <c r="Y74" s="451"/>
      <c r="Z74" s="451"/>
      <c r="AA74" s="451"/>
      <c r="AB74" s="451"/>
      <c r="AC74" s="451"/>
      <c r="AD74" s="451"/>
      <c r="AE74" s="451"/>
      <c r="AF74" s="451"/>
      <c r="AG74" s="451"/>
      <c r="AH74" s="451"/>
      <c r="AI74" s="451"/>
      <c r="AJ74" s="451"/>
      <c r="AK74" s="451"/>
      <c r="AL74" s="451"/>
      <c r="AM74" s="451"/>
      <c r="AN74" s="451"/>
      <c r="AO74" s="451"/>
      <c r="AP74" s="451"/>
      <c r="AQ74" s="451"/>
    </row>
    <row r="75" spans="2:51" x14ac:dyDescent="0.2">
      <c r="B75" s="505"/>
      <c r="C75" s="468"/>
      <c r="D75" s="451"/>
      <c r="E75" s="451"/>
      <c r="F75" s="451"/>
      <c r="G75" s="451"/>
      <c r="H75" s="451"/>
      <c r="I75" s="451"/>
      <c r="J75" s="451"/>
      <c r="K75" s="451"/>
      <c r="L75" s="451"/>
      <c r="M75" s="451"/>
      <c r="N75" s="451"/>
      <c r="O75" s="451"/>
      <c r="P75" s="451"/>
      <c r="Q75" s="451"/>
      <c r="R75" s="451"/>
      <c r="S75" s="451"/>
      <c r="T75" s="451"/>
      <c r="U75" s="451"/>
      <c r="V75" s="451"/>
      <c r="W75" s="451"/>
      <c r="X75" s="451"/>
      <c r="Y75" s="451"/>
      <c r="Z75" s="451"/>
      <c r="AA75" s="451"/>
      <c r="AB75" s="451"/>
      <c r="AC75" s="451"/>
      <c r="AD75" s="451"/>
      <c r="AE75" s="451"/>
      <c r="AF75" s="451"/>
      <c r="AG75" s="451"/>
      <c r="AH75" s="451"/>
      <c r="AI75" s="451"/>
      <c r="AJ75" s="451"/>
      <c r="AK75" s="451"/>
      <c r="AL75" s="451"/>
      <c r="AM75" s="451"/>
      <c r="AN75" s="451"/>
      <c r="AO75" s="451"/>
      <c r="AP75" s="451"/>
      <c r="AQ75" s="451"/>
    </row>
    <row r="76" spans="2:51" x14ac:dyDescent="0.2">
      <c r="B76" s="253" t="s">
        <v>339</v>
      </c>
    </row>
    <row r="77" spans="2:51" s="96" customFormat="1" ht="22.5" x14ac:dyDescent="0.2">
      <c r="B77" s="511" t="s">
        <v>753</v>
      </c>
      <c r="C77" s="75"/>
      <c r="D77" s="512">
        <f>SUM(D65,D73)/SUM($C$65,$C$73)</f>
        <v>0</v>
      </c>
      <c r="E77" s="512">
        <f t="shared" ref="E77:AQ77" si="14">SUM(E65,E73)/SUM($C$65,$C$73)</f>
        <v>0</v>
      </c>
      <c r="F77" s="512">
        <f t="shared" si="14"/>
        <v>0.17994539587987093</v>
      </c>
      <c r="G77" s="512">
        <f t="shared" si="14"/>
        <v>0.17994539587987093</v>
      </c>
      <c r="H77" s="512">
        <f t="shared" si="14"/>
        <v>0.17994539587987093</v>
      </c>
      <c r="I77" s="512">
        <f t="shared" si="14"/>
        <v>0.17994539587987093</v>
      </c>
      <c r="J77" s="512">
        <f t="shared" si="14"/>
        <v>0.17994539587987093</v>
      </c>
      <c r="K77" s="512">
        <f t="shared" si="14"/>
        <v>0.17994539587987093</v>
      </c>
      <c r="L77" s="512">
        <f t="shared" si="14"/>
        <v>0.2695457930007446</v>
      </c>
      <c r="M77" s="512">
        <f t="shared" si="14"/>
        <v>0.2695457930007446</v>
      </c>
      <c r="N77" s="512">
        <f t="shared" si="14"/>
        <v>0.2695457930007446</v>
      </c>
      <c r="O77" s="512">
        <f t="shared" si="14"/>
        <v>0.2695457930007446</v>
      </c>
      <c r="P77" s="512">
        <f t="shared" si="14"/>
        <v>0.31434599156118143</v>
      </c>
      <c r="Q77" s="512">
        <f t="shared" si="14"/>
        <v>0.31434599156118143</v>
      </c>
      <c r="R77" s="512">
        <f t="shared" si="14"/>
        <v>0.31434599156118143</v>
      </c>
      <c r="S77" s="512">
        <f t="shared" si="14"/>
        <v>0.31434599156118143</v>
      </c>
      <c r="T77" s="512">
        <f t="shared" si="14"/>
        <v>1</v>
      </c>
      <c r="U77" s="512">
        <f t="shared" si="14"/>
        <v>1</v>
      </c>
      <c r="V77" s="512">
        <f t="shared" si="14"/>
        <v>1</v>
      </c>
      <c r="W77" s="512">
        <f t="shared" si="14"/>
        <v>1</v>
      </c>
      <c r="X77" s="512">
        <f t="shared" si="14"/>
        <v>1</v>
      </c>
      <c r="Y77" s="512">
        <f t="shared" si="14"/>
        <v>1</v>
      </c>
      <c r="Z77" s="512">
        <f t="shared" si="14"/>
        <v>1</v>
      </c>
      <c r="AA77" s="512">
        <f t="shared" si="14"/>
        <v>1</v>
      </c>
      <c r="AB77" s="512">
        <f t="shared" si="14"/>
        <v>1</v>
      </c>
      <c r="AC77" s="512">
        <f t="shared" si="14"/>
        <v>1</v>
      </c>
      <c r="AD77" s="512">
        <f t="shared" si="14"/>
        <v>1</v>
      </c>
      <c r="AE77" s="512">
        <f t="shared" si="14"/>
        <v>1</v>
      </c>
      <c r="AF77" s="512">
        <f t="shared" si="14"/>
        <v>1</v>
      </c>
      <c r="AG77" s="512">
        <f t="shared" si="14"/>
        <v>1</v>
      </c>
      <c r="AH77" s="512">
        <f t="shared" si="14"/>
        <v>1</v>
      </c>
      <c r="AI77" s="512">
        <f t="shared" si="14"/>
        <v>1</v>
      </c>
      <c r="AJ77" s="512">
        <f t="shared" si="14"/>
        <v>1</v>
      </c>
      <c r="AK77" s="512">
        <f t="shared" si="14"/>
        <v>1</v>
      </c>
      <c r="AL77" s="512">
        <f t="shared" si="14"/>
        <v>1</v>
      </c>
      <c r="AM77" s="512">
        <f t="shared" si="14"/>
        <v>1</v>
      </c>
      <c r="AN77" s="512">
        <f t="shared" si="14"/>
        <v>1</v>
      </c>
      <c r="AO77" s="512">
        <f t="shared" si="14"/>
        <v>1</v>
      </c>
      <c r="AP77" s="512">
        <f t="shared" si="14"/>
        <v>1</v>
      </c>
      <c r="AQ77" s="512">
        <f t="shared" si="14"/>
        <v>1</v>
      </c>
      <c r="AR77" s="1"/>
      <c r="AS77" s="1"/>
      <c r="AT77" s="1"/>
      <c r="AU77" s="1"/>
      <c r="AV77" s="1"/>
      <c r="AW77" s="1"/>
      <c r="AX77" s="1"/>
      <c r="AY77" s="1"/>
    </row>
    <row r="78" spans="2:51" s="96" customFormat="1" x14ac:dyDescent="0.2">
      <c r="B78" s="511"/>
      <c r="C78" s="75"/>
      <c r="D78" s="512"/>
      <c r="E78" s="512"/>
      <c r="F78" s="512"/>
      <c r="G78" s="512"/>
      <c r="H78" s="512"/>
      <c r="I78" s="512"/>
      <c r="J78" s="512"/>
      <c r="K78" s="512"/>
      <c r="L78" s="512"/>
      <c r="M78" s="512"/>
      <c r="N78" s="512"/>
      <c r="O78" s="512"/>
      <c r="P78" s="512"/>
      <c r="Q78" s="512"/>
      <c r="R78" s="512"/>
      <c r="S78" s="512"/>
      <c r="T78" s="512"/>
      <c r="U78" s="512"/>
      <c r="V78" s="512"/>
      <c r="W78" s="512"/>
      <c r="X78" s="512"/>
      <c r="Y78" s="512"/>
      <c r="Z78" s="512"/>
      <c r="AA78" s="512"/>
      <c r="AB78" s="512"/>
      <c r="AC78" s="512"/>
      <c r="AD78" s="512"/>
      <c r="AE78" s="512"/>
      <c r="AF78" s="512"/>
      <c r="AG78" s="512"/>
      <c r="AH78" s="512"/>
      <c r="AI78" s="512"/>
      <c r="AJ78" s="512"/>
      <c r="AK78" s="512"/>
      <c r="AL78" s="512"/>
      <c r="AM78" s="512"/>
      <c r="AN78" s="512"/>
      <c r="AO78" s="512"/>
      <c r="AP78" s="512"/>
      <c r="AQ78" s="512"/>
      <c r="AR78" s="1"/>
      <c r="AS78" s="1"/>
      <c r="AT78" s="1"/>
      <c r="AU78" s="1"/>
      <c r="AV78" s="1"/>
      <c r="AW78" s="1"/>
      <c r="AX78" s="1"/>
      <c r="AY78" s="1"/>
    </row>
    <row r="79" spans="2:51" s="96" customFormat="1" x14ac:dyDescent="0.2">
      <c r="B79" s="511"/>
      <c r="C79" s="75"/>
      <c r="D79" s="1021" t="s">
        <v>568</v>
      </c>
      <c r="E79" s="1021"/>
      <c r="F79" s="1021"/>
      <c r="G79" s="1021"/>
      <c r="H79" s="1021" t="s">
        <v>569</v>
      </c>
      <c r="I79" s="1021"/>
      <c r="J79" s="1021"/>
      <c r="K79" s="1021"/>
      <c r="L79" s="1021" t="s">
        <v>570</v>
      </c>
      <c r="M79" s="1021"/>
      <c r="N79" s="1021"/>
      <c r="O79" s="1021"/>
      <c r="P79" s="1021" t="s">
        <v>571</v>
      </c>
      <c r="Q79" s="1021"/>
      <c r="R79" s="1021"/>
      <c r="S79" s="1021"/>
      <c r="T79" s="1021" t="s">
        <v>572</v>
      </c>
      <c r="U79" s="1021"/>
      <c r="V79" s="1021"/>
      <c r="W79" s="1021"/>
      <c r="X79" s="1021" t="s">
        <v>573</v>
      </c>
      <c r="Y79" s="1021"/>
      <c r="Z79" s="1021"/>
      <c r="AA79" s="1021"/>
      <c r="AB79" s="1021" t="s">
        <v>574</v>
      </c>
      <c r="AC79" s="1021"/>
      <c r="AD79" s="1021"/>
      <c r="AE79" s="1021"/>
      <c r="AF79" s="1021" t="s">
        <v>575</v>
      </c>
      <c r="AG79" s="1021"/>
      <c r="AH79" s="1021"/>
      <c r="AI79" s="1021"/>
      <c r="AJ79" s="1021" t="s">
        <v>576</v>
      </c>
      <c r="AK79" s="1021"/>
      <c r="AL79" s="1021"/>
      <c r="AM79" s="1021"/>
      <c r="AN79" s="1021" t="s">
        <v>577</v>
      </c>
      <c r="AO79" s="1021"/>
      <c r="AP79" s="1021"/>
      <c r="AQ79" s="1021"/>
      <c r="AR79" s="1"/>
      <c r="AS79" s="1"/>
      <c r="AT79" s="1"/>
      <c r="AU79" s="1"/>
      <c r="AV79" s="1"/>
      <c r="AW79" s="1"/>
      <c r="AX79" s="1"/>
      <c r="AY79" s="1"/>
    </row>
    <row r="80" spans="2:51" ht="22.5" x14ac:dyDescent="0.2">
      <c r="B80" s="252" t="s">
        <v>624</v>
      </c>
      <c r="C80" s="525" t="s">
        <v>489</v>
      </c>
      <c r="D80" s="525" t="str">
        <f>Параметры!E$34</f>
        <v>1 кв. 2020</v>
      </c>
      <c r="E80" s="525" t="str">
        <f>Параметры!F$34</f>
        <v>2 кв. 2020</v>
      </c>
      <c r="F80" s="525" t="str">
        <f>Параметры!G$34</f>
        <v>3 кв. 2020</v>
      </c>
      <c r="G80" s="525" t="str">
        <f>Параметры!H$34</f>
        <v>4 кв. 2020</v>
      </c>
      <c r="H80" s="525" t="str">
        <f>Параметры!I$34</f>
        <v>1 кв. 2021</v>
      </c>
      <c r="I80" s="525" t="str">
        <f>Параметры!J$34</f>
        <v>2 кв. 2021</v>
      </c>
      <c r="J80" s="525" t="str">
        <f>Параметры!K$34</f>
        <v>3 кв. 2021</v>
      </c>
      <c r="K80" s="525" t="str">
        <f>Параметры!L$34</f>
        <v>4 кв. 2021</v>
      </c>
      <c r="L80" s="525" t="str">
        <f>Параметры!M$34</f>
        <v>1 кв. 2022</v>
      </c>
      <c r="M80" s="525" t="str">
        <f>Параметры!N$34</f>
        <v>2 кв. 2022</v>
      </c>
      <c r="N80" s="525" t="str">
        <f>Параметры!O$34</f>
        <v>3 кв. 2022</v>
      </c>
      <c r="O80" s="525" t="str">
        <f>Параметры!P$34</f>
        <v>4 кв. 2022</v>
      </c>
      <c r="P80" s="525" t="str">
        <f>Параметры!Q$34</f>
        <v>1 кв. 2023</v>
      </c>
      <c r="Q80" s="525" t="str">
        <f>Параметры!R$34</f>
        <v>2 кв. 2023</v>
      </c>
      <c r="R80" s="525" t="str">
        <f>Параметры!S$34</f>
        <v>3 кв. 2023</v>
      </c>
      <c r="S80" s="525" t="str">
        <f>Параметры!T$34</f>
        <v>4 кв. 2023</v>
      </c>
      <c r="T80" s="525" t="str">
        <f>Параметры!U$34</f>
        <v>1 кв. 2024</v>
      </c>
      <c r="U80" s="525" t="str">
        <f>Параметры!V$34</f>
        <v>2 кв. 2024</v>
      </c>
      <c r="V80" s="525" t="str">
        <f>Параметры!W$34</f>
        <v>3 кв. 2024</v>
      </c>
      <c r="W80" s="525" t="str">
        <f>Параметры!X$34</f>
        <v>4 кв. 2024</v>
      </c>
      <c r="X80" s="525" t="str">
        <f>Параметры!Y$34</f>
        <v>1 кв. 2025</v>
      </c>
      <c r="Y80" s="525" t="str">
        <f>Параметры!Z$34</f>
        <v>2 кв. 2025</v>
      </c>
      <c r="Z80" s="525" t="str">
        <f>Параметры!AA$34</f>
        <v>3 кв. 2025</v>
      </c>
      <c r="AA80" s="525" t="str">
        <f>Параметры!AB$34</f>
        <v>4 кв. 2025</v>
      </c>
      <c r="AB80" s="525" t="str">
        <f>Параметры!AC$34</f>
        <v>1 кв. 2026</v>
      </c>
      <c r="AC80" s="525" t="str">
        <f>Параметры!AD$34</f>
        <v>2 кв. 2026</v>
      </c>
      <c r="AD80" s="525" t="str">
        <f>Параметры!AE$34</f>
        <v>3 кв. 2026</v>
      </c>
      <c r="AE80" s="525" t="str">
        <f>Параметры!AF$34</f>
        <v>4 кв. 2026</v>
      </c>
      <c r="AF80" s="525" t="str">
        <f>Параметры!AG$34</f>
        <v>1 кв. 2027</v>
      </c>
      <c r="AG80" s="525" t="str">
        <f>Параметры!AH$34</f>
        <v>2 кв. 2027</v>
      </c>
      <c r="AH80" s="525" t="str">
        <f>Параметры!AI$34</f>
        <v>3 кв. 2027</v>
      </c>
      <c r="AI80" s="525" t="str">
        <f>Параметры!AJ$34</f>
        <v>4 кв. 2027</v>
      </c>
      <c r="AJ80" s="525" t="str">
        <f>Параметры!AK$34</f>
        <v>1 кв. 2028</v>
      </c>
      <c r="AK80" s="525" t="str">
        <f>Параметры!AL$34</f>
        <v>2 кв. 2028</v>
      </c>
      <c r="AL80" s="525" t="str">
        <f>Параметры!AM$34</f>
        <v>3 кв. 2028</v>
      </c>
      <c r="AM80" s="525" t="str">
        <f>Параметры!AN$34</f>
        <v>4 кв. 2028</v>
      </c>
      <c r="AN80" s="525" t="str">
        <f>Параметры!AO$34</f>
        <v>1 кв. 2029</v>
      </c>
      <c r="AO80" s="525" t="str">
        <f>Параметры!AP$34</f>
        <v>2 кв. 2029</v>
      </c>
      <c r="AP80" s="525" t="str">
        <f>Параметры!AQ$34</f>
        <v>3 кв. 2029</v>
      </c>
      <c r="AQ80" s="525" t="str">
        <f>Параметры!AR$34</f>
        <v>4 кв. 2029</v>
      </c>
    </row>
    <row r="81" spans="2:51" x14ac:dyDescent="0.2">
      <c r="B81" s="251" t="s">
        <v>751</v>
      </c>
      <c r="C81" s="508">
        <f t="shared" ref="C81" si="15">MAX(D81:AY81)</f>
        <v>14.3</v>
      </c>
      <c r="D81" s="507">
        <f t="shared" ref="D81:AQ81" si="16">14.3*D77</f>
        <v>0</v>
      </c>
      <c r="E81" s="507">
        <f t="shared" si="16"/>
        <v>0</v>
      </c>
      <c r="F81" s="507">
        <f t="shared" si="16"/>
        <v>2.5732191610821546</v>
      </c>
      <c r="G81" s="507">
        <f t="shared" si="16"/>
        <v>2.5732191610821546</v>
      </c>
      <c r="H81" s="507">
        <f t="shared" si="16"/>
        <v>2.5732191610821546</v>
      </c>
      <c r="I81" s="507">
        <f t="shared" si="16"/>
        <v>2.5732191610821546</v>
      </c>
      <c r="J81" s="507">
        <f t="shared" si="16"/>
        <v>2.5732191610821546</v>
      </c>
      <c r="K81" s="507">
        <f t="shared" si="16"/>
        <v>2.5732191610821546</v>
      </c>
      <c r="L81" s="507">
        <f t="shared" si="16"/>
        <v>3.8545048399106481</v>
      </c>
      <c r="M81" s="507">
        <f t="shared" si="16"/>
        <v>3.8545048399106481</v>
      </c>
      <c r="N81" s="507">
        <f t="shared" si="16"/>
        <v>3.8545048399106481</v>
      </c>
      <c r="O81" s="507">
        <f t="shared" si="16"/>
        <v>3.8545048399106481</v>
      </c>
      <c r="P81" s="507">
        <f t="shared" si="16"/>
        <v>4.4951476793248943</v>
      </c>
      <c r="Q81" s="507">
        <f t="shared" si="16"/>
        <v>4.4951476793248943</v>
      </c>
      <c r="R81" s="507">
        <f t="shared" si="16"/>
        <v>4.4951476793248943</v>
      </c>
      <c r="S81" s="507">
        <f t="shared" si="16"/>
        <v>4.4951476793248943</v>
      </c>
      <c r="T81" s="507">
        <f t="shared" si="16"/>
        <v>14.3</v>
      </c>
      <c r="U81" s="507">
        <f t="shared" si="16"/>
        <v>14.3</v>
      </c>
      <c r="V81" s="507">
        <f t="shared" si="16"/>
        <v>14.3</v>
      </c>
      <c r="W81" s="507">
        <f t="shared" si="16"/>
        <v>14.3</v>
      </c>
      <c r="X81" s="507">
        <f t="shared" si="16"/>
        <v>14.3</v>
      </c>
      <c r="Y81" s="507">
        <f t="shared" si="16"/>
        <v>14.3</v>
      </c>
      <c r="Z81" s="507">
        <f t="shared" si="16"/>
        <v>14.3</v>
      </c>
      <c r="AA81" s="507">
        <f t="shared" si="16"/>
        <v>14.3</v>
      </c>
      <c r="AB81" s="507">
        <f t="shared" si="16"/>
        <v>14.3</v>
      </c>
      <c r="AC81" s="507">
        <f t="shared" si="16"/>
        <v>14.3</v>
      </c>
      <c r="AD81" s="507">
        <f t="shared" si="16"/>
        <v>14.3</v>
      </c>
      <c r="AE81" s="507">
        <f t="shared" si="16"/>
        <v>14.3</v>
      </c>
      <c r="AF81" s="507">
        <f t="shared" si="16"/>
        <v>14.3</v>
      </c>
      <c r="AG81" s="507">
        <f t="shared" si="16"/>
        <v>14.3</v>
      </c>
      <c r="AH81" s="507">
        <f t="shared" si="16"/>
        <v>14.3</v>
      </c>
      <c r="AI81" s="507">
        <f t="shared" si="16"/>
        <v>14.3</v>
      </c>
      <c r="AJ81" s="507">
        <f t="shared" si="16"/>
        <v>14.3</v>
      </c>
      <c r="AK81" s="507">
        <f t="shared" si="16"/>
        <v>14.3</v>
      </c>
      <c r="AL81" s="507">
        <f t="shared" si="16"/>
        <v>14.3</v>
      </c>
      <c r="AM81" s="507">
        <f t="shared" si="16"/>
        <v>14.3</v>
      </c>
      <c r="AN81" s="507">
        <f t="shared" si="16"/>
        <v>14.3</v>
      </c>
      <c r="AO81" s="507">
        <f t="shared" si="16"/>
        <v>14.3</v>
      </c>
      <c r="AP81" s="507">
        <f t="shared" si="16"/>
        <v>14.3</v>
      </c>
      <c r="AQ81" s="507">
        <f t="shared" si="16"/>
        <v>14.3</v>
      </c>
    </row>
    <row r="82" spans="2:51" s="96" customFormat="1" x14ac:dyDescent="0.2">
      <c r="B82" s="511"/>
      <c r="C82" s="270"/>
      <c r="D82" s="512"/>
      <c r="E82" s="512"/>
      <c r="F82" s="512"/>
      <c r="G82" s="512"/>
      <c r="H82" s="512"/>
      <c r="I82" s="512"/>
      <c r="J82" s="512"/>
      <c r="K82" s="512"/>
      <c r="L82" s="512"/>
      <c r="M82" s="512"/>
      <c r="N82" s="512"/>
      <c r="O82" s="512"/>
      <c r="P82" s="512"/>
      <c r="Q82" s="512"/>
      <c r="R82" s="512"/>
      <c r="S82" s="512"/>
      <c r="T82" s="512"/>
      <c r="U82" s="512"/>
      <c r="V82" s="512"/>
      <c r="W82" s="512"/>
      <c r="X82" s="512"/>
      <c r="Y82" s="512"/>
      <c r="Z82" s="512"/>
      <c r="AA82" s="512"/>
      <c r="AB82" s="512"/>
      <c r="AC82" s="512"/>
      <c r="AD82" s="512"/>
      <c r="AE82" s="512"/>
      <c r="AF82" s="512"/>
      <c r="AG82" s="512"/>
      <c r="AH82" s="512"/>
      <c r="AI82" s="512"/>
      <c r="AJ82" s="512"/>
      <c r="AK82" s="512"/>
      <c r="AL82" s="512"/>
      <c r="AM82" s="512"/>
      <c r="AN82" s="512"/>
      <c r="AO82" s="512"/>
      <c r="AP82" s="512"/>
      <c r="AQ82" s="512"/>
      <c r="AR82" s="1"/>
      <c r="AS82" s="1"/>
      <c r="AT82" s="1"/>
      <c r="AU82" s="1"/>
      <c r="AV82" s="1"/>
      <c r="AW82" s="1"/>
      <c r="AX82" s="1"/>
      <c r="AY82" s="1"/>
    </row>
    <row r="83" spans="2:51" ht="12" thickBot="1" x14ac:dyDescent="0.25"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  <row r="84" spans="2:51" ht="23.25" customHeight="1" thickBot="1" x14ac:dyDescent="0.25">
      <c r="B84" s="476" t="s">
        <v>579</v>
      </c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N84" s="476"/>
      <c r="O84" s="476"/>
      <c r="P84" s="476"/>
      <c r="Q84" s="476"/>
      <c r="R84" s="476"/>
      <c r="S84" s="476"/>
      <c r="T84" s="476"/>
      <c r="U84" s="476"/>
      <c r="V84" s="476"/>
      <c r="W84" s="476"/>
    </row>
    <row r="85" spans="2:51" x14ac:dyDescent="0.2">
      <c r="B85" s="267"/>
      <c r="C85" s="275"/>
      <c r="D85" s="269"/>
      <c r="E85" s="279"/>
      <c r="F85" s="279"/>
      <c r="G85" s="279"/>
      <c r="H85" s="279"/>
      <c r="I85" s="279"/>
      <c r="J85" s="279"/>
      <c r="K85" s="279"/>
      <c r="L85" s="279"/>
      <c r="M85" s="41"/>
      <c r="N85" s="41"/>
    </row>
    <row r="86" spans="2:51" ht="33.75" x14ac:dyDescent="0.2">
      <c r="B86" s="252" t="s">
        <v>981</v>
      </c>
      <c r="C86" s="568" t="s">
        <v>752</v>
      </c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41"/>
    </row>
    <row r="87" spans="2:51" x14ac:dyDescent="0.2">
      <c r="B87" s="251" t="str">
        <f>B63</f>
        <v>Корпус А4</v>
      </c>
      <c r="C87" s="564">
        <v>0.71799999999999997</v>
      </c>
      <c r="D87" s="578" t="s">
        <v>787</v>
      </c>
      <c r="E87" s="272"/>
      <c r="F87" s="272"/>
      <c r="G87" s="272"/>
      <c r="H87" s="272"/>
      <c r="I87" s="272"/>
      <c r="J87" s="272"/>
      <c r="K87" s="272"/>
      <c r="L87" s="272"/>
      <c r="M87" s="272"/>
      <c r="N87" s="41"/>
    </row>
    <row r="88" spans="2:51" x14ac:dyDescent="0.2">
      <c r="B88" s="251" t="s">
        <v>748</v>
      </c>
      <c r="C88" s="564">
        <v>0.75</v>
      </c>
      <c r="D88" s="272"/>
      <c r="E88" s="272"/>
      <c r="F88" s="272"/>
      <c r="G88" s="272"/>
      <c r="H88" s="272"/>
      <c r="I88" s="272"/>
      <c r="J88" s="272"/>
      <c r="K88" s="272"/>
      <c r="L88" s="272"/>
      <c r="M88" s="272"/>
      <c r="N88" s="41"/>
    </row>
    <row r="89" spans="2:51" x14ac:dyDescent="0.2">
      <c r="B89" s="251" t="s">
        <v>783</v>
      </c>
      <c r="C89" s="564">
        <v>0.85</v>
      </c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41"/>
    </row>
    <row r="90" spans="2:51" x14ac:dyDescent="0.2">
      <c r="B90" s="251" t="str">
        <f>B64</f>
        <v>Корпус B2</v>
      </c>
      <c r="C90" s="564">
        <v>0.85</v>
      </c>
      <c r="D90" s="578" t="s">
        <v>787</v>
      </c>
      <c r="E90" s="272"/>
      <c r="F90" s="272"/>
      <c r="G90" s="272"/>
      <c r="H90" s="272"/>
      <c r="I90" s="272"/>
      <c r="J90" s="272"/>
      <c r="K90" s="272"/>
      <c r="L90" s="272"/>
      <c r="M90" s="272"/>
      <c r="N90" s="41"/>
    </row>
    <row r="91" spans="2:51" x14ac:dyDescent="0.2">
      <c r="B91" s="251" t="s">
        <v>784</v>
      </c>
      <c r="C91" s="564">
        <v>0.76</v>
      </c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41"/>
    </row>
    <row r="92" spans="2:51" x14ac:dyDescent="0.2">
      <c r="B92" s="251" t="s">
        <v>747</v>
      </c>
      <c r="C92" s="564">
        <v>0.7</v>
      </c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41"/>
    </row>
    <row r="93" spans="2:51" x14ac:dyDescent="0.2">
      <c r="B93" s="252"/>
      <c r="C93" s="271"/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41"/>
    </row>
    <row r="94" spans="2:51" ht="45.75" customHeight="1" x14ac:dyDescent="0.2">
      <c r="B94" s="252" t="s">
        <v>754</v>
      </c>
      <c r="C94" s="518" t="s">
        <v>755</v>
      </c>
      <c r="D94" s="518" t="s">
        <v>761</v>
      </c>
      <c r="E94" s="272"/>
      <c r="F94" s="272"/>
      <c r="G94" s="272"/>
      <c r="H94" s="272"/>
      <c r="I94" s="272"/>
      <c r="J94" s="272"/>
      <c r="K94" s="272"/>
      <c r="L94" s="272"/>
      <c r="M94" s="272"/>
      <c r="N94" s="41"/>
    </row>
    <row r="95" spans="2:51" x14ac:dyDescent="0.2">
      <c r="B95" s="251" t="s">
        <v>743</v>
      </c>
      <c r="C95" s="507">
        <v>0</v>
      </c>
      <c r="D95" s="585">
        <f t="shared" ref="D95:D100" si="17">C95/D35</f>
        <v>0</v>
      </c>
      <c r="E95" s="578" t="s">
        <v>787</v>
      </c>
      <c r="F95" s="574"/>
      <c r="G95" s="272"/>
      <c r="H95" s="272"/>
      <c r="I95" s="272"/>
      <c r="J95" s="272"/>
      <c r="K95" s="272"/>
      <c r="L95" s="272"/>
      <c r="M95" s="272"/>
      <c r="N95" s="41"/>
    </row>
    <row r="96" spans="2:51" x14ac:dyDescent="0.2">
      <c r="B96" s="251" t="str">
        <f>B69</f>
        <v>БП с ЦОД</v>
      </c>
      <c r="C96" s="507">
        <v>2680150</v>
      </c>
      <c r="D96" s="585">
        <f t="shared" si="17"/>
        <v>110</v>
      </c>
      <c r="E96" s="272"/>
      <c r="F96" s="574"/>
      <c r="G96" s="272"/>
      <c r="H96" s="272"/>
      <c r="I96" s="272"/>
      <c r="J96" s="272"/>
      <c r="K96" s="272"/>
      <c r="L96" s="272"/>
      <c r="M96" s="272"/>
      <c r="N96" s="41"/>
    </row>
    <row r="97" spans="1:23" x14ac:dyDescent="0.2">
      <c r="B97" s="251" t="str">
        <f>B70</f>
        <v>Корпус B1</v>
      </c>
      <c r="C97" s="507">
        <v>353780</v>
      </c>
      <c r="D97" s="585">
        <f t="shared" si="17"/>
        <v>98</v>
      </c>
      <c r="E97" s="272"/>
      <c r="F97" s="574"/>
      <c r="G97" s="272"/>
      <c r="H97" s="272"/>
      <c r="I97" s="272"/>
      <c r="J97" s="272"/>
      <c r="K97" s="272"/>
      <c r="L97" s="272"/>
      <c r="M97" s="272"/>
      <c r="N97" s="41"/>
    </row>
    <row r="98" spans="1:23" x14ac:dyDescent="0.2">
      <c r="B98" s="251" t="s">
        <v>744</v>
      </c>
      <c r="C98" s="507">
        <v>0</v>
      </c>
      <c r="D98" s="585">
        <f t="shared" si="17"/>
        <v>0</v>
      </c>
      <c r="E98" s="578" t="s">
        <v>787</v>
      </c>
      <c r="F98" s="574"/>
      <c r="G98" s="574"/>
      <c r="H98" s="272"/>
      <c r="I98" s="272"/>
      <c r="J98" s="272"/>
      <c r="K98" s="272"/>
      <c r="L98" s="272"/>
      <c r="M98" s="272"/>
      <c r="N98" s="41"/>
    </row>
    <row r="99" spans="1:23" x14ac:dyDescent="0.2">
      <c r="B99" s="251" t="str">
        <f>B71</f>
        <v>Корпус B3</v>
      </c>
      <c r="C99" s="507">
        <v>845740</v>
      </c>
      <c r="D99" s="585">
        <f t="shared" si="17"/>
        <v>98</v>
      </c>
      <c r="E99" s="272"/>
      <c r="F99" s="574"/>
      <c r="G99" s="272"/>
      <c r="H99" s="272"/>
      <c r="I99" s="272"/>
      <c r="J99" s="272"/>
      <c r="K99" s="272"/>
      <c r="L99" s="272"/>
      <c r="M99" s="272"/>
      <c r="N99" s="41"/>
    </row>
    <row r="100" spans="1:23" x14ac:dyDescent="0.2">
      <c r="B100" s="251" t="str">
        <f>B72</f>
        <v>Объект II очереди</v>
      </c>
      <c r="C100" s="507">
        <v>1741000</v>
      </c>
      <c r="D100" s="585">
        <f t="shared" si="17"/>
        <v>78.22961132329813</v>
      </c>
      <c r="E100" s="272"/>
      <c r="F100" s="574"/>
      <c r="G100" s="272"/>
      <c r="H100" s="272"/>
      <c r="I100" s="272"/>
      <c r="J100" s="272"/>
      <c r="K100" s="272"/>
      <c r="L100" s="272"/>
      <c r="M100" s="272"/>
      <c r="N100" s="41"/>
    </row>
    <row r="101" spans="1:23" x14ac:dyDescent="0.2">
      <c r="B101" s="253" t="s">
        <v>489</v>
      </c>
      <c r="C101" s="576">
        <f>SUM(C95:C100)</f>
        <v>5620670</v>
      </c>
      <c r="D101" s="581">
        <f>SUM(C100,C99,C97,C96)/SUM(D36,D37,D39,D40)</f>
        <v>95.492184845395855</v>
      </c>
      <c r="E101" s="272"/>
      <c r="F101" s="577"/>
      <c r="G101" s="272"/>
      <c r="H101" s="272"/>
      <c r="I101" s="272"/>
      <c r="J101" s="272"/>
      <c r="K101" s="272"/>
      <c r="L101" s="272"/>
      <c r="M101" s="272"/>
      <c r="N101" s="41"/>
    </row>
    <row r="102" spans="1:23" x14ac:dyDescent="0.2">
      <c r="B102" s="251"/>
      <c r="C102" s="575"/>
      <c r="D102" s="272"/>
      <c r="E102" s="272"/>
      <c r="F102" s="574"/>
      <c r="G102" s="272"/>
      <c r="H102" s="272"/>
      <c r="I102" s="272"/>
      <c r="J102" s="272"/>
      <c r="K102" s="272"/>
      <c r="L102" s="272"/>
      <c r="M102" s="272"/>
      <c r="N102" s="41"/>
    </row>
    <row r="103" spans="1:23" x14ac:dyDescent="0.2">
      <c r="B103" s="273" t="s">
        <v>982</v>
      </c>
      <c r="C103" s="347">
        <v>5</v>
      </c>
      <c r="D103" s="569" t="s">
        <v>2</v>
      </c>
      <c r="E103" s="272"/>
      <c r="F103" s="272"/>
      <c r="G103" s="272"/>
      <c r="H103" s="272"/>
      <c r="I103" s="272"/>
      <c r="J103" s="272"/>
      <c r="K103" s="272"/>
      <c r="L103" s="272"/>
      <c r="M103" s="272"/>
      <c r="N103" s="41"/>
    </row>
    <row r="104" spans="1:23" x14ac:dyDescent="0.2">
      <c r="B104" s="1"/>
      <c r="I104" s="272"/>
      <c r="J104" s="272"/>
      <c r="K104" s="272"/>
      <c r="L104" s="272"/>
      <c r="M104" s="272"/>
      <c r="N104" s="41"/>
    </row>
    <row r="105" spans="1:23" x14ac:dyDescent="0.2">
      <c r="B105" s="505" t="s">
        <v>762</v>
      </c>
      <c r="C105" s="513">
        <f>0.12*10000</f>
        <v>1200</v>
      </c>
      <c r="D105" s="274" t="s">
        <v>625</v>
      </c>
      <c r="E105" s="274"/>
      <c r="F105" s="274"/>
      <c r="G105" s="274"/>
      <c r="H105" s="41"/>
      <c r="I105" s="41"/>
      <c r="J105" s="41"/>
      <c r="K105" s="41"/>
      <c r="L105" s="41"/>
      <c r="M105" s="41"/>
      <c r="N105" s="41"/>
    </row>
    <row r="106" spans="1:23" x14ac:dyDescent="0.2">
      <c r="B106" s="251"/>
      <c r="C106" s="251"/>
      <c r="D106" s="274"/>
      <c r="E106" s="27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23" ht="22.5" x14ac:dyDescent="0.2">
      <c r="A107" s="514"/>
      <c r="B107" s="590" t="s">
        <v>580</v>
      </c>
      <c r="C107" s="433">
        <v>0.1</v>
      </c>
      <c r="D107" s="591" t="s">
        <v>581</v>
      </c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23" x14ac:dyDescent="0.2">
      <c r="E108" s="90"/>
    </row>
    <row r="109" spans="1:23" ht="12" thickBot="1" x14ac:dyDescent="0.25">
      <c r="E109" s="90"/>
    </row>
    <row r="110" spans="1:23" ht="23.25" customHeight="1" thickBot="1" x14ac:dyDescent="0.25">
      <c r="B110" s="476" t="s">
        <v>582</v>
      </c>
      <c r="C110" s="476"/>
      <c r="D110" s="476"/>
      <c r="E110" s="476"/>
      <c r="F110" s="476"/>
      <c r="G110" s="476"/>
      <c r="H110" s="476"/>
      <c r="I110" s="476"/>
      <c r="J110" s="476"/>
      <c r="K110" s="476"/>
      <c r="L110" s="476"/>
      <c r="M110" s="476"/>
      <c r="N110" s="476"/>
      <c r="O110" s="476"/>
      <c r="P110" s="476"/>
      <c r="Q110" s="476"/>
      <c r="R110" s="476"/>
      <c r="S110" s="476"/>
      <c r="T110" s="476"/>
      <c r="U110" s="476"/>
      <c r="V110" s="476"/>
      <c r="W110" s="476"/>
    </row>
    <row r="111" spans="1:23" x14ac:dyDescent="0.2">
      <c r="E111" s="90"/>
    </row>
    <row r="112" spans="1:23" x14ac:dyDescent="0.2">
      <c r="B112" s="252" t="s">
        <v>583</v>
      </c>
      <c r="E112" s="90"/>
    </row>
    <row r="113" spans="1:5" x14ac:dyDescent="0.2">
      <c r="E113" s="90"/>
    </row>
    <row r="114" spans="1:5" ht="22.5" x14ac:dyDescent="0.2">
      <c r="B114" s="251" t="s">
        <v>584</v>
      </c>
      <c r="C114" s="513">
        <f>16*0.1*2400/12</f>
        <v>320</v>
      </c>
      <c r="D114" s="1" t="s">
        <v>709</v>
      </c>
    </row>
    <row r="115" spans="1:5" x14ac:dyDescent="0.2">
      <c r="B115" s="251"/>
      <c r="C115" s="251"/>
      <c r="E115" s="90"/>
    </row>
    <row r="116" spans="1:5" ht="33.75" x14ac:dyDescent="0.2">
      <c r="B116" s="251" t="s">
        <v>585</v>
      </c>
      <c r="C116" s="347">
        <v>1300</v>
      </c>
      <c r="D116" s="57" t="s">
        <v>586</v>
      </c>
      <c r="E116" s="22"/>
    </row>
    <row r="117" spans="1:5" x14ac:dyDescent="0.2">
      <c r="B117" s="251"/>
      <c r="C117" s="22"/>
      <c r="D117" s="22"/>
      <c r="E117" s="22"/>
    </row>
    <row r="118" spans="1:5" ht="22.5" x14ac:dyDescent="0.2">
      <c r="B118" s="251" t="s">
        <v>763</v>
      </c>
      <c r="C118" s="584">
        <v>2.5000000000000001E-3</v>
      </c>
      <c r="D118" s="57" t="s">
        <v>587</v>
      </c>
      <c r="E118" s="22"/>
    </row>
    <row r="119" spans="1:5" x14ac:dyDescent="0.2">
      <c r="B119" s="251"/>
      <c r="C119" s="22"/>
      <c r="D119" s="22"/>
      <c r="E119" s="22"/>
    </row>
    <row r="120" spans="1:5" x14ac:dyDescent="0.2">
      <c r="B120" s="106" t="s">
        <v>588</v>
      </c>
      <c r="C120" s="507">
        <v>4800</v>
      </c>
      <c r="D120" s="1" t="s">
        <v>589</v>
      </c>
      <c r="E120" s="22"/>
    </row>
    <row r="121" spans="1:5" x14ac:dyDescent="0.2">
      <c r="B121" s="251"/>
      <c r="C121" s="22"/>
      <c r="D121" s="22"/>
      <c r="E121" s="22"/>
    </row>
    <row r="122" spans="1:5" ht="22.5" x14ac:dyDescent="0.2">
      <c r="B122" s="251" t="s">
        <v>626</v>
      </c>
      <c r="C122" s="507">
        <v>480</v>
      </c>
      <c r="D122" s="1" t="s">
        <v>589</v>
      </c>
      <c r="E122" s="22"/>
    </row>
    <row r="123" spans="1:5" x14ac:dyDescent="0.2">
      <c r="B123" s="251"/>
      <c r="C123" s="22"/>
      <c r="D123" s="22"/>
      <c r="E123" s="22"/>
    </row>
    <row r="124" spans="1:5" x14ac:dyDescent="0.2">
      <c r="B124" s="251"/>
      <c r="C124" s="22"/>
      <c r="D124" s="22"/>
      <c r="E124" s="22"/>
    </row>
    <row r="125" spans="1:5" x14ac:dyDescent="0.2">
      <c r="B125" s="252" t="s">
        <v>591</v>
      </c>
      <c r="E125" s="90"/>
    </row>
    <row r="126" spans="1:5" x14ac:dyDescent="0.2">
      <c r="A126" s="514"/>
      <c r="B126" s="251" t="s">
        <v>592</v>
      </c>
      <c r="C126" s="507">
        <v>7.5</v>
      </c>
      <c r="D126" s="515" t="s">
        <v>593</v>
      </c>
      <c r="E126" s="90"/>
    </row>
    <row r="127" spans="1:5" x14ac:dyDescent="0.2">
      <c r="A127" s="514"/>
      <c r="B127" s="251" t="s">
        <v>614</v>
      </c>
      <c r="C127" s="507">
        <v>43.97</v>
      </c>
      <c r="D127" s="515" t="s">
        <v>708</v>
      </c>
      <c r="E127" s="90"/>
    </row>
    <row r="128" spans="1:5" x14ac:dyDescent="0.2">
      <c r="A128" s="514"/>
      <c r="B128" s="251" t="s">
        <v>628</v>
      </c>
      <c r="C128" s="507">
        <v>51.33</v>
      </c>
      <c r="D128" s="515" t="s">
        <v>708</v>
      </c>
      <c r="E128" s="90"/>
    </row>
    <row r="129" spans="1:14" x14ac:dyDescent="0.2">
      <c r="A129" s="514"/>
      <c r="B129" s="251" t="s">
        <v>616</v>
      </c>
      <c r="C129" s="507">
        <v>7.17</v>
      </c>
      <c r="D129" s="515" t="s">
        <v>708</v>
      </c>
      <c r="E129" s="90"/>
    </row>
    <row r="130" spans="1:14" x14ac:dyDescent="0.2">
      <c r="A130" s="514"/>
      <c r="B130" s="251"/>
      <c r="C130" s="251"/>
      <c r="D130" s="251"/>
      <c r="E130" s="90"/>
    </row>
    <row r="131" spans="1:14" ht="45" x14ac:dyDescent="0.2">
      <c r="A131" s="514"/>
      <c r="B131" s="253" t="s">
        <v>1011</v>
      </c>
      <c r="C131" s="280" t="s">
        <v>815</v>
      </c>
      <c r="D131" s="280" t="s">
        <v>813</v>
      </c>
      <c r="E131" s="280" t="s">
        <v>814</v>
      </c>
      <c r="F131" s="529" t="s">
        <v>816</v>
      </c>
    </row>
    <row r="132" spans="1:14" x14ac:dyDescent="0.2">
      <c r="A132" s="514"/>
      <c r="B132" s="251" t="str">
        <f>B87</f>
        <v>Корпус А4</v>
      </c>
      <c r="C132" s="347">
        <f>305.5*24*180*0.7</f>
        <v>923831.99999999988</v>
      </c>
      <c r="D132" s="347">
        <f>72.6*22*12</f>
        <v>19166.399999999998</v>
      </c>
      <c r="E132" s="347">
        <f>D132</f>
        <v>19166.399999999998</v>
      </c>
      <c r="F132" s="451">
        <f t="shared" ref="F132:F137" si="18">(C132*$C$129+D132*$C$127+E132*$C$128)/1000</f>
        <v>8450.4333599999991</v>
      </c>
    </row>
    <row r="133" spans="1:14" x14ac:dyDescent="0.2">
      <c r="A133" s="514"/>
      <c r="B133" s="251" t="s">
        <v>748</v>
      </c>
      <c r="C133" s="347">
        <f>C$132*D36/$D$35</f>
        <v>1552356.3227586204</v>
      </c>
      <c r="D133" s="347">
        <f>D$132*D36/$D$35*0.46</f>
        <v>14814.834107586204</v>
      </c>
      <c r="E133" s="347">
        <f t="shared" ref="E133:E137" si="19">D133</f>
        <v>14814.834107586204</v>
      </c>
      <c r="F133" s="451">
        <f t="shared" si="18"/>
        <v>12542.248524632274</v>
      </c>
    </row>
    <row r="134" spans="1:14" x14ac:dyDescent="0.2">
      <c r="A134" s="514"/>
      <c r="B134" s="251" t="s">
        <v>783</v>
      </c>
      <c r="C134" s="347">
        <f>C$132*D37/$D$35</f>
        <v>230002.31172413789</v>
      </c>
      <c r="D134" s="347">
        <f>D$132*D37/$D$35*0.46</f>
        <v>2195.015437241379</v>
      </c>
      <c r="E134" s="347">
        <f t="shared" si="19"/>
        <v>2195.015437241379</v>
      </c>
      <c r="F134" s="451">
        <f t="shared" si="18"/>
        <v>1858.3015462311721</v>
      </c>
    </row>
    <row r="135" spans="1:14" x14ac:dyDescent="0.2">
      <c r="A135" s="514"/>
      <c r="B135" s="251" t="str">
        <f>B90</f>
        <v>Корпус B2</v>
      </c>
      <c r="C135" s="347">
        <f>C$132*D38/$D$35</f>
        <v>460004.62344827579</v>
      </c>
      <c r="D135" s="347">
        <f>D$132*D38/$D$35*0.46</f>
        <v>4390.030874482758</v>
      </c>
      <c r="E135" s="347">
        <f t="shared" si="19"/>
        <v>4390.030874482758</v>
      </c>
      <c r="F135" s="451">
        <f t="shared" si="18"/>
        <v>3716.6030924623442</v>
      </c>
    </row>
    <row r="136" spans="1:14" x14ac:dyDescent="0.2">
      <c r="A136" s="514"/>
      <c r="B136" s="251" t="s">
        <v>784</v>
      </c>
      <c r="C136" s="347">
        <f>C$132*D39/$D$35</f>
        <v>549839.32137931034</v>
      </c>
      <c r="D136" s="347">
        <f>D$132*D39/$D$35*0.46</f>
        <v>5247.3637737931022</v>
      </c>
      <c r="E136" s="347">
        <f t="shared" si="19"/>
        <v>5247.3637737931022</v>
      </c>
      <c r="F136" s="451">
        <f t="shared" si="18"/>
        <v>4442.4217019321377</v>
      </c>
    </row>
    <row r="137" spans="1:14" x14ac:dyDescent="0.2">
      <c r="A137" s="514"/>
      <c r="B137" s="251" t="s">
        <v>747</v>
      </c>
      <c r="C137" s="347">
        <f>C$132*D40/$D$35</f>
        <v>1417922.8386206895</v>
      </c>
      <c r="D137" s="347">
        <f>D$132*D40/$D$35*0.46</f>
        <v>13531.874946206895</v>
      </c>
      <c r="E137" s="347">
        <f t="shared" si="19"/>
        <v>13531.874946206895</v>
      </c>
      <c r="F137" s="451">
        <f t="shared" si="18"/>
        <v>11456.094435283861</v>
      </c>
    </row>
    <row r="138" spans="1:14" x14ac:dyDescent="0.2">
      <c r="A138" s="514"/>
      <c r="B138" s="253" t="s">
        <v>489</v>
      </c>
      <c r="C138" s="281">
        <f>SUM(C132:C137)</f>
        <v>5133957.4179310342</v>
      </c>
      <c r="D138" s="281">
        <f t="shared" ref="D138:E138" si="20">SUM(D132:D137)</f>
        <v>59345.519139310345</v>
      </c>
      <c r="E138" s="281">
        <f t="shared" si="20"/>
        <v>59345.519139310345</v>
      </c>
      <c r="F138" s="527">
        <f>SUM(F132:F137)</f>
        <v>42466.102660541786</v>
      </c>
    </row>
    <row r="139" spans="1:14" x14ac:dyDescent="0.2">
      <c r="A139" s="514"/>
      <c r="B139" s="251"/>
      <c r="C139" s="251"/>
      <c r="D139" s="251"/>
      <c r="E139" s="90"/>
    </row>
    <row r="140" spans="1:14" x14ac:dyDescent="0.2">
      <c r="B140" s="253" t="s">
        <v>594</v>
      </c>
      <c r="C140" s="268"/>
      <c r="D140" s="269"/>
      <c r="E140" s="269"/>
      <c r="F140" s="269"/>
    </row>
    <row r="142" spans="1:14" ht="45" x14ac:dyDescent="0.2">
      <c r="B142" s="251" t="s">
        <v>627</v>
      </c>
      <c r="C142" s="507">
        <v>1800</v>
      </c>
      <c r="D142" s="1" t="s">
        <v>589</v>
      </c>
    </row>
    <row r="143" spans="1:14" x14ac:dyDescent="0.2">
      <c r="B143" s="1"/>
    </row>
    <row r="144" spans="1:14" x14ac:dyDescent="0.2">
      <c r="B144" s="252" t="s">
        <v>142</v>
      </c>
      <c r="C144" s="268"/>
      <c r="D144" s="107"/>
      <c r="E144" s="271"/>
      <c r="F144" s="41"/>
      <c r="G144" s="41"/>
      <c r="H144" s="41"/>
      <c r="I144" s="41"/>
      <c r="J144" s="41"/>
      <c r="K144" s="41"/>
      <c r="L144" s="41"/>
      <c r="M144" s="41"/>
      <c r="N144" s="41"/>
    </row>
    <row r="145" spans="2:23" x14ac:dyDescent="0.2"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</row>
    <row r="146" spans="2:23" ht="33.75" x14ac:dyDescent="0.2">
      <c r="B146" s="251" t="s">
        <v>774</v>
      </c>
      <c r="C146" s="507">
        <v>1300</v>
      </c>
      <c r="D146" s="1" t="s">
        <v>589</v>
      </c>
      <c r="F146" s="271"/>
      <c r="G146" s="271"/>
      <c r="H146" s="271"/>
      <c r="I146" s="41"/>
      <c r="J146" s="41"/>
      <c r="K146" s="41"/>
      <c r="L146" s="41"/>
      <c r="M146" s="41"/>
      <c r="N146" s="41"/>
    </row>
    <row r="147" spans="2:23" ht="12" thickBot="1" x14ac:dyDescent="0.25">
      <c r="B147" s="276"/>
      <c r="C147" s="276"/>
      <c r="D147" s="276"/>
      <c r="E147" s="276"/>
      <c r="F147" s="276"/>
      <c r="G147" s="276"/>
      <c r="H147" s="276"/>
      <c r="I147" s="41"/>
      <c r="J147" s="41"/>
      <c r="K147" s="41"/>
      <c r="L147" s="41"/>
      <c r="M147" s="41"/>
      <c r="N147" s="41"/>
    </row>
    <row r="148" spans="2:23" ht="23.25" customHeight="1" thickBot="1" x14ac:dyDescent="0.25">
      <c r="B148" s="476" t="s">
        <v>595</v>
      </c>
      <c r="C148" s="476"/>
      <c r="D148" s="476"/>
      <c r="E148" s="476"/>
      <c r="F148" s="476"/>
      <c r="G148" s="476"/>
      <c r="H148" s="476"/>
      <c r="I148" s="476"/>
      <c r="J148" s="476"/>
      <c r="K148" s="476"/>
      <c r="L148" s="476"/>
      <c r="M148" s="476"/>
      <c r="N148" s="476"/>
      <c r="O148" s="476"/>
      <c r="P148" s="476"/>
      <c r="Q148" s="476"/>
      <c r="R148" s="476"/>
      <c r="S148" s="476"/>
      <c r="T148" s="476"/>
      <c r="U148" s="476"/>
      <c r="V148" s="476"/>
      <c r="W148" s="476"/>
    </row>
    <row r="149" spans="2:23" x14ac:dyDescent="0.2"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</row>
    <row r="150" spans="2:23" ht="34.5" thickBot="1" x14ac:dyDescent="0.25">
      <c r="B150" s="252" t="s">
        <v>629</v>
      </c>
      <c r="C150" s="516"/>
      <c r="D150" s="517" t="s">
        <v>596</v>
      </c>
      <c r="E150" s="518"/>
      <c r="F150" s="269"/>
      <c r="G150" s="519" t="s">
        <v>597</v>
      </c>
      <c r="H150" s="269"/>
      <c r="I150" s="269"/>
      <c r="J150" s="269"/>
      <c r="K150" s="269"/>
      <c r="L150" s="269"/>
      <c r="M150" s="269"/>
      <c r="N150" s="269"/>
      <c r="O150" s="269"/>
      <c r="P150" s="269"/>
      <c r="Q150" s="269"/>
    </row>
    <row r="151" spans="2:23" x14ac:dyDescent="0.2">
      <c r="C151" s="529"/>
      <c r="D151" s="41"/>
      <c r="E151" s="518"/>
      <c r="F151" s="51"/>
      <c r="G151" s="51" t="str">
        <f t="shared" ref="G151:R151" si="21">D57</f>
        <v>1 кв. 2020</v>
      </c>
      <c r="H151" s="51" t="str">
        <f t="shared" si="21"/>
        <v>2 кв. 2020</v>
      </c>
      <c r="I151" s="51" t="str">
        <f t="shared" si="21"/>
        <v>3 кв. 2020</v>
      </c>
      <c r="J151" s="520" t="str">
        <f t="shared" si="21"/>
        <v>4 кв. 2020</v>
      </c>
      <c r="K151" s="51" t="str">
        <f t="shared" si="21"/>
        <v>1 кв. 2021</v>
      </c>
      <c r="L151" s="51" t="str">
        <f t="shared" si="21"/>
        <v>2 кв. 2021</v>
      </c>
      <c r="M151" s="51" t="str">
        <f t="shared" si="21"/>
        <v>3 кв. 2021</v>
      </c>
      <c r="N151" s="520" t="str">
        <f t="shared" si="21"/>
        <v>4 кв. 2021</v>
      </c>
      <c r="O151" s="51" t="str">
        <f t="shared" si="21"/>
        <v>1 кв. 2022</v>
      </c>
      <c r="P151" s="51" t="str">
        <f t="shared" si="21"/>
        <v>2 кв. 2022</v>
      </c>
      <c r="Q151" s="51" t="str">
        <f t="shared" si="21"/>
        <v>3 кв. 2022</v>
      </c>
      <c r="R151" s="520" t="str">
        <f t="shared" si="21"/>
        <v>4 кв. 2022</v>
      </c>
      <c r="S151" s="62" t="s">
        <v>590</v>
      </c>
    </row>
    <row r="152" spans="2:23" x14ac:dyDescent="0.2">
      <c r="B152" s="251" t="s">
        <v>598</v>
      </c>
      <c r="C152" s="529"/>
      <c r="D152" s="507">
        <f>57.847</f>
        <v>57.847000000000001</v>
      </c>
      <c r="E152" s="518"/>
      <c r="F152" s="41"/>
      <c r="G152" s="347">
        <v>6</v>
      </c>
      <c r="H152" s="339">
        <f>G152</f>
        <v>6</v>
      </c>
      <c r="I152" s="339">
        <f t="shared" ref="I152:K152" si="22">H152</f>
        <v>6</v>
      </c>
      <c r="J152" s="521">
        <v>13</v>
      </c>
      <c r="K152" s="347">
        <f t="shared" si="22"/>
        <v>13</v>
      </c>
      <c r="L152" s="339">
        <f>K152</f>
        <v>13</v>
      </c>
      <c r="M152" s="339">
        <v>21</v>
      </c>
      <c r="N152" s="521">
        <f t="shared" ref="N152:N154" si="23">M152</f>
        <v>21</v>
      </c>
      <c r="O152" s="339">
        <f>N152</f>
        <v>21</v>
      </c>
      <c r="P152" s="339">
        <f t="shared" ref="P152:P154" si="24">O152</f>
        <v>21</v>
      </c>
      <c r="Q152" s="339">
        <f t="shared" ref="Q152:Q154" si="25">P152</f>
        <v>21</v>
      </c>
      <c r="R152" s="521">
        <f t="shared" ref="R152:R153" si="26">Q152</f>
        <v>21</v>
      </c>
    </row>
    <row r="153" spans="2:23" x14ac:dyDescent="0.2">
      <c r="B153" s="251" t="s">
        <v>78</v>
      </c>
      <c r="C153" s="529"/>
      <c r="D153" s="507"/>
      <c r="E153" s="518"/>
      <c r="F153" s="274"/>
      <c r="G153" s="347"/>
      <c r="H153" s="339">
        <f t="shared" ref="H153:J154" si="27">G153</f>
        <v>0</v>
      </c>
      <c r="I153" s="339">
        <f t="shared" si="27"/>
        <v>0</v>
      </c>
      <c r="J153" s="521">
        <f t="shared" si="27"/>
        <v>0</v>
      </c>
      <c r="K153" s="347"/>
      <c r="L153" s="339">
        <f t="shared" ref="L153:L154" si="28">K153</f>
        <v>0</v>
      </c>
      <c r="M153" s="339">
        <f t="shared" ref="M153" si="29">L153</f>
        <v>0</v>
      </c>
      <c r="N153" s="521">
        <f t="shared" si="23"/>
        <v>0</v>
      </c>
      <c r="O153" s="339">
        <f>N153</f>
        <v>0</v>
      </c>
      <c r="P153" s="339">
        <f t="shared" si="24"/>
        <v>0</v>
      </c>
      <c r="Q153" s="339">
        <f t="shared" si="25"/>
        <v>0</v>
      </c>
      <c r="R153" s="521">
        <f t="shared" si="26"/>
        <v>0</v>
      </c>
    </row>
    <row r="154" spans="2:23" x14ac:dyDescent="0.2">
      <c r="B154" s="251" t="s">
        <v>77</v>
      </c>
      <c r="C154" s="529"/>
      <c r="D154" s="507">
        <f>38.75</f>
        <v>38.75</v>
      </c>
      <c r="E154" s="518"/>
      <c r="F154" s="41"/>
      <c r="G154" s="347">
        <v>0</v>
      </c>
      <c r="H154" s="339">
        <f t="shared" si="27"/>
        <v>0</v>
      </c>
      <c r="I154" s="339">
        <f t="shared" ref="I154" si="30">H154</f>
        <v>0</v>
      </c>
      <c r="J154" s="521">
        <f t="shared" ref="J154" si="31">I154</f>
        <v>0</v>
      </c>
      <c r="K154" s="347">
        <f t="shared" ref="K154" si="32">J154</f>
        <v>0</v>
      </c>
      <c r="L154" s="339">
        <f t="shared" si="28"/>
        <v>0</v>
      </c>
      <c r="M154" s="339">
        <v>12</v>
      </c>
      <c r="N154" s="521">
        <f t="shared" si="23"/>
        <v>12</v>
      </c>
      <c r="O154" s="339">
        <f t="shared" ref="O154" si="33">N154</f>
        <v>12</v>
      </c>
      <c r="P154" s="339">
        <f t="shared" si="24"/>
        <v>12</v>
      </c>
      <c r="Q154" s="339">
        <f t="shared" si="25"/>
        <v>12</v>
      </c>
      <c r="R154" s="521">
        <v>18</v>
      </c>
    </row>
    <row r="155" spans="2:23" x14ac:dyDescent="0.2">
      <c r="B155" s="251"/>
      <c r="C155" s="529"/>
      <c r="D155" s="251"/>
      <c r="E155" s="518"/>
      <c r="J155" s="522"/>
      <c r="N155" s="522"/>
      <c r="R155" s="522"/>
    </row>
    <row r="156" spans="2:23" ht="12" thickBot="1" x14ac:dyDescent="0.25">
      <c r="B156" s="253" t="s">
        <v>489</v>
      </c>
      <c r="C156" s="529"/>
      <c r="D156" s="523">
        <f>SUMPRODUCT(R152:R154,D152:D154)/R156</f>
        <v>49.033000000000001</v>
      </c>
      <c r="E156" s="518"/>
      <c r="G156" s="509">
        <f t="shared" ref="G156:J156" si="34">SUM(G152:G154)</f>
        <v>6</v>
      </c>
      <c r="H156" s="509">
        <f t="shared" si="34"/>
        <v>6</v>
      </c>
      <c r="I156" s="509">
        <f t="shared" si="34"/>
        <v>6</v>
      </c>
      <c r="J156" s="524">
        <f t="shared" si="34"/>
        <v>13</v>
      </c>
      <c r="K156" s="527">
        <f t="shared" ref="K156:R156" si="35">SUM(K152:K154)</f>
        <v>13</v>
      </c>
      <c r="L156" s="527">
        <f t="shared" si="35"/>
        <v>13</v>
      </c>
      <c r="M156" s="527">
        <f t="shared" si="35"/>
        <v>33</v>
      </c>
      <c r="N156" s="524">
        <f t="shared" si="35"/>
        <v>33</v>
      </c>
      <c r="O156" s="527">
        <f t="shared" si="35"/>
        <v>33</v>
      </c>
      <c r="P156" s="527">
        <f t="shared" si="35"/>
        <v>33</v>
      </c>
      <c r="Q156" s="527">
        <f t="shared" si="35"/>
        <v>33</v>
      </c>
      <c r="R156" s="524">
        <f t="shared" si="35"/>
        <v>39</v>
      </c>
    </row>
    <row r="157" spans="2:23" ht="12" thickBot="1" x14ac:dyDescent="0.25">
      <c r="E157" s="90"/>
    </row>
    <row r="158" spans="2:23" ht="23.25" customHeight="1" thickBot="1" x14ac:dyDescent="0.25">
      <c r="B158" s="476" t="s">
        <v>599</v>
      </c>
      <c r="C158" s="476"/>
      <c r="D158" s="476"/>
      <c r="E158" s="476"/>
      <c r="F158" s="476"/>
      <c r="G158" s="476"/>
      <c r="H158" s="476"/>
      <c r="I158" s="476"/>
      <c r="J158" s="476"/>
      <c r="K158" s="476"/>
      <c r="L158" s="476"/>
      <c r="M158" s="476"/>
      <c r="N158" s="476"/>
      <c r="O158" s="476"/>
      <c r="P158" s="476"/>
      <c r="Q158" s="476"/>
      <c r="R158" s="476"/>
      <c r="S158" s="476"/>
      <c r="T158" s="476"/>
      <c r="U158" s="476"/>
      <c r="V158" s="476"/>
      <c r="W158" s="476"/>
    </row>
    <row r="159" spans="2:23" x14ac:dyDescent="0.2">
      <c r="E159" s="90"/>
    </row>
    <row r="160" spans="2:23" x14ac:dyDescent="0.2">
      <c r="C160" s="273"/>
    </row>
    <row r="161" spans="2:43" x14ac:dyDescent="0.2">
      <c r="B161" s="252" t="s">
        <v>630</v>
      </c>
      <c r="C161" s="252"/>
      <c r="D161" s="251"/>
      <c r="F161" s="1023">
        <v>2020</v>
      </c>
      <c r="G161" s="1023"/>
      <c r="H161" s="1023"/>
      <c r="I161" s="1023"/>
      <c r="J161" s="1023">
        <v>2021</v>
      </c>
      <c r="K161" s="1023"/>
      <c r="L161" s="1023"/>
      <c r="M161" s="1023"/>
      <c r="N161" s="1023">
        <v>2022</v>
      </c>
      <c r="O161" s="1023"/>
      <c r="P161" s="1023"/>
      <c r="Q161" s="1023"/>
      <c r="R161" s="1023">
        <v>2023</v>
      </c>
      <c r="S161" s="1023"/>
      <c r="T161" s="1023"/>
      <c r="U161" s="1023"/>
    </row>
    <row r="162" spans="2:43" ht="33.75" x14ac:dyDescent="0.2">
      <c r="B162" s="251" t="s">
        <v>453</v>
      </c>
      <c r="C162" s="529" t="s">
        <v>776</v>
      </c>
      <c r="D162" s="516" t="s">
        <v>489</v>
      </c>
      <c r="E162" s="529" t="s">
        <v>649</v>
      </c>
      <c r="F162" s="51" t="str">
        <f>Параметры!E$34</f>
        <v>1 кв. 2020</v>
      </c>
      <c r="G162" s="525" t="str">
        <f>Параметры!F$34</f>
        <v>2 кв. 2020</v>
      </c>
      <c r="H162" s="525" t="str">
        <f>Параметры!G$34</f>
        <v>3 кв. 2020</v>
      </c>
      <c r="I162" s="525" t="str">
        <f>Параметры!H$34</f>
        <v>4 кв. 2020</v>
      </c>
      <c r="J162" s="525" t="str">
        <f>Параметры!I$34</f>
        <v>1 кв. 2021</v>
      </c>
      <c r="K162" s="525" t="str">
        <f>Параметры!J$34</f>
        <v>2 кв. 2021</v>
      </c>
      <c r="L162" s="525" t="str">
        <f>Параметры!K$34</f>
        <v>3 кв. 2021</v>
      </c>
      <c r="M162" s="525" t="str">
        <f>Параметры!L$34</f>
        <v>4 кв. 2021</v>
      </c>
      <c r="N162" s="525" t="str">
        <f>Параметры!M$34</f>
        <v>1 кв. 2022</v>
      </c>
      <c r="O162" s="525" t="str">
        <f>Параметры!N$34</f>
        <v>2 кв. 2022</v>
      </c>
      <c r="P162" s="525" t="str">
        <f>Параметры!O$34</f>
        <v>3 кв. 2022</v>
      </c>
      <c r="Q162" s="525" t="str">
        <f>Параметры!P$34</f>
        <v>4 кв. 2022</v>
      </c>
      <c r="R162" s="525" t="str">
        <f>Параметры!Q$34</f>
        <v>1 кв. 2023</v>
      </c>
      <c r="S162" s="525" t="str">
        <f>Параметры!R$34</f>
        <v>2 кв. 2023</v>
      </c>
      <c r="T162" s="525" t="str">
        <f>Параметры!S$34</f>
        <v>3 кв. 2023</v>
      </c>
      <c r="U162" s="525" t="str">
        <f>Параметры!T$34</f>
        <v>4 кв. 2023</v>
      </c>
    </row>
    <row r="163" spans="2:43" x14ac:dyDescent="0.2">
      <c r="B163" s="254" t="s">
        <v>764</v>
      </c>
      <c r="C163" s="572">
        <f t="shared" ref="C163:C168" si="36">C35</f>
        <v>1153335</v>
      </c>
      <c r="D163" s="526">
        <f>SUM(F163:AI163)</f>
        <v>0.5</v>
      </c>
      <c r="E163" s="366" t="s">
        <v>766</v>
      </c>
      <c r="F163" s="366">
        <v>0.25</v>
      </c>
      <c r="G163" s="366">
        <v>0.25</v>
      </c>
      <c r="H163" s="366"/>
      <c r="I163" s="366"/>
      <c r="J163" s="366"/>
      <c r="K163" s="366"/>
      <c r="L163" s="366"/>
      <c r="M163" s="366"/>
      <c r="N163" s="366"/>
      <c r="O163" s="366"/>
      <c r="P163" s="366"/>
      <c r="Q163" s="366"/>
      <c r="R163" s="366"/>
      <c r="S163" s="366"/>
      <c r="T163" s="366"/>
      <c r="U163" s="366"/>
    </row>
    <row r="164" spans="2:43" x14ac:dyDescent="0.2">
      <c r="B164" s="254" t="str">
        <f>B36</f>
        <v>Бизнес-пространство с ЦОД</v>
      </c>
      <c r="C164" s="572">
        <f t="shared" si="36"/>
        <v>1827000</v>
      </c>
      <c r="D164" s="526">
        <f t="shared" ref="D164:D168" si="37">SUM(F164:AI164)</f>
        <v>0.99999999999999989</v>
      </c>
      <c r="E164" s="366" t="s">
        <v>768</v>
      </c>
      <c r="F164" s="366"/>
      <c r="G164" s="366"/>
      <c r="H164" s="366"/>
      <c r="I164" s="366"/>
      <c r="J164" s="366"/>
      <c r="K164" s="366"/>
      <c r="L164" s="366"/>
      <c r="M164" s="366"/>
      <c r="N164" s="366">
        <v>0.05</v>
      </c>
      <c r="O164" s="366">
        <v>0.1</v>
      </c>
      <c r="P164" s="366">
        <v>0.15</v>
      </c>
      <c r="Q164" s="366">
        <v>0.1</v>
      </c>
      <c r="R164" s="366">
        <v>0.1</v>
      </c>
      <c r="S164" s="366">
        <v>0.2</v>
      </c>
      <c r="T164" s="366">
        <v>0.2</v>
      </c>
      <c r="U164" s="366">
        <v>0.1</v>
      </c>
    </row>
    <row r="165" spans="2:43" x14ac:dyDescent="0.2">
      <c r="B165" s="254" t="str">
        <f>B37</f>
        <v>Корпус В1</v>
      </c>
      <c r="C165" s="572">
        <f t="shared" si="36"/>
        <v>320000</v>
      </c>
      <c r="D165" s="526">
        <f t="shared" si="37"/>
        <v>1</v>
      </c>
      <c r="E165" s="366" t="s">
        <v>767</v>
      </c>
      <c r="F165" s="366"/>
      <c r="G165" s="366"/>
      <c r="H165" s="366"/>
      <c r="I165" s="366"/>
      <c r="J165" s="366"/>
      <c r="K165" s="366"/>
      <c r="L165" s="366"/>
      <c r="M165" s="366"/>
      <c r="N165" s="366">
        <v>0.1</v>
      </c>
      <c r="O165" s="366">
        <v>0.3</v>
      </c>
      <c r="P165" s="366">
        <v>0.4</v>
      </c>
      <c r="Q165" s="366">
        <v>0.2</v>
      </c>
      <c r="R165" s="366"/>
      <c r="S165" s="366"/>
      <c r="T165" s="366"/>
      <c r="U165" s="366"/>
    </row>
    <row r="166" spans="2:43" x14ac:dyDescent="0.2">
      <c r="B166" s="254" t="str">
        <f>B38</f>
        <v>Корпус В2</v>
      </c>
      <c r="C166" s="572">
        <f t="shared" si="36"/>
        <v>540000</v>
      </c>
      <c r="D166" s="526">
        <f t="shared" si="37"/>
        <v>1</v>
      </c>
      <c r="E166" s="366" t="s">
        <v>769</v>
      </c>
      <c r="F166" s="366"/>
      <c r="G166" s="366"/>
      <c r="H166" s="366"/>
      <c r="I166" s="366"/>
      <c r="J166" s="366">
        <v>0.1</v>
      </c>
      <c r="K166" s="366">
        <v>0.3</v>
      </c>
      <c r="L166" s="366">
        <v>0.4</v>
      </c>
      <c r="M166" s="366">
        <v>0.2</v>
      </c>
      <c r="N166" s="366"/>
      <c r="O166" s="366"/>
      <c r="P166" s="366"/>
      <c r="Q166" s="366"/>
      <c r="R166" s="366"/>
      <c r="S166" s="366"/>
      <c r="T166" s="366"/>
      <c r="U166" s="366"/>
    </row>
    <row r="167" spans="2:43" x14ac:dyDescent="0.2">
      <c r="B167" s="254" t="str">
        <f>B39</f>
        <v>Корпус В3</v>
      </c>
      <c r="C167" s="572">
        <f t="shared" si="36"/>
        <v>655000</v>
      </c>
      <c r="D167" s="526">
        <f t="shared" si="37"/>
        <v>1</v>
      </c>
      <c r="E167" s="366" t="s">
        <v>768</v>
      </c>
      <c r="F167" s="366"/>
      <c r="G167" s="366"/>
      <c r="H167" s="366"/>
      <c r="I167" s="366"/>
      <c r="J167" s="366"/>
      <c r="K167" s="366"/>
      <c r="L167" s="366"/>
      <c r="M167" s="366"/>
      <c r="N167" s="366"/>
      <c r="O167" s="366"/>
      <c r="P167" s="366"/>
      <c r="Q167" s="366"/>
      <c r="R167" s="366">
        <v>0.1</v>
      </c>
      <c r="S167" s="366">
        <v>0.3</v>
      </c>
      <c r="T167" s="366">
        <v>0.4</v>
      </c>
      <c r="U167" s="366">
        <v>0.2</v>
      </c>
    </row>
    <row r="168" spans="2:43" x14ac:dyDescent="0.2">
      <c r="B168" s="254" t="str">
        <f>B40</f>
        <v>Объект II очереди</v>
      </c>
      <c r="C168" s="572">
        <f t="shared" si="36"/>
        <v>1244000</v>
      </c>
      <c r="D168" s="526">
        <f t="shared" si="37"/>
        <v>0.99999999999999989</v>
      </c>
      <c r="E168" s="366" t="s">
        <v>768</v>
      </c>
      <c r="F168" s="366"/>
      <c r="G168" s="366"/>
      <c r="H168" s="366"/>
      <c r="I168" s="366"/>
      <c r="J168" s="366"/>
      <c r="K168" s="366"/>
      <c r="L168" s="366"/>
      <c r="M168" s="366"/>
      <c r="N168" s="366">
        <v>0.05</v>
      </c>
      <c r="O168" s="366">
        <v>0.1</v>
      </c>
      <c r="P168" s="366">
        <v>0.15</v>
      </c>
      <c r="Q168" s="366">
        <v>0.1</v>
      </c>
      <c r="R168" s="366">
        <v>0.1</v>
      </c>
      <c r="S168" s="366">
        <v>0.2</v>
      </c>
      <c r="T168" s="366">
        <v>0.2</v>
      </c>
      <c r="U168" s="366">
        <v>0.1</v>
      </c>
    </row>
    <row r="169" spans="2:43" x14ac:dyDescent="0.2">
      <c r="B169" s="510" t="s">
        <v>489</v>
      </c>
      <c r="C169" s="530">
        <f>SUM(C163:C168)</f>
        <v>5739335</v>
      </c>
      <c r="D169" s="526"/>
      <c r="E169" s="526"/>
      <c r="F169" s="950">
        <f>SUMPRODUCT(F163:F168,$C$163:$C$168)</f>
        <v>288333.75</v>
      </c>
      <c r="G169" s="950">
        <f t="shared" ref="G169:U169" si="38">SUMPRODUCT(G163:G168,$C$163:$C$168)</f>
        <v>288333.75</v>
      </c>
      <c r="H169" s="950">
        <f t="shared" si="38"/>
        <v>0</v>
      </c>
      <c r="I169" s="950">
        <f t="shared" si="38"/>
        <v>0</v>
      </c>
      <c r="J169" s="950">
        <f t="shared" si="38"/>
        <v>54000</v>
      </c>
      <c r="K169" s="950">
        <f t="shared" si="38"/>
        <v>162000</v>
      </c>
      <c r="L169" s="950">
        <f t="shared" si="38"/>
        <v>216000</v>
      </c>
      <c r="M169" s="950">
        <f t="shared" si="38"/>
        <v>108000</v>
      </c>
      <c r="N169" s="950">
        <f t="shared" si="38"/>
        <v>185550</v>
      </c>
      <c r="O169" s="950">
        <f t="shared" si="38"/>
        <v>403100</v>
      </c>
      <c r="P169" s="950">
        <f t="shared" si="38"/>
        <v>588650</v>
      </c>
      <c r="Q169" s="950">
        <f t="shared" si="38"/>
        <v>371100</v>
      </c>
      <c r="R169" s="950">
        <f t="shared" si="38"/>
        <v>372600</v>
      </c>
      <c r="S169" s="950">
        <f t="shared" si="38"/>
        <v>810700</v>
      </c>
      <c r="T169" s="950">
        <f t="shared" si="38"/>
        <v>876200</v>
      </c>
      <c r="U169" s="950">
        <f t="shared" si="38"/>
        <v>438100</v>
      </c>
      <c r="V169" s="526"/>
      <c r="W169" s="526"/>
      <c r="X169" s="526"/>
      <c r="Y169" s="526"/>
      <c r="Z169" s="526"/>
      <c r="AA169" s="526"/>
      <c r="AB169" s="526"/>
      <c r="AC169" s="526"/>
      <c r="AD169" s="526"/>
      <c r="AE169" s="526"/>
      <c r="AF169" s="526"/>
      <c r="AG169" s="526"/>
      <c r="AH169" s="526"/>
      <c r="AI169" s="526"/>
      <c r="AJ169" s="526"/>
      <c r="AK169" s="526"/>
      <c r="AL169" s="526"/>
      <c r="AM169" s="526"/>
      <c r="AN169" s="526"/>
      <c r="AO169" s="526"/>
      <c r="AP169" s="526"/>
      <c r="AQ169" s="526"/>
    </row>
    <row r="170" spans="2:43" x14ac:dyDescent="0.2">
      <c r="B170" s="510" t="s">
        <v>941</v>
      </c>
      <c r="C170" s="530"/>
      <c r="D170" s="526"/>
      <c r="E170" s="526"/>
      <c r="F170" s="1022">
        <f>SUM(F169:I169)</f>
        <v>576667.5</v>
      </c>
      <c r="G170" s="1022"/>
      <c r="H170" s="1022"/>
      <c r="I170" s="1022"/>
      <c r="J170" s="1022">
        <f t="shared" ref="J170" si="39">SUM(J169:M169)</f>
        <v>540000</v>
      </c>
      <c r="K170" s="1022"/>
      <c r="L170" s="1022"/>
      <c r="M170" s="1022"/>
      <c r="N170" s="1022">
        <f t="shared" ref="N170" si="40">SUM(N169:Q169)</f>
        <v>1548400</v>
      </c>
      <c r="O170" s="1022"/>
      <c r="P170" s="1022"/>
      <c r="Q170" s="1022"/>
      <c r="R170" s="1022">
        <f t="shared" ref="R170" si="41">SUM(R169:U169)</f>
        <v>2497600</v>
      </c>
      <c r="S170" s="1022"/>
      <c r="T170" s="1022"/>
      <c r="U170" s="1022"/>
      <c r="V170" s="526"/>
      <c r="W170" s="526"/>
      <c r="X170" s="526"/>
      <c r="Y170" s="526"/>
      <c r="Z170" s="526"/>
      <c r="AA170" s="526"/>
      <c r="AB170" s="526"/>
      <c r="AC170" s="526"/>
      <c r="AD170" s="526"/>
      <c r="AE170" s="526"/>
      <c r="AF170" s="526"/>
      <c r="AG170" s="526"/>
      <c r="AH170" s="526"/>
      <c r="AI170" s="526"/>
      <c r="AJ170" s="526"/>
      <c r="AK170" s="526"/>
      <c r="AL170" s="526"/>
      <c r="AM170" s="526"/>
      <c r="AN170" s="526"/>
      <c r="AO170" s="526"/>
      <c r="AP170" s="526"/>
      <c r="AQ170" s="526"/>
    </row>
    <row r="171" spans="2:43" x14ac:dyDescent="0.2">
      <c r="B171" s="570" t="s">
        <v>765</v>
      </c>
      <c r="C171" s="570"/>
      <c r="F171" s="90"/>
    </row>
    <row r="172" spans="2:43" x14ac:dyDescent="0.2">
      <c r="C172" s="273"/>
      <c r="F172" s="90"/>
    </row>
    <row r="173" spans="2:43" x14ac:dyDescent="0.2">
      <c r="B173" s="273" t="s">
        <v>600</v>
      </c>
      <c r="C173" s="273"/>
      <c r="D173" s="347">
        <v>20</v>
      </c>
      <c r="E173" s="1" t="s">
        <v>2</v>
      </c>
      <c r="F173" s="90"/>
    </row>
    <row r="174" spans="2:43" x14ac:dyDescent="0.2">
      <c r="C174" s="273"/>
      <c r="F174" s="90"/>
    </row>
    <row r="175" spans="2:43" x14ac:dyDescent="0.2">
      <c r="B175" s="252" t="s">
        <v>601</v>
      </c>
      <c r="C175" s="252"/>
      <c r="D175" s="251"/>
      <c r="F175" s="1023">
        <v>2020</v>
      </c>
      <c r="G175" s="1023"/>
      <c r="H175" s="1023"/>
      <c r="I175" s="1023"/>
      <c r="J175" s="1023">
        <v>2021</v>
      </c>
      <c r="K175" s="1023"/>
      <c r="L175" s="1023"/>
      <c r="M175" s="1023"/>
      <c r="N175" s="1023">
        <v>2022</v>
      </c>
      <c r="O175" s="1023"/>
      <c r="P175" s="1023"/>
      <c r="Q175" s="1023"/>
      <c r="R175" s="1023">
        <v>2023</v>
      </c>
      <c r="S175" s="1023"/>
      <c r="T175" s="1023"/>
      <c r="U175" s="1023"/>
    </row>
    <row r="176" spans="2:43" ht="33.75" x14ac:dyDescent="0.2">
      <c r="B176" s="251" t="s">
        <v>453</v>
      </c>
      <c r="C176" s="529" t="s">
        <v>776</v>
      </c>
      <c r="D176" s="529" t="s">
        <v>489</v>
      </c>
      <c r="E176" s="529" t="s">
        <v>649</v>
      </c>
      <c r="F176" s="525" t="str">
        <f>Параметры!E$34</f>
        <v>1 кв. 2020</v>
      </c>
      <c r="G176" s="525" t="str">
        <f>Параметры!F$34</f>
        <v>2 кв. 2020</v>
      </c>
      <c r="H176" s="525" t="str">
        <f>Параметры!G$34</f>
        <v>3 кв. 2020</v>
      </c>
      <c r="I176" s="525" t="str">
        <f>Параметры!H$34</f>
        <v>4 кв. 2020</v>
      </c>
      <c r="J176" s="525" t="str">
        <f>Параметры!I$34</f>
        <v>1 кв. 2021</v>
      </c>
      <c r="K176" s="525" t="str">
        <f>Параметры!J$34</f>
        <v>2 кв. 2021</v>
      </c>
      <c r="L176" s="525" t="str">
        <f>Параметры!K$34</f>
        <v>3 кв. 2021</v>
      </c>
      <c r="M176" s="525" t="str">
        <f>Параметры!L$34</f>
        <v>4 кв. 2021</v>
      </c>
      <c r="N176" s="525" t="str">
        <f>Параметры!M$34</f>
        <v>1 кв. 2022</v>
      </c>
      <c r="O176" s="525" t="str">
        <f>Параметры!N$34</f>
        <v>2 кв. 2022</v>
      </c>
      <c r="P176" s="525" t="str">
        <f>Параметры!O$34</f>
        <v>3 кв. 2022</v>
      </c>
      <c r="Q176" s="525" t="str">
        <f>Параметры!P$34</f>
        <v>4 кв. 2022</v>
      </c>
      <c r="R176" s="525" t="str">
        <f>Параметры!Q$34</f>
        <v>1 кв. 2023</v>
      </c>
      <c r="S176" s="525" t="str">
        <f>Параметры!R$34</f>
        <v>2 кв. 2023</v>
      </c>
      <c r="T176" s="525" t="str">
        <f>Параметры!S$34</f>
        <v>3 кв. 2023</v>
      </c>
      <c r="U176" s="525" t="str">
        <f>Параметры!T$34</f>
        <v>4 кв. 2023</v>
      </c>
    </row>
    <row r="177" spans="2:43" x14ac:dyDescent="0.2">
      <c r="B177" s="254" t="s">
        <v>613</v>
      </c>
      <c r="C177" s="572">
        <f t="shared" ref="C177:C182" si="42">C46</f>
        <v>0</v>
      </c>
      <c r="D177" s="526">
        <f>SUM(F177:AI177)</f>
        <v>0</v>
      </c>
      <c r="E177" s="366"/>
      <c r="F177" s="366"/>
      <c r="G177" s="366"/>
      <c r="H177" s="366"/>
      <c r="I177" s="366"/>
      <c r="J177" s="366"/>
      <c r="K177" s="366"/>
      <c r="L177" s="366"/>
      <c r="M177" s="366"/>
      <c r="N177" s="366"/>
      <c r="O177" s="366"/>
      <c r="P177" s="366"/>
      <c r="Q177" s="366"/>
      <c r="R177" s="366"/>
      <c r="S177" s="366"/>
      <c r="T177" s="366"/>
      <c r="U177" s="366"/>
    </row>
    <row r="178" spans="2:43" x14ac:dyDescent="0.2">
      <c r="B178" s="254" t="s">
        <v>614</v>
      </c>
      <c r="C178" s="572">
        <f t="shared" si="42"/>
        <v>40000</v>
      </c>
      <c r="D178" s="526">
        <f t="shared" ref="D178:D182" si="43">SUM(F178:AI178)</f>
        <v>1</v>
      </c>
      <c r="E178" s="366" t="s">
        <v>653</v>
      </c>
      <c r="F178" s="366"/>
      <c r="G178" s="366"/>
      <c r="H178" s="366"/>
      <c r="I178" s="366"/>
      <c r="J178" s="366">
        <v>0.15</v>
      </c>
      <c r="K178" s="366">
        <v>0.35</v>
      </c>
      <c r="L178" s="366">
        <v>0.4</v>
      </c>
      <c r="M178" s="366">
        <v>0.1</v>
      </c>
      <c r="N178" s="366"/>
      <c r="O178" s="366"/>
      <c r="P178" s="366"/>
      <c r="Q178" s="366"/>
      <c r="R178" s="366"/>
      <c r="S178" s="366"/>
      <c r="T178" s="366"/>
      <c r="U178" s="366"/>
    </row>
    <row r="179" spans="2:43" x14ac:dyDescent="0.2">
      <c r="B179" s="254" t="s">
        <v>615</v>
      </c>
      <c r="C179" s="572">
        <f t="shared" si="42"/>
        <v>350000</v>
      </c>
      <c r="D179" s="526">
        <f t="shared" si="43"/>
        <v>1</v>
      </c>
      <c r="E179" s="366" t="s">
        <v>650</v>
      </c>
      <c r="F179" s="366"/>
      <c r="G179" s="366"/>
      <c r="H179" s="366"/>
      <c r="I179" s="366"/>
      <c r="J179" s="366"/>
      <c r="K179" s="366"/>
      <c r="L179" s="366"/>
      <c r="M179" s="366"/>
      <c r="N179" s="366">
        <v>0.2</v>
      </c>
      <c r="O179" s="366">
        <v>0.3</v>
      </c>
      <c r="P179" s="366">
        <v>0.4</v>
      </c>
      <c r="Q179" s="366">
        <v>0.1</v>
      </c>
      <c r="R179" s="366"/>
      <c r="S179" s="366"/>
      <c r="T179" s="366"/>
      <c r="U179" s="366"/>
    </row>
    <row r="180" spans="2:43" x14ac:dyDescent="0.2">
      <c r="B180" s="254" t="s">
        <v>616</v>
      </c>
      <c r="C180" s="572">
        <f t="shared" si="42"/>
        <v>0</v>
      </c>
      <c r="D180" s="526">
        <f t="shared" si="43"/>
        <v>0</v>
      </c>
      <c r="E180" s="366"/>
      <c r="F180" s="366"/>
      <c r="G180" s="366"/>
      <c r="H180" s="366"/>
      <c r="I180" s="366"/>
      <c r="J180" s="366"/>
      <c r="K180" s="366"/>
      <c r="L180" s="366"/>
      <c r="M180" s="366"/>
      <c r="N180" s="366"/>
      <c r="O180" s="366"/>
      <c r="P180" s="366"/>
      <c r="Q180" s="366"/>
      <c r="R180" s="366"/>
      <c r="S180" s="366"/>
      <c r="T180" s="366"/>
      <c r="U180" s="366"/>
    </row>
    <row r="181" spans="2:43" x14ac:dyDescent="0.2">
      <c r="B181" s="254" t="s">
        <v>617</v>
      </c>
      <c r="C181" s="572">
        <f t="shared" si="42"/>
        <v>256400</v>
      </c>
      <c r="D181" s="526">
        <f t="shared" si="43"/>
        <v>1</v>
      </c>
      <c r="E181" s="366" t="s">
        <v>653</v>
      </c>
      <c r="F181" s="366">
        <v>0.05</v>
      </c>
      <c r="G181" s="366">
        <v>0.15</v>
      </c>
      <c r="H181" s="366">
        <v>0.25</v>
      </c>
      <c r="I181" s="366">
        <v>0.28000000000000003</v>
      </c>
      <c r="J181" s="366">
        <v>0.12</v>
      </c>
      <c r="K181" s="366">
        <v>0.05</v>
      </c>
      <c r="L181" s="366">
        <v>0.05</v>
      </c>
      <c r="M181" s="366">
        <v>0.05</v>
      </c>
      <c r="N181" s="366"/>
      <c r="O181" s="366"/>
      <c r="P181" s="366"/>
      <c r="Q181" s="366"/>
      <c r="R181" s="366"/>
      <c r="S181" s="366"/>
      <c r="T181" s="366"/>
      <c r="U181" s="366"/>
    </row>
    <row r="182" spans="2:43" ht="22.5" x14ac:dyDescent="0.2">
      <c r="B182" s="254" t="s">
        <v>622</v>
      </c>
      <c r="C182" s="572">
        <f t="shared" si="42"/>
        <v>0</v>
      </c>
      <c r="D182" s="526">
        <f t="shared" si="43"/>
        <v>0</v>
      </c>
      <c r="E182" s="366"/>
      <c r="F182" s="366"/>
      <c r="G182" s="366"/>
      <c r="H182" s="366"/>
      <c r="I182" s="366"/>
      <c r="J182" s="366"/>
      <c r="K182" s="366"/>
      <c r="L182" s="366"/>
      <c r="M182" s="366"/>
      <c r="N182" s="366"/>
      <c r="O182" s="366"/>
      <c r="P182" s="366"/>
      <c r="Q182" s="366"/>
      <c r="R182" s="366"/>
      <c r="S182" s="366"/>
      <c r="T182" s="366"/>
      <c r="U182" s="366"/>
    </row>
    <row r="183" spans="2:43" x14ac:dyDescent="0.2">
      <c r="B183" s="510" t="s">
        <v>489</v>
      </c>
      <c r="C183" s="588">
        <f>SUM(C177:C182)</f>
        <v>646400</v>
      </c>
      <c r="D183" s="254"/>
      <c r="E183" s="254"/>
      <c r="F183" s="950">
        <f>SUMPRODUCT(F177:F182,$C$177:$C$182)</f>
        <v>12820</v>
      </c>
      <c r="G183" s="950">
        <f t="shared" ref="G183:U183" si="44">SUMPRODUCT(G177:G182,$C$177:$C$182)</f>
        <v>38460</v>
      </c>
      <c r="H183" s="950">
        <f t="shared" si="44"/>
        <v>64100</v>
      </c>
      <c r="I183" s="950">
        <f t="shared" si="44"/>
        <v>71792</v>
      </c>
      <c r="J183" s="950">
        <f t="shared" si="44"/>
        <v>36768</v>
      </c>
      <c r="K183" s="950">
        <f t="shared" si="44"/>
        <v>26820</v>
      </c>
      <c r="L183" s="950">
        <f t="shared" si="44"/>
        <v>28820</v>
      </c>
      <c r="M183" s="950">
        <f t="shared" si="44"/>
        <v>16820</v>
      </c>
      <c r="N183" s="950">
        <f t="shared" si="44"/>
        <v>70000</v>
      </c>
      <c r="O183" s="950">
        <f t="shared" si="44"/>
        <v>105000</v>
      </c>
      <c r="P183" s="950">
        <f t="shared" si="44"/>
        <v>140000</v>
      </c>
      <c r="Q183" s="950">
        <f t="shared" si="44"/>
        <v>35000</v>
      </c>
      <c r="R183" s="950">
        <f t="shared" si="44"/>
        <v>0</v>
      </c>
      <c r="S183" s="950">
        <f t="shared" si="44"/>
        <v>0</v>
      </c>
      <c r="T183" s="950">
        <f t="shared" si="44"/>
        <v>0</v>
      </c>
      <c r="U183" s="950">
        <f t="shared" si="44"/>
        <v>0</v>
      </c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F183" s="254"/>
      <c r="AG183" s="254"/>
      <c r="AH183" s="254"/>
    </row>
    <row r="184" spans="2:43" x14ac:dyDescent="0.2">
      <c r="B184" s="510" t="s">
        <v>941</v>
      </c>
      <c r="C184" s="530"/>
      <c r="D184" s="526"/>
      <c r="E184" s="526"/>
      <c r="F184" s="1022">
        <f>SUM(F183:I183)</f>
        <v>187172</v>
      </c>
      <c r="G184" s="1022"/>
      <c r="H184" s="1022"/>
      <c r="I184" s="1022"/>
      <c r="J184" s="1022">
        <f t="shared" ref="J184" si="45">SUM(J183:M183)</f>
        <v>109228</v>
      </c>
      <c r="K184" s="1022"/>
      <c r="L184" s="1022"/>
      <c r="M184" s="1022"/>
      <c r="N184" s="1022">
        <f t="shared" ref="N184" si="46">SUM(N183:Q183)</f>
        <v>350000</v>
      </c>
      <c r="O184" s="1022"/>
      <c r="P184" s="1022"/>
      <c r="Q184" s="1022"/>
      <c r="R184" s="1022">
        <f t="shared" ref="R184" si="47">SUM(R183:U183)</f>
        <v>0</v>
      </c>
      <c r="S184" s="1022"/>
      <c r="T184" s="1022"/>
      <c r="U184" s="1022"/>
      <c r="V184" s="526"/>
      <c r="W184" s="526"/>
      <c r="X184" s="526"/>
      <c r="Y184" s="526"/>
      <c r="Z184" s="526"/>
      <c r="AA184" s="526"/>
      <c r="AB184" s="526"/>
      <c r="AC184" s="526"/>
      <c r="AD184" s="526"/>
      <c r="AE184" s="526"/>
      <c r="AF184" s="526"/>
      <c r="AG184" s="526"/>
      <c r="AH184" s="526"/>
      <c r="AI184" s="526"/>
      <c r="AJ184" s="526"/>
      <c r="AK184" s="526"/>
      <c r="AL184" s="526"/>
      <c r="AM184" s="526"/>
      <c r="AN184" s="526"/>
      <c r="AO184" s="526"/>
      <c r="AP184" s="526"/>
      <c r="AQ184" s="526"/>
    </row>
    <row r="185" spans="2:43" x14ac:dyDescent="0.2">
      <c r="B185" s="510"/>
      <c r="C185" s="588"/>
      <c r="D185" s="254"/>
      <c r="E185" s="254"/>
      <c r="F185" s="254"/>
      <c r="G185" s="254"/>
      <c r="H185" s="254"/>
      <c r="I185" s="254"/>
      <c r="J185" s="254"/>
      <c r="K185" s="254"/>
      <c r="L185" s="254"/>
      <c r="M185" s="254"/>
      <c r="N185" s="254"/>
      <c r="O185" s="254"/>
      <c r="P185" s="254"/>
      <c r="Q185" s="254"/>
      <c r="R185" s="254"/>
      <c r="S185" s="254"/>
      <c r="T185" s="254"/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F185" s="254"/>
      <c r="AG185" s="254"/>
      <c r="AH185" s="254"/>
    </row>
    <row r="186" spans="2:43" x14ac:dyDescent="0.2">
      <c r="B186" s="251" t="s">
        <v>600</v>
      </c>
      <c r="C186" s="251"/>
      <c r="D186" s="347">
        <v>20</v>
      </c>
      <c r="E186" s="1" t="s">
        <v>2</v>
      </c>
    </row>
    <row r="187" spans="2:43" ht="12" thickBot="1" x14ac:dyDescent="0.25">
      <c r="C187" s="273"/>
      <c r="F187" s="90"/>
    </row>
    <row r="188" spans="2:43" ht="23.25" customHeight="1" thickBot="1" x14ac:dyDescent="0.25">
      <c r="B188" s="476" t="s">
        <v>301</v>
      </c>
      <c r="C188" s="476"/>
      <c r="D188" s="476"/>
      <c r="E188" s="476"/>
      <c r="F188" s="476"/>
      <c r="G188" s="476"/>
      <c r="H188" s="476"/>
      <c r="I188" s="476"/>
      <c r="J188" s="476"/>
      <c r="K188" s="476"/>
      <c r="L188" s="476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2:43" x14ac:dyDescent="0.2">
      <c r="E189" s="90"/>
    </row>
    <row r="190" spans="2:43" x14ac:dyDescent="0.2">
      <c r="B190" s="252" t="s">
        <v>703</v>
      </c>
      <c r="E190" s="90"/>
    </row>
    <row r="191" spans="2:43" x14ac:dyDescent="0.2">
      <c r="B191" s="251" t="s">
        <v>704</v>
      </c>
      <c r="C191" s="347">
        <v>15000</v>
      </c>
      <c r="D191" s="1" t="s">
        <v>705</v>
      </c>
      <c r="E191" s="90" t="s">
        <v>726</v>
      </c>
      <c r="G191" s="451">
        <f>C30*C191</f>
        <v>407250</v>
      </c>
      <c r="H191" s="1" t="s">
        <v>455</v>
      </c>
      <c r="I191" s="1" t="s">
        <v>971</v>
      </c>
      <c r="J191" s="268"/>
      <c r="K191" s="451">
        <f ca="1">Деятельность_УК!B526</f>
        <v>407250</v>
      </c>
    </row>
    <row r="192" spans="2:43" x14ac:dyDescent="0.2">
      <c r="B192" s="251" t="s">
        <v>706</v>
      </c>
      <c r="C192" s="347">
        <v>20</v>
      </c>
      <c r="D192" s="1" t="s">
        <v>680</v>
      </c>
      <c r="E192" s="90" t="s">
        <v>707</v>
      </c>
      <c r="I192" s="1" t="s">
        <v>971</v>
      </c>
      <c r="J192" s="268"/>
      <c r="K192" s="972">
        <f ca="1">COUNTIF(Деятельность_УК!E526:AR526,"&gt;0")</f>
        <v>18</v>
      </c>
    </row>
    <row r="193" spans="2:11" x14ac:dyDescent="0.2">
      <c r="B193" s="251" t="s">
        <v>717</v>
      </c>
      <c r="C193" s="366">
        <v>0.5</v>
      </c>
      <c r="D193" s="505" t="s">
        <v>718</v>
      </c>
      <c r="E193" s="149"/>
    </row>
    <row r="194" spans="2:11" x14ac:dyDescent="0.2">
      <c r="B194" s="251" t="s">
        <v>719</v>
      </c>
      <c r="C194" s="347" t="s">
        <v>720</v>
      </c>
      <c r="D194" s="251"/>
      <c r="E194" s="149"/>
    </row>
    <row r="195" spans="2:11" x14ac:dyDescent="0.2">
      <c r="E195" s="90"/>
    </row>
    <row r="196" spans="2:11" ht="33.75" x14ac:dyDescent="0.2">
      <c r="B196" s="252" t="s">
        <v>721</v>
      </c>
      <c r="C196" s="528">
        <v>1</v>
      </c>
    </row>
    <row r="197" spans="2:11" x14ac:dyDescent="0.2">
      <c r="B197" s="1"/>
    </row>
    <row r="198" spans="2:11" x14ac:dyDescent="0.2">
      <c r="E198" s="90"/>
    </row>
    <row r="199" spans="2:11" x14ac:dyDescent="0.2">
      <c r="B199" s="252" t="s">
        <v>822</v>
      </c>
      <c r="E199" s="90"/>
    </row>
    <row r="200" spans="2:11" x14ac:dyDescent="0.2">
      <c r="B200" s="251" t="s">
        <v>823</v>
      </c>
      <c r="C200" s="593">
        <f>2/3</f>
        <v>0.66666666666666663</v>
      </c>
      <c r="D200" s="1" t="s">
        <v>824</v>
      </c>
      <c r="E200" s="90"/>
      <c r="I200" s="1" t="s">
        <v>971</v>
      </c>
      <c r="K200" s="90">
        <f ca="1">Деятельность_УК!B532</f>
        <v>0</v>
      </c>
    </row>
    <row r="201" spans="2:11" x14ac:dyDescent="0.2">
      <c r="B201" s="251" t="s">
        <v>827</v>
      </c>
      <c r="C201" s="594">
        <v>0.9</v>
      </c>
      <c r="D201" s="1" t="s">
        <v>825</v>
      </c>
      <c r="E201" s="90"/>
    </row>
    <row r="202" spans="2:11" x14ac:dyDescent="0.2">
      <c r="B202" s="251" t="s">
        <v>828</v>
      </c>
      <c r="C202" s="347" t="s">
        <v>720</v>
      </c>
      <c r="E202" s="90"/>
    </row>
    <row r="203" spans="2:11" x14ac:dyDescent="0.2">
      <c r="E203" s="90"/>
    </row>
    <row r="204" spans="2:11" ht="33.75" x14ac:dyDescent="0.2">
      <c r="B204" s="252" t="s">
        <v>826</v>
      </c>
      <c r="C204" s="528">
        <v>0</v>
      </c>
      <c r="E204" s="90"/>
    </row>
    <row r="205" spans="2:11" x14ac:dyDescent="0.2">
      <c r="E205" s="90"/>
    </row>
    <row r="206" spans="2:11" x14ac:dyDescent="0.2">
      <c r="E206" s="90"/>
    </row>
    <row r="207" spans="2:11" x14ac:dyDescent="0.2">
      <c r="B207" s="62" t="s">
        <v>984</v>
      </c>
    </row>
    <row r="208" spans="2:11" x14ac:dyDescent="0.2">
      <c r="B208" s="62"/>
    </row>
    <row r="209" spans="2:5" x14ac:dyDescent="0.2">
      <c r="B209" s="208" t="s">
        <v>743</v>
      </c>
    </row>
    <row r="210" spans="2:5" x14ac:dyDescent="0.2">
      <c r="B210" s="254" t="s">
        <v>821</v>
      </c>
      <c r="C210" s="366">
        <v>1</v>
      </c>
    </row>
    <row r="211" spans="2:5" x14ac:dyDescent="0.2">
      <c r="B211" s="254" t="s">
        <v>817</v>
      </c>
      <c r="C211" s="584">
        <v>0.08</v>
      </c>
    </row>
    <row r="212" spans="2:5" x14ac:dyDescent="0.2">
      <c r="B212" s="254" t="s">
        <v>818</v>
      </c>
      <c r="C212" s="513">
        <v>8.5</v>
      </c>
      <c r="D212" s="1" t="s">
        <v>989</v>
      </c>
      <c r="E212" s="90"/>
    </row>
    <row r="213" spans="2:5" x14ac:dyDescent="0.2">
      <c r="B213" s="134"/>
    </row>
    <row r="214" spans="2:5" x14ac:dyDescent="0.2">
      <c r="B214" s="208" t="s">
        <v>617</v>
      </c>
    </row>
    <row r="215" spans="2:5" x14ac:dyDescent="0.2">
      <c r="B215" s="254" t="s">
        <v>821</v>
      </c>
      <c r="C215" s="366">
        <v>1</v>
      </c>
    </row>
    <row r="216" spans="2:5" x14ac:dyDescent="0.2">
      <c r="B216" s="254" t="s">
        <v>817</v>
      </c>
      <c r="C216" s="584">
        <v>0.08</v>
      </c>
    </row>
    <row r="217" spans="2:5" x14ac:dyDescent="0.2">
      <c r="B217" s="254" t="s">
        <v>818</v>
      </c>
      <c r="C217" s="347">
        <v>9</v>
      </c>
      <c r="E217" s="90"/>
    </row>
    <row r="218" spans="2:5" x14ac:dyDescent="0.2">
      <c r="B218" s="254" t="s">
        <v>991</v>
      </c>
      <c r="C218" s="347" t="s">
        <v>992</v>
      </c>
      <c r="E218" s="90"/>
    </row>
    <row r="219" spans="2:5" x14ac:dyDescent="0.2">
      <c r="B219" s="254" t="s">
        <v>993</v>
      </c>
      <c r="C219" s="507">
        <v>1</v>
      </c>
      <c r="E219" s="90"/>
    </row>
    <row r="220" spans="2:5" ht="12" customHeight="1" x14ac:dyDescent="0.2">
      <c r="B220" s="254" t="s">
        <v>1017</v>
      </c>
      <c r="C220" s="347">
        <v>0</v>
      </c>
      <c r="E220" s="90"/>
    </row>
    <row r="221" spans="2:5" x14ac:dyDescent="0.2">
      <c r="E221" s="90"/>
    </row>
    <row r="222" spans="2:5" x14ac:dyDescent="0.2">
      <c r="B222" s="208" t="s">
        <v>994</v>
      </c>
      <c r="E222" s="90"/>
    </row>
    <row r="223" spans="2:5" x14ac:dyDescent="0.2">
      <c r="B223" s="254" t="s">
        <v>821</v>
      </c>
      <c r="C223" s="366">
        <v>0.7</v>
      </c>
      <c r="E223" s="90"/>
    </row>
    <row r="224" spans="2:5" x14ac:dyDescent="0.2">
      <c r="B224" s="254" t="s">
        <v>817</v>
      </c>
      <c r="C224" s="584">
        <v>0.09</v>
      </c>
      <c r="D224" s="1" t="s">
        <v>1006</v>
      </c>
      <c r="E224" s="584">
        <v>0.08</v>
      </c>
    </row>
    <row r="225" spans="2:5" x14ac:dyDescent="0.2">
      <c r="B225" s="254" t="s">
        <v>818</v>
      </c>
      <c r="C225" s="347">
        <v>8</v>
      </c>
      <c r="E225" s="90"/>
    </row>
    <row r="226" spans="2:5" x14ac:dyDescent="0.2">
      <c r="B226" s="254" t="s">
        <v>991</v>
      </c>
      <c r="C226" s="347" t="s">
        <v>769</v>
      </c>
      <c r="E226" s="90"/>
    </row>
    <row r="227" spans="2:5" x14ac:dyDescent="0.2">
      <c r="B227" s="254" t="s">
        <v>993</v>
      </c>
      <c r="C227" s="507">
        <v>1</v>
      </c>
      <c r="E227" s="90"/>
    </row>
    <row r="228" spans="2:5" x14ac:dyDescent="0.2">
      <c r="B228" s="134" t="s">
        <v>1017</v>
      </c>
      <c r="C228" s="347">
        <f>C$220</f>
        <v>0</v>
      </c>
      <c r="E228" s="90"/>
    </row>
    <row r="229" spans="2:5" x14ac:dyDescent="0.2">
      <c r="E229" s="90"/>
    </row>
    <row r="230" spans="2:5" x14ac:dyDescent="0.2">
      <c r="B230" s="208" t="s">
        <v>997</v>
      </c>
      <c r="E230" s="90"/>
    </row>
    <row r="231" spans="2:5" x14ac:dyDescent="0.2">
      <c r="B231" s="254" t="s">
        <v>821</v>
      </c>
      <c r="C231" s="366">
        <f>C223</f>
        <v>0.7</v>
      </c>
      <c r="E231" s="90"/>
    </row>
    <row r="232" spans="2:5" x14ac:dyDescent="0.2">
      <c r="B232" s="254" t="s">
        <v>817</v>
      </c>
      <c r="C232" s="584">
        <v>0.09</v>
      </c>
      <c r="D232" s="1" t="s">
        <v>1006</v>
      </c>
      <c r="E232" s="584">
        <v>0.08</v>
      </c>
    </row>
    <row r="233" spans="2:5" x14ac:dyDescent="0.2">
      <c r="B233" s="254" t="s">
        <v>818</v>
      </c>
      <c r="C233" s="347">
        <v>7</v>
      </c>
      <c r="E233" s="90"/>
    </row>
    <row r="234" spans="2:5" x14ac:dyDescent="0.2">
      <c r="B234" s="254" t="s">
        <v>991</v>
      </c>
      <c r="C234" s="347" t="s">
        <v>767</v>
      </c>
      <c r="E234" s="90"/>
    </row>
    <row r="235" spans="2:5" x14ac:dyDescent="0.2">
      <c r="B235" s="254" t="s">
        <v>993</v>
      </c>
      <c r="C235" s="507">
        <v>1</v>
      </c>
      <c r="E235" s="90"/>
    </row>
    <row r="236" spans="2:5" x14ac:dyDescent="0.2">
      <c r="B236" s="134" t="s">
        <v>1017</v>
      </c>
      <c r="C236" s="347">
        <f>C$220</f>
        <v>0</v>
      </c>
      <c r="E236" s="90"/>
    </row>
    <row r="237" spans="2:5" x14ac:dyDescent="0.2">
      <c r="E237" s="90"/>
    </row>
    <row r="238" spans="2:5" x14ac:dyDescent="0.2">
      <c r="B238" s="208" t="s">
        <v>998</v>
      </c>
      <c r="E238" s="90"/>
    </row>
    <row r="239" spans="2:5" x14ac:dyDescent="0.2">
      <c r="B239" s="254" t="s">
        <v>821</v>
      </c>
      <c r="C239" s="366">
        <f>C223</f>
        <v>0.7</v>
      </c>
      <c r="E239" s="90"/>
    </row>
    <row r="240" spans="2:5" x14ac:dyDescent="0.2">
      <c r="B240" s="254" t="s">
        <v>817</v>
      </c>
      <c r="C240" s="584">
        <v>0.09</v>
      </c>
      <c r="D240" s="1" t="s">
        <v>1006</v>
      </c>
      <c r="E240" s="584">
        <v>0.08</v>
      </c>
    </row>
    <row r="241" spans="2:5" x14ac:dyDescent="0.2">
      <c r="B241" s="254" t="s">
        <v>818</v>
      </c>
      <c r="C241" s="347">
        <v>8</v>
      </c>
      <c r="E241" s="90"/>
    </row>
    <row r="242" spans="2:5" x14ac:dyDescent="0.2">
      <c r="B242" s="254" t="s">
        <v>991</v>
      </c>
      <c r="C242" s="347" t="s">
        <v>769</v>
      </c>
      <c r="E242" s="90"/>
    </row>
    <row r="243" spans="2:5" x14ac:dyDescent="0.2">
      <c r="B243" s="254" t="s">
        <v>993</v>
      </c>
      <c r="C243" s="507">
        <v>1</v>
      </c>
      <c r="E243" s="90"/>
    </row>
    <row r="244" spans="2:5" x14ac:dyDescent="0.2">
      <c r="B244" s="134" t="s">
        <v>1017</v>
      </c>
      <c r="C244" s="347">
        <f>C$220</f>
        <v>0</v>
      </c>
      <c r="E244" s="90"/>
    </row>
    <row r="245" spans="2:5" x14ac:dyDescent="0.2">
      <c r="E245" s="90"/>
    </row>
    <row r="246" spans="2:5" x14ac:dyDescent="0.2">
      <c r="B246" s="208" t="s">
        <v>1000</v>
      </c>
      <c r="E246" s="90"/>
    </row>
    <row r="247" spans="2:5" x14ac:dyDescent="0.2">
      <c r="B247" s="254" t="s">
        <v>821</v>
      </c>
      <c r="C247" s="366">
        <f>C223</f>
        <v>0.7</v>
      </c>
      <c r="E247" s="90"/>
    </row>
    <row r="248" spans="2:5" x14ac:dyDescent="0.2">
      <c r="B248" s="254" t="s">
        <v>817</v>
      </c>
      <c r="C248" s="584">
        <v>0.09</v>
      </c>
      <c r="D248" s="1" t="s">
        <v>1006</v>
      </c>
      <c r="E248" s="584">
        <v>0.08</v>
      </c>
    </row>
    <row r="249" spans="2:5" x14ac:dyDescent="0.2">
      <c r="B249" s="254" t="s">
        <v>818</v>
      </c>
      <c r="C249" s="347">
        <v>7</v>
      </c>
      <c r="E249" s="90"/>
    </row>
    <row r="250" spans="2:5" x14ac:dyDescent="0.2">
      <c r="B250" s="254" t="s">
        <v>991</v>
      </c>
      <c r="C250" s="347" t="s">
        <v>767</v>
      </c>
      <c r="E250" s="90"/>
    </row>
    <row r="251" spans="2:5" x14ac:dyDescent="0.2">
      <c r="B251" s="254" t="s">
        <v>993</v>
      </c>
      <c r="C251" s="507">
        <v>1</v>
      </c>
      <c r="E251" s="90"/>
    </row>
    <row r="252" spans="2:5" x14ac:dyDescent="0.2">
      <c r="B252" s="134" t="s">
        <v>1017</v>
      </c>
      <c r="C252" s="347">
        <f>C$220</f>
        <v>0</v>
      </c>
      <c r="E252" s="90"/>
    </row>
    <row r="253" spans="2:5" x14ac:dyDescent="0.2">
      <c r="E253" s="90"/>
    </row>
    <row r="254" spans="2:5" x14ac:dyDescent="0.2">
      <c r="B254" s="208" t="s">
        <v>1002</v>
      </c>
      <c r="E254" s="90"/>
    </row>
    <row r="255" spans="2:5" x14ac:dyDescent="0.2">
      <c r="B255" s="254" t="s">
        <v>821</v>
      </c>
      <c r="C255" s="366">
        <f>C223</f>
        <v>0.7</v>
      </c>
      <c r="E255" s="90"/>
    </row>
    <row r="256" spans="2:5" x14ac:dyDescent="0.2">
      <c r="B256" s="254" t="s">
        <v>817</v>
      </c>
      <c r="C256" s="584">
        <v>0.09</v>
      </c>
      <c r="D256" s="1" t="s">
        <v>1006</v>
      </c>
      <c r="E256" s="584">
        <v>0.08</v>
      </c>
    </row>
    <row r="257" spans="2:23" x14ac:dyDescent="0.2">
      <c r="B257" s="254" t="s">
        <v>818</v>
      </c>
      <c r="C257" s="347">
        <v>7</v>
      </c>
      <c r="E257" s="90"/>
    </row>
    <row r="258" spans="2:23" x14ac:dyDescent="0.2">
      <c r="B258" s="254" t="s">
        <v>991</v>
      </c>
      <c r="C258" s="347" t="s">
        <v>767</v>
      </c>
      <c r="E258" s="90"/>
    </row>
    <row r="259" spans="2:23" x14ac:dyDescent="0.2">
      <c r="B259" s="254" t="s">
        <v>993</v>
      </c>
      <c r="C259" s="507">
        <v>1</v>
      </c>
      <c r="E259" s="90"/>
    </row>
    <row r="260" spans="2:23" x14ac:dyDescent="0.2">
      <c r="B260" s="134" t="s">
        <v>1017</v>
      </c>
      <c r="C260" s="347">
        <f>C$220</f>
        <v>0</v>
      </c>
      <c r="E260" s="90"/>
    </row>
    <row r="261" spans="2:23" x14ac:dyDescent="0.2">
      <c r="E261" s="90"/>
    </row>
    <row r="262" spans="2:23" ht="22.5" x14ac:dyDescent="0.2">
      <c r="B262" s="273" t="s">
        <v>1009</v>
      </c>
      <c r="C262" s="1012">
        <v>1.3</v>
      </c>
      <c r="E262" s="90"/>
    </row>
    <row r="263" spans="2:23" x14ac:dyDescent="0.2">
      <c r="E263" s="90"/>
    </row>
    <row r="264" spans="2:23" x14ac:dyDescent="0.2">
      <c r="E264" s="90"/>
    </row>
    <row r="265" spans="2:23" ht="12" thickBot="1" x14ac:dyDescent="0.25">
      <c r="E265" s="90"/>
    </row>
    <row r="266" spans="2:23" ht="23.25" customHeight="1" thickBot="1" x14ac:dyDescent="0.25">
      <c r="B266" s="476" t="s">
        <v>602</v>
      </c>
      <c r="C266" s="476"/>
      <c r="D266" s="476"/>
      <c r="E266" s="476"/>
      <c r="F266" s="476"/>
      <c r="G266" s="476"/>
      <c r="H266" s="476"/>
      <c r="I266" s="476"/>
      <c r="J266" s="476"/>
      <c r="K266" s="476"/>
      <c r="L266" s="476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2:23" x14ac:dyDescent="0.2">
      <c r="E267" s="90"/>
    </row>
    <row r="268" spans="2:23" ht="33.75" x14ac:dyDescent="0.2">
      <c r="B268" s="273" t="s">
        <v>631</v>
      </c>
      <c r="C268" s="531">
        <v>1</v>
      </c>
      <c r="D268" s="1" t="s">
        <v>603</v>
      </c>
      <c r="E268" s="90"/>
    </row>
    <row r="269" spans="2:23" x14ac:dyDescent="0.2">
      <c r="E269" s="90"/>
    </row>
    <row r="270" spans="2:23" x14ac:dyDescent="0.2">
      <c r="B270" s="273" t="s">
        <v>807</v>
      </c>
      <c r="C270" s="433">
        <f>31.5/54</f>
        <v>0.58333333333333337</v>
      </c>
      <c r="D270" s="1" t="s">
        <v>712</v>
      </c>
      <c r="E270" s="90"/>
    </row>
    <row r="271" spans="2:23" x14ac:dyDescent="0.2">
      <c r="B271" s="252"/>
      <c r="D271" s="57"/>
      <c r="E271" s="90"/>
    </row>
    <row r="272" spans="2:23" x14ac:dyDescent="0.2">
      <c r="B272" s="273" t="s">
        <v>806</v>
      </c>
      <c r="C272" s="584">
        <v>7.2300000000000003E-2</v>
      </c>
      <c r="D272" s="1" t="s">
        <v>972</v>
      </c>
      <c r="E272" s="281"/>
    </row>
    <row r="273" spans="2:5" x14ac:dyDescent="0.2">
      <c r="B273" s="251"/>
      <c r="C273" s="22"/>
      <c r="D273" s="22"/>
      <c r="E273" s="22"/>
    </row>
    <row r="274" spans="2:5" x14ac:dyDescent="0.2">
      <c r="B274" s="273" t="s">
        <v>973</v>
      </c>
      <c r="C274" s="433">
        <v>0.114</v>
      </c>
      <c r="D274" s="1" t="s">
        <v>713</v>
      </c>
      <c r="E274" s="22"/>
    </row>
    <row r="275" spans="2:5" x14ac:dyDescent="0.2">
      <c r="B275" s="251"/>
      <c r="C275" s="22"/>
      <c r="D275" s="22"/>
      <c r="E275" s="22"/>
    </row>
    <row r="276" spans="2:5" x14ac:dyDescent="0.2">
      <c r="B276" s="505" t="s">
        <v>710</v>
      </c>
      <c r="C276" s="433">
        <v>0.48</v>
      </c>
      <c r="D276" s="57" t="s">
        <v>714</v>
      </c>
      <c r="E276" s="22"/>
    </row>
    <row r="277" spans="2:5" x14ac:dyDescent="0.2">
      <c r="B277" s="251"/>
      <c r="C277" s="22"/>
      <c r="D277" s="22"/>
      <c r="E277" s="22"/>
    </row>
    <row r="278" spans="2:5" ht="22.5" x14ac:dyDescent="0.2">
      <c r="B278" s="505" t="s">
        <v>711</v>
      </c>
      <c r="C278" s="433">
        <v>0.05</v>
      </c>
      <c r="D278" s="22"/>
      <c r="E278" s="22"/>
    </row>
    <row r="279" spans="2:5" x14ac:dyDescent="0.2">
      <c r="B279" s="251"/>
      <c r="C279" s="22"/>
      <c r="D279" s="22"/>
      <c r="E279" s="22"/>
    </row>
    <row r="280" spans="2:5" x14ac:dyDescent="0.2">
      <c r="B280" s="273" t="s">
        <v>605</v>
      </c>
      <c r="C280" s="533">
        <v>7</v>
      </c>
      <c r="D280" s="57" t="s">
        <v>606</v>
      </c>
      <c r="E280" s="22"/>
    </row>
    <row r="281" spans="2:5" x14ac:dyDescent="0.2">
      <c r="B281" s="273" t="s">
        <v>607</v>
      </c>
      <c r="C281" s="533">
        <v>20</v>
      </c>
      <c r="D281" s="57" t="s">
        <v>606</v>
      </c>
      <c r="E281" s="22"/>
    </row>
    <row r="282" spans="2:5" x14ac:dyDescent="0.2">
      <c r="B282" s="251"/>
      <c r="C282" s="22"/>
      <c r="D282" s="22"/>
      <c r="E282" s="22"/>
    </row>
    <row r="283" spans="2:5" ht="11.25" customHeight="1" x14ac:dyDescent="0.2">
      <c r="B283" s="273" t="s">
        <v>608</v>
      </c>
      <c r="C283" s="533">
        <v>53</v>
      </c>
      <c r="D283" s="57"/>
      <c r="E283" s="90"/>
    </row>
    <row r="284" spans="2:5" x14ac:dyDescent="0.2">
      <c r="E284" s="90"/>
    </row>
    <row r="285" spans="2:5" x14ac:dyDescent="0.2">
      <c r="B285" s="273" t="s">
        <v>609</v>
      </c>
      <c r="C285" s="534">
        <v>56.234999999999999</v>
      </c>
      <c r="D285" s="1" t="s">
        <v>632</v>
      </c>
      <c r="E285" s="90"/>
    </row>
    <row r="286" spans="2:5" x14ac:dyDescent="0.2">
      <c r="C286" s="22"/>
      <c r="D286" s="280"/>
      <c r="E286" s="281"/>
    </row>
    <row r="287" spans="2:5" ht="22.5" x14ac:dyDescent="0.2">
      <c r="B287" s="536" t="s">
        <v>610</v>
      </c>
      <c r="C287" s="433">
        <v>0.05</v>
      </c>
      <c r="D287" s="241"/>
      <c r="E287" s="241"/>
    </row>
    <row r="289" spans="2:20" ht="12" thickBot="1" x14ac:dyDescent="0.25">
      <c r="B289" s="252"/>
    </row>
    <row r="290" spans="2:20" ht="30" customHeight="1" thickBot="1" x14ac:dyDescent="0.25">
      <c r="B290" s="476" t="s">
        <v>537</v>
      </c>
      <c r="C290" s="476"/>
      <c r="D290" s="476"/>
      <c r="E290" s="476"/>
      <c r="F290" s="476"/>
      <c r="G290" s="476"/>
      <c r="H290" s="476"/>
      <c r="I290" s="476"/>
      <c r="J290" s="476"/>
      <c r="K290" s="476"/>
      <c r="L290" s="476"/>
      <c r="M290" s="476"/>
      <c r="N290" s="476"/>
      <c r="O290" s="476"/>
      <c r="P290" s="476"/>
      <c r="Q290" s="476"/>
      <c r="R290" s="476"/>
      <c r="S290" s="476"/>
      <c r="T290" s="476"/>
    </row>
    <row r="291" spans="2:20" x14ac:dyDescent="0.2">
      <c r="C291" s="280"/>
      <c r="E291" s="281"/>
    </row>
    <row r="292" spans="2:20" ht="33.75" x14ac:dyDescent="0.2">
      <c r="B292" s="455" t="str">
        <f>Результаты_УК!A4</f>
        <v>ОТЧЕТ О ПРИБЫЛЯХ И УБЫТКАХ</v>
      </c>
      <c r="C292" s="456" t="str">
        <f>Результаты_УК!B6</f>
        <v>Среднегодовые
2024 - 2029</v>
      </c>
      <c r="D292" s="456" t="str">
        <f xml:space="preserve"> "Итого за " &amp; ROUND(Параметры!$B$24*Параметры!$B$27/12,2) &amp; " лет"</f>
        <v>Итого за 10 лет</v>
      </c>
      <c r="E292" s="457"/>
    </row>
    <row r="293" spans="2:20" x14ac:dyDescent="0.2">
      <c r="B293" s="282"/>
      <c r="C293" s="22"/>
      <c r="E293" s="283"/>
    </row>
    <row r="294" spans="2:20" x14ac:dyDescent="0.2">
      <c r="B294" s="44" t="str">
        <f>Результаты_УК!A7</f>
        <v>Выручка</v>
      </c>
      <c r="C294" s="141">
        <f ca="1">Результаты_УК!B7</f>
        <v>2056579.4878551103</v>
      </c>
      <c r="D294" s="141">
        <f ca="1">Результаты_УК!AT7</f>
        <v>13055841.016094897</v>
      </c>
      <c r="E294" s="283" t="str">
        <f>Результаты_УК!C7</f>
        <v>тыс. руб.</v>
      </c>
    </row>
    <row r="295" spans="2:20" x14ac:dyDescent="0.2">
      <c r="B295" s="63" t="str">
        <f>Результаты_УК!A8</f>
        <v>Выручка от аренды и прочих услуг резидентам</v>
      </c>
      <c r="C295" s="141">
        <f ca="1">Результаты_УК!B8</f>
        <v>925557.71790985949</v>
      </c>
      <c r="D295" s="141">
        <f ca="1">Результаты_УК!AT8</f>
        <v>6269710.3964233911</v>
      </c>
      <c r="E295" s="283" t="str">
        <f>Результаты_УК!C8</f>
        <v>тыс. руб.</v>
      </c>
    </row>
    <row r="296" spans="2:20" x14ac:dyDescent="0.2">
      <c r="B296" s="63" t="str">
        <f>Результаты_УК!A9</f>
        <v>Выручка от продажи площадей</v>
      </c>
      <c r="C296" s="141">
        <f ca="1">Результаты_УК!B9</f>
        <v>1131021.7699452508</v>
      </c>
      <c r="D296" s="141">
        <f ca="1">Результаты_УК!AT9</f>
        <v>6786130.6196715049</v>
      </c>
      <c r="E296" s="283" t="str">
        <f>Результаты_УК!C9</f>
        <v>тыс. руб.</v>
      </c>
    </row>
    <row r="297" spans="2:20" x14ac:dyDescent="0.2">
      <c r="B297" s="44" t="str">
        <f>Результаты_УК!A10</f>
        <v>Себестоимость:</v>
      </c>
      <c r="C297" s="141">
        <f ca="1">Результаты_УК!B10</f>
        <v>-518969.72222342307</v>
      </c>
      <c r="D297" s="141">
        <f ca="1">Результаты_УК!AT10</f>
        <v>-3223741.4383799955</v>
      </c>
      <c r="E297" s="283" t="str">
        <f>Результаты_УК!C10</f>
        <v>тыс. руб.</v>
      </c>
    </row>
    <row r="298" spans="2:20" x14ac:dyDescent="0.2">
      <c r="B298" s="63" t="str">
        <f>Результаты_УК!A11</f>
        <v>Cырье и материалы</v>
      </c>
      <c r="C298" s="141">
        <f ca="1">Результаты_УК!B11</f>
        <v>0</v>
      </c>
      <c r="D298" s="141">
        <f>Результаты_УК!AT11</f>
        <v>0</v>
      </c>
      <c r="E298" s="283" t="str">
        <f>Результаты_УК!C11</f>
        <v>тыс. руб.</v>
      </c>
    </row>
    <row r="299" spans="2:20" x14ac:dyDescent="0.2">
      <c r="B299" s="63" t="str">
        <f>Результаты_УК!A12</f>
        <v>Производственный персонал</v>
      </c>
      <c r="C299" s="141">
        <f ca="1">Результаты_УК!B12</f>
        <v>-16203.300381833755</v>
      </c>
      <c r="D299" s="141">
        <f ca="1">Результаты_УК!AT12</f>
        <v>-122765.28163579627</v>
      </c>
      <c r="E299" s="283" t="str">
        <f>Результаты_УК!C12</f>
        <v>тыс. руб.</v>
      </c>
    </row>
    <row r="300" spans="2:20" x14ac:dyDescent="0.2">
      <c r="B300" s="63" t="str">
        <f>Результаты_УК!A13</f>
        <v>Прочие производственные расходы</v>
      </c>
      <c r="C300" s="141">
        <f ca="1">Результаты_УК!B13</f>
        <v>-84507.502973488125</v>
      </c>
      <c r="D300" s="141">
        <f ca="1">Результаты_УК!AT13</f>
        <v>-591422.64353559178</v>
      </c>
      <c r="E300" s="283" t="str">
        <f>Результаты_УК!C13</f>
        <v>тыс. руб.</v>
      </c>
    </row>
    <row r="301" spans="2:20" x14ac:dyDescent="0.2">
      <c r="B301" s="63" t="str">
        <f>Результаты_УК!A14</f>
        <v>Себестоимость реализованных площадей</v>
      </c>
      <c r="C301" s="141">
        <f ca="1">Результаты_УК!B14</f>
        <v>-418258.9188681012</v>
      </c>
      <c r="D301" s="141">
        <f ca="1">Результаты_УК!AT14</f>
        <v>-2509553.5132086077</v>
      </c>
      <c r="E301" s="283" t="str">
        <f>Результаты_УК!C14</f>
        <v>тыс. руб.</v>
      </c>
    </row>
    <row r="302" spans="2:20" x14ac:dyDescent="0.2">
      <c r="B302" s="76" t="str">
        <f>Результаты_УК!A15</f>
        <v>Валовая прибыль</v>
      </c>
      <c r="C302" s="141">
        <f ca="1">Результаты_УК!B15</f>
        <v>1537609.7656316869</v>
      </c>
      <c r="D302" s="141">
        <f ca="1">Результаты_УК!AT15</f>
        <v>9832099.5777148996</v>
      </c>
      <c r="E302" s="283" t="str">
        <f>Результаты_УК!C15</f>
        <v>тыс. руб.</v>
      </c>
    </row>
    <row r="303" spans="2:20" x14ac:dyDescent="0.2">
      <c r="B303" s="44"/>
      <c r="C303" s="141"/>
      <c r="D303" s="141"/>
      <c r="E303" s="283"/>
    </row>
    <row r="304" spans="2:20" x14ac:dyDescent="0.2">
      <c r="B304" s="63" t="str">
        <f>Результаты_УК!A17</f>
        <v>Административный и коммерческий персонал</v>
      </c>
      <c r="C304" s="141">
        <f ca="1">Результаты_УК!B17</f>
        <v>-28220.155786303487</v>
      </c>
      <c r="D304" s="141">
        <f ca="1">Результаты_УК!AT17</f>
        <v>-235237.32031745758</v>
      </c>
      <c r="E304" s="283" t="str">
        <f>Результаты_УК!C17</f>
        <v>тыс. руб.</v>
      </c>
    </row>
    <row r="305" spans="2:13" x14ac:dyDescent="0.2">
      <c r="B305" s="63" t="str">
        <f>Результаты_УК!A18</f>
        <v>Административные расходы</v>
      </c>
      <c r="C305" s="141">
        <f ca="1">Результаты_УК!B18</f>
        <v>-1891.9507050510765</v>
      </c>
      <c r="D305" s="141">
        <f ca="1">Результаты_УК!AT18</f>
        <v>-17603.95142937699</v>
      </c>
      <c r="E305" s="283" t="str">
        <f>Результаты_УК!C18</f>
        <v>тыс. руб.</v>
      </c>
    </row>
    <row r="306" spans="2:13" x14ac:dyDescent="0.2">
      <c r="B306" s="63" t="str">
        <f>Результаты_УК!A19</f>
        <v>Коммерческие расходы</v>
      </c>
      <c r="C306" s="141">
        <f ca="1">Результаты_УК!B19</f>
        <v>0</v>
      </c>
      <c r="D306" s="141">
        <f ca="1">Результаты_УК!AT19</f>
        <v>-4515.5118659953823</v>
      </c>
      <c r="E306" s="283" t="str">
        <f>Результаты_УК!C19</f>
        <v>тыс. руб.</v>
      </c>
    </row>
    <row r="307" spans="2:13" x14ac:dyDescent="0.2">
      <c r="B307" s="63" t="str">
        <f>Результаты_УК!A20</f>
        <v>Налоги и сборы</v>
      </c>
      <c r="C307" s="141">
        <f ca="1">Результаты_УК!B20</f>
        <v>-42450.565934600265</v>
      </c>
      <c r="D307" s="141">
        <f ca="1">Результаты_УК!AT20</f>
        <v>-283471.02589171648</v>
      </c>
      <c r="E307" s="283" t="str">
        <f>Результаты_УК!C20</f>
        <v>тыс. руб.</v>
      </c>
    </row>
    <row r="308" spans="2:13" x14ac:dyDescent="0.2">
      <c r="B308" s="76" t="str">
        <f>Результаты_УК!A21</f>
        <v>EBITDA</v>
      </c>
      <c r="C308" s="141">
        <f ca="1">Результаты_УК!B21</f>
        <v>1465047.0932057323</v>
      </c>
      <c r="D308" s="141">
        <f ca="1">Результаты_УК!AT21</f>
        <v>9291271.7682103533</v>
      </c>
      <c r="E308" s="283" t="str">
        <f>Результаты_УК!C21</f>
        <v>тыс. руб.</v>
      </c>
    </row>
    <row r="309" spans="2:13" x14ac:dyDescent="0.2">
      <c r="B309" s="44"/>
      <c r="C309" s="141"/>
      <c r="D309" s="141"/>
      <c r="E309" s="283"/>
    </row>
    <row r="310" spans="2:13" x14ac:dyDescent="0.2">
      <c r="B310" s="63" t="str">
        <f>Результаты_УК!A23</f>
        <v>Лизинговые платежи</v>
      </c>
      <c r="C310" s="141">
        <f ca="1">Результаты_УК!B23</f>
        <v>0</v>
      </c>
      <c r="D310" s="141">
        <f>Результаты_УК!AT23</f>
        <v>0</v>
      </c>
      <c r="E310" s="283" t="str">
        <f>Результаты_УК!C23</f>
        <v>тыс. руб.</v>
      </c>
    </row>
    <row r="311" spans="2:13" x14ac:dyDescent="0.2">
      <c r="B311" s="63" t="str">
        <f>Результаты_УК!A24</f>
        <v>Амортизация</v>
      </c>
      <c r="C311" s="141">
        <f ca="1">Результаты_УК!B24</f>
        <v>-251989.81696647455</v>
      </c>
      <c r="D311" s="141">
        <f ca="1">Результаты_УК!AT24</f>
        <v>-1787861.8450349255</v>
      </c>
      <c r="E311" s="283" t="str">
        <f>Результаты_УК!C24</f>
        <v>тыс. руб.</v>
      </c>
      <c r="F311" s="22"/>
      <c r="G311" s="22"/>
      <c r="H311" s="22"/>
      <c r="I311" s="22"/>
      <c r="J311" s="22"/>
      <c r="K311" s="22"/>
      <c r="L311" s="22"/>
      <c r="M311" s="22"/>
    </row>
    <row r="312" spans="2:13" x14ac:dyDescent="0.2">
      <c r="B312" s="76" t="str">
        <f>Результаты_УК!A25</f>
        <v>EBIT</v>
      </c>
      <c r="C312" s="141">
        <f ca="1">Результаты_УК!B25</f>
        <v>1213057.2762392575</v>
      </c>
      <c r="D312" s="141">
        <f ca="1">Результаты_УК!AT25</f>
        <v>7503409.9231754271</v>
      </c>
      <c r="E312" s="283" t="str">
        <f>Результаты_УК!C25</f>
        <v>тыс. руб.</v>
      </c>
    </row>
    <row r="313" spans="2:13" x14ac:dyDescent="0.2">
      <c r="B313" s="63"/>
      <c r="C313" s="141"/>
      <c r="D313" s="141"/>
      <c r="E313" s="283"/>
      <c r="F313" s="285"/>
      <c r="G313" s="285"/>
      <c r="H313" s="285"/>
      <c r="I313" s="285"/>
    </row>
    <row r="314" spans="2:13" x14ac:dyDescent="0.2">
      <c r="B314" s="63" t="str">
        <f>Результаты_УК!A27</f>
        <v>Проценты к уплате</v>
      </c>
      <c r="C314" s="141">
        <f ca="1">Результаты_УК!B27</f>
        <v>-151150.96098256807</v>
      </c>
      <c r="D314" s="141">
        <f ca="1">Результаты_УК!AT27</f>
        <v>-1640579.4814322437</v>
      </c>
      <c r="E314" s="283" t="str">
        <f>Результаты_УК!C27</f>
        <v>тыс. руб.</v>
      </c>
    </row>
    <row r="315" spans="2:13" x14ac:dyDescent="0.2">
      <c r="B315" s="52" t="str">
        <f>Результаты_УК!A28</f>
        <v>Прибыль (убыток) от операционной деятельности</v>
      </c>
      <c r="C315" s="141">
        <f ca="1">Результаты_УК!B28</f>
        <v>1061906.3152566894</v>
      </c>
      <c r="D315" s="141">
        <f ca="1">Результаты_УК!AT28</f>
        <v>5862830.4417431839</v>
      </c>
      <c r="E315" s="283" t="str">
        <f>Результаты_УК!C28</f>
        <v>тыс. руб.</v>
      </c>
    </row>
    <row r="316" spans="2:13" x14ac:dyDescent="0.2">
      <c r="B316" s="44"/>
      <c r="C316" s="141"/>
      <c r="D316" s="141"/>
      <c r="E316" s="283"/>
    </row>
    <row r="317" spans="2:13" x14ac:dyDescent="0.2">
      <c r="B317" s="63" t="str">
        <f>Результаты_УК!A32</f>
        <v>Прочие доходы</v>
      </c>
      <c r="C317" s="141">
        <f ca="1">Результаты_УК!B32</f>
        <v>0</v>
      </c>
      <c r="D317" s="141">
        <f>Результаты_УК!AT32</f>
        <v>0</v>
      </c>
      <c r="E317" s="283" t="str">
        <f>Результаты_УК!C32</f>
        <v>тыс. руб.</v>
      </c>
    </row>
    <row r="318" spans="2:13" x14ac:dyDescent="0.2">
      <c r="B318" s="63" t="str">
        <f>Результаты_УК!A33</f>
        <v>Прочие расходы</v>
      </c>
      <c r="C318" s="141">
        <f ca="1">Результаты_УК!B33</f>
        <v>0</v>
      </c>
      <c r="D318" s="141">
        <f>Результаты_УК!AT33</f>
        <v>0</v>
      </c>
      <c r="E318" s="283" t="str">
        <f>Результаты_УК!C33</f>
        <v>тыс. руб.</v>
      </c>
    </row>
    <row r="319" spans="2:13" x14ac:dyDescent="0.2">
      <c r="B319" s="52" t="str">
        <f>Результаты_УК!A34</f>
        <v>Прибыль до налогообложения (по бухгалтерскому учету)</v>
      </c>
      <c r="C319" s="141">
        <f ca="1">Результаты_УК!B34</f>
        <v>1061906.3152566894</v>
      </c>
      <c r="D319" s="141">
        <f ca="1">Результаты_УК!AT34</f>
        <v>5862830.441743182</v>
      </c>
      <c r="E319" s="283" t="str">
        <f>Результаты_УК!C34</f>
        <v>тыс. руб.</v>
      </c>
    </row>
    <row r="320" spans="2:13" x14ac:dyDescent="0.2">
      <c r="B320" s="63" t="str">
        <f>Результаты_УК!A35</f>
        <v>Налог на прибыль</v>
      </c>
      <c r="C320" s="141">
        <f ca="1">Результаты_УК!B35</f>
        <v>-192706.29518529784</v>
      </c>
      <c r="D320" s="141">
        <f ca="1">Результаты_УК!AT35</f>
        <v>-1156237.7711117871</v>
      </c>
      <c r="E320" s="283" t="str">
        <f>Результаты_УК!C35</f>
        <v>тыс. руб.</v>
      </c>
    </row>
    <row r="321" spans="2:5" x14ac:dyDescent="0.2">
      <c r="B321" s="76" t="str">
        <f>Результаты_УК!A36</f>
        <v>Чистая прибыль (убыток)</v>
      </c>
      <c r="C321" s="141">
        <f ca="1">Результаты_УК!B36</f>
        <v>869200.02007139148</v>
      </c>
      <c r="D321" s="141">
        <f ca="1">Результаты_УК!AT36</f>
        <v>4706592.6706313938</v>
      </c>
      <c r="E321" s="283" t="str">
        <f>Результаты_УК!C36</f>
        <v>тыс. руб.</v>
      </c>
    </row>
    <row r="322" spans="2:5" x14ac:dyDescent="0.2">
      <c r="B322" s="49"/>
      <c r="C322" s="141"/>
      <c r="D322" s="141"/>
    </row>
    <row r="323" spans="2:5" x14ac:dyDescent="0.2">
      <c r="B323" s="93" t="str">
        <f>Результаты_УК!A38</f>
        <v>Нераспределенная чистая прибыль за период</v>
      </c>
      <c r="C323" s="141">
        <f ca="1">Результаты_УК!B38</f>
        <v>869200.02007139148</v>
      </c>
      <c r="D323" s="141">
        <f ca="1">Результаты_УК!AT38</f>
        <v>4706592.6706313938</v>
      </c>
      <c r="E323" s="283" t="str">
        <f>Результаты_УК!C38</f>
        <v>тыс. руб.</v>
      </c>
    </row>
    <row r="326" spans="2:5" ht="33.75" x14ac:dyDescent="0.2">
      <c r="B326" s="458" t="str">
        <f>Результаты_УК!A43</f>
        <v>ОТЧЕТ О ДВИЖЕНИИ ДЕНЕЖНЫХ СРЕДСТВ</v>
      </c>
      <c r="C326" s="456" t="str">
        <f>C292</f>
        <v>Среднегодовые
2024 - 2029</v>
      </c>
      <c r="D326" s="456" t="str">
        <f>D292</f>
        <v>Итого за 10 лет</v>
      </c>
      <c r="E326" s="459"/>
    </row>
    <row r="328" spans="2:5" x14ac:dyDescent="0.2">
      <c r="B328" s="63" t="str">
        <f>Результаты_УК!A46</f>
        <v>Выручка от реализации</v>
      </c>
      <c r="C328" s="90">
        <f ca="1">Результаты_УК!B46</f>
        <v>1110669.2614918312</v>
      </c>
      <c r="D328" s="90">
        <f ca="1">Результаты_УК!AT46</f>
        <v>7523652.4757080674</v>
      </c>
      <c r="E328" s="22" t="str">
        <f>Результаты_УК!C46</f>
        <v>тыс. руб.</v>
      </c>
    </row>
    <row r="329" spans="2:5" x14ac:dyDescent="0.2">
      <c r="B329" s="63" t="str">
        <f>Результаты_УК!A47</f>
        <v>Оплата материалов и комплектующих</v>
      </c>
      <c r="C329" s="90">
        <f ca="1">Результаты_УК!B47</f>
        <v>0</v>
      </c>
      <c r="D329" s="90">
        <f>Результаты_УК!AT47</f>
        <v>0</v>
      </c>
      <c r="E329" s="22" t="str">
        <f>Результаты_УК!C47</f>
        <v>тыс. руб.</v>
      </c>
    </row>
    <row r="330" spans="2:5" x14ac:dyDescent="0.2">
      <c r="B330" s="63" t="str">
        <f>Результаты_УК!A48</f>
        <v>Заработная плата</v>
      </c>
      <c r="C330" s="90">
        <f ca="1">Результаты_УК!B48</f>
        <v>-33922.484438441112</v>
      </c>
      <c r="D330" s="90">
        <f ca="1">Результаты_УК!AT48</f>
        <v>-272422.27284757694</v>
      </c>
      <c r="E330" s="22" t="str">
        <f>Результаты_УК!C48</f>
        <v>тыс. руб.</v>
      </c>
    </row>
    <row r="331" spans="2:5" x14ac:dyDescent="0.2">
      <c r="B331" s="63" t="str">
        <f>Результаты_УК!A49</f>
        <v>Постоянные издержки</v>
      </c>
      <c r="C331" s="90">
        <f ca="1">Результаты_УК!B49</f>
        <v>-103679.34441424704</v>
      </c>
      <c r="D331" s="90">
        <f ca="1">Результаты_УК!AT49</f>
        <v>-736250.52819715696</v>
      </c>
      <c r="E331" s="22" t="str">
        <f>Результаты_УК!C49</f>
        <v>тыс. руб.</v>
      </c>
    </row>
    <row r="332" spans="2:5" x14ac:dyDescent="0.2">
      <c r="B332" s="63" t="str">
        <f>Результаты_УК!A50</f>
        <v>Налоги</v>
      </c>
      <c r="C332" s="90">
        <f ca="1">Результаты_УК!B50</f>
        <v>-462107.23525354057</v>
      </c>
      <c r="D332" s="90">
        <f ca="1">Результаты_УК!AT50</f>
        <v>-2820829.6380185131</v>
      </c>
      <c r="E332" s="22" t="str">
        <f>Результаты_УК!C50</f>
        <v>тыс. руб.</v>
      </c>
    </row>
    <row r="333" spans="2:5" x14ac:dyDescent="0.2">
      <c r="B333" s="63" t="str">
        <f>Результаты_УК!A51</f>
        <v>Выплата процентов по кредитам</v>
      </c>
      <c r="C333" s="90">
        <f ca="1">Результаты_УК!B51</f>
        <v>-151150.96098256807</v>
      </c>
      <c r="D333" s="90">
        <f ca="1">Результаты_УК!AT51</f>
        <v>-1640579.4814322437</v>
      </c>
      <c r="E333" s="22" t="str">
        <f>Результаты_УК!C51</f>
        <v>тыс. руб.</v>
      </c>
    </row>
    <row r="334" spans="2:5" x14ac:dyDescent="0.2">
      <c r="B334" s="63" t="str">
        <f>Результаты_УК!A53</f>
        <v>Прочие поступления</v>
      </c>
      <c r="C334" s="90">
        <f ca="1">Результаты_УК!B53</f>
        <v>0</v>
      </c>
      <c r="D334" s="90">
        <f>Результаты_УК!AT53</f>
        <v>0</v>
      </c>
      <c r="E334" s="22" t="str">
        <f>Результаты_УК!C53</f>
        <v>тыс. руб.</v>
      </c>
    </row>
    <row r="335" spans="2:5" x14ac:dyDescent="0.2">
      <c r="B335" s="63" t="str">
        <f>Результаты_УК!A54</f>
        <v>Прочие затраты</v>
      </c>
      <c r="C335" s="90">
        <f ca="1">Результаты_УК!B54</f>
        <v>0</v>
      </c>
      <c r="D335" s="90">
        <f>Результаты_УК!AT54</f>
        <v>0</v>
      </c>
      <c r="E335" s="22" t="str">
        <f>Результаты_УК!C54</f>
        <v>тыс. руб.</v>
      </c>
    </row>
    <row r="336" spans="2:5" x14ac:dyDescent="0.2">
      <c r="B336" s="44"/>
      <c r="C336" s="90"/>
      <c r="D336" s="90"/>
      <c r="E336" s="22"/>
    </row>
    <row r="337" spans="2:5" x14ac:dyDescent="0.2">
      <c r="B337" s="76" t="str">
        <f>Результаты_УК!A56</f>
        <v>Денежные потоки от операционной деятельности</v>
      </c>
      <c r="C337" s="90">
        <f ca="1">Результаты_УК!B56</f>
        <v>359809.23640303453</v>
      </c>
      <c r="D337" s="90">
        <f ca="1">Результаты_УК!AT56</f>
        <v>2053570.5552125778</v>
      </c>
      <c r="E337" s="22" t="str">
        <f>Результаты_УК!C56</f>
        <v>тыс. руб.</v>
      </c>
    </row>
    <row r="338" spans="2:5" x14ac:dyDescent="0.2">
      <c r="B338" s="44"/>
      <c r="C338" s="90"/>
      <c r="D338" s="90"/>
      <c r="E338" s="22"/>
    </row>
    <row r="339" spans="2:5" x14ac:dyDescent="0.2">
      <c r="B339" s="63" t="str">
        <f>Результаты_УК!A58</f>
        <v>Инвестиции в земельные участки</v>
      </c>
      <c r="C339" s="90">
        <f ca="1">Результаты_УК!B58</f>
        <v>0</v>
      </c>
      <c r="D339" s="90">
        <f>Результаты_УК!AT58</f>
        <v>0</v>
      </c>
      <c r="E339" s="22" t="str">
        <f>Результаты_УК!C58</f>
        <v>тыс. руб.</v>
      </c>
    </row>
    <row r="340" spans="2:5" x14ac:dyDescent="0.2">
      <c r="B340" s="63" t="str">
        <f>Результаты_УК!A59</f>
        <v>Инвестиции в здания, инфраструктуру</v>
      </c>
      <c r="C340" s="90">
        <f ca="1">Результаты_УК!B59</f>
        <v>0</v>
      </c>
      <c r="D340" s="90">
        <f ca="1">Результаты_УК!AT59</f>
        <v>-6273858.8671458848</v>
      </c>
      <c r="E340" s="22" t="str">
        <f>Результаты_УК!C59</f>
        <v>тыс. руб.</v>
      </c>
    </row>
    <row r="341" spans="2:5" x14ac:dyDescent="0.2">
      <c r="B341" s="63" t="str">
        <f>Результаты_УК!A60</f>
        <v>Инвестиции в оборудование и прочие активы</v>
      </c>
      <c r="C341" s="90">
        <f ca="1">Результаты_УК!B60</f>
        <v>0</v>
      </c>
      <c r="D341" s="90">
        <f>Результаты_УК!AT60</f>
        <v>0</v>
      </c>
      <c r="E341" s="22" t="str">
        <f>Результаты_УК!C60</f>
        <v>тыс. руб.</v>
      </c>
    </row>
    <row r="342" spans="2:5" x14ac:dyDescent="0.2">
      <c r="B342" s="63" t="str">
        <f>Результаты_УК!A61</f>
        <v>Инвестиции в нематериальные активы</v>
      </c>
      <c r="C342" s="90">
        <f ca="1">Результаты_УК!B61</f>
        <v>0</v>
      </c>
      <c r="D342" s="90">
        <f>Результаты_УК!AT61</f>
        <v>0</v>
      </c>
      <c r="E342" s="22" t="str">
        <f>Результаты_УК!C61</f>
        <v>тыс. руб.</v>
      </c>
    </row>
    <row r="343" spans="2:5" x14ac:dyDescent="0.2">
      <c r="B343" s="63" t="str">
        <f>Результаты_УК!A62</f>
        <v>Инвестиции в финансовые активы</v>
      </c>
      <c r="C343" s="90">
        <f ca="1">Результаты_УК!B62</f>
        <v>0</v>
      </c>
      <c r="D343" s="90">
        <f>Результаты_УК!AT62</f>
        <v>0</v>
      </c>
      <c r="E343" s="22" t="str">
        <f>Результаты_УК!C62</f>
        <v>тыс. руб.</v>
      </c>
    </row>
    <row r="344" spans="2:5" x14ac:dyDescent="0.2">
      <c r="B344" s="63" t="str">
        <f>Результаты_УК!A63</f>
        <v>Выручка от реализации активов</v>
      </c>
      <c r="C344" s="90">
        <f ca="1">Результаты_УК!B63</f>
        <v>1357226.1239343011</v>
      </c>
      <c r="D344" s="90">
        <f ca="1">Результаты_УК!AT63</f>
        <v>8143356.7436058065</v>
      </c>
      <c r="E344" s="22" t="str">
        <f>Результаты_УК!C63</f>
        <v>тыс. руб.</v>
      </c>
    </row>
    <row r="345" spans="2:5" x14ac:dyDescent="0.2">
      <c r="B345" s="44"/>
      <c r="C345" s="90"/>
      <c r="D345" s="90"/>
      <c r="E345" s="22"/>
    </row>
    <row r="346" spans="2:5" x14ac:dyDescent="0.2">
      <c r="B346" s="76" t="str">
        <f>Результаты_УК!A65</f>
        <v>Денежные потоки от инвестиционной деятельности</v>
      </c>
      <c r="C346" s="90">
        <f ca="1">Результаты_УК!B65</f>
        <v>1357226.1239343011</v>
      </c>
      <c r="D346" s="90">
        <f ca="1">Результаты_УК!AT65</f>
        <v>1869497.8764599217</v>
      </c>
      <c r="E346" s="22" t="str">
        <f>Результаты_УК!C65</f>
        <v>тыс. руб.</v>
      </c>
    </row>
    <row r="347" spans="2:5" x14ac:dyDescent="0.2">
      <c r="B347" s="44"/>
      <c r="C347" s="90"/>
      <c r="D347" s="90"/>
      <c r="E347" s="22"/>
    </row>
    <row r="348" spans="2:5" x14ac:dyDescent="0.2">
      <c r="B348" s="63" t="str">
        <f>Результаты_УК!A67</f>
        <v>Поступления собственного капитала</v>
      </c>
      <c r="C348" s="90">
        <f ca="1">Результаты_УК!B67</f>
        <v>243950.26820987166</v>
      </c>
      <c r="D348" s="90">
        <f ca="1">Результаты_УК!AT67</f>
        <v>4714146.6052248208</v>
      </c>
      <c r="E348" s="22" t="str">
        <f>Результаты_УК!C67</f>
        <v>тыс. руб.</v>
      </c>
    </row>
    <row r="349" spans="2:5" x14ac:dyDescent="0.2">
      <c r="B349" s="63" t="str">
        <f>Результаты_УК!A68</f>
        <v>Целевое (бюджетное) финансирование</v>
      </c>
      <c r="C349" s="90">
        <f ca="1">Результаты_УК!B68</f>
        <v>59016.426884635039</v>
      </c>
      <c r="D349" s="90">
        <f ca="1">Результаты_УК!AT68</f>
        <v>407250</v>
      </c>
      <c r="E349" s="22" t="str">
        <f>Результаты_УК!C68</f>
        <v>тыс. руб.</v>
      </c>
    </row>
    <row r="350" spans="2:5" x14ac:dyDescent="0.2">
      <c r="B350" s="63" t="str">
        <f>Результаты_УК!A69</f>
        <v>Поступления кредитов</v>
      </c>
      <c r="C350" s="90">
        <f ca="1">Результаты_УК!B69</f>
        <v>0</v>
      </c>
      <c r="D350" s="90">
        <f ca="1">Результаты_УК!AT69</f>
        <v>4641914.1608693162</v>
      </c>
      <c r="E350" s="22" t="str">
        <f>Результаты_УК!C69</f>
        <v>тыс. руб.</v>
      </c>
    </row>
    <row r="351" spans="2:5" x14ac:dyDescent="0.2">
      <c r="B351" s="63" t="str">
        <f>Результаты_УК!A70</f>
        <v>Возврат кредитов</v>
      </c>
      <c r="C351" s="90">
        <f ca="1">Результаты_УК!B70</f>
        <v>-697165.56520712562</v>
      </c>
      <c r="D351" s="90">
        <f ca="1">Результаты_УК!AT70</f>
        <v>-5218581.6608693162</v>
      </c>
      <c r="E351" s="22" t="str">
        <f>Результаты_УК!C70</f>
        <v>тыс. руб.</v>
      </c>
    </row>
    <row r="352" spans="2:5" x14ac:dyDescent="0.2">
      <c r="B352" s="44"/>
      <c r="C352" s="90"/>
      <c r="D352" s="90"/>
      <c r="E352" s="22"/>
    </row>
    <row r="353" spans="2:5" x14ac:dyDescent="0.2">
      <c r="B353" s="76" t="str">
        <f>Результаты_УК!A73</f>
        <v>Денежные потоки от финансовой деятельности</v>
      </c>
      <c r="C353" s="90">
        <f ca="1">Результаты_УК!B73</f>
        <v>-394198.8701126189</v>
      </c>
      <c r="D353" s="90">
        <f ca="1">Результаты_УК!AT73</f>
        <v>4544729.1052248171</v>
      </c>
      <c r="E353" s="22" t="str">
        <f>Результаты_УК!C73</f>
        <v>тыс. руб.</v>
      </c>
    </row>
    <row r="354" spans="2:5" x14ac:dyDescent="0.2">
      <c r="B354" s="44"/>
      <c r="C354" s="90"/>
      <c r="D354" s="90"/>
      <c r="E354" s="22"/>
    </row>
    <row r="355" spans="2:5" x14ac:dyDescent="0.2">
      <c r="B355" s="44" t="str">
        <f>Результаты_УК!A75</f>
        <v>Суммарный денежный поток за период</v>
      </c>
      <c r="C355" s="90">
        <f ca="1">Результаты_УК!B75</f>
        <v>1322836.4902247167</v>
      </c>
      <c r="D355" s="90">
        <f ca="1">Результаты_УК!AT75</f>
        <v>8467797.5368973203</v>
      </c>
      <c r="E355" s="22" t="str">
        <f>Результаты_УК!C75</f>
        <v>тыс. руб.</v>
      </c>
    </row>
    <row r="356" spans="2:5" x14ac:dyDescent="0.2">
      <c r="B356" s="44"/>
    </row>
    <row r="357" spans="2:5" x14ac:dyDescent="0.2">
      <c r="B357" s="44"/>
    </row>
    <row r="358" spans="2:5" ht="33.75" x14ac:dyDescent="0.2">
      <c r="B358" s="458" t="str">
        <f>Результаты_УК!A154</f>
        <v>РЕНТАБЕЛЬНОСТЬ И ОБОРАЧИВАЕМОСТЬ</v>
      </c>
      <c r="C358" s="456" t="str">
        <f>C326</f>
        <v>Среднегодовые
2024 - 2029</v>
      </c>
      <c r="D358" s="459"/>
    </row>
    <row r="360" spans="2:5" x14ac:dyDescent="0.2">
      <c r="B360" s="273" t="str">
        <f>Результаты_УК!A179</f>
        <v>Точка безубыточности, без НДС за период</v>
      </c>
      <c r="C360" s="90">
        <f ca="1">Результаты_УК!B179</f>
        <v>512948.45355894382</v>
      </c>
      <c r="D360" s="22" t="str">
        <f>Результаты_УК!C179</f>
        <v>тыс. руб.</v>
      </c>
    </row>
    <row r="361" spans="2:5" x14ac:dyDescent="0.2">
      <c r="B361" s="273" t="str">
        <f>Результаты_УК!A180</f>
        <v>Точка безубыточности, % от объема реализации за период</v>
      </c>
      <c r="C361" s="452">
        <f ca="1">Результаты_УК!B180</f>
        <v>0.24941824840133869</v>
      </c>
      <c r="D361" s="22" t="str">
        <f>Результаты_УК!C180</f>
        <v>%</v>
      </c>
    </row>
    <row r="362" spans="2:5" x14ac:dyDescent="0.2">
      <c r="C362" s="268"/>
      <c r="D362" s="22"/>
    </row>
    <row r="363" spans="2:5" x14ac:dyDescent="0.2">
      <c r="B363" s="273" t="str">
        <f>Результаты_УК!A182</f>
        <v>Рентабельность продаж по чистой прибыли, NPM</v>
      </c>
      <c r="C363" s="452">
        <f ca="1">Результаты_УК!B182</f>
        <v>0.42264353272234334</v>
      </c>
      <c r="D363" s="22" t="str">
        <f>Результаты_УК!C182</f>
        <v>%</v>
      </c>
    </row>
    <row r="364" spans="2:5" x14ac:dyDescent="0.2">
      <c r="B364" s="273" t="str">
        <f>Результаты_УК!A183</f>
        <v>Рентабельность продаж по валовой прибыли, ROS</v>
      </c>
      <c r="C364" s="452">
        <f ca="1">Результаты_УК!B183</f>
        <v>0.74765394418832898</v>
      </c>
      <c r="D364" s="22" t="str">
        <f>Результаты_УК!C183</f>
        <v>%</v>
      </c>
    </row>
    <row r="365" spans="2:5" x14ac:dyDescent="0.2">
      <c r="B365" s="273" t="str">
        <f>Результаты_УК!A184</f>
        <v>Рентабельность продаж по EBITDA</v>
      </c>
      <c r="C365" s="452">
        <f ca="1">Результаты_УК!B184</f>
        <v>0.71237076021490864</v>
      </c>
      <c r="D365" s="22" t="str">
        <f>Результаты_УК!C184</f>
        <v>%</v>
      </c>
    </row>
    <row r="366" spans="2:5" x14ac:dyDescent="0.2">
      <c r="B366" s="273" t="str">
        <f>Результаты_УК!A185</f>
        <v>Рентабельность продаж по EBIT</v>
      </c>
      <c r="C366" s="452">
        <f ca="1">Результаты_УК!B185</f>
        <v>0.58984215460808853</v>
      </c>
      <c r="D366" s="22" t="str">
        <f>Результаты_УК!C185</f>
        <v>%</v>
      </c>
    </row>
    <row r="367" spans="2:5" x14ac:dyDescent="0.2">
      <c r="C367" s="452"/>
      <c r="D367" s="22"/>
    </row>
    <row r="368" spans="2:5" x14ac:dyDescent="0.2">
      <c r="B368" s="273" t="str">
        <f>Результаты_УК!A187</f>
        <v>Рентабельность собственного капитала, ROE</v>
      </c>
      <c r="C368" s="452">
        <f ca="1">Результаты_УК!B187</f>
        <v>3.3130427214357723E-2</v>
      </c>
      <c r="D368" s="22" t="str">
        <f>Результаты_УК!C187</f>
        <v>% в год</v>
      </c>
    </row>
    <row r="369" spans="2:4" x14ac:dyDescent="0.2">
      <c r="B369" s="273" t="str">
        <f>Результаты_УК!A188</f>
        <v>Рентабельность инвестированного капитала, ROIC</v>
      </c>
      <c r="C369" s="452">
        <f ca="1">Результаты_УК!B188</f>
        <v>3.4049086761567739E-2</v>
      </c>
      <c r="D369" s="22" t="str">
        <f>Результаты_УК!C188</f>
        <v>% в год</v>
      </c>
    </row>
    <row r="370" spans="2:4" x14ac:dyDescent="0.2">
      <c r="B370" s="273" t="str">
        <f>Результаты_УК!A189</f>
        <v>Рентабельность задействованного капитала, ROCE</v>
      </c>
      <c r="C370" s="452">
        <f ca="1">Результаты_УК!B189</f>
        <v>4.0317169539730399E-2</v>
      </c>
      <c r="D370" s="22" t="str">
        <f>Результаты_УК!C189</f>
        <v>% в год</v>
      </c>
    </row>
    <row r="371" spans="2:4" x14ac:dyDescent="0.2">
      <c r="B371" s="273" t="str">
        <f>Результаты_УК!A190</f>
        <v>Рентабельность суммарных активов, ROTA</v>
      </c>
      <c r="C371" s="452">
        <f ca="1">Результаты_УК!B190</f>
        <v>3.7650611013197742E-2</v>
      </c>
      <c r="D371" s="22" t="str">
        <f>Результаты_УК!C190</f>
        <v>% в год</v>
      </c>
    </row>
    <row r="372" spans="2:4" x14ac:dyDescent="0.2">
      <c r="B372" s="273" t="str">
        <f>Результаты_УК!A191</f>
        <v>Рентабельность внеоборотных активов, ROFA</v>
      </c>
      <c r="C372" s="452">
        <f ca="1">Результаты_УК!B191</f>
        <v>9.6453484570191914E-2</v>
      </c>
      <c r="D372" s="22" t="str">
        <f>Результаты_УК!C191</f>
        <v>% в год</v>
      </c>
    </row>
    <row r="373" spans="2:4" x14ac:dyDescent="0.2">
      <c r="C373" s="268"/>
      <c r="D373" s="22"/>
    </row>
    <row r="374" spans="2:4" x14ac:dyDescent="0.2">
      <c r="B374" s="273" t="str">
        <f>Результаты_УК!A193</f>
        <v>Коэффициент текущей ликвидности</v>
      </c>
      <c r="C374" s="453">
        <f ca="1">Результаты_УК!B193</f>
        <v>244.2861687159743</v>
      </c>
      <c r="D374" s="22" t="str">
        <f>Результаты_УК!C193</f>
        <v>раз</v>
      </c>
    </row>
    <row r="375" spans="2:4" x14ac:dyDescent="0.2">
      <c r="B375" s="273" t="str">
        <f>Результаты_УК!A194</f>
        <v>Коэффициент быстрой ликвидности</v>
      </c>
      <c r="C375" s="453">
        <f ca="1">Результаты_УК!B194</f>
        <v>153.35403273364167</v>
      </c>
      <c r="D375" s="22" t="str">
        <f>Результаты_УК!C194</f>
        <v>раз</v>
      </c>
    </row>
    <row r="376" spans="2:4" x14ac:dyDescent="0.2">
      <c r="C376" s="453"/>
      <c r="D376" s="22"/>
    </row>
    <row r="377" spans="2:4" x14ac:dyDescent="0.2">
      <c r="B377" s="273" t="str">
        <f>Результаты_УК!A196</f>
        <v>Период оборачиваемости дебиторской задолженности</v>
      </c>
      <c r="C377" s="453">
        <f ca="1">Результаты_УК!B196</f>
        <v>0</v>
      </c>
      <c r="D377" s="22" t="str">
        <f>Результаты_УК!C196</f>
        <v>дней</v>
      </c>
    </row>
    <row r="378" spans="2:4" x14ac:dyDescent="0.2">
      <c r="B378" s="273" t="str">
        <f>Результаты_УК!A197</f>
        <v>Период оборачиваемости кредиторской задолженности</v>
      </c>
      <c r="C378" s="453">
        <f ca="1">Результаты_УК!B197</f>
        <v>0</v>
      </c>
      <c r="D378" s="22" t="str">
        <f>Результаты_УК!C197</f>
        <v>дней</v>
      </c>
    </row>
    <row r="379" spans="2:4" x14ac:dyDescent="0.2">
      <c r="B379" s="273" t="str">
        <f>Результаты_УК!A198</f>
        <v>Период оборачиваемости запасов готовой продукции</v>
      </c>
      <c r="C379" s="453">
        <f ca="1">Результаты_УК!B198</f>
        <v>0</v>
      </c>
      <c r="D379" s="22" t="str">
        <f>Результаты_УК!C198</f>
        <v>дней</v>
      </c>
    </row>
    <row r="380" spans="2:4" x14ac:dyDescent="0.2">
      <c r="B380" s="273" t="str">
        <f>Результаты_УК!A199</f>
        <v>Период оборачиваемости запасов сырья и материалов</v>
      </c>
      <c r="C380" s="453">
        <f ca="1">Результаты_УК!B199</f>
        <v>0</v>
      </c>
      <c r="D380" s="22" t="str">
        <f>Результаты_УК!C199</f>
        <v>дней</v>
      </c>
    </row>
    <row r="381" spans="2:4" x14ac:dyDescent="0.2">
      <c r="B381" s="273" t="str">
        <f>Результаты_УК!A200</f>
        <v>Цикл обращения денежных средств</v>
      </c>
      <c r="C381" s="453">
        <f ca="1">Результаты_УК!B200</f>
        <v>0</v>
      </c>
      <c r="D381" s="22" t="str">
        <f>Результаты_УК!C200</f>
        <v>дней</v>
      </c>
    </row>
    <row r="382" spans="2:4" x14ac:dyDescent="0.2">
      <c r="C382" s="453"/>
      <c r="D382" s="22"/>
    </row>
    <row r="383" spans="2:4" x14ac:dyDescent="0.2">
      <c r="B383" s="273" t="str">
        <f>Результаты_УК!A202</f>
        <v>Оборачиваемость внеоборотных активов</v>
      </c>
      <c r="C383" s="453">
        <f ca="1">Результаты_УК!B202</f>
        <v>0.16107172726418947</v>
      </c>
      <c r="D383" s="22" t="str">
        <f>Результаты_УК!C202</f>
        <v>раз в год</v>
      </c>
    </row>
    <row r="384" spans="2:4" x14ac:dyDescent="0.2">
      <c r="B384" s="273" t="str">
        <f>Результаты_УК!A203</f>
        <v>Оборачиваемость суммарных активов</v>
      </c>
      <c r="C384" s="453">
        <f ca="1">Результаты_УК!B203</f>
        <v>6.4601581572787128E-2</v>
      </c>
      <c r="D384" s="22" t="str">
        <f>Результаты_УК!C203</f>
        <v>раз в год</v>
      </c>
    </row>
    <row r="387" spans="2:5" ht="33.75" x14ac:dyDescent="0.2">
      <c r="B387" s="458" t="str">
        <f>Результаты_УК!A207</f>
        <v>НАЛОГИ И ДОХОДЫ БЮДЖЕТОВ</v>
      </c>
      <c r="C387" s="456" t="str">
        <f>C292</f>
        <v>Среднегодовые
2024 - 2029</v>
      </c>
      <c r="D387" s="456" t="str">
        <f>D292</f>
        <v>Итого за 10 лет</v>
      </c>
    </row>
    <row r="389" spans="2:5" x14ac:dyDescent="0.2">
      <c r="B389" s="273" t="str">
        <f>Результаты_УК!A222</f>
        <v>Доходы федерального бюджета</v>
      </c>
      <c r="C389" s="90">
        <f ca="1">Результаты_УК!B222</f>
        <v>239601.53766137754</v>
      </c>
      <c r="D389" s="90">
        <f ca="1">Результаты_УК!AT222</f>
        <v>1437609.2259682652</v>
      </c>
      <c r="E389" s="22" t="str">
        <f>D394</f>
        <v>тыс. руб.</v>
      </c>
    </row>
    <row r="390" spans="2:5" x14ac:dyDescent="0.2">
      <c r="B390" s="273" t="str">
        <f>Результаты_УК!A225</f>
        <v>Доходы бюджета субъекта РФ</v>
      </c>
      <c r="C390" s="90">
        <f ca="1">Результаты_УК!B225</f>
        <v>210669.69065318874</v>
      </c>
      <c r="D390" s="90">
        <f ca="1">Результаты_УК!AT225</f>
        <v>1279553.7112471738</v>
      </c>
      <c r="E390" s="22" t="str">
        <f t="shared" ref="E390:E392" si="48">D395</f>
        <v>тыс. руб.</v>
      </c>
    </row>
    <row r="391" spans="2:5" x14ac:dyDescent="0.2">
      <c r="B391" s="273" t="str">
        <f>Результаты_УК!A229</f>
        <v>Доходы местного бюджета</v>
      </c>
      <c r="C391" s="90">
        <f ca="1">Результаты_УК!B229</f>
        <v>5905.9417837110113</v>
      </c>
      <c r="D391" s="90">
        <f ca="1">Результаты_УК!AT229</f>
        <v>56461.218098779093</v>
      </c>
      <c r="E391" s="22" t="str">
        <f t="shared" si="48"/>
        <v>тыс. руб.</v>
      </c>
    </row>
    <row r="392" spans="2:5" x14ac:dyDescent="0.2">
      <c r="B392" s="273" t="str">
        <f>Результаты_УК!A232</f>
        <v>Доходы внебюджетных фондов</v>
      </c>
      <c r="C392" s="90">
        <f ca="1">Результаты_УК!B232</f>
        <v>10352.001833561795</v>
      </c>
      <c r="D392" s="90">
        <f ca="1">Результаты_УК!AT232</f>
        <v>82841.270035017471</v>
      </c>
      <c r="E392" s="22" t="str">
        <f t="shared" si="48"/>
        <v>тыс. руб.</v>
      </c>
    </row>
    <row r="394" spans="2:5" x14ac:dyDescent="0.2">
      <c r="B394" s="273" t="str">
        <f>Результаты_УК!A260</f>
        <v>NPV федерального бюджета</v>
      </c>
      <c r="C394" s="90">
        <f ca="1">Результаты_УК!B260</f>
        <v>327020.81731044449</v>
      </c>
      <c r="D394" s="22" t="str">
        <f>Результаты_УК!C260</f>
        <v>тыс. руб.</v>
      </c>
    </row>
    <row r="395" spans="2:5" x14ac:dyDescent="0.2">
      <c r="B395" s="273" t="str">
        <f>Результаты_УК!A261</f>
        <v>NPV бюджета субъекта РФ</v>
      </c>
      <c r="C395" s="90">
        <f ca="1">Результаты_УК!B261</f>
        <v>556680.58389168943</v>
      </c>
      <c r="D395" s="22" t="str">
        <f>Результаты_УК!C261</f>
        <v>тыс. руб.</v>
      </c>
    </row>
    <row r="396" spans="2:5" x14ac:dyDescent="0.2">
      <c r="B396" s="273" t="str">
        <f>Результаты_УК!A262</f>
        <v>NPV местного бюджета</v>
      </c>
      <c r="C396" s="90">
        <f ca="1">Результаты_УК!B262</f>
        <v>35855.127911193493</v>
      </c>
      <c r="D396" s="22" t="str">
        <f>Результаты_УК!C262</f>
        <v>тыс. руб.</v>
      </c>
    </row>
    <row r="397" spans="2:5" x14ac:dyDescent="0.2">
      <c r="B397" s="273" t="str">
        <f>Результаты_УК!A263</f>
        <v>NPV внебюджетных фондов</v>
      </c>
      <c r="C397" s="90">
        <f ca="1">Результаты_УК!B263</f>
        <v>48257.084891081773</v>
      </c>
      <c r="D397" s="22" t="str">
        <f>Результаты_УК!C263</f>
        <v>тыс. руб.</v>
      </c>
    </row>
    <row r="400" spans="2:5" ht="33.75" x14ac:dyDescent="0.2">
      <c r="B400" s="458" t="s">
        <v>960</v>
      </c>
      <c r="C400" s="456" t="s">
        <v>961</v>
      </c>
      <c r="D400" s="456" t="s">
        <v>962</v>
      </c>
      <c r="E400" s="460" t="s">
        <v>345</v>
      </c>
    </row>
    <row r="402" spans="2:10" x14ac:dyDescent="0.2">
      <c r="B402" s="273" t="str">
        <f>Результаты_УК!A288 &amp; ", " &amp; Результаты_УК!C288</f>
        <v>Чистая приведенная стоимость, NPV, тыс. руб.</v>
      </c>
      <c r="C402" s="451">
        <f ca="1">Результаты_УК!B288</f>
        <v>420654.86896252848</v>
      </c>
      <c r="D402" s="451">
        <f ca="1">Результаты_УК!B329</f>
        <v>141857.56899929774</v>
      </c>
      <c r="E402" s="451">
        <f ca="1">Результаты_УК!B363</f>
        <v>9586959.7377509568</v>
      </c>
    </row>
    <row r="403" spans="2:10" x14ac:dyDescent="0.2">
      <c r="B403" s="273" t="str">
        <f>Результаты_УК!A290 &amp; "%"</f>
        <v>Внутренняя норма рентабельности, IRR%</v>
      </c>
      <c r="C403" s="454">
        <f ca="1">Результаты_УК!B290</f>
        <v>0.11330118433313929</v>
      </c>
      <c r="D403" s="454">
        <f ca="1">Результаты_УК!B331</f>
        <v>0.10647157816855213</v>
      </c>
      <c r="E403" s="454" t="str">
        <f ca="1">Результаты_УК!B365</f>
        <v>-</v>
      </c>
    </row>
    <row r="404" spans="2:10" x14ac:dyDescent="0.2">
      <c r="B404" s="273" t="str">
        <f>Результаты_УК!A297 &amp; ", " &amp; Результаты_УК!C297</f>
        <v>Простой срок окупаемости (PBP), лет</v>
      </c>
      <c r="C404" s="468">
        <f ca="1">Результаты_УК!B297</f>
        <v>9.0282290867414048</v>
      </c>
      <c r="D404" s="468">
        <f ca="1">Результаты_УК!B338</f>
        <v>9.0893914928121475</v>
      </c>
      <c r="E404" s="468"/>
    </row>
    <row r="405" spans="2:10" x14ac:dyDescent="0.2">
      <c r="B405" s="273" t="str">
        <f>Результаты_УК!A301 &amp; ", " &amp; Результаты_УК!C297</f>
        <v>Дисконтированный срок окупаемости (DPBP), лет</v>
      </c>
      <c r="C405" s="468">
        <f ca="1">Результаты_УК!B301</f>
        <v>9.1618965229894886</v>
      </c>
      <c r="D405" s="468">
        <f ca="1">Результаты_УК!B342</f>
        <v>9.1819034021537078</v>
      </c>
      <c r="E405" s="468" t="str">
        <f ca="1">Результаты_УК!B368</f>
        <v>-</v>
      </c>
    </row>
    <row r="406" spans="2:10" x14ac:dyDescent="0.2">
      <c r="B406" s="273" t="str">
        <f>Результаты_УК!A293</f>
        <v>Норма доходности дисконтированных затрат (PI)</v>
      </c>
      <c r="C406" s="241">
        <f ca="1">Результаты_УК!B293</f>
        <v>1.0662654382730803</v>
      </c>
      <c r="D406" s="241">
        <f ca="1">Результаты_УК!B334</f>
        <v>1.0370395279286884</v>
      </c>
      <c r="E406" s="22"/>
    </row>
    <row r="407" spans="2:10" x14ac:dyDescent="0.2">
      <c r="B407" s="273" t="str">
        <f>Результаты_УК!A309</f>
        <v>Ставка дисконтирования для собственного капитала УК</v>
      </c>
      <c r="C407" s="454">
        <f ca="1">Параметры!B239</f>
        <v>0.10128364613285909</v>
      </c>
      <c r="D407" s="454">
        <f ca="1">Результаты_УК!B309</f>
        <v>0.10128364613285909</v>
      </c>
      <c r="E407" s="454">
        <f ca="1">Параметры!B223</f>
        <v>8.4197013538173215E-2</v>
      </c>
    </row>
    <row r="408" spans="2:10" x14ac:dyDescent="0.2">
      <c r="B408" s="273" t="s">
        <v>543</v>
      </c>
      <c r="C408" s="469">
        <f>Параметры!B24*Параметры!B27/12</f>
        <v>10</v>
      </c>
      <c r="D408" s="469">
        <f>C408</f>
        <v>10</v>
      </c>
      <c r="E408" s="469">
        <f>C408</f>
        <v>10</v>
      </c>
    </row>
    <row r="411" spans="2:10" ht="33.75" x14ac:dyDescent="0.2">
      <c r="B411" s="974" t="s">
        <v>980</v>
      </c>
      <c r="C411" s="954" t="s">
        <v>977</v>
      </c>
      <c r="D411" s="954">
        <v>2020</v>
      </c>
      <c r="E411" s="954">
        <v>2021</v>
      </c>
      <c r="F411" s="954">
        <v>2022</v>
      </c>
      <c r="G411" s="954">
        <v>2023</v>
      </c>
      <c r="H411" s="954">
        <v>2024</v>
      </c>
      <c r="I411" s="982" t="s">
        <v>974</v>
      </c>
      <c r="J411" s="983" t="s">
        <v>975</v>
      </c>
    </row>
    <row r="412" spans="2:10" s="62" customFormat="1" x14ac:dyDescent="0.2">
      <c r="B412" s="977" t="s">
        <v>963</v>
      </c>
      <c r="C412" s="957">
        <f>(1-SUM(F163:G163))*C163</f>
        <v>576667.5</v>
      </c>
      <c r="D412" s="957">
        <f>F170</f>
        <v>576667.5</v>
      </c>
      <c r="E412" s="957">
        <f>J170</f>
        <v>540000</v>
      </c>
      <c r="F412" s="957">
        <f>N170</f>
        <v>1548400</v>
      </c>
      <c r="G412" s="957">
        <f>R170</f>
        <v>2497600</v>
      </c>
      <c r="H412" s="957">
        <v>0</v>
      </c>
      <c r="I412" s="981">
        <f>SUM(D412:H412)</f>
        <v>5162667.5</v>
      </c>
      <c r="J412" s="978">
        <f>I412+C412</f>
        <v>5739335</v>
      </c>
    </row>
    <row r="413" spans="2:10" x14ac:dyDescent="0.2">
      <c r="B413" s="979" t="str">
        <f t="shared" ref="B413:B418" si="49">B35</f>
        <v xml:space="preserve">Корпус А4 </v>
      </c>
      <c r="C413" s="540">
        <f>(1-SUM(F163:G163))*C163</f>
        <v>576667.5</v>
      </c>
      <c r="D413" s="540">
        <f>SUMIF(Параметры!$E$46:$T$46,D$411,ИД!$F163:$U163)*ИД!$C163</f>
        <v>576667.5</v>
      </c>
      <c r="E413" s="540">
        <f>SUMIF(Параметры!$E$46:$T$46,E$411,ИД!$F163:$U163)*ИД!$C163</f>
        <v>0</v>
      </c>
      <c r="F413" s="540">
        <f>SUMIF(Параметры!$E$46:$T$46,F$411,ИД!$F163:$U163)*ИД!$C163</f>
        <v>0</v>
      </c>
      <c r="G413" s="540">
        <f>SUMIF(Параметры!$E$46:$T$46,G$411,ИД!$F163:$U163)*ИД!$C163</f>
        <v>0</v>
      </c>
      <c r="H413" s="540">
        <f>SUMIF(Параметры!$E$46:$T$46,H$411,ИД!$F163:$U163)*ИД!$C163</f>
        <v>0</v>
      </c>
      <c r="I413" s="126">
        <f t="shared" ref="I413:I425" si="50">SUM(D413:H413)</f>
        <v>576667.5</v>
      </c>
      <c r="J413" s="980">
        <f t="shared" ref="J413:J425" si="51">I413+C413</f>
        <v>1153335</v>
      </c>
    </row>
    <row r="414" spans="2:10" x14ac:dyDescent="0.2">
      <c r="B414" s="979" t="str">
        <f t="shared" si="49"/>
        <v>Бизнес-пространство с ЦОД</v>
      </c>
      <c r="C414" s="540">
        <v>0</v>
      </c>
      <c r="D414" s="540">
        <f>SUMIF(Параметры!$E$46:$T$46,D$411,ИД!$F164:$U164)*ИД!$C164</f>
        <v>0</v>
      </c>
      <c r="E414" s="540">
        <f>SUMIF(Параметры!$E$46:$T$46,E$411,ИД!$F164:$U164)*ИД!$C164</f>
        <v>0</v>
      </c>
      <c r="F414" s="540">
        <f>SUMIF(Параметры!$E$46:$T$46,F$411,ИД!$F164:$U164)*ИД!$C164</f>
        <v>730800</v>
      </c>
      <c r="G414" s="540">
        <f>SUMIF(Параметры!$E$46:$T$46,G$411,ИД!$F164:$U164)*ИД!$C164</f>
        <v>1096200</v>
      </c>
      <c r="H414" s="540">
        <f>SUMIF(Параметры!$E$46:$T$46,H$411,ИД!$F164:$U164)*ИД!$C164</f>
        <v>0</v>
      </c>
      <c r="I414" s="126">
        <f t="shared" si="50"/>
        <v>1827000</v>
      </c>
      <c r="J414" s="980">
        <f t="shared" si="51"/>
        <v>1827000</v>
      </c>
    </row>
    <row r="415" spans="2:10" x14ac:dyDescent="0.2">
      <c r="B415" s="979" t="str">
        <f t="shared" si="49"/>
        <v>Корпус В1</v>
      </c>
      <c r="C415" s="540">
        <v>0</v>
      </c>
      <c r="D415" s="540">
        <f>SUMIF(Параметры!$E$46:$T$46,D$411,ИД!$F165:$U165)*ИД!$C165</f>
        <v>0</v>
      </c>
      <c r="E415" s="540">
        <f>SUMIF(Параметры!$E$46:$T$46,E$411,ИД!$F165:$U165)*ИД!$C165</f>
        <v>0</v>
      </c>
      <c r="F415" s="540">
        <f>SUMIF(Параметры!$E$46:$T$46,F$411,ИД!$F165:$U165)*ИД!$C165</f>
        <v>320000</v>
      </c>
      <c r="G415" s="540">
        <f>SUMIF(Параметры!$E$46:$T$46,G$411,ИД!$F165:$U165)*ИД!$C165</f>
        <v>0</v>
      </c>
      <c r="H415" s="540">
        <f>SUMIF(Параметры!$E$46:$T$46,H$411,ИД!$F165:$U165)*ИД!$C165</f>
        <v>0</v>
      </c>
      <c r="I415" s="126">
        <f t="shared" si="50"/>
        <v>320000</v>
      </c>
      <c r="J415" s="980">
        <f t="shared" si="51"/>
        <v>320000</v>
      </c>
    </row>
    <row r="416" spans="2:10" x14ac:dyDescent="0.2">
      <c r="B416" s="979" t="str">
        <f t="shared" si="49"/>
        <v>Корпус В2</v>
      </c>
      <c r="C416" s="540">
        <v>0</v>
      </c>
      <c r="D416" s="540">
        <f>SUMIF(Параметры!$E$46:$T$46,D$411,ИД!$F166:$U166)*ИД!$C166</f>
        <v>0</v>
      </c>
      <c r="E416" s="540">
        <f>SUMIF(Параметры!$E$46:$T$46,E$411,ИД!$F166:$U166)*ИД!$C166</f>
        <v>540000</v>
      </c>
      <c r="F416" s="540">
        <f>SUMIF(Параметры!$E$46:$T$46,F$411,ИД!$F166:$U166)*ИД!$C166</f>
        <v>0</v>
      </c>
      <c r="G416" s="540">
        <f>SUMIF(Параметры!$E$46:$T$46,G$411,ИД!$F166:$U166)*ИД!$C166</f>
        <v>0</v>
      </c>
      <c r="H416" s="540">
        <f>SUMIF(Параметры!$E$46:$T$46,H$411,ИД!$F166:$U166)*ИД!$C166</f>
        <v>0</v>
      </c>
      <c r="I416" s="126">
        <f t="shared" si="50"/>
        <v>540000</v>
      </c>
      <c r="J416" s="980">
        <f t="shared" si="51"/>
        <v>540000</v>
      </c>
    </row>
    <row r="417" spans="2:10" x14ac:dyDescent="0.2">
      <c r="B417" s="979" t="str">
        <f t="shared" si="49"/>
        <v>Корпус В3</v>
      </c>
      <c r="C417" s="540">
        <v>0</v>
      </c>
      <c r="D417" s="540">
        <f>SUMIF(Параметры!$E$46:$T$46,D$411,ИД!$F167:$U167)*ИД!$C167</f>
        <v>0</v>
      </c>
      <c r="E417" s="540">
        <f>SUMIF(Параметры!$E$46:$T$46,E$411,ИД!$F167:$U167)*ИД!$C167</f>
        <v>0</v>
      </c>
      <c r="F417" s="540">
        <f>SUMIF(Параметры!$E$46:$T$46,F$411,ИД!$F167:$U167)*ИД!$C167</f>
        <v>0</v>
      </c>
      <c r="G417" s="540">
        <f>SUMIF(Параметры!$E$46:$T$46,G$411,ИД!$F167:$U167)*ИД!$C167</f>
        <v>655000</v>
      </c>
      <c r="H417" s="540">
        <f>SUMIF(Параметры!$E$46:$T$46,H$411,ИД!$F167:$U167)*ИД!$C167</f>
        <v>0</v>
      </c>
      <c r="I417" s="126">
        <f t="shared" si="50"/>
        <v>655000</v>
      </c>
      <c r="J417" s="980">
        <f t="shared" si="51"/>
        <v>655000</v>
      </c>
    </row>
    <row r="418" spans="2:10" x14ac:dyDescent="0.2">
      <c r="B418" s="979" t="str">
        <f t="shared" si="49"/>
        <v>Объект II очереди</v>
      </c>
      <c r="C418" s="540">
        <v>0</v>
      </c>
      <c r="D418" s="540">
        <f>SUMIF(Параметры!$E$46:$T$46,D$411,ИД!$F168:$U168)*ИД!$C168</f>
        <v>0</v>
      </c>
      <c r="E418" s="540">
        <f>SUMIF(Параметры!$E$46:$T$46,E$411,ИД!$F168:$U168)*ИД!$C168</f>
        <v>0</v>
      </c>
      <c r="F418" s="540">
        <f>SUMIF(Параметры!$E$46:$T$46,F$411,ИД!$F168:$U168)*ИД!$C168</f>
        <v>497600</v>
      </c>
      <c r="G418" s="540">
        <f>SUMIF(Параметры!$E$46:$T$46,G$411,ИД!$F168:$U168)*ИД!$C168</f>
        <v>746400</v>
      </c>
      <c r="H418" s="540">
        <f>SUMIF(Параметры!$E$46:$T$46,H$411,ИД!$F168:$U168)*ИД!$C168</f>
        <v>0</v>
      </c>
      <c r="I418" s="126">
        <f t="shared" si="50"/>
        <v>1244000</v>
      </c>
      <c r="J418" s="980">
        <f t="shared" si="51"/>
        <v>1244000</v>
      </c>
    </row>
    <row r="419" spans="2:10" s="62" customFormat="1" x14ac:dyDescent="0.2">
      <c r="B419" s="977" t="s">
        <v>976</v>
      </c>
      <c r="C419" s="957">
        <f>'Таб. 8'!D61*1.2</f>
        <v>0</v>
      </c>
      <c r="D419" s="957">
        <f>F184</f>
        <v>187172</v>
      </c>
      <c r="E419" s="957">
        <f>J184</f>
        <v>109228</v>
      </c>
      <c r="F419" s="957">
        <f>N184</f>
        <v>350000</v>
      </c>
      <c r="G419" s="957">
        <f>R184</f>
        <v>0</v>
      </c>
      <c r="H419" s="957">
        <v>0</v>
      </c>
      <c r="I419" s="981">
        <f>SUM(D419:H419)</f>
        <v>646400</v>
      </c>
      <c r="J419" s="978">
        <f t="shared" ref="J419" si="52">I419+C419</f>
        <v>646400</v>
      </c>
    </row>
    <row r="420" spans="2:10" x14ac:dyDescent="0.2">
      <c r="B420" s="979" t="str">
        <f t="shared" ref="B420:B425" si="53">B46</f>
        <v>Электроснабжение</v>
      </c>
      <c r="C420" s="540">
        <v>0</v>
      </c>
      <c r="D420" s="540">
        <f>SUMIF(Параметры!$E$46:$T$46,D$411,ИД!$F177:$U177)*ИД!$C177</f>
        <v>0</v>
      </c>
      <c r="E420" s="540">
        <f>SUMIF(Параметры!$E$46:$T$46,E$411,ИД!$F177:$U177)*ИД!$C177</f>
        <v>0</v>
      </c>
      <c r="F420" s="540">
        <f>SUMIF(Параметры!$E$46:$T$46,F$411,ИД!$F177:$U177)*ИД!$C177</f>
        <v>0</v>
      </c>
      <c r="G420" s="540">
        <f>SUMIF(Параметры!$E$46:$T$46,G$411,ИД!$F177:$U177)*ИД!$C177</f>
        <v>0</v>
      </c>
      <c r="H420" s="540">
        <f>SUMIF(Параметры!$E$46:$T$46,H$411,ИД!$F177:$U177)*ИД!$C177</f>
        <v>0</v>
      </c>
      <c r="I420" s="126">
        <f t="shared" si="50"/>
        <v>0</v>
      </c>
      <c r="J420" s="980">
        <f t="shared" si="51"/>
        <v>0</v>
      </c>
    </row>
    <row r="421" spans="2:10" x14ac:dyDescent="0.2">
      <c r="B421" s="979" t="str">
        <f t="shared" si="53"/>
        <v>Водоснабжение</v>
      </c>
      <c r="C421" s="540">
        <v>0</v>
      </c>
      <c r="D421" s="540">
        <f>SUMIF(Параметры!$E$46:$T$46,D$411,ИД!$F178:$U178)*ИД!$C178</f>
        <v>0</v>
      </c>
      <c r="E421" s="540">
        <f>SUMIF(Параметры!$E$46:$T$46,E$411,ИД!$F178:$U178)*ИД!$C178</f>
        <v>40000</v>
      </c>
      <c r="F421" s="540">
        <f>SUMIF(Параметры!$E$46:$T$46,F$411,ИД!$F178:$U178)*ИД!$C178</f>
        <v>0</v>
      </c>
      <c r="G421" s="540">
        <f>SUMIF(Параметры!$E$46:$T$46,G$411,ИД!$F178:$U178)*ИД!$C178</f>
        <v>0</v>
      </c>
      <c r="H421" s="540">
        <f>SUMIF(Параметры!$E$46:$T$46,H$411,ИД!$F178:$U178)*ИД!$C178</f>
        <v>0</v>
      </c>
      <c r="I421" s="126">
        <f t="shared" si="50"/>
        <v>40000</v>
      </c>
      <c r="J421" s="980">
        <f t="shared" si="51"/>
        <v>40000</v>
      </c>
    </row>
    <row r="422" spans="2:10" x14ac:dyDescent="0.2">
      <c r="B422" s="979" t="str">
        <f t="shared" si="53"/>
        <v>Водоотведение</v>
      </c>
      <c r="C422" s="540">
        <v>0</v>
      </c>
      <c r="D422" s="540">
        <f>SUMIF(Параметры!$E$46:$T$46,D$411,ИД!$F179:$U179)*ИД!$C179</f>
        <v>0</v>
      </c>
      <c r="E422" s="540">
        <f>SUMIF(Параметры!$E$46:$T$46,E$411,ИД!$F179:$U179)*ИД!$C179</f>
        <v>0</v>
      </c>
      <c r="F422" s="540">
        <f>SUMIF(Параметры!$E$46:$T$46,F$411,ИД!$F179:$U179)*ИД!$C179</f>
        <v>350000</v>
      </c>
      <c r="G422" s="540">
        <f>SUMIF(Параметры!$E$46:$T$46,G$411,ИД!$F179:$U179)*ИД!$C179</f>
        <v>0</v>
      </c>
      <c r="H422" s="540">
        <f>SUMIF(Параметры!$E$46:$T$46,H$411,ИД!$F179:$U179)*ИД!$C179</f>
        <v>0</v>
      </c>
      <c r="I422" s="126">
        <f t="shared" si="50"/>
        <v>350000</v>
      </c>
      <c r="J422" s="980">
        <f t="shared" si="51"/>
        <v>350000</v>
      </c>
    </row>
    <row r="423" spans="2:10" x14ac:dyDescent="0.2">
      <c r="B423" s="979" t="str">
        <f t="shared" si="53"/>
        <v>Газоснабжение</v>
      </c>
      <c r="C423" s="540">
        <v>0</v>
      </c>
      <c r="D423" s="540">
        <f>SUMIF(Параметры!$E$46:$T$46,D$411,ИД!$F180:$U180)*ИД!$C180</f>
        <v>0</v>
      </c>
      <c r="E423" s="540">
        <f>SUMIF(Параметры!$E$46:$T$46,E$411,ИД!$F180:$U180)*ИД!$C180</f>
        <v>0</v>
      </c>
      <c r="F423" s="540">
        <f>SUMIF(Параметры!$E$46:$T$46,F$411,ИД!$F180:$U180)*ИД!$C180</f>
        <v>0</v>
      </c>
      <c r="G423" s="540">
        <f>SUMIF(Параметры!$E$46:$T$46,G$411,ИД!$F180:$U180)*ИД!$C180</f>
        <v>0</v>
      </c>
      <c r="H423" s="540">
        <f>SUMIF(Параметры!$E$46:$T$46,H$411,ИД!$F180:$U180)*ИД!$C180</f>
        <v>0</v>
      </c>
      <c r="I423" s="126">
        <f t="shared" si="50"/>
        <v>0</v>
      </c>
      <c r="J423" s="980">
        <f t="shared" si="51"/>
        <v>0</v>
      </c>
    </row>
    <row r="424" spans="2:10" x14ac:dyDescent="0.2">
      <c r="B424" s="979" t="str">
        <f t="shared" si="53"/>
        <v>Транспортная инфраструктура</v>
      </c>
      <c r="C424" s="540">
        <v>0</v>
      </c>
      <c r="D424" s="540">
        <f>SUMIF(Параметры!$E$46:$T$46,D$411,ИД!$F181:$U181)*ИД!$C181</f>
        <v>187172</v>
      </c>
      <c r="E424" s="540">
        <f>SUMIF(Параметры!$E$46:$T$46,E$411,ИД!$F181:$U181)*ИД!$C181</f>
        <v>69227.999999999985</v>
      </c>
      <c r="F424" s="540">
        <f>SUMIF(Параметры!$E$46:$T$46,F$411,ИД!$F181:$U181)*ИД!$C181</f>
        <v>0</v>
      </c>
      <c r="G424" s="540">
        <f>SUMIF(Параметры!$E$46:$T$46,G$411,ИД!$F181:$U181)*ИД!$C181</f>
        <v>0</v>
      </c>
      <c r="H424" s="540">
        <f>SUMIF(Параметры!$E$46:$T$46,H$411,ИД!$F181:$U181)*ИД!$C181</f>
        <v>0</v>
      </c>
      <c r="I424" s="126">
        <f t="shared" si="50"/>
        <v>256400</v>
      </c>
      <c r="J424" s="980">
        <f t="shared" si="51"/>
        <v>256400</v>
      </c>
    </row>
    <row r="425" spans="2:10" ht="22.5" x14ac:dyDescent="0.2">
      <c r="B425" s="979" t="str">
        <f t="shared" si="53"/>
        <v>Прочие обеспечивающие объекты инфраструктуры (ограждения, КПП, сети связи, ОПС, наблюдения и т.п.)</v>
      </c>
      <c r="C425" s="540">
        <v>0</v>
      </c>
      <c r="D425" s="540">
        <f>SUMIF(Параметры!$E$46:$T$46,D$411,ИД!$F182:$U182)*ИД!$C182</f>
        <v>0</v>
      </c>
      <c r="E425" s="540">
        <f>SUMIF(Параметры!$E$46:$T$46,E$411,ИД!$F182:$U182)*ИД!$C182</f>
        <v>0</v>
      </c>
      <c r="F425" s="540">
        <f>SUMIF(Параметры!$E$46:$T$46,F$411,ИД!$F182:$U182)*ИД!$C182</f>
        <v>0</v>
      </c>
      <c r="G425" s="540">
        <f>SUMIF(Параметры!$E$46:$T$46,G$411,ИД!$F182:$U182)*ИД!$C182</f>
        <v>0</v>
      </c>
      <c r="H425" s="540">
        <f>SUMIF(Параметры!$E$46:$T$46,H$411,ИД!$F182:$U182)*ИД!$C182</f>
        <v>0</v>
      </c>
      <c r="I425" s="126">
        <f t="shared" si="50"/>
        <v>0</v>
      </c>
      <c r="J425" s="980">
        <f t="shared" si="51"/>
        <v>0</v>
      </c>
    </row>
    <row r="426" spans="2:10" x14ac:dyDescent="0.2">
      <c r="B426" s="962" t="s">
        <v>489</v>
      </c>
      <c r="C426" s="963">
        <f>C419+C412</f>
        <v>576667.5</v>
      </c>
      <c r="D426" s="963">
        <f t="shared" ref="D426:J426" si="54">D419+D412</f>
        <v>763839.5</v>
      </c>
      <c r="E426" s="963">
        <f t="shared" si="54"/>
        <v>649228</v>
      </c>
      <c r="F426" s="963">
        <f t="shared" si="54"/>
        <v>1898400</v>
      </c>
      <c r="G426" s="963">
        <f t="shared" si="54"/>
        <v>2497600</v>
      </c>
      <c r="H426" s="963">
        <f t="shared" si="54"/>
        <v>0</v>
      </c>
      <c r="I426" s="984">
        <f t="shared" si="54"/>
        <v>5809067.5</v>
      </c>
      <c r="J426" s="975">
        <f t="shared" si="54"/>
        <v>6385735</v>
      </c>
    </row>
    <row r="427" spans="2:10" ht="17.25" customHeight="1" x14ac:dyDescent="0.2">
      <c r="B427" s="976"/>
    </row>
    <row r="430" spans="2:10" ht="22.5" x14ac:dyDescent="0.2">
      <c r="B430" s="953" t="s">
        <v>978</v>
      </c>
      <c r="C430" s="188"/>
      <c r="D430" s="954">
        <v>2020</v>
      </c>
      <c r="E430" s="954">
        <v>2021</v>
      </c>
      <c r="F430" s="954">
        <v>2022</v>
      </c>
      <c r="G430" s="954">
        <v>2023</v>
      </c>
      <c r="H430" s="954">
        <v>2024</v>
      </c>
      <c r="I430" s="955" t="s">
        <v>489</v>
      </c>
    </row>
    <row r="431" spans="2:10" s="62" customFormat="1" x14ac:dyDescent="0.2">
      <c r="B431" s="956" t="s">
        <v>965</v>
      </c>
      <c r="C431" s="135"/>
      <c r="D431" s="957"/>
      <c r="E431" s="957"/>
      <c r="F431" s="957"/>
      <c r="G431" s="957"/>
      <c r="H431" s="957"/>
      <c r="I431" s="958"/>
    </row>
    <row r="432" spans="2:10" x14ac:dyDescent="0.2">
      <c r="B432" s="959" t="s">
        <v>963</v>
      </c>
      <c r="C432" s="41"/>
      <c r="D432" s="107">
        <f ca="1">'Таб. 8'!D12*1.2</f>
        <v>576667.5</v>
      </c>
      <c r="E432" s="107">
        <f ca="1">'Таб. 8'!E12*1.2</f>
        <v>551632.7442500043</v>
      </c>
      <c r="F432" s="107">
        <f ca="1">'Таб. 8'!F12*1.2</f>
        <v>1663063.3567749483</v>
      </c>
      <c r="G432" s="107">
        <f ca="1">'Таб. 8'!G12*1.2</f>
        <v>2810034.3594813459</v>
      </c>
      <c r="H432" s="107">
        <f ca="1">'Таб. 8'!H12*1.2</f>
        <v>0</v>
      </c>
      <c r="I432" s="960">
        <f ca="1">SUM(D432:H432)</f>
        <v>5601397.9605062986</v>
      </c>
      <c r="J432" s="284"/>
    </row>
    <row r="433" spans="2:10" x14ac:dyDescent="0.2">
      <c r="B433" s="959" t="s">
        <v>976</v>
      </c>
      <c r="C433" s="41"/>
      <c r="D433" s="107">
        <f ca="1">'Таб. 8'!D68*1.2</f>
        <v>187172.00000000003</v>
      </c>
      <c r="E433" s="107">
        <f ca="1">'Таб. 8'!E68*1.2</f>
        <v>110937.67241973859</v>
      </c>
      <c r="F433" s="107">
        <f ca="1">'Таб. 8'!F68*1.2</f>
        <v>374351.23421984643</v>
      </c>
      <c r="G433" s="107">
        <f ca="1">'Таб. 8'!G68*1.2</f>
        <v>0</v>
      </c>
      <c r="H433" s="107">
        <f ca="1">'Таб. 8'!H68*1.2</f>
        <v>0</v>
      </c>
      <c r="I433" s="960">
        <f t="shared" ref="I433:I436" ca="1" si="55">SUM(D433:H433)</f>
        <v>672460.90663958504</v>
      </c>
    </row>
    <row r="434" spans="2:10" s="62" customFormat="1" x14ac:dyDescent="0.2">
      <c r="B434" s="956" t="s">
        <v>964</v>
      </c>
      <c r="C434" s="135"/>
      <c r="D434" s="957">
        <f ca="1">SUM(D432:D433)</f>
        <v>763839.5</v>
      </c>
      <c r="E434" s="957">
        <f t="shared" ref="E434:H434" ca="1" si="56">SUM(E432:E433)</f>
        <v>662570.4166697429</v>
      </c>
      <c r="F434" s="957">
        <f t="shared" ca="1" si="56"/>
        <v>2037414.5909947949</v>
      </c>
      <c r="G434" s="957">
        <f t="shared" ca="1" si="56"/>
        <v>2810034.3594813459</v>
      </c>
      <c r="H434" s="957">
        <f t="shared" ca="1" si="56"/>
        <v>0</v>
      </c>
      <c r="I434" s="961">
        <f t="shared" ca="1" si="55"/>
        <v>6273858.8671458839</v>
      </c>
    </row>
    <row r="435" spans="2:10" x14ac:dyDescent="0.2">
      <c r="B435" s="959" t="s">
        <v>1013</v>
      </c>
      <c r="C435" s="41"/>
      <c r="D435" s="107">
        <f ca="1">'Таб. 9'!C8</f>
        <v>145494.90036122283</v>
      </c>
      <c r="E435" s="107">
        <f ca="1">'Таб. 9'!D8</f>
        <v>215492.11213833382</v>
      </c>
      <c r="F435" s="107">
        <f ca="1">'Таб. 9'!E8</f>
        <v>287102.12799893448</v>
      </c>
      <c r="G435" s="107">
        <f ca="1">'Таб. 9'!F8</f>
        <v>970411.14919052972</v>
      </c>
      <c r="H435" s="107">
        <f ca="1">'Таб. 9'!G8</f>
        <v>313012.07751929259</v>
      </c>
      <c r="I435" s="960">
        <f t="shared" ca="1" si="55"/>
        <v>1931512.3672083132</v>
      </c>
    </row>
    <row r="436" spans="2:10" s="62" customFormat="1" x14ac:dyDescent="0.2">
      <c r="B436" s="962" t="s">
        <v>489</v>
      </c>
      <c r="C436" s="973"/>
      <c r="D436" s="963">
        <f ca="1">SUM(D434:D435)</f>
        <v>909334.4003612228</v>
      </c>
      <c r="E436" s="963">
        <f t="shared" ref="E436:H436" ca="1" si="57">SUM(E434:E435)</f>
        <v>878062.52880807675</v>
      </c>
      <c r="F436" s="963">
        <f t="shared" ca="1" si="57"/>
        <v>2324516.7189937294</v>
      </c>
      <c r="G436" s="963">
        <f t="shared" ca="1" si="57"/>
        <v>3780445.5086718756</v>
      </c>
      <c r="H436" s="963">
        <f t="shared" ca="1" si="57"/>
        <v>313012.07751929259</v>
      </c>
      <c r="I436" s="964">
        <f t="shared" ca="1" si="55"/>
        <v>8205371.234354197</v>
      </c>
      <c r="J436" s="971"/>
    </row>
    <row r="437" spans="2:10" x14ac:dyDescent="0.2">
      <c r="D437" s="451"/>
      <c r="E437" s="451"/>
      <c r="F437" s="451"/>
      <c r="G437" s="451"/>
      <c r="H437" s="451"/>
      <c r="I437" s="451"/>
    </row>
    <row r="438" spans="2:10" x14ac:dyDescent="0.2">
      <c r="D438" s="451"/>
      <c r="E438" s="451"/>
      <c r="F438" s="451"/>
      <c r="G438" s="451"/>
      <c r="H438" s="451"/>
      <c r="I438" s="451"/>
    </row>
    <row r="439" spans="2:10" ht="22.5" x14ac:dyDescent="0.2">
      <c r="B439" s="953" t="s">
        <v>979</v>
      </c>
      <c r="C439" s="188"/>
      <c r="D439" s="954">
        <v>2020</v>
      </c>
      <c r="E439" s="954">
        <v>2021</v>
      </c>
      <c r="F439" s="954">
        <v>2022</v>
      </c>
      <c r="G439" s="954">
        <v>2023</v>
      </c>
      <c r="H439" s="954">
        <v>2024</v>
      </c>
      <c r="I439" s="955" t="s">
        <v>489</v>
      </c>
    </row>
    <row r="440" spans="2:10" s="62" customFormat="1" x14ac:dyDescent="0.2">
      <c r="B440" s="956" t="s">
        <v>966</v>
      </c>
      <c r="C440" s="135"/>
      <c r="D440" s="957"/>
      <c r="E440" s="957"/>
      <c r="F440" s="957"/>
      <c r="G440" s="957"/>
      <c r="H440" s="957"/>
      <c r="I440" s="965"/>
    </row>
    <row r="441" spans="2:10" x14ac:dyDescent="0.2">
      <c r="B441" s="959" t="s">
        <v>967</v>
      </c>
      <c r="C441" s="41"/>
      <c r="D441" s="107">
        <f ca="1">'Таб. 9'!C7</f>
        <v>7.2759576141834259E-12</v>
      </c>
      <c r="E441" s="107">
        <f ca="1">'Таб. 9'!D7</f>
        <v>177710.02113372559</v>
      </c>
      <c r="F441" s="107">
        <f ca="1">'Таб. 9'!E7</f>
        <v>611224.37729843869</v>
      </c>
      <c r="G441" s="107">
        <f ca="1">'Таб. 9'!F7</f>
        <v>843010.30784440413</v>
      </c>
      <c r="H441" s="107">
        <f ca="1">'Таб. 9'!G7</f>
        <v>0</v>
      </c>
      <c r="I441" s="960">
        <f t="shared" ref="I441:I446" ca="1" si="58">SUM(D441:H441)</f>
        <v>1631944.7062765684</v>
      </c>
    </row>
    <row r="442" spans="2:10" x14ac:dyDescent="0.2">
      <c r="B442" s="959" t="s">
        <v>968</v>
      </c>
      <c r="C442" s="41"/>
      <c r="D442" s="107">
        <f ca="1">'Таб. 9'!C8</f>
        <v>145494.90036122283</v>
      </c>
      <c r="E442" s="107">
        <f ca="1">'Таб. 9'!D8</f>
        <v>215492.11213833382</v>
      </c>
      <c r="F442" s="107">
        <f ca="1">'Таб. 9'!E8</f>
        <v>287102.12799893448</v>
      </c>
      <c r="G442" s="107">
        <f ca="1">'Таб. 9'!F8</f>
        <v>970411.14919052972</v>
      </c>
      <c r="H442" s="107">
        <f ca="1">'Таб. 9'!G8</f>
        <v>313012.07751929259</v>
      </c>
      <c r="I442" s="960">
        <f t="shared" ca="1" si="58"/>
        <v>1931512.3672083132</v>
      </c>
    </row>
    <row r="443" spans="2:10" x14ac:dyDescent="0.2">
      <c r="B443" s="956" t="s">
        <v>969</v>
      </c>
      <c r="C443" s="41"/>
      <c r="D443" s="957">
        <f ca="1">SUM(D441:D442)</f>
        <v>145494.90036122283</v>
      </c>
      <c r="E443" s="957">
        <f t="shared" ref="E443:H443" ca="1" si="59">SUM(E441:E442)</f>
        <v>393202.13327205938</v>
      </c>
      <c r="F443" s="957">
        <f t="shared" ca="1" si="59"/>
        <v>898326.50529737317</v>
      </c>
      <c r="G443" s="957">
        <f t="shared" ca="1" si="59"/>
        <v>1813421.4570349338</v>
      </c>
      <c r="H443" s="957">
        <f t="shared" ca="1" si="59"/>
        <v>313012.07751929259</v>
      </c>
      <c r="I443" s="961">
        <f t="shared" ca="1" si="58"/>
        <v>3563457.0734848818</v>
      </c>
    </row>
    <row r="444" spans="2:10" ht="12" customHeight="1" x14ac:dyDescent="0.2">
      <c r="B444" s="959" t="s">
        <v>970</v>
      </c>
      <c r="C444" s="41"/>
      <c r="D444" s="107">
        <f ca="1">D436-D443-D445</f>
        <v>0</v>
      </c>
      <c r="E444" s="107">
        <f ca="1">E436-E443-E445</f>
        <v>0</v>
      </c>
      <c r="F444" s="107">
        <f ca="1">F436-F443-F445</f>
        <v>0</v>
      </c>
      <c r="G444" s="107">
        <f ca="1">G436-G443-G445</f>
        <v>0</v>
      </c>
      <c r="H444" s="107">
        <f ca="1">H436-H443-H445</f>
        <v>0</v>
      </c>
      <c r="I444" s="960">
        <f t="shared" ca="1" si="58"/>
        <v>0</v>
      </c>
    </row>
    <row r="445" spans="2:10" s="62" customFormat="1" x14ac:dyDescent="0.2">
      <c r="B445" s="966" t="s">
        <v>819</v>
      </c>
      <c r="C445" s="135"/>
      <c r="D445" s="957">
        <f ca="1">'Таб. 12'!D26</f>
        <v>763839.5</v>
      </c>
      <c r="E445" s="957">
        <f ca="1">'Таб. 12'!E26</f>
        <v>484860.39553601737</v>
      </c>
      <c r="F445" s="957">
        <f ca="1">'Таб. 12'!F26</f>
        <v>1426190.2136963564</v>
      </c>
      <c r="G445" s="957">
        <f ca="1">'Таб. 12'!G26</f>
        <v>1967024.0516369422</v>
      </c>
      <c r="H445" s="957">
        <f ca="1">'Таб. 12'!H26</f>
        <v>0</v>
      </c>
      <c r="I445" s="961">
        <f t="shared" ca="1" si="58"/>
        <v>4641914.1608693153</v>
      </c>
    </row>
    <row r="446" spans="2:10" s="62" customFormat="1" x14ac:dyDescent="0.2">
      <c r="B446" s="962" t="s">
        <v>489</v>
      </c>
      <c r="C446" s="973"/>
      <c r="D446" s="963">
        <f ca="1">SUM(D443:D445)</f>
        <v>909334.4003612228</v>
      </c>
      <c r="E446" s="963">
        <f ca="1">SUM(E443:E445)</f>
        <v>878062.52880807675</v>
      </c>
      <c r="F446" s="963">
        <f ca="1">SUM(F443:F445)</f>
        <v>2324516.7189937294</v>
      </c>
      <c r="G446" s="963">
        <f ca="1">SUM(G443:G445)</f>
        <v>3780445.508671876</v>
      </c>
      <c r="H446" s="963">
        <f ca="1">SUM(H443:H445)</f>
        <v>313012.07751929259</v>
      </c>
      <c r="I446" s="964">
        <f t="shared" ca="1" si="58"/>
        <v>8205371.234354198</v>
      </c>
    </row>
    <row r="447" spans="2:10" x14ac:dyDescent="0.2">
      <c r="C447" s="451"/>
      <c r="D447" s="451"/>
      <c r="E447" s="451"/>
      <c r="F447" s="451"/>
      <c r="G447" s="451"/>
      <c r="H447" s="451"/>
    </row>
    <row r="448" spans="2:10" x14ac:dyDescent="0.2">
      <c r="C448" s="451"/>
      <c r="D448" s="451"/>
      <c r="E448" s="451"/>
      <c r="F448" s="451"/>
      <c r="G448" s="451"/>
      <c r="H448" s="451"/>
    </row>
    <row r="449" spans="3:10" x14ac:dyDescent="0.2">
      <c r="C449" s="451"/>
      <c r="D449" s="451"/>
      <c r="E449" s="451"/>
      <c r="F449" s="451"/>
      <c r="G449" s="451"/>
      <c r="H449" s="451"/>
      <c r="J449" s="284"/>
    </row>
    <row r="450" spans="3:10" x14ac:dyDescent="0.2">
      <c r="C450" s="451"/>
      <c r="D450" s="451"/>
      <c r="E450" s="451"/>
      <c r="F450" s="451"/>
      <c r="G450" s="451"/>
      <c r="H450" s="451"/>
    </row>
    <row r="451" spans="3:10" x14ac:dyDescent="0.2">
      <c r="C451" s="451"/>
      <c r="D451" s="451"/>
      <c r="E451" s="451"/>
      <c r="F451" s="451"/>
      <c r="G451" s="451"/>
      <c r="H451" s="451"/>
    </row>
    <row r="452" spans="3:10" x14ac:dyDescent="0.2">
      <c r="C452" s="451"/>
      <c r="D452" s="451"/>
      <c r="E452" s="451"/>
      <c r="F452" s="451"/>
      <c r="G452" s="451"/>
      <c r="H452" s="451"/>
    </row>
    <row r="453" spans="3:10" x14ac:dyDescent="0.2">
      <c r="C453" s="107"/>
      <c r="D453" s="107"/>
      <c r="E453" s="107"/>
      <c r="F453" s="107"/>
      <c r="G453" s="107"/>
      <c r="H453" s="107"/>
      <c r="I453" s="90"/>
    </row>
    <row r="454" spans="3:10" x14ac:dyDescent="0.2">
      <c r="C454" s="107"/>
      <c r="D454" s="107"/>
      <c r="E454" s="107"/>
      <c r="F454" s="107"/>
      <c r="G454" s="107"/>
      <c r="H454" s="107"/>
      <c r="I454" s="90"/>
    </row>
    <row r="455" spans="3:10" x14ac:dyDescent="0.2">
      <c r="C455" s="107"/>
      <c r="D455" s="107"/>
      <c r="E455" s="107"/>
      <c r="F455" s="107"/>
      <c r="G455" s="107"/>
      <c r="H455" s="107"/>
      <c r="I455" s="90"/>
    </row>
    <row r="456" spans="3:10" x14ac:dyDescent="0.2">
      <c r="C456" s="107"/>
      <c r="D456" s="107"/>
      <c r="E456" s="107"/>
      <c r="F456" s="107"/>
      <c r="G456" s="107"/>
      <c r="H456" s="107"/>
      <c r="I456" s="90"/>
      <c r="J456" s="90"/>
    </row>
    <row r="457" spans="3:10" x14ac:dyDescent="0.2">
      <c r="C457" s="107"/>
      <c r="D457" s="107"/>
      <c r="E457" s="107"/>
      <c r="F457" s="107"/>
      <c r="G457" s="107"/>
      <c r="H457" s="107"/>
      <c r="I457" s="90"/>
    </row>
    <row r="458" spans="3:10" x14ac:dyDescent="0.2">
      <c r="C458" s="107"/>
      <c r="D458" s="107"/>
      <c r="E458" s="107"/>
      <c r="F458" s="107"/>
      <c r="G458" s="107"/>
      <c r="H458" s="107"/>
      <c r="I458" s="90"/>
    </row>
  </sheetData>
  <mergeCells count="36">
    <mergeCell ref="F184:I184"/>
    <mergeCell ref="J184:M184"/>
    <mergeCell ref="N184:Q184"/>
    <mergeCell ref="R184:U184"/>
    <mergeCell ref="R161:U161"/>
    <mergeCell ref="F175:I175"/>
    <mergeCell ref="J175:M175"/>
    <mergeCell ref="N175:Q175"/>
    <mergeCell ref="R175:U175"/>
    <mergeCell ref="F161:I161"/>
    <mergeCell ref="J161:M161"/>
    <mergeCell ref="N161:Q161"/>
    <mergeCell ref="F170:I170"/>
    <mergeCell ref="J170:M170"/>
    <mergeCell ref="N170:Q170"/>
    <mergeCell ref="R170:U170"/>
    <mergeCell ref="X79:AA79"/>
    <mergeCell ref="AB79:AE79"/>
    <mergeCell ref="AF79:AI79"/>
    <mergeCell ref="AJ79:AM79"/>
    <mergeCell ref="AN79:AQ79"/>
    <mergeCell ref="D79:G79"/>
    <mergeCell ref="H79:K79"/>
    <mergeCell ref="L79:O79"/>
    <mergeCell ref="P79:S79"/>
    <mergeCell ref="T79:W79"/>
    <mergeCell ref="AB56:AE56"/>
    <mergeCell ref="AF56:AI56"/>
    <mergeCell ref="AJ56:AM56"/>
    <mergeCell ref="AN56:AQ56"/>
    <mergeCell ref="D56:G56"/>
    <mergeCell ref="H56:K56"/>
    <mergeCell ref="L56:O56"/>
    <mergeCell ref="P56:S56"/>
    <mergeCell ref="T56:W56"/>
    <mergeCell ref="X56:AA56"/>
  </mergeCells>
  <conditionalFormatting sqref="H152:R154">
    <cfRule type="cellIs" dxfId="839" priority="5" operator="notEqual">
      <formula>G152</formula>
    </cfRule>
  </conditionalFormatting>
  <conditionalFormatting sqref="D177:D182">
    <cfRule type="cellIs" dxfId="838" priority="1" operator="notEqual">
      <formula>1</formula>
    </cfRule>
  </conditionalFormatting>
  <dataValidations count="1">
    <dataValidation type="list" allowBlank="1" showInputMessage="1" showErrorMessage="1" sqref="C196 C204 C220 C228 C252 C236 C244 C260" xr:uid="{00000000-0002-0000-0100-000000000000}">
      <formula1>"0,1"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34"/>
  <dimension ref="A1:M32"/>
  <sheetViews>
    <sheetView workbookViewId="0"/>
  </sheetViews>
  <sheetFormatPr defaultRowHeight="12.75" x14ac:dyDescent="0.2"/>
  <cols>
    <col min="1" max="1" width="44.7109375" customWidth="1"/>
    <col min="2" max="2" width="8.42578125" customWidth="1"/>
    <col min="3" max="4" width="7.28515625" customWidth="1"/>
    <col min="5" max="12" width="8.140625" customWidth="1"/>
    <col min="13" max="13" width="8.7109375" customWidth="1"/>
  </cols>
  <sheetData>
    <row r="1" spans="1:13" s="301" customFormat="1" ht="26.1" customHeight="1" x14ac:dyDescent="0.2">
      <c r="A1" s="613" t="str">
        <f>Деятельность_УК!$A$509</f>
        <v>СОБСТВЕННЫЙ КАПИТАЛ И ФИНАНСИРОВАНИЕ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  <c r="M1" s="614" t="str">
        <f>Деятельность_УК!$AT$509</f>
        <v>ИТОГО</v>
      </c>
    </row>
    <row r="2" spans="1:13" ht="11.25" customHeight="1" x14ac:dyDescent="0.2">
      <c r="A2" s="654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682"/>
    </row>
    <row r="3" spans="1:13" ht="11.25" customHeight="1" x14ac:dyDescent="0.2">
      <c r="A3" s="679" t="str">
        <f>Деятельность_УК!$A$511</f>
        <v>Собственный капитал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82"/>
    </row>
    <row r="4" spans="1:13" ht="11.25" customHeight="1" x14ac:dyDescent="0.2">
      <c r="A4" s="654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682"/>
    </row>
    <row r="5" spans="1:13" ht="11.25" customHeight="1" x14ac:dyDescent="0.2">
      <c r="A5" s="770" t="str">
        <f>Деятельность_УК!$A$513</f>
        <v>Собственный капитал</v>
      </c>
      <c r="B5" s="774">
        <f>Деятельность_УК!$C$513</f>
        <v>1</v>
      </c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682"/>
    </row>
    <row r="6" spans="1:13" ht="11.25" customHeight="1" x14ac:dyDescent="0.2">
      <c r="A6" s="639" t="str">
        <f>Деятельность_УК!$A$514</f>
        <v>поступление средств</v>
      </c>
      <c r="B6" s="762" t="str">
        <f>Деятельность_УК!$C$514</f>
        <v>тыс. руб.</v>
      </c>
      <c r="C6" s="775">
        <f ca="1">SUM(Деятельность_УК!$E$514:'Деятельность_УК'!$H$514)</f>
        <v>145494.90036122283</v>
      </c>
      <c r="D6" s="775">
        <f ca="1">SUM(Деятельность_УК!$I$514:'Деятельность_УК'!$L$514)</f>
        <v>393202.13327205938</v>
      </c>
      <c r="E6" s="775">
        <f ca="1">SUM(Деятельность_УК!$M$514:'Деятельность_УК'!$P$514)</f>
        <v>898326.50529737328</v>
      </c>
      <c r="F6" s="775">
        <f ca="1">SUM(Деятельность_УК!$Q$514:'Деятельность_УК'!$T$514)</f>
        <v>1813421.4570349338</v>
      </c>
      <c r="G6" s="775">
        <f ca="1">SUM(Деятельность_УК!$U$514:'Деятельность_УК'!$X$514)</f>
        <v>313012.07751929259</v>
      </c>
      <c r="H6" s="775">
        <f ca="1">SUM(Деятельность_УК!$Y$514:'Деятельность_УК'!$AB$514)</f>
        <v>312586.01053075155</v>
      </c>
      <c r="I6" s="775">
        <f ca="1">SUM(Деятельность_УК!$AC$514:'Деятельность_УК'!$AF$514)</f>
        <v>311610.68983215268</v>
      </c>
      <c r="J6" s="775">
        <f ca="1">SUM(Деятельность_УК!$AG$514:'Деятельность_УК'!$AJ$514)</f>
        <v>308478.57904310629</v>
      </c>
      <c r="K6" s="775">
        <f ca="1">SUM(Деятельность_УК!$AK$514:'Деятельность_УК'!$AN$514)</f>
        <v>218014.25233392685</v>
      </c>
      <c r="L6" s="775">
        <f ca="1">SUM(Деятельность_УК!$AO$514:'Деятельность_УК'!$AR$514)</f>
        <v>0</v>
      </c>
      <c r="M6" s="746">
        <f ca="1">Деятельность_УК!$AT$514</f>
        <v>4714146.6052248208</v>
      </c>
    </row>
    <row r="7" spans="1:13" ht="11.25" customHeight="1" x14ac:dyDescent="0.2">
      <c r="A7" s="806" t="str">
        <f>Деятельность_УК!$A$515</f>
        <v>в том числе на цели капвложений</v>
      </c>
      <c r="B7" s="807" t="str">
        <f>Деятельность_УК!$C$515</f>
        <v>тыс. руб.</v>
      </c>
      <c r="C7" s="804">
        <f ca="1">SUM(Деятельность_УК!$E$515:'Деятельность_УК'!$H$515)</f>
        <v>7.2759576141834259E-12</v>
      </c>
      <c r="D7" s="804">
        <f ca="1">SUM(Деятельность_УК!$I$515:'Деятельность_УК'!$L$515)</f>
        <v>177710.02113372559</v>
      </c>
      <c r="E7" s="804">
        <f ca="1">SUM(Деятельность_УК!$M$515:'Деятельность_УК'!$P$515)</f>
        <v>611224.37729843869</v>
      </c>
      <c r="F7" s="804">
        <f ca="1">SUM(Деятельность_УК!$Q$515:'Деятельность_УК'!$T$515)</f>
        <v>843010.30784440413</v>
      </c>
      <c r="G7" s="804">
        <f ca="1">SUM(Деятельность_УК!$U$515:'Деятельность_УК'!$X$515)</f>
        <v>0</v>
      </c>
      <c r="H7" s="804">
        <f ca="1">SUM(Деятельность_УК!$Y$515:'Деятельность_УК'!$AB$515)</f>
        <v>0</v>
      </c>
      <c r="I7" s="804">
        <f ca="1">SUM(Деятельность_УК!$AC$515:'Деятельность_УК'!$AF$515)</f>
        <v>0</v>
      </c>
      <c r="J7" s="804">
        <f ca="1">SUM(Деятельность_УК!$AG$515:'Деятельность_УК'!$AJ$515)</f>
        <v>0</v>
      </c>
      <c r="K7" s="804">
        <f ca="1">SUM(Деятельность_УК!$AK$515:'Деятельность_УК'!$AN$515)</f>
        <v>0</v>
      </c>
      <c r="L7" s="804">
        <f ca="1">SUM(Деятельность_УК!$AO$515:'Деятельность_УК'!$AR$515)</f>
        <v>0</v>
      </c>
      <c r="M7" s="769">
        <f ca="1">Деятельность_УК!$AT$515</f>
        <v>1631944.7062765686</v>
      </c>
    </row>
    <row r="8" spans="1:13" ht="11.25" customHeight="1" x14ac:dyDescent="0.2">
      <c r="A8" s="802" t="str">
        <f>Деятельность_УК!$A$516</f>
        <v>в том числе на финансирование оборотных средств</v>
      </c>
      <c r="B8" s="803" t="str">
        <f>Деятельность_УК!$C$516</f>
        <v>тыс. руб.</v>
      </c>
      <c r="C8" s="805">
        <f ca="1">SUM(Деятельность_УК!$E$516:'Деятельность_УК'!$H$516)</f>
        <v>145494.90036122283</v>
      </c>
      <c r="D8" s="805">
        <f ca="1">SUM(Деятельность_УК!$I$516:'Деятельность_УК'!$L$516)</f>
        <v>215492.11213833382</v>
      </c>
      <c r="E8" s="805">
        <f ca="1">SUM(Деятельность_УК!$M$516:'Деятельность_УК'!$P$516)</f>
        <v>287102.12799893448</v>
      </c>
      <c r="F8" s="805">
        <f ca="1">SUM(Деятельность_УК!$Q$516:'Деятельность_УК'!$T$516)</f>
        <v>970411.14919052972</v>
      </c>
      <c r="G8" s="805">
        <f ca="1">SUM(Деятельность_УК!$U$516:'Деятельность_УК'!$X$516)</f>
        <v>313012.07751929259</v>
      </c>
      <c r="H8" s="805">
        <f ca="1">SUM(Деятельность_УК!$Y$516:'Деятельность_УК'!$AB$516)</f>
        <v>312586.01053075155</v>
      </c>
      <c r="I8" s="805">
        <f ca="1">SUM(Деятельность_УК!$AC$516:'Деятельность_УК'!$AF$516)</f>
        <v>311610.68983215268</v>
      </c>
      <c r="J8" s="805">
        <f ca="1">SUM(Деятельность_УК!$AG$516:'Деятельность_УК'!$AJ$516)</f>
        <v>308478.57904310629</v>
      </c>
      <c r="K8" s="805">
        <f ca="1">SUM(Деятельность_УК!$AK$516:'Деятельность_УК'!$AN$516)</f>
        <v>218014.25233392685</v>
      </c>
      <c r="L8" s="805">
        <f ca="1">SUM(Деятельность_УК!$AO$516:'Деятельность_УК'!$AR$516)</f>
        <v>0</v>
      </c>
      <c r="M8" s="753">
        <f ca="1">Деятельность_УК!$AT$516</f>
        <v>3082201.8989482513</v>
      </c>
    </row>
    <row r="9" spans="1:13" ht="11.25" customHeight="1" x14ac:dyDescent="0.2">
      <c r="A9" s="654"/>
      <c r="B9" s="599"/>
      <c r="C9" s="599"/>
      <c r="D9" s="599"/>
      <c r="E9" s="599"/>
      <c r="F9" s="599"/>
      <c r="G9" s="599"/>
      <c r="H9" s="599"/>
      <c r="I9" s="599"/>
      <c r="J9" s="599"/>
      <c r="K9" s="599"/>
      <c r="L9" s="599"/>
      <c r="M9" s="682"/>
    </row>
    <row r="10" spans="1:13" ht="11.25" customHeight="1" x14ac:dyDescent="0.2">
      <c r="A10" s="679" t="str">
        <f>Деятельность_УК!$A$520</f>
        <v>Бюджетное финансирование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682"/>
    </row>
    <row r="11" spans="1:13" ht="11.25" customHeight="1" x14ac:dyDescent="0.2">
      <c r="A11" s="654"/>
      <c r="B11" s="599"/>
      <c r="C11" s="599"/>
      <c r="D11" s="651"/>
      <c r="E11" s="651"/>
      <c r="F11" s="651"/>
      <c r="G11" s="651"/>
      <c r="H11" s="651"/>
      <c r="I11" s="599"/>
      <c r="J11" s="599"/>
      <c r="K11" s="599"/>
      <c r="L11" s="599"/>
      <c r="M11" s="682"/>
    </row>
    <row r="12" spans="1:13" ht="11.25" customHeight="1" x14ac:dyDescent="0.2">
      <c r="A12" s="808" t="str">
        <f>Деятельность_УК!$A$522</f>
        <v>Справочно: капвложения с начала 2020 года, нарастающим итогом</v>
      </c>
      <c r="B12" s="682"/>
      <c r="C12" s="752">
        <f>Деятельность_УК!$E$522</f>
        <v>301153.75</v>
      </c>
      <c r="D12" s="752">
        <f ca="1">Деятельность_УК!$I$522</f>
        <v>854607.5</v>
      </c>
      <c r="E12" s="752">
        <f ca="1">Деятельность_УК!$M$522</f>
        <v>1695062.328941087</v>
      </c>
      <c r="F12" s="752">
        <f ca="1">Деятельность_УК!$Q$522</f>
        <v>3875255.7670241101</v>
      </c>
      <c r="G12" s="752">
        <f ca="1">Деятельность_УК!$U$522</f>
        <v>6273858.8671458848</v>
      </c>
      <c r="H12" s="752">
        <f ca="1">Деятельность_УК!$Y$522</f>
        <v>6273858.8671458848</v>
      </c>
      <c r="I12" s="752">
        <f ca="1">Деятельность_УК!$AC$522</f>
        <v>6273858.8671458848</v>
      </c>
      <c r="J12" s="752">
        <f ca="1">Деятельность_УК!$AG$522</f>
        <v>6273858.8671458848</v>
      </c>
      <c r="K12" s="752">
        <f ca="1">Деятельность_УК!$AK$522</f>
        <v>6273858.8671458848</v>
      </c>
      <c r="L12" s="753">
        <f ca="1">Деятельность_УК!$AO$522</f>
        <v>6273858.8671458848</v>
      </c>
      <c r="M12" s="682"/>
    </row>
    <row r="13" spans="1:13" ht="11.25" customHeight="1" x14ac:dyDescent="0.2">
      <c r="A13" s="654"/>
      <c r="B13" s="599"/>
      <c r="C13" s="599"/>
      <c r="D13" s="651"/>
      <c r="E13" s="651"/>
      <c r="F13" s="651"/>
      <c r="G13" s="651"/>
      <c r="H13" s="651"/>
      <c r="I13" s="599"/>
      <c r="J13" s="599"/>
      <c r="K13" s="599"/>
      <c r="L13" s="599"/>
      <c r="M13" s="682"/>
    </row>
    <row r="14" spans="1:13" ht="11.25" customHeight="1" x14ac:dyDescent="0.2">
      <c r="A14" s="770" t="str">
        <f>Деятельность_УК!$A$524</f>
        <v>Финансирование согласно Постановлению №1119</v>
      </c>
      <c r="B14" s="774">
        <f>Деятельность_УК!$C$524</f>
        <v>1</v>
      </c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682"/>
    </row>
    <row r="15" spans="1:13" ht="11.25" customHeight="1" x14ac:dyDescent="0.2">
      <c r="A15" s="639" t="str">
        <f>Деятельность_УК!$A$525</f>
        <v>поступление средств</v>
      </c>
      <c r="B15" s="762" t="str">
        <f>Деятельность_УК!$C$525</f>
        <v>тыс. руб.</v>
      </c>
      <c r="C15" s="775">
        <f ca="1">SUM(Деятельность_УК!$E$525:'Деятельность_УК'!$H$525)</f>
        <v>0</v>
      </c>
      <c r="D15" s="775">
        <f ca="1">SUM(Деятельность_УК!$I$525:'Деятельность_УК'!$L$525)</f>
        <v>3009.5055230634734</v>
      </c>
      <c r="E15" s="775">
        <f ca="1">SUM(Деятельность_УК!$M$525:'Деятельность_УК'!$P$525)</f>
        <v>13431.981935156522</v>
      </c>
      <c r="F15" s="775">
        <f ca="1">SUM(Деятельность_УК!$Q$525:'Деятельность_УК'!$T$525)</f>
        <v>36709.951233969747</v>
      </c>
      <c r="G15" s="775">
        <f ca="1">SUM(Деятельность_УК!$U$525:'Деятельность_УК'!$X$525)</f>
        <v>213354.3868929703</v>
      </c>
      <c r="H15" s="775">
        <f ca="1">SUM(Деятельность_УК!$Y$525:'Деятельность_УК'!$AB$525)</f>
        <v>140744.17441483997</v>
      </c>
      <c r="I15" s="775">
        <f ca="1">SUM(Деятельность_УК!$AC$525:'Деятельность_УК'!$AF$525)</f>
        <v>0</v>
      </c>
      <c r="J15" s="775">
        <f ca="1">SUM(Деятельность_УК!$AG$525:'Деятельность_УК'!$AJ$525)</f>
        <v>0</v>
      </c>
      <c r="K15" s="775">
        <f ca="1">SUM(Деятельность_УК!$AK$525:'Деятельность_УК'!$AN$525)</f>
        <v>0</v>
      </c>
      <c r="L15" s="775">
        <f ca="1">SUM(Деятельность_УК!$AO$525:'Деятельность_УК'!$AR$525)</f>
        <v>0</v>
      </c>
      <c r="M15" s="746">
        <f ca="1">Деятельность_УК!$AT$525</f>
        <v>407250</v>
      </c>
    </row>
    <row r="16" spans="1:13" ht="11.25" customHeight="1" x14ac:dyDescent="0.2">
      <c r="A16" s="812" t="str">
        <f>Деятельность_УК!$A$526</f>
        <v>в том числе федеральный бюджет</v>
      </c>
      <c r="B16" s="762" t="str">
        <f>Деятельность_УК!$C$526</f>
        <v>тыс. руб.</v>
      </c>
      <c r="C16" s="810">
        <f ca="1">SUM(Деятельность_УК!$E$526:'Деятельность_УК'!$H$526)</f>
        <v>0</v>
      </c>
      <c r="D16" s="810">
        <f ca="1">SUM(Деятельность_УК!$I$526:'Деятельность_УК'!$L$526)</f>
        <v>3009.5055230634734</v>
      </c>
      <c r="E16" s="810">
        <f ca="1">SUM(Деятельность_УК!$M$526:'Деятельность_УК'!$P$526)</f>
        <v>13431.981935156522</v>
      </c>
      <c r="F16" s="810">
        <f ca="1">SUM(Деятельность_УК!$Q$526:'Деятельность_УК'!$T$526)</f>
        <v>36709.951233969747</v>
      </c>
      <c r="G16" s="810">
        <f ca="1">SUM(Деятельность_УК!$U$526:'Деятельность_УК'!$X$526)</f>
        <v>213354.3868929703</v>
      </c>
      <c r="H16" s="810">
        <f ca="1">SUM(Деятельность_УК!$Y$526:'Деятельность_УК'!$AB$526)</f>
        <v>140744.17441483997</v>
      </c>
      <c r="I16" s="810">
        <f ca="1">SUM(Деятельность_УК!$AC$526:'Деятельность_УК'!$AF$526)</f>
        <v>0</v>
      </c>
      <c r="J16" s="810">
        <f ca="1">SUM(Деятельность_УК!$AG$526:'Деятельность_УК'!$AJ$526)</f>
        <v>0</v>
      </c>
      <c r="K16" s="810">
        <f ca="1">SUM(Деятельность_УК!$AK$526:'Деятельность_УК'!$AN$526)</f>
        <v>0</v>
      </c>
      <c r="L16" s="810">
        <f ca="1">SUM(Деятельность_УК!$AO$526:'Деятельность_УК'!$AR$526)</f>
        <v>0</v>
      </c>
      <c r="M16" s="769">
        <f ca="1">Деятельность_УК!$AT$526</f>
        <v>407250</v>
      </c>
    </row>
    <row r="17" spans="1:13" ht="11.25" customHeight="1" x14ac:dyDescent="0.2">
      <c r="A17" s="809" t="str">
        <f>Деятельность_УК!$A$527</f>
        <v>в том числе региональный бюджет</v>
      </c>
      <c r="B17" s="687" t="str">
        <f>Деятельность_УК!$C$527</f>
        <v>тыс. руб.</v>
      </c>
      <c r="C17" s="811">
        <f>SUM(Деятельность_УК!$E$527:'Деятельность_УК'!$H$527)</f>
        <v>0</v>
      </c>
      <c r="D17" s="811">
        <f>SUM(Деятельность_УК!$I$527:'Деятельность_УК'!$L$527)</f>
        <v>0</v>
      </c>
      <c r="E17" s="811">
        <f>SUM(Деятельность_УК!$M$527:'Деятельность_УК'!$P$527)</f>
        <v>0</v>
      </c>
      <c r="F17" s="811">
        <f>SUM(Деятельность_УК!$Q$527:'Деятельность_УК'!$T$527)</f>
        <v>0</v>
      </c>
      <c r="G17" s="811">
        <f>SUM(Деятельность_УК!$U$527:'Деятельность_УК'!$X$527)</f>
        <v>0</v>
      </c>
      <c r="H17" s="811">
        <f>SUM(Деятельность_УК!$Y$527:'Деятельность_УК'!$AB$527)</f>
        <v>0</v>
      </c>
      <c r="I17" s="811">
        <f>SUM(Деятельность_УК!$AC$527:'Деятельность_УК'!$AF$527)</f>
        <v>0</v>
      </c>
      <c r="J17" s="811">
        <f>SUM(Деятельность_УК!$AG$527:'Деятельность_УК'!$AJ$527)</f>
        <v>0</v>
      </c>
      <c r="K17" s="811">
        <f>SUM(Деятельность_УК!$AK$527:'Деятельность_УК'!$AN$527)</f>
        <v>0</v>
      </c>
      <c r="L17" s="811">
        <f>SUM(Деятельность_УК!$AO$527:'Деятельность_УК'!$AR$527)</f>
        <v>0</v>
      </c>
      <c r="M17" s="753">
        <f>Деятельность_УК!$AT$527</f>
        <v>0</v>
      </c>
    </row>
    <row r="18" spans="1:13" ht="11.25" customHeight="1" x14ac:dyDescent="0.2">
      <c r="A18" s="770" t="str">
        <f>Деятельность_УК!$A$530</f>
        <v>Финансирование согласно Постановлению №831</v>
      </c>
      <c r="B18" s="774">
        <f>Деятельность_УК!$C$530</f>
        <v>1</v>
      </c>
      <c r="C18" s="599"/>
      <c r="D18" s="599"/>
      <c r="E18" s="599"/>
      <c r="F18" s="599"/>
      <c r="G18" s="599"/>
      <c r="H18" s="599"/>
      <c r="I18" s="599"/>
      <c r="J18" s="599"/>
      <c r="K18" s="599"/>
      <c r="L18" s="599"/>
      <c r="M18" s="682"/>
    </row>
    <row r="19" spans="1:13" ht="11.25" customHeight="1" x14ac:dyDescent="0.2">
      <c r="A19" s="639" t="str">
        <f>Деятельность_УК!$A$531</f>
        <v>поступление средств</v>
      </c>
      <c r="B19" s="762" t="str">
        <f>Деятельность_УК!$C$531</f>
        <v>тыс. руб.</v>
      </c>
      <c r="C19" s="775">
        <f ca="1">SUM(Деятельность_УК!$E$531:'Деятельность_УК'!$H$531)</f>
        <v>0</v>
      </c>
      <c r="D19" s="775">
        <f ca="1">SUM(Деятельность_УК!$I$531:'Деятельность_УК'!$L$531)</f>
        <v>0</v>
      </c>
      <c r="E19" s="775">
        <f ca="1">SUM(Деятельность_УК!$M$531:'Деятельность_УК'!$P$531)</f>
        <v>0</v>
      </c>
      <c r="F19" s="775">
        <f ca="1">SUM(Деятельность_УК!$Q$531:'Деятельность_УК'!$T$531)</f>
        <v>0</v>
      </c>
      <c r="G19" s="775">
        <f ca="1">SUM(Деятельность_УК!$U$531:'Деятельность_УК'!$X$531)</f>
        <v>0</v>
      </c>
      <c r="H19" s="775">
        <f ca="1">SUM(Деятельность_УК!$Y$531:'Деятельность_УК'!$AB$531)</f>
        <v>0</v>
      </c>
      <c r="I19" s="775">
        <f ca="1">SUM(Деятельность_УК!$AC$531:'Деятельность_УК'!$AF$531)</f>
        <v>0</v>
      </c>
      <c r="J19" s="775">
        <f ca="1">SUM(Деятельность_УК!$AG$531:'Деятельность_УК'!$AJ$531)</f>
        <v>0</v>
      </c>
      <c r="K19" s="775">
        <f ca="1">SUM(Деятельность_УК!$AK$531:'Деятельность_УК'!$AN$531)</f>
        <v>0</v>
      </c>
      <c r="L19" s="775">
        <f ca="1">SUM(Деятельность_УК!$AO$531:'Деятельность_УК'!$AR$531)</f>
        <v>0</v>
      </c>
      <c r="M19" s="746">
        <f ca="1">Деятельность_УК!$AT$531</f>
        <v>0</v>
      </c>
    </row>
    <row r="20" spans="1:13" ht="11.25" customHeight="1" x14ac:dyDescent="0.2">
      <c r="A20" s="812" t="str">
        <f>Деятельность_УК!$A$532</f>
        <v>в том числе федеральный бюджет</v>
      </c>
      <c r="B20" s="762" t="str">
        <f>Деятельность_УК!$C$532</f>
        <v>тыс. руб.</v>
      </c>
      <c r="C20" s="810">
        <f ca="1">SUM(Деятельность_УК!$E$532:'Деятельность_УК'!$H$532)</f>
        <v>0</v>
      </c>
      <c r="D20" s="810">
        <f ca="1">SUM(Деятельность_УК!$I$532:'Деятельность_УК'!$L$532)</f>
        <v>0</v>
      </c>
      <c r="E20" s="810">
        <f ca="1">SUM(Деятельность_УК!$M$532:'Деятельность_УК'!$P$532)</f>
        <v>0</v>
      </c>
      <c r="F20" s="810">
        <f ca="1">SUM(Деятельность_УК!$Q$532:'Деятельность_УК'!$T$532)</f>
        <v>0</v>
      </c>
      <c r="G20" s="810">
        <f ca="1">SUM(Деятельность_УК!$U$532:'Деятельность_УК'!$X$532)</f>
        <v>0</v>
      </c>
      <c r="H20" s="810">
        <f ca="1">SUM(Деятельность_УК!$Y$532:'Деятельность_УК'!$AB$532)</f>
        <v>0</v>
      </c>
      <c r="I20" s="810">
        <f ca="1">SUM(Деятельность_УК!$AC$532:'Деятельность_УК'!$AF$532)</f>
        <v>0</v>
      </c>
      <c r="J20" s="810">
        <f ca="1">SUM(Деятельность_УК!$AG$532:'Деятельность_УК'!$AJ$532)</f>
        <v>0</v>
      </c>
      <c r="K20" s="810">
        <f ca="1">SUM(Деятельность_УК!$AK$532:'Деятельность_УК'!$AN$532)</f>
        <v>0</v>
      </c>
      <c r="L20" s="810">
        <f ca="1">SUM(Деятельность_УК!$AO$532:'Деятельность_УК'!$AR$532)</f>
        <v>0</v>
      </c>
      <c r="M20" s="769">
        <f ca="1">Деятельность_УК!$AT$532</f>
        <v>0</v>
      </c>
    </row>
    <row r="21" spans="1:13" ht="11.25" customHeight="1" x14ac:dyDescent="0.2">
      <c r="A21" s="809" t="str">
        <f>Деятельность_УК!$A$533</f>
        <v>в том числе региональный бюджет</v>
      </c>
      <c r="B21" s="687" t="str">
        <f>Деятельность_УК!$C$533</f>
        <v>тыс. руб.</v>
      </c>
      <c r="C21" s="811">
        <f>SUM(Деятельность_УК!$E$533:'Деятельность_УК'!$H$533)</f>
        <v>0</v>
      </c>
      <c r="D21" s="811">
        <f>SUM(Деятельность_УК!$I$533:'Деятельность_УК'!$L$533)</f>
        <v>0</v>
      </c>
      <c r="E21" s="811">
        <f>SUM(Деятельность_УК!$M$533:'Деятельность_УК'!$P$533)</f>
        <v>0</v>
      </c>
      <c r="F21" s="811">
        <f>SUM(Деятельность_УК!$Q$533:'Деятельность_УК'!$T$533)</f>
        <v>0</v>
      </c>
      <c r="G21" s="811">
        <f>SUM(Деятельность_УК!$U$533:'Деятельность_УК'!$X$533)</f>
        <v>0</v>
      </c>
      <c r="H21" s="811">
        <f>SUM(Деятельность_УК!$Y$533:'Деятельность_УК'!$AB$533)</f>
        <v>0</v>
      </c>
      <c r="I21" s="811">
        <f>SUM(Деятельность_УК!$AC$533:'Деятельность_УК'!$AF$533)</f>
        <v>0</v>
      </c>
      <c r="J21" s="811">
        <f>SUM(Деятельность_УК!$AG$533:'Деятельность_УК'!$AJ$533)</f>
        <v>0</v>
      </c>
      <c r="K21" s="811">
        <f>SUM(Деятельность_УК!$AK$533:'Деятельность_УК'!$AN$533)</f>
        <v>0</v>
      </c>
      <c r="L21" s="811">
        <f>SUM(Деятельность_УК!$AO$533:'Деятельность_УК'!$AR$533)</f>
        <v>0</v>
      </c>
      <c r="M21" s="753">
        <f>Деятельность_УК!$AT$533</f>
        <v>0</v>
      </c>
    </row>
    <row r="22" spans="1:13" ht="11.25" customHeight="1" x14ac:dyDescent="0.2">
      <c r="A22" s="599"/>
      <c r="B22" s="599"/>
      <c r="C22" s="599"/>
      <c r="D22" s="599"/>
      <c r="E22" s="599"/>
      <c r="F22" s="599"/>
      <c r="G22" s="599"/>
      <c r="H22" s="599"/>
      <c r="I22" s="599"/>
      <c r="J22" s="599"/>
      <c r="K22" s="599"/>
      <c r="L22" s="599"/>
      <c r="M22" s="682"/>
    </row>
    <row r="23" spans="1:13" ht="11.25" customHeight="1" x14ac:dyDescent="0.2">
      <c r="A23" s="680" t="str">
        <f>Деятельность_УК!$A$537</f>
        <v>Итого: Финансирование за счет собственных средств</v>
      </c>
      <c r="B23" s="783" t="str">
        <f>Деятельность_УК!$C$537</f>
        <v>тыс. руб.</v>
      </c>
      <c r="C23" s="779">
        <f ca="1">SUM(Деятельность_УК!$E$537:'Деятельность_УК'!$H$537)</f>
        <v>145494.90036122283</v>
      </c>
      <c r="D23" s="779">
        <f ca="1">SUM(Деятельность_УК!$I$537:'Деятельность_УК'!$L$537)</f>
        <v>393202.13327205938</v>
      </c>
      <c r="E23" s="779">
        <f ca="1">SUM(Деятельность_УК!$M$537:'Деятельность_УК'!$P$537)</f>
        <v>898326.50529737328</v>
      </c>
      <c r="F23" s="779">
        <f ca="1">SUM(Деятельность_УК!$Q$537:'Деятельность_УК'!$T$537)</f>
        <v>1813421.4570349338</v>
      </c>
      <c r="G23" s="779">
        <f ca="1">SUM(Деятельность_УК!$U$537:'Деятельность_УК'!$X$537)</f>
        <v>313012.07751929259</v>
      </c>
      <c r="H23" s="779">
        <f ca="1">SUM(Деятельность_УК!$Y$537:'Деятельность_УК'!$AB$537)</f>
        <v>312586.01053075155</v>
      </c>
      <c r="I23" s="779">
        <f ca="1">SUM(Деятельность_УК!$AC$537:'Деятельность_УК'!$AF$537)</f>
        <v>311610.68983215268</v>
      </c>
      <c r="J23" s="779">
        <f ca="1">SUM(Деятельность_УК!$AG$537:'Деятельность_УК'!$AJ$537)</f>
        <v>308478.57904310629</v>
      </c>
      <c r="K23" s="779">
        <f ca="1">SUM(Деятельность_УК!$AK$537:'Деятельность_УК'!$AN$537)</f>
        <v>218014.25233392685</v>
      </c>
      <c r="L23" s="779">
        <f ca="1">SUM(Деятельность_УК!$AO$537:'Деятельность_УК'!$AR$537)</f>
        <v>0</v>
      </c>
      <c r="M23" s="782">
        <f ca="1">Деятельность_УК!$AT$537</f>
        <v>4714146.6052248208</v>
      </c>
    </row>
    <row r="24" spans="1:13" ht="22.5" customHeight="1" x14ac:dyDescent="0.2">
      <c r="A24" s="813" t="str">
        <f>Деятельность_УК!$A$538</f>
        <v>собственный (акционерный) капитал 
с учетом начального баланса нарастающим итогом</v>
      </c>
      <c r="B24" s="803" t="str">
        <f>Деятельность_УК!$C$538</f>
        <v>тыс. руб.</v>
      </c>
      <c r="C24" s="752">
        <f ca="1">Деятельность_УК!$H$538</f>
        <v>145504.90036122283</v>
      </c>
      <c r="D24" s="752">
        <f ca="1">Деятельность_УК!$L$538</f>
        <v>538707.03363328229</v>
      </c>
      <c r="E24" s="752">
        <f ca="1">Деятельность_УК!$P$538</f>
        <v>1437033.5389306555</v>
      </c>
      <c r="F24" s="752">
        <f ca="1">Деятельность_УК!$T$538</f>
        <v>3250454.9959655893</v>
      </c>
      <c r="G24" s="752">
        <f ca="1">Деятельность_УК!$X$538</f>
        <v>3563467.0734848822</v>
      </c>
      <c r="H24" s="752">
        <f ca="1">Деятельность_УК!$AB$538</f>
        <v>3876053.0840156334</v>
      </c>
      <c r="I24" s="752">
        <f ca="1">Деятельность_УК!$AF$538</f>
        <v>4187663.7738477867</v>
      </c>
      <c r="J24" s="752">
        <f ca="1">Деятельность_УК!$AJ$538</f>
        <v>4496142.3528908929</v>
      </c>
      <c r="K24" s="752">
        <f ca="1">Деятельность_УК!$AN$538</f>
        <v>4714156.6052248208</v>
      </c>
      <c r="L24" s="753">
        <f ca="1">Деятельность_УК!$AR$538</f>
        <v>4714156.6052248208</v>
      </c>
      <c r="M24" s="724"/>
    </row>
    <row r="25" spans="1:13" ht="11.25" customHeight="1" x14ac:dyDescent="0.2">
      <c r="A25" s="412"/>
      <c r="B25" s="399"/>
      <c r="C25" s="651"/>
      <c r="D25" s="651"/>
      <c r="E25" s="651"/>
      <c r="F25" s="651"/>
      <c r="G25" s="651"/>
      <c r="H25" s="651"/>
      <c r="I25" s="651"/>
      <c r="J25" s="651"/>
      <c r="K25" s="651"/>
      <c r="L25" s="651"/>
      <c r="M25" s="652"/>
    </row>
    <row r="26" spans="1:13" ht="11.25" customHeight="1" x14ac:dyDescent="0.2">
      <c r="A26" s="680" t="str">
        <f>Деятельность_УК!$A$540</f>
        <v>Итого: Бюджетное финансирование</v>
      </c>
      <c r="B26" s="783" t="str">
        <f>Деятельность_УК!$C$540</f>
        <v>тыс. руб.</v>
      </c>
      <c r="C26" s="779">
        <f ca="1">SUM(Деятельность_УК!$E$540:'Деятельность_УК'!$H$540)</f>
        <v>0</v>
      </c>
      <c r="D26" s="779">
        <f ca="1">SUM(Деятельность_УК!$I$540:'Деятельность_УК'!$L$540)</f>
        <v>3009.5055230634734</v>
      </c>
      <c r="E26" s="779">
        <f ca="1">SUM(Деятельность_УК!$M$540:'Деятельность_УК'!$P$540)</f>
        <v>13431.981935156522</v>
      </c>
      <c r="F26" s="779">
        <f ca="1">SUM(Деятельность_УК!$Q$540:'Деятельность_УК'!$T$540)</f>
        <v>36709.951233969747</v>
      </c>
      <c r="G26" s="779">
        <f ca="1">SUM(Деятельность_УК!$U$540:'Деятельность_УК'!$X$540)</f>
        <v>213354.3868929703</v>
      </c>
      <c r="H26" s="779">
        <f ca="1">SUM(Деятельность_УК!$Y$540:'Деятельность_УК'!$AB$540)</f>
        <v>140744.17441483997</v>
      </c>
      <c r="I26" s="779">
        <f ca="1">SUM(Деятельность_УК!$AC$540:'Деятельность_УК'!$AF$540)</f>
        <v>0</v>
      </c>
      <c r="J26" s="779">
        <f ca="1">SUM(Деятельность_УК!$AG$540:'Деятельность_УК'!$AJ$540)</f>
        <v>0</v>
      </c>
      <c r="K26" s="779">
        <f ca="1">SUM(Деятельность_УК!$AK$540:'Деятельность_УК'!$AN$540)</f>
        <v>0</v>
      </c>
      <c r="L26" s="779">
        <f ca="1">SUM(Деятельность_УК!$AO$540:'Деятельность_УК'!$AR$540)</f>
        <v>0</v>
      </c>
      <c r="M26" s="801">
        <f ca="1">Деятельность_УК!$AT$540</f>
        <v>407250</v>
      </c>
    </row>
    <row r="27" spans="1:13" ht="11.25" customHeight="1" x14ac:dyDescent="0.2">
      <c r="A27" s="814" t="str">
        <f>Деятельность_УК!$A$541</f>
        <v>в том числе федеральный бюджет</v>
      </c>
      <c r="B27" s="717" t="str">
        <f>Деятельность_УК!$C$541</f>
        <v>тыс. руб.</v>
      </c>
      <c r="C27" s="712">
        <f ca="1">SUM(Деятельность_УК!$E$541:'Деятельность_УК'!$H$541)</f>
        <v>0</v>
      </c>
      <c r="D27" s="712">
        <f ca="1">SUM(Деятельность_УК!$I$541:'Деятельность_УК'!$L$541)</f>
        <v>3009.5055230634734</v>
      </c>
      <c r="E27" s="712">
        <f ca="1">SUM(Деятельность_УК!$M$541:'Деятельность_УК'!$P$541)</f>
        <v>13431.981935156522</v>
      </c>
      <c r="F27" s="712">
        <f ca="1">SUM(Деятельность_УК!$Q$541:'Деятельность_УК'!$T$541)</f>
        <v>36709.951233969747</v>
      </c>
      <c r="G27" s="712">
        <f ca="1">SUM(Деятельность_УК!$U$541:'Деятельность_УК'!$X$541)</f>
        <v>213354.3868929703</v>
      </c>
      <c r="H27" s="712">
        <f ca="1">SUM(Деятельность_УК!$Y$541:'Деятельность_УК'!$AB$541)</f>
        <v>140744.17441483997</v>
      </c>
      <c r="I27" s="712">
        <f ca="1">SUM(Деятельность_УК!$AC$541:'Деятельность_УК'!$AF$541)</f>
        <v>0</v>
      </c>
      <c r="J27" s="712">
        <f ca="1">SUM(Деятельность_УК!$AG$541:'Деятельность_УК'!$AJ$541)</f>
        <v>0</v>
      </c>
      <c r="K27" s="712">
        <f ca="1">SUM(Деятельность_УК!$AK$541:'Деятельность_УК'!$AN$541)</f>
        <v>0</v>
      </c>
      <c r="L27" s="712">
        <f ca="1">SUM(Деятельность_УК!$AO$541:'Деятельность_УК'!$AR$541)</f>
        <v>0</v>
      </c>
      <c r="M27" s="746">
        <f ca="1">Деятельность_УК!$AT$541</f>
        <v>407250</v>
      </c>
    </row>
    <row r="28" spans="1:13" ht="11.25" customHeight="1" x14ac:dyDescent="0.2">
      <c r="A28" s="814" t="str">
        <f>Деятельность_УК!$A$542</f>
        <v>в том числе региональный бюджет</v>
      </c>
      <c r="B28" s="717" t="str">
        <f>Деятельность_УК!$C$542</f>
        <v>тыс. руб.</v>
      </c>
      <c r="C28" s="712">
        <f>SUM(Деятельность_УК!$E$542:'Деятельность_УК'!$H$542)</f>
        <v>0</v>
      </c>
      <c r="D28" s="712">
        <f>SUM(Деятельность_УК!$I$542:'Деятельность_УК'!$L$542)</f>
        <v>0</v>
      </c>
      <c r="E28" s="712">
        <f>SUM(Деятельность_УК!$M$542:'Деятельность_УК'!$P$542)</f>
        <v>0</v>
      </c>
      <c r="F28" s="712">
        <f>SUM(Деятельность_УК!$Q$542:'Деятельность_УК'!$T$542)</f>
        <v>0</v>
      </c>
      <c r="G28" s="712">
        <f>SUM(Деятельность_УК!$U$542:'Деятельность_УК'!$X$542)</f>
        <v>0</v>
      </c>
      <c r="H28" s="712">
        <f>SUM(Деятельность_УК!$Y$542:'Деятельность_УК'!$AB$542)</f>
        <v>0</v>
      </c>
      <c r="I28" s="712">
        <f>SUM(Деятельность_УК!$AC$542:'Деятельность_УК'!$AF$542)</f>
        <v>0</v>
      </c>
      <c r="J28" s="712">
        <f>SUM(Деятельность_УК!$AG$542:'Деятельность_УК'!$AJ$542)</f>
        <v>0</v>
      </c>
      <c r="K28" s="712">
        <f>SUM(Деятельность_УК!$AK$542:'Деятельность_УК'!$AN$542)</f>
        <v>0</v>
      </c>
      <c r="L28" s="712">
        <f>SUM(Деятельность_УК!$AO$542:'Деятельность_УК'!$AR$542)</f>
        <v>0</v>
      </c>
      <c r="M28" s="744">
        <f>Деятельность_УК!$AT$542</f>
        <v>0</v>
      </c>
    </row>
    <row r="29" spans="1:13" ht="11.25" customHeight="1" x14ac:dyDescent="0.2">
      <c r="A29" s="815" t="str">
        <f>Деятельность_УК!$A$543</f>
        <v>всего нарастающим итогом</v>
      </c>
      <c r="B29" s="803" t="str">
        <f>Деятельность_УК!$C$543</f>
        <v>тыс. руб.</v>
      </c>
      <c r="C29" s="752">
        <f ca="1">Деятельность_УК!$H$543</f>
        <v>0</v>
      </c>
      <c r="D29" s="752">
        <f ca="1">Деятельность_УК!$L$543</f>
        <v>3009.5055230634734</v>
      </c>
      <c r="E29" s="752">
        <f ca="1">Деятельность_УК!$P$543</f>
        <v>16441.487458219995</v>
      </c>
      <c r="F29" s="752">
        <f ca="1">Деятельность_УК!$T$543</f>
        <v>53151.438692189746</v>
      </c>
      <c r="G29" s="752">
        <f ca="1">Деятельность_УК!$X$543</f>
        <v>266505.82558516006</v>
      </c>
      <c r="H29" s="752">
        <f ca="1">Деятельность_УК!$AB$543</f>
        <v>407250</v>
      </c>
      <c r="I29" s="752">
        <f ca="1">Деятельность_УК!$AF$543</f>
        <v>407250</v>
      </c>
      <c r="J29" s="752">
        <f ca="1">Деятельность_УК!$AJ$543</f>
        <v>407250</v>
      </c>
      <c r="K29" s="752">
        <f ca="1">Деятельность_УК!$AN$543</f>
        <v>407250</v>
      </c>
      <c r="L29" s="753">
        <f ca="1">Деятельность_УК!$AR$543</f>
        <v>407250</v>
      </c>
      <c r="M29" s="721"/>
    </row>
    <row r="30" spans="1:13" ht="11.25" customHeight="1" x14ac:dyDescent="0.2">
      <c r="A30" s="414"/>
      <c r="B30" s="399"/>
      <c r="C30" s="651"/>
      <c r="D30" s="651"/>
      <c r="E30" s="651"/>
      <c r="F30" s="651"/>
      <c r="G30" s="651"/>
      <c r="H30" s="651"/>
      <c r="I30" s="651"/>
      <c r="J30" s="651"/>
      <c r="K30" s="651"/>
      <c r="L30" s="651"/>
      <c r="M30" s="708"/>
    </row>
    <row r="31" spans="1:13" ht="11.25" customHeight="1" x14ac:dyDescent="0.2">
      <c r="A31" s="695" t="str">
        <f>Деятельность_УК!$A$550</f>
        <v>Справочно: Остаток денег на счете</v>
      </c>
      <c r="B31" s="816" t="str">
        <f>Деятельность_УК!$C$550</f>
        <v>тыс. руб.</v>
      </c>
      <c r="C31" s="743">
        <f ca="1">Деятельность_УК!$H$550</f>
        <v>43480.451816223431</v>
      </c>
      <c r="D31" s="743">
        <f ca="1">Деятельность_УК!$L$550</f>
        <v>120781.38680531505</v>
      </c>
      <c r="E31" s="743">
        <f ca="1">Деятельность_УК!$P$550</f>
        <v>238131.54163153394</v>
      </c>
      <c r="F31" s="743">
        <f ca="1">Деятельность_УК!$T$550</f>
        <v>530778.59554901929</v>
      </c>
      <c r="G31" s="743">
        <f ca="1">Деятельность_УК!$X$550</f>
        <v>978596.9500301244</v>
      </c>
      <c r="H31" s="743">
        <f ca="1">Деятельность_УК!$AB$550</f>
        <v>1404044.0360056132</v>
      </c>
      <c r="I31" s="743">
        <f ca="1">Деятельность_УК!$AF$550</f>
        <v>1695532.055461619</v>
      </c>
      <c r="J31" s="743">
        <f ca="1">Деятельность_УК!$AJ$550</f>
        <v>1926441.9743763444</v>
      </c>
      <c r="K31" s="743">
        <f ca="1">Деятельность_УК!$AN$550</f>
        <v>2572503.6230487865</v>
      </c>
      <c r="L31" s="744">
        <f ca="1">Деятельность_УК!$AR$550</f>
        <v>8467797.5368973203</v>
      </c>
      <c r="M31" s="720"/>
    </row>
    <row r="32" spans="1:13" ht="11.25" customHeight="1" x14ac:dyDescent="0.2">
      <c r="A32" s="59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9&amp;R&amp;"Arial,полужирный"&amp;10Проект создания ИП «Бугры» на территории Ленинградской области. Управляющая компания.
&amp;C&amp;"Arial,полужирный"&amp;13
СОБСТВЕННЫЙ КАПИТАЛ И ФИНАНСИРОВАНИЕ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35"/>
  <dimension ref="A1:N83"/>
  <sheetViews>
    <sheetView workbookViewId="0"/>
  </sheetViews>
  <sheetFormatPr defaultRowHeight="12.75" x14ac:dyDescent="0.2"/>
  <cols>
    <col min="1" max="1" width="36.140625" customWidth="1"/>
    <col min="2" max="2" width="8.140625" customWidth="1"/>
    <col min="3" max="3" width="7.5703125" customWidth="1"/>
    <col min="4" max="14" width="8" customWidth="1"/>
  </cols>
  <sheetData>
    <row r="1" spans="1:14" ht="25.5" customHeight="1" x14ac:dyDescent="0.2">
      <c r="A1" s="999" t="str">
        <f>Деятельность_УК!$A$554</f>
        <v>КРЕДИТЫ</v>
      </c>
      <c r="B1" s="614"/>
      <c r="C1" s="10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Деятельность_УК!$AT$554</f>
        <v>ИТОГО</v>
      </c>
    </row>
    <row r="2" spans="1:14" ht="11.25" customHeight="1" x14ac:dyDescent="0.2">
      <c r="A2" s="654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682"/>
    </row>
    <row r="3" spans="1:14" ht="11.25" customHeight="1" x14ac:dyDescent="0.2">
      <c r="A3" s="679" t="str">
        <f>Деятельность_УК!$A$556</f>
        <v>Долгосрочные кредиты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682"/>
    </row>
    <row r="4" spans="1:14" ht="11.25" customHeight="1" x14ac:dyDescent="0.2">
      <c r="A4" s="599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682"/>
    </row>
    <row r="5" spans="1:14" ht="11.25" customHeight="1" x14ac:dyDescent="0.2">
      <c r="A5" s="729" t="str">
        <f>Деятельность_УК!$A$558</f>
        <v>Кредит на транспортную инфраструктуру</v>
      </c>
      <c r="B5" s="732"/>
      <c r="C5" s="774">
        <f>Деятельность_УК!$C$558</f>
        <v>1</v>
      </c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682"/>
    </row>
    <row r="6" spans="1:14" ht="11.25" customHeight="1" x14ac:dyDescent="0.2">
      <c r="A6" s="636" t="str">
        <f>Деятельность_УК!$A$559</f>
        <v>ставка процентов по кредиту</v>
      </c>
      <c r="B6" s="1003">
        <f>Деятельность_УК!$B$559</f>
        <v>0.08</v>
      </c>
      <c r="C6" s="762" t="str">
        <f>Деятельность_УК!$C$559</f>
        <v>% в год</v>
      </c>
      <c r="D6" s="1015">
        <f>IFERROR(AVERAGE(Деятельность_УК!$E$559:'Деятельность_УК'!$H$559),"0")</f>
        <v>0.08</v>
      </c>
      <c r="E6" s="1015">
        <f>IFERROR(AVERAGE(Деятельность_УК!$I$559:'Деятельность_УК'!$L$559),"0")</f>
        <v>0.08</v>
      </c>
      <c r="F6" s="1015">
        <f>IFERROR(AVERAGE(Деятельность_УК!$M$559:'Деятельность_УК'!$P$559),"0")</f>
        <v>0.08</v>
      </c>
      <c r="G6" s="1015">
        <f>IFERROR(AVERAGE(Деятельность_УК!$Q$559:'Деятельность_УК'!$T$559),"0")</f>
        <v>0.08</v>
      </c>
      <c r="H6" s="1015">
        <f>IFERROR(AVERAGE(Деятельность_УК!$U$559:'Деятельность_УК'!$X$559),"0")</f>
        <v>0.08</v>
      </c>
      <c r="I6" s="1015">
        <f>IFERROR(AVERAGE(Деятельность_УК!$Y$559:'Деятельность_УК'!$AB$559),"0")</f>
        <v>0.08</v>
      </c>
      <c r="J6" s="1015">
        <f>IFERROR(AVERAGE(Деятельность_УК!$AC$559:'Деятельность_УК'!$AF$559),"0")</f>
        <v>0.08</v>
      </c>
      <c r="K6" s="1015">
        <f>IFERROR(AVERAGE(Деятельность_УК!$AG$559:'Деятельность_УК'!$AJ$559),"0")</f>
        <v>0.08</v>
      </c>
      <c r="L6" s="1015">
        <f>IFERROR(AVERAGE(Деятельность_УК!$AK$559:'Деятельность_УК'!$AN$559),"0")</f>
        <v>0.08</v>
      </c>
      <c r="M6" s="1016">
        <f>IFERROR(AVERAGE(Деятельность_УК!$AO$559:'Деятельность_УК'!$AR$559),"0")</f>
        <v>0.08</v>
      </c>
      <c r="N6" s="682"/>
    </row>
    <row r="7" spans="1:14" ht="11.25" customHeight="1" x14ac:dyDescent="0.2">
      <c r="A7" s="620" t="str">
        <f>Деятельность_УК!$A$560</f>
        <v>отсрочка выплаты процентов</v>
      </c>
      <c r="B7" s="616">
        <f>Деятельность_УК!$B$560</f>
        <v>0</v>
      </c>
      <c r="C7" s="623" t="str">
        <f>Деятельность_УК!$C$560</f>
        <v>кв.</v>
      </c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682"/>
    </row>
    <row r="8" spans="1:14" ht="11.25" customHeight="1" x14ac:dyDescent="0.2">
      <c r="A8" s="620" t="str">
        <f>Деятельность_УК!$A$561</f>
        <v>срок погашения кредита</v>
      </c>
      <c r="B8" s="616">
        <f>Деятельность_УК!$B$561</f>
        <v>36</v>
      </c>
      <c r="C8" s="623" t="str">
        <f>Деятельность_УК!$C$561</f>
        <v>кв.</v>
      </c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682"/>
    </row>
    <row r="9" spans="1:14" ht="11.25" customHeight="1" x14ac:dyDescent="0.2">
      <c r="A9" s="621" t="str">
        <f>Деятельность_УК!$A$562</f>
        <v>отсрочка по погашению основного долга</v>
      </c>
      <c r="B9" s="819">
        <f>Деятельность_УК!$B$562</f>
        <v>4</v>
      </c>
      <c r="C9" s="617" t="str">
        <f>Деятельность_УК!$C$562</f>
        <v>кв.</v>
      </c>
      <c r="D9" s="599"/>
      <c r="E9" s="599"/>
      <c r="F9" s="599"/>
      <c r="G9" s="599"/>
      <c r="H9" s="599"/>
      <c r="I9" s="599"/>
      <c r="J9" s="599"/>
      <c r="K9" s="599"/>
      <c r="L9" s="599"/>
      <c r="M9" s="599"/>
      <c r="N9" s="682"/>
    </row>
    <row r="10" spans="1:14" ht="11.25" customHeight="1" x14ac:dyDescent="0.2">
      <c r="A10" s="636" t="str">
        <f>Деятельность_УК!$A$565</f>
        <v>поступление денег от кредита</v>
      </c>
      <c r="B10" s="820">
        <f ca="1">Деятельность_УК!$B$565</f>
        <v>257375.67955732453</v>
      </c>
      <c r="C10" s="762" t="str">
        <f>Деятельность_УК!$C$565</f>
        <v>тыс. руб.</v>
      </c>
      <c r="D10" s="775">
        <f ca="1">SUM(Деятельность_УК!$E$565:'Деятельность_УК'!$H$565)</f>
        <v>187172</v>
      </c>
      <c r="E10" s="775">
        <f ca="1">SUM(Деятельность_УК!$I$565:'Деятельность_УК'!$L$565)</f>
        <v>70203.679557324533</v>
      </c>
      <c r="F10" s="775">
        <f ca="1">SUM(Деятельность_УК!$M$565:'Деятельность_УК'!$P$565)</f>
        <v>0</v>
      </c>
      <c r="G10" s="775">
        <f ca="1">SUM(Деятельность_УК!$Q$565:'Деятельность_УК'!$T$565)</f>
        <v>0</v>
      </c>
      <c r="H10" s="775">
        <f ca="1">SUM(Деятельность_УК!$U$565:'Деятельность_УК'!$X$565)</f>
        <v>0</v>
      </c>
      <c r="I10" s="775">
        <f ca="1">SUM(Деятельность_УК!$Y$565:'Деятельность_УК'!$AB$565)</f>
        <v>0</v>
      </c>
      <c r="J10" s="775">
        <f ca="1">SUM(Деятельность_УК!$AC$565:'Деятельность_УК'!$AF$565)</f>
        <v>0</v>
      </c>
      <c r="K10" s="775">
        <f ca="1">SUM(Деятельность_УК!$AG$565:'Деятельность_УК'!$AJ$565)</f>
        <v>0</v>
      </c>
      <c r="L10" s="775">
        <f ca="1">SUM(Деятельность_УК!$AK$565:'Деятельность_УК'!$AN$565)</f>
        <v>0</v>
      </c>
      <c r="M10" s="775">
        <f ca="1">SUM(Деятельность_УК!$AO$565:'Деятельность_УК'!$AR$565)</f>
        <v>0</v>
      </c>
      <c r="N10" s="746">
        <f ca="1">Деятельность_УК!$AT$565</f>
        <v>257375.67955732453</v>
      </c>
    </row>
    <row r="11" spans="1:14" ht="11.25" customHeight="1" x14ac:dyDescent="0.2">
      <c r="A11" s="636" t="str">
        <f>Деятельность_УК!$A$566</f>
        <v>погашение кредита</v>
      </c>
      <c r="B11" s="820">
        <f ca="1">Деятельность_УК!$B$566</f>
        <v>257375.67955732456</v>
      </c>
      <c r="C11" s="762" t="str">
        <f>Деятельность_УК!$C$566</f>
        <v>тыс. руб.</v>
      </c>
      <c r="D11" s="775">
        <f ca="1">SUM(Деятельность_УК!$E$566:'Деятельность_УК'!$H$566)</f>
        <v>0</v>
      </c>
      <c r="E11" s="775">
        <f ca="1">SUM(Деятельность_УК!$I$566:'Деятельность_УК'!$L$566)</f>
        <v>23985.369791771507</v>
      </c>
      <c r="F11" s="775">
        <f ca="1">SUM(Деятельность_УК!$M$566:'Деятельность_УК'!$P$566)</f>
        <v>25962.535632105984</v>
      </c>
      <c r="G11" s="775">
        <f ca="1">SUM(Деятельность_УК!$Q$566:'Деятельность_УК'!$T$566)</f>
        <v>28102.683523337444</v>
      </c>
      <c r="H11" s="775">
        <f ca="1">SUM(Деятельность_УК!$U$566:'Деятельность_УК'!$X$566)</f>
        <v>30419.248427962557</v>
      </c>
      <c r="I11" s="775">
        <f ca="1">SUM(Деятельность_УК!$Y$566:'Деятельность_УК'!$AB$566)</f>
        <v>32926.772781456115</v>
      </c>
      <c r="J11" s="775">
        <f ca="1">SUM(Деятельность_УК!$AC$566:'Деятельность_УК'!$AF$566)</f>
        <v>35640.997783660758</v>
      </c>
      <c r="K11" s="775">
        <f ca="1">SUM(Деятельность_УК!$AG$566:'Деятельность_УК'!$AJ$566)</f>
        <v>38578.962215523119</v>
      </c>
      <c r="L11" s="775">
        <f ca="1">SUM(Деятельность_УК!$AK$566:'Деятельность_УК'!$AN$566)</f>
        <v>41759.109401507078</v>
      </c>
      <c r="M11" s="775">
        <f ca="1">SUM(Деятельность_УК!$AO$566:'Деятельность_УК'!$AR$566)</f>
        <v>0</v>
      </c>
      <c r="N11" s="744">
        <f ca="1">Деятельность_УК!$AT$566</f>
        <v>257375.67955732456</v>
      </c>
    </row>
    <row r="12" spans="1:14" ht="11.25" customHeight="1" x14ac:dyDescent="0.2">
      <c r="A12" s="734" t="str">
        <f>Деятельность_УК!$A$567</f>
        <v>задолженность по кредиту</v>
      </c>
      <c r="B12" s="686"/>
      <c r="C12" s="762" t="str">
        <f>Деятельность_УК!$C$567</f>
        <v>тыс. руб.</v>
      </c>
      <c r="D12" s="739">
        <f ca="1">Деятельность_УК!$H$567</f>
        <v>187172</v>
      </c>
      <c r="E12" s="739">
        <f ca="1">Деятельность_УК!$L$567</f>
        <v>233390.30976555301</v>
      </c>
      <c r="F12" s="739">
        <f ca="1">Деятельность_УК!$P$567</f>
        <v>207427.77413344703</v>
      </c>
      <c r="G12" s="739">
        <f ca="1">Деятельность_УК!$T$567</f>
        <v>179325.09061010962</v>
      </c>
      <c r="H12" s="739">
        <f ca="1">Деятельность_УК!$X$567</f>
        <v>148905.84218214703</v>
      </c>
      <c r="I12" s="739">
        <f ca="1">Деятельность_УК!$AB$567</f>
        <v>115979.0694006909</v>
      </c>
      <c r="J12" s="739">
        <f ca="1">Деятельность_УК!$AF$567</f>
        <v>80338.07161703016</v>
      </c>
      <c r="K12" s="739">
        <f ca="1">Деятельность_УК!$AJ$567</f>
        <v>41759.109401507041</v>
      </c>
      <c r="L12" s="739">
        <f ca="1">Деятельность_УК!$AN$567</f>
        <v>0</v>
      </c>
      <c r="M12" s="795">
        <f ca="1">Деятельность_УК!$AR$567</f>
        <v>0</v>
      </c>
      <c r="N12" s="720"/>
    </row>
    <row r="13" spans="1:14" ht="11.25" customHeight="1" x14ac:dyDescent="0.2">
      <c r="A13" s="734" t="str">
        <f>Деятельность_УК!$A$568</f>
        <v>начисленные проценты</v>
      </c>
      <c r="B13" s="820">
        <f ca="1">Деятельность_УК!$B$568</f>
        <v>94167.73580174183</v>
      </c>
      <c r="C13" s="762" t="str">
        <f>Деятельность_УК!$C$568</f>
        <v>тыс. руб.</v>
      </c>
      <c r="D13" s="739">
        <f ca="1">SUM(Деятельность_УК!$E$568:'Деятельность_УК'!$H$568)</f>
        <v>7333.0399999999991</v>
      </c>
      <c r="E13" s="739">
        <f ca="1">SUM(Деятельность_УК!$I$568:'Деятельность_УК'!$L$568)</f>
        <v>17818.659224036266</v>
      </c>
      <c r="F13" s="739">
        <f ca="1">SUM(Деятельность_УК!$M$568:'Деятельность_УК'!$P$568)</f>
        <v>17385.949732190424</v>
      </c>
      <c r="G13" s="739">
        <f ca="1">SUM(Деятельность_УК!$Q$568:'Деятельность_УК'!$T$568)</f>
        <v>15202.998883134334</v>
      </c>
      <c r="H13" s="739">
        <f ca="1">SUM(Деятельность_УК!$U$568:'Деятельность_УК'!$X$568)</f>
        <v>12840.102680416716</v>
      </c>
      <c r="I13" s="739">
        <f ca="1">SUM(Деятельность_УК!$Y$568:'Деятельность_УК'!$AB$568)</f>
        <v>10282.427839853286</v>
      </c>
      <c r="J13" s="739">
        <f ca="1">SUM(Деятельность_УК!$AC$568:'Деятельность_УК'!$AF$568)</f>
        <v>7513.9183376045585</v>
      </c>
      <c r="K13" s="739">
        <f ca="1">SUM(Деятельность_УК!$AG$568:'Деятельность_УК'!$AJ$568)</f>
        <v>4517.1946171049422</v>
      </c>
      <c r="L13" s="739">
        <f ca="1">SUM(Деятельность_УК!$AK$568:'Деятельность_УК'!$AN$568)</f>
        <v>1273.444487401307</v>
      </c>
      <c r="M13" s="739">
        <f ca="1">SUM(Деятельность_УК!$AO$568:'Деятельность_УК'!$AR$568)</f>
        <v>0</v>
      </c>
      <c r="N13" s="766">
        <f ca="1">Деятельность_УК!$AT$568</f>
        <v>94167.73580174183</v>
      </c>
    </row>
    <row r="14" spans="1:14" ht="11.25" customHeight="1" x14ac:dyDescent="0.2">
      <c r="A14" s="621" t="str">
        <f>Деятельность_УК!$A$569</f>
        <v>выплаченные проценты</v>
      </c>
      <c r="B14" s="821">
        <f ca="1">Деятельность_УК!$B$569</f>
        <v>94167.73580174183</v>
      </c>
      <c r="C14" s="617" t="str">
        <f>Деятельность_УК!$C$569</f>
        <v>тыс. руб.</v>
      </c>
      <c r="D14" s="811">
        <f ca="1">SUM(Деятельность_УК!$E$569:'Деятельность_УК'!$H$569)</f>
        <v>7333.0399999999991</v>
      </c>
      <c r="E14" s="811">
        <f ca="1">SUM(Деятельность_УК!$I$569:'Деятельность_УК'!$L$569)</f>
        <v>17818.659224036266</v>
      </c>
      <c r="F14" s="811">
        <f ca="1">SUM(Деятельность_УК!$M$569:'Деятельность_УК'!$P$569)</f>
        <v>17385.949732190424</v>
      </c>
      <c r="G14" s="811">
        <f ca="1">SUM(Деятельность_УК!$Q$569:'Деятельность_УК'!$T$569)</f>
        <v>15202.998883134334</v>
      </c>
      <c r="H14" s="811">
        <f ca="1">SUM(Деятельность_УК!$U$569:'Деятельность_УК'!$X$569)</f>
        <v>12840.102680416716</v>
      </c>
      <c r="I14" s="811">
        <f ca="1">SUM(Деятельность_УК!$Y$569:'Деятельность_УК'!$AB$569)</f>
        <v>10282.427839853286</v>
      </c>
      <c r="J14" s="811">
        <f ca="1">SUM(Деятельность_УК!$AC$569:'Деятельность_УК'!$AF$569)</f>
        <v>7513.9183376045585</v>
      </c>
      <c r="K14" s="811">
        <f ca="1">SUM(Деятельность_УК!$AG$569:'Деятельность_УК'!$AJ$569)</f>
        <v>4517.1946171049422</v>
      </c>
      <c r="L14" s="811">
        <f ca="1">SUM(Деятельность_УК!$AK$569:'Деятельность_УК'!$AN$569)</f>
        <v>1273.444487401307</v>
      </c>
      <c r="M14" s="811">
        <f ca="1">SUM(Деятельность_УК!$AO$569:'Деятельность_УК'!$AR$569)</f>
        <v>0</v>
      </c>
      <c r="N14" s="753">
        <f ca="1">Деятельность_УК!$AT$569</f>
        <v>94167.73580174183</v>
      </c>
    </row>
    <row r="15" spans="1:14" ht="11.25" customHeight="1" x14ac:dyDescent="0.2">
      <c r="A15" s="604"/>
      <c r="B15" s="653"/>
      <c r="C15" s="603"/>
      <c r="D15" s="709"/>
      <c r="E15" s="709"/>
      <c r="F15" s="709"/>
      <c r="G15" s="709"/>
      <c r="H15" s="709"/>
      <c r="I15" s="709"/>
      <c r="J15" s="709"/>
      <c r="K15" s="709"/>
      <c r="L15" s="709"/>
      <c r="M15" s="709"/>
      <c r="N15" s="724"/>
    </row>
    <row r="16" spans="1:14" ht="11.25" customHeight="1" x14ac:dyDescent="0.2">
      <c r="A16" s="729" t="str">
        <f>Деятельность_УК!$A$572</f>
        <v>Кредит на инфраструктуру водоснабжения</v>
      </c>
      <c r="B16" s="732"/>
      <c r="C16" s="774">
        <f>Деятельность_УК!$C$572</f>
        <v>1</v>
      </c>
      <c r="D16" s="599"/>
      <c r="E16" s="599"/>
      <c r="F16" s="599"/>
      <c r="G16" s="599"/>
      <c r="H16" s="599"/>
      <c r="I16" s="599"/>
      <c r="J16" s="599"/>
      <c r="K16" s="599"/>
      <c r="L16" s="599"/>
      <c r="M16" s="599"/>
      <c r="N16" s="682"/>
    </row>
    <row r="17" spans="1:14" ht="11.25" customHeight="1" x14ac:dyDescent="0.2">
      <c r="A17" s="636" t="str">
        <f>Деятельность_УК!$A$573</f>
        <v>ставка процентов по кредиту</v>
      </c>
      <c r="B17" s="1003">
        <f>Деятельность_УК!$B$573</f>
        <v>0.09</v>
      </c>
      <c r="C17" s="762" t="str">
        <f>Деятельность_УК!$C$573</f>
        <v>% в год</v>
      </c>
      <c r="D17" s="1015">
        <f ca="1">IFERROR(AVERAGE(Деятельность_УК!$E$573:'Деятельность_УК'!$H$573),"0")</f>
        <v>0.09</v>
      </c>
      <c r="E17" s="1015">
        <f ca="1">IFERROR(AVERAGE(Деятельность_УК!$I$573:'Деятельность_УК'!$L$573),"0")</f>
        <v>0.09</v>
      </c>
      <c r="F17" s="1015">
        <f ca="1">IFERROR(AVERAGE(Деятельность_УК!$M$573:'Деятельность_УК'!$P$573),"0")</f>
        <v>0.09</v>
      </c>
      <c r="G17" s="1015">
        <f ca="1">IFERROR(AVERAGE(Деятельность_УК!$Q$573:'Деятельность_УК'!$T$573),"0")</f>
        <v>0.09</v>
      </c>
      <c r="H17" s="1015">
        <f ca="1">IFERROR(AVERAGE(Деятельность_УК!$U$573:'Деятельность_УК'!$X$573),"0")</f>
        <v>0.09</v>
      </c>
      <c r="I17" s="1015">
        <f ca="1">IFERROR(AVERAGE(Деятельность_УК!$Y$573:'Деятельность_УК'!$AB$573),"0")</f>
        <v>0.09</v>
      </c>
      <c r="J17" s="1015">
        <f ca="1">IFERROR(AVERAGE(Деятельность_УК!$AC$573:'Деятельность_УК'!$AF$573),"0")</f>
        <v>0.08</v>
      </c>
      <c r="K17" s="1015">
        <f ca="1">IFERROR(AVERAGE(Деятельность_УК!$AG$573:'Деятельность_УК'!$AJ$573),"0")</f>
        <v>0.08</v>
      </c>
      <c r="L17" s="1015">
        <f ca="1">IFERROR(AVERAGE(Деятельность_УК!$AK$573:'Деятельность_УК'!$AN$573),"0")</f>
        <v>0.08</v>
      </c>
      <c r="M17" s="1016">
        <f ca="1">IFERROR(AVERAGE(Деятельность_УК!$AO$573:'Деятельность_УК'!$AR$573),"0")</f>
        <v>0.08</v>
      </c>
      <c r="N17" s="682"/>
    </row>
    <row r="18" spans="1:14" ht="11.25" customHeight="1" x14ac:dyDescent="0.2">
      <c r="A18" s="620" t="str">
        <f>Деятельность_УК!$A$574</f>
        <v>отсрочка выплаты процентов</v>
      </c>
      <c r="B18" s="616">
        <f>Деятельность_УК!$B$574</f>
        <v>0</v>
      </c>
      <c r="C18" s="623" t="str">
        <f>Деятельность_УК!$C$574</f>
        <v>кв.</v>
      </c>
      <c r="D18" s="599"/>
      <c r="E18" s="599"/>
      <c r="F18" s="599"/>
      <c r="G18" s="599"/>
      <c r="H18" s="599"/>
      <c r="I18" s="599"/>
      <c r="J18" s="599"/>
      <c r="K18" s="599"/>
      <c r="L18" s="599"/>
      <c r="M18" s="599"/>
      <c r="N18" s="682"/>
    </row>
    <row r="19" spans="1:14" ht="11.25" customHeight="1" x14ac:dyDescent="0.2">
      <c r="A19" s="620" t="str">
        <f>Деятельность_УК!$A$575</f>
        <v>срок погашения кредита</v>
      </c>
      <c r="B19" s="818">
        <f>Деятельность_УК!$B$575</f>
        <v>32</v>
      </c>
      <c r="C19" s="623" t="str">
        <f>Деятельность_УК!$C$575</f>
        <v>кв.</v>
      </c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682"/>
    </row>
    <row r="20" spans="1:14" ht="11.25" customHeight="1" x14ac:dyDescent="0.2">
      <c r="A20" s="621" t="str">
        <f>Деятельность_УК!$A$576</f>
        <v>отсрочка по погашению основного долга</v>
      </c>
      <c r="B20" s="819">
        <f>Деятельность_УК!$B$576</f>
        <v>4</v>
      </c>
      <c r="C20" s="617" t="str">
        <f>Деятельность_УК!$C$576</f>
        <v>кв.</v>
      </c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682"/>
    </row>
    <row r="21" spans="1:14" ht="11.25" customHeight="1" x14ac:dyDescent="0.2">
      <c r="A21" s="636" t="str">
        <f>Деятельность_УК!$A$579</f>
        <v>поступление денег от кредита</v>
      </c>
      <c r="B21" s="820">
        <f ca="1">Деятельность_УК!$B$579</f>
        <v>28513.79500368984</v>
      </c>
      <c r="C21" s="762" t="str">
        <f>Деятельность_УК!$C$579</f>
        <v>тыс. руб.</v>
      </c>
      <c r="D21" s="775">
        <f ca="1">SUM(Деятельность_УК!$E$579:'Деятельность_УК'!$H$579)</f>
        <v>0</v>
      </c>
      <c r="E21" s="775">
        <f ca="1">SUM(Деятельность_УК!$I$579:'Деятельность_УК'!$L$579)</f>
        <v>28513.79500368984</v>
      </c>
      <c r="F21" s="775">
        <f ca="1">SUM(Деятельность_УК!$M$579:'Деятельность_УК'!$P$579)</f>
        <v>0</v>
      </c>
      <c r="G21" s="775">
        <f ca="1">SUM(Деятельность_УК!$Q$579:'Деятельность_УК'!$T$579)</f>
        <v>0</v>
      </c>
      <c r="H21" s="775">
        <f ca="1">SUM(Деятельность_УК!$U$579:'Деятельность_УК'!$X$579)</f>
        <v>0</v>
      </c>
      <c r="I21" s="775">
        <f ca="1">SUM(Деятельность_УК!$Y$579:'Деятельность_УК'!$AB$579)</f>
        <v>0</v>
      </c>
      <c r="J21" s="775">
        <f ca="1">SUM(Деятельность_УК!$AC$579:'Деятельность_УК'!$AF$579)</f>
        <v>0</v>
      </c>
      <c r="K21" s="775">
        <f ca="1">SUM(Деятельность_УК!$AG$579:'Деятельность_УК'!$AJ$579)</f>
        <v>0</v>
      </c>
      <c r="L21" s="775">
        <f ca="1">SUM(Деятельность_УК!$AK$579:'Деятельность_УК'!$AN$579)</f>
        <v>0</v>
      </c>
      <c r="M21" s="775">
        <f ca="1">SUM(Деятельность_УК!$AO$579:'Деятельность_УК'!$AR$579)</f>
        <v>0</v>
      </c>
      <c r="N21" s="746">
        <f ca="1">Деятельность_УК!$AT$579</f>
        <v>28513.79500368984</v>
      </c>
    </row>
    <row r="22" spans="1:14" ht="11.25" customHeight="1" x14ac:dyDescent="0.2">
      <c r="A22" s="636" t="str">
        <f>Деятельность_УК!$A$580</f>
        <v>погашение кредита</v>
      </c>
      <c r="B22" s="820">
        <f ca="1">Деятельность_УК!$B$580</f>
        <v>28513.795003689836</v>
      </c>
      <c r="C22" s="762" t="str">
        <f>Деятельность_УК!$C$580</f>
        <v>тыс. руб.</v>
      </c>
      <c r="D22" s="775">
        <f ca="1">SUM(Деятельность_УК!$E$580:'Деятельность_УК'!$H$580)</f>
        <v>0</v>
      </c>
      <c r="E22" s="775">
        <f ca="1">SUM(Деятельность_УК!$I$580:'Деятельность_УК'!$L$580)</f>
        <v>0</v>
      </c>
      <c r="F22" s="775">
        <f ca="1">SUM(Деятельность_УК!$M$580:'Деятельность_УК'!$P$580)</f>
        <v>3070.006420382334</v>
      </c>
      <c r="G22" s="775">
        <f ca="1">SUM(Деятельность_УК!$Q$580:'Деятельность_УК'!$T$580)</f>
        <v>3355.7728066952513</v>
      </c>
      <c r="H22" s="775">
        <f ca="1">SUM(Деятельность_УК!$U$580:'Деятельность_УК'!$X$580)</f>
        <v>3668.1392766445329</v>
      </c>
      <c r="I22" s="775">
        <f ca="1">SUM(Деятельность_УК!$Y$580:'Деятельность_УК'!$AB$580)</f>
        <v>4009.5818542951165</v>
      </c>
      <c r="J22" s="775">
        <f ca="1">SUM(Деятельность_УК!$AC$580:'Деятельность_УК'!$AF$580)</f>
        <v>4382.8070402493095</v>
      </c>
      <c r="K22" s="775">
        <f ca="1">SUM(Деятельность_УК!$AG$580:'Деятельность_УК'!$AJ$580)</f>
        <v>4790.7732651677825</v>
      </c>
      <c r="L22" s="775">
        <f ca="1">SUM(Деятельность_УК!$AK$580:'Деятельность_УК'!$AN$580)</f>
        <v>5236.7143402555139</v>
      </c>
      <c r="M22" s="775">
        <f ca="1">SUM(Деятельность_УК!$AO$580:'Деятельность_УК'!$AR$580)</f>
        <v>0</v>
      </c>
      <c r="N22" s="744">
        <f ca="1">Деятельность_УК!$AT$580</f>
        <v>28513.795003689836</v>
      </c>
    </row>
    <row r="23" spans="1:14" ht="11.25" customHeight="1" x14ac:dyDescent="0.2">
      <c r="A23" s="734" t="str">
        <f>Деятельность_УК!$A$581</f>
        <v>задолженность по кредиту</v>
      </c>
      <c r="B23" s="686"/>
      <c r="C23" s="762" t="str">
        <f>Деятельность_УК!$C$581</f>
        <v>тыс. руб.</v>
      </c>
      <c r="D23" s="739">
        <f ca="1">Деятельность_УК!$H$581</f>
        <v>0</v>
      </c>
      <c r="E23" s="739">
        <f ca="1">Деятельность_УК!$L$581</f>
        <v>28513.79500368984</v>
      </c>
      <c r="F23" s="739">
        <f ca="1">Деятельность_УК!$P$581</f>
        <v>25443.788583307505</v>
      </c>
      <c r="G23" s="739">
        <f ca="1">Деятельность_УК!$T$581</f>
        <v>22088.015776612254</v>
      </c>
      <c r="H23" s="739">
        <f ca="1">Деятельность_УК!$X$581</f>
        <v>18419.876499967722</v>
      </c>
      <c r="I23" s="739">
        <f ca="1">Деятельность_УК!$AB$581</f>
        <v>14410.294645672608</v>
      </c>
      <c r="J23" s="739">
        <f ca="1">Деятельность_УК!$AF$581</f>
        <v>10027.487605423299</v>
      </c>
      <c r="K23" s="739">
        <f ca="1">Деятельность_УК!$AJ$581</f>
        <v>5236.7143402555157</v>
      </c>
      <c r="L23" s="739">
        <f ca="1">Деятельность_УК!$AN$581</f>
        <v>0</v>
      </c>
      <c r="M23" s="795">
        <f ca="1">Деятельность_УК!$AR$581</f>
        <v>0</v>
      </c>
      <c r="N23" s="720"/>
    </row>
    <row r="24" spans="1:14" ht="11.25" customHeight="1" x14ac:dyDescent="0.2">
      <c r="A24" s="734" t="str">
        <f>Деятельность_УК!$A$582</f>
        <v>начисленные проценты</v>
      </c>
      <c r="B24" s="820">
        <f ca="1">Деятельность_УК!$B$582</f>
        <v>11008.842428964886</v>
      </c>
      <c r="C24" s="762" t="str">
        <f>Деятельность_УК!$C$582</f>
        <v>тыс. руб.</v>
      </c>
      <c r="D24" s="739">
        <f ca="1">SUM(Деятельность_УК!$E$582:'Деятельность_УК'!$H$582)</f>
        <v>0</v>
      </c>
      <c r="E24" s="739">
        <f ca="1">SUM(Деятельность_УК!$I$582:'Деятельность_УК'!$L$582)</f>
        <v>1629.9869700188954</v>
      </c>
      <c r="F24" s="739">
        <f ca="1">SUM(Деятельность_УК!$M$582:'Деятельность_УК'!$P$582)</f>
        <v>2395.4746247718876</v>
      </c>
      <c r="G24" s="739">
        <f ca="1">SUM(Деятельность_УК!$Q$582:'Деятельность_УК'!$T$582)</f>
        <v>2103.2784947669297</v>
      </c>
      <c r="H24" s="739">
        <f ca="1">SUM(Деятельность_УК!$U$582:'Деятельность_УК'!$X$582)</f>
        <v>1783.8837792437898</v>
      </c>
      <c r="I24" s="739">
        <f ca="1">SUM(Деятельность_УК!$Y$582:'Деятельность_УК'!$AB$582)</f>
        <v>1434.7587435960675</v>
      </c>
      <c r="J24" s="739">
        <f ca="1">SUM(Деятельность_УК!$AC$582:'Деятельность_УК'!$AF$582)</f>
        <v>936.12088085147172</v>
      </c>
      <c r="K24" s="739">
        <f ca="1">SUM(Деятельность_УК!$AG$582:'Деятельность_УК'!$AJ$582)</f>
        <v>565.32491198112541</v>
      </c>
      <c r="L24" s="739">
        <f ca="1">SUM(Деятельность_УК!$AK$582:'Деятельность_УК'!$AN$582)</f>
        <v>160.01402373472152</v>
      </c>
      <c r="M24" s="739">
        <f ca="1">SUM(Деятельность_УК!$AO$582:'Деятельность_УК'!$AR$582)</f>
        <v>2.9103830456733704E-13</v>
      </c>
      <c r="N24" s="766">
        <f ca="1">Деятельность_УК!$AT$582</f>
        <v>11008.842428964886</v>
      </c>
    </row>
    <row r="25" spans="1:14" ht="11.25" customHeight="1" x14ac:dyDescent="0.2">
      <c r="A25" s="621" t="str">
        <f>Деятельность_УК!$A$583</f>
        <v>выплаченные проценты</v>
      </c>
      <c r="B25" s="821">
        <f ca="1">Деятельность_УК!$B$583</f>
        <v>11008.842428964886</v>
      </c>
      <c r="C25" s="617" t="str">
        <f>Деятельность_УК!$C$583</f>
        <v>тыс. руб.</v>
      </c>
      <c r="D25" s="811">
        <f ca="1">SUM(Деятельность_УК!$E$583:'Деятельность_УК'!$H$583)</f>
        <v>0</v>
      </c>
      <c r="E25" s="811">
        <f ca="1">SUM(Деятельность_УК!$I$583:'Деятельность_УК'!$L$583)</f>
        <v>1629.9869700188954</v>
      </c>
      <c r="F25" s="811">
        <f ca="1">SUM(Деятельность_УК!$M$583:'Деятельность_УК'!$P$583)</f>
        <v>2395.4746247718876</v>
      </c>
      <c r="G25" s="811">
        <f ca="1">SUM(Деятельность_УК!$Q$583:'Деятельность_УК'!$T$583)</f>
        <v>2103.2784947669297</v>
      </c>
      <c r="H25" s="811">
        <f ca="1">SUM(Деятельность_УК!$U$583:'Деятельность_УК'!$X$583)</f>
        <v>1783.8837792437898</v>
      </c>
      <c r="I25" s="811">
        <f ca="1">SUM(Деятельность_УК!$Y$583:'Деятельность_УК'!$AB$583)</f>
        <v>1434.7587435960675</v>
      </c>
      <c r="J25" s="811">
        <f ca="1">SUM(Деятельность_УК!$AC$583:'Деятельность_УК'!$AF$583)</f>
        <v>936.12088085147172</v>
      </c>
      <c r="K25" s="811">
        <f ca="1">SUM(Деятельность_УК!$AG$583:'Деятельность_УК'!$AJ$583)</f>
        <v>565.32491198112541</v>
      </c>
      <c r="L25" s="811">
        <f ca="1">SUM(Деятельность_УК!$AK$583:'Деятельность_УК'!$AN$583)</f>
        <v>160.01402373472152</v>
      </c>
      <c r="M25" s="811">
        <f ca="1">SUM(Деятельность_УК!$AO$583:'Деятельность_УК'!$AR$583)</f>
        <v>2.9103830456733704E-13</v>
      </c>
      <c r="N25" s="753">
        <f ca="1">Деятельность_УК!$AT$583</f>
        <v>11008.842428964886</v>
      </c>
    </row>
    <row r="26" spans="1:14" ht="11.25" customHeight="1" x14ac:dyDescent="0.2">
      <c r="A26" s="604"/>
      <c r="B26" s="653"/>
      <c r="C26" s="603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24"/>
    </row>
    <row r="27" spans="1:14" ht="11.25" customHeight="1" x14ac:dyDescent="0.2">
      <c r="A27" s="729" t="str">
        <f>Деятельность_УК!$A$586</f>
        <v>Кредит на инфраструктуру водоотведения</v>
      </c>
      <c r="B27" s="732"/>
      <c r="C27" s="774">
        <f>Деятельность_УК!$C$586</f>
        <v>1</v>
      </c>
      <c r="D27" s="599"/>
      <c r="E27" s="599"/>
      <c r="F27" s="599"/>
      <c r="G27" s="599"/>
      <c r="H27" s="599"/>
      <c r="I27" s="599"/>
      <c r="J27" s="599"/>
      <c r="K27" s="599"/>
      <c r="L27" s="599"/>
      <c r="M27" s="599"/>
      <c r="N27" s="682"/>
    </row>
    <row r="28" spans="1:14" ht="11.25" customHeight="1" x14ac:dyDescent="0.2">
      <c r="A28" s="636" t="str">
        <f>Деятельность_УК!$A$587</f>
        <v>ставка процентов по кредиту</v>
      </c>
      <c r="B28" s="1003">
        <f>Деятельность_УК!$B$587</f>
        <v>0.09</v>
      </c>
      <c r="C28" s="762" t="str">
        <f>Деятельность_УК!$C$587</f>
        <v>% в год</v>
      </c>
      <c r="D28" s="1015">
        <f ca="1">IFERROR(AVERAGE(Деятельность_УК!$E$587:'Деятельность_УК'!$H$587),"0")</f>
        <v>0.09</v>
      </c>
      <c r="E28" s="1015">
        <f ca="1">IFERROR(AVERAGE(Деятельность_УК!$I$587:'Деятельность_УК'!$L$587),"0")</f>
        <v>0.09</v>
      </c>
      <c r="F28" s="1015">
        <f ca="1">IFERROR(AVERAGE(Деятельность_УК!$M$587:'Деятельность_УК'!$P$587),"0")</f>
        <v>0.09</v>
      </c>
      <c r="G28" s="1015">
        <f ca="1">IFERROR(AVERAGE(Деятельность_УК!$Q$587:'Деятельность_УК'!$T$587),"0")</f>
        <v>0.09</v>
      </c>
      <c r="H28" s="1015">
        <f ca="1">IFERROR(AVERAGE(Деятельность_УК!$U$587:'Деятельность_УК'!$X$587),"0")</f>
        <v>0.09</v>
      </c>
      <c r="I28" s="1015">
        <f ca="1">IFERROR(AVERAGE(Деятельность_УК!$Y$587:'Деятельность_УК'!$AB$587),"0")</f>
        <v>0.09</v>
      </c>
      <c r="J28" s="1015">
        <f ca="1">IFERROR(AVERAGE(Деятельность_УК!$AC$587:'Деятельность_УК'!$AF$587),"0")</f>
        <v>0.09</v>
      </c>
      <c r="K28" s="1015">
        <f ca="1">IFERROR(AVERAGE(Деятельность_УК!$AG$587:'Деятельность_УК'!$AJ$587),"0")</f>
        <v>0.08</v>
      </c>
      <c r="L28" s="1015">
        <f ca="1">IFERROR(AVERAGE(Деятельность_УК!$AK$587:'Деятельность_УК'!$AN$587),"0")</f>
        <v>0.08</v>
      </c>
      <c r="M28" s="1016">
        <f ca="1">IFERROR(AVERAGE(Деятельность_УК!$AO$587:'Деятельность_УК'!$AR$587),"0")</f>
        <v>0.08</v>
      </c>
      <c r="N28" s="682"/>
    </row>
    <row r="29" spans="1:14" ht="11.25" customHeight="1" x14ac:dyDescent="0.2">
      <c r="A29" s="620" t="str">
        <f>Деятельность_УК!$A$588</f>
        <v>отсрочка выплаты процентов</v>
      </c>
      <c r="B29" s="616">
        <f>Деятельность_УК!$B$588</f>
        <v>0</v>
      </c>
      <c r="C29" s="623" t="str">
        <f>Деятельность_УК!$C$588</f>
        <v>кв.</v>
      </c>
      <c r="D29" s="599"/>
      <c r="E29" s="599"/>
      <c r="F29" s="599"/>
      <c r="G29" s="599"/>
      <c r="H29" s="599"/>
      <c r="I29" s="599"/>
      <c r="J29" s="599"/>
      <c r="K29" s="599"/>
      <c r="L29" s="599"/>
      <c r="M29" s="599"/>
      <c r="N29" s="682"/>
    </row>
    <row r="30" spans="1:14" ht="11.25" customHeight="1" x14ac:dyDescent="0.2">
      <c r="A30" s="620" t="str">
        <f>Деятельность_УК!$A$589</f>
        <v>срок погашения кредита</v>
      </c>
      <c r="B30" s="818">
        <f>Деятельность_УК!$B$589</f>
        <v>28</v>
      </c>
      <c r="C30" s="623" t="str">
        <f>Деятельность_УК!$C$589</f>
        <v>кв.</v>
      </c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682"/>
    </row>
    <row r="31" spans="1:14" ht="11.25" customHeight="1" x14ac:dyDescent="0.2">
      <c r="A31" s="621" t="str">
        <f>Деятельность_УК!$A$590</f>
        <v>отсрочка по погашению основного долга</v>
      </c>
      <c r="B31" s="819">
        <f>Деятельность_УК!$B$590</f>
        <v>4</v>
      </c>
      <c r="C31" s="617" t="str">
        <f>Деятельность_УК!$C$590</f>
        <v>кв.</v>
      </c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682"/>
    </row>
    <row r="32" spans="1:14" ht="11.25" customHeight="1" x14ac:dyDescent="0.2">
      <c r="A32" s="636" t="str">
        <f>Деятельность_УК!$A$593</f>
        <v>поступление денег от кредита</v>
      </c>
      <c r="B32" s="820">
        <f ca="1">Деятельность_УК!$B$593</f>
        <v>262045.86395389249</v>
      </c>
      <c r="C32" s="762" t="str">
        <f>Деятельность_УК!$C$593</f>
        <v>тыс. руб.</v>
      </c>
      <c r="D32" s="775">
        <f ca="1">SUM(Деятельность_УК!$E$593:'Деятельность_УК'!$H$593)</f>
        <v>0</v>
      </c>
      <c r="E32" s="775">
        <f ca="1">SUM(Деятельность_УК!$I$593:'Деятельность_УК'!$L$593)</f>
        <v>0</v>
      </c>
      <c r="F32" s="775">
        <f ca="1">SUM(Деятельность_УК!$M$593:'Деятельность_УК'!$P$593)</f>
        <v>262045.86395389249</v>
      </c>
      <c r="G32" s="775">
        <f ca="1">SUM(Деятельность_УК!$Q$593:'Деятельность_УК'!$T$593)</f>
        <v>0</v>
      </c>
      <c r="H32" s="775">
        <f ca="1">SUM(Деятельность_УК!$U$593:'Деятельность_УК'!$X$593)</f>
        <v>0</v>
      </c>
      <c r="I32" s="775">
        <f ca="1">SUM(Деятельность_УК!$Y$593:'Деятельность_УК'!$AB$593)</f>
        <v>0</v>
      </c>
      <c r="J32" s="775">
        <f ca="1">SUM(Деятельность_УК!$AC$593:'Деятельность_УК'!$AF$593)</f>
        <v>0</v>
      </c>
      <c r="K32" s="775">
        <f ca="1">SUM(Деятельность_УК!$AG$593:'Деятельность_УК'!$AJ$593)</f>
        <v>0</v>
      </c>
      <c r="L32" s="775">
        <f ca="1">SUM(Деятельность_УК!$AK$593:'Деятельность_УК'!$AN$593)</f>
        <v>0</v>
      </c>
      <c r="M32" s="775">
        <f ca="1">SUM(Деятельность_УК!$AO$593:'Деятельность_УК'!$AR$593)</f>
        <v>0</v>
      </c>
      <c r="N32" s="746">
        <f ca="1">Деятельность_УК!$AT$593</f>
        <v>262045.86395389249</v>
      </c>
    </row>
    <row r="33" spans="1:14" ht="11.25" customHeight="1" x14ac:dyDescent="0.2">
      <c r="A33" s="636" t="str">
        <f>Деятельность_УК!$A$594</f>
        <v>погашение кредита</v>
      </c>
      <c r="B33" s="820">
        <f ca="1">Деятельность_УК!$B$594</f>
        <v>262045.86395389249</v>
      </c>
      <c r="C33" s="762" t="str">
        <f>Деятельность_УК!$C$594</f>
        <v>тыс. руб.</v>
      </c>
      <c r="D33" s="775">
        <f ca="1">SUM(Деятельность_УК!$E$594:'Деятельность_УК'!$H$594)</f>
        <v>0</v>
      </c>
      <c r="E33" s="775">
        <f ca="1">SUM(Деятельность_УК!$I$594:'Деятельность_УК'!$L$594)</f>
        <v>0</v>
      </c>
      <c r="F33" s="775">
        <f ca="1">SUM(Деятельность_УК!$M$594:'Деятельность_УК'!$P$594)</f>
        <v>0</v>
      </c>
      <c r="G33" s="775">
        <f ca="1">SUM(Деятельность_УК!$Q$594:'Деятельность_УК'!$T$594)</f>
        <v>34561.141768814545</v>
      </c>
      <c r="H33" s="775">
        <f ca="1">SUM(Деятельность_УК!$U$594:'Деятельность_УК'!$X$594)</f>
        <v>37778.2075457951</v>
      </c>
      <c r="I33" s="775">
        <f ca="1">SUM(Деятельность_УК!$Y$594:'Деятельность_УК'!$AB$594)</f>
        <v>41294.728482059712</v>
      </c>
      <c r="J33" s="775">
        <f ca="1">SUM(Деятельность_УК!$AC$594:'Деятельность_УК'!$AF$594)</f>
        <v>45138.578857663051</v>
      </c>
      <c r="K33" s="775">
        <f ca="1">SUM(Деятельность_УК!$AG$594:'Деятельность_УК'!$AJ$594)</f>
        <v>49340.227583156135</v>
      </c>
      <c r="L33" s="775">
        <f ca="1">SUM(Деятельность_УК!$AK$594:'Деятельность_УК'!$AN$594)</f>
        <v>53932.979716403956</v>
      </c>
      <c r="M33" s="775">
        <f ca="1">SUM(Деятельность_УК!$AO$594:'Деятельность_УК'!$AR$594)</f>
        <v>0</v>
      </c>
      <c r="N33" s="744">
        <f ca="1">Деятельность_УК!$AT$594</f>
        <v>262045.86395389249</v>
      </c>
    </row>
    <row r="34" spans="1:14" ht="11.25" customHeight="1" x14ac:dyDescent="0.2">
      <c r="A34" s="734" t="str">
        <f>Деятельность_УК!$A$595</f>
        <v>задолженность по кредиту</v>
      </c>
      <c r="B34" s="686"/>
      <c r="C34" s="762" t="str">
        <f>Деятельность_УК!$C$595</f>
        <v>тыс. руб.</v>
      </c>
      <c r="D34" s="739">
        <f ca="1">Деятельность_УК!$H$595</f>
        <v>0</v>
      </c>
      <c r="E34" s="739">
        <f ca="1">Деятельность_УК!$L$595</f>
        <v>0</v>
      </c>
      <c r="F34" s="739">
        <f ca="1">Деятельность_УК!$P$595</f>
        <v>262045.86395389249</v>
      </c>
      <c r="G34" s="739">
        <f ca="1">Деятельность_УК!$T$595</f>
        <v>227484.72218507796</v>
      </c>
      <c r="H34" s="739">
        <f ca="1">Деятельность_УК!$X$595</f>
        <v>189706.51463928283</v>
      </c>
      <c r="I34" s="739">
        <f ca="1">Деятельность_УК!$AB$595</f>
        <v>148411.78615722313</v>
      </c>
      <c r="J34" s="739">
        <f ca="1">Деятельность_УК!$AF$595</f>
        <v>103273.2072995601</v>
      </c>
      <c r="K34" s="739">
        <f ca="1">Деятельность_УК!$AJ$595</f>
        <v>53932.979716403963</v>
      </c>
      <c r="L34" s="739">
        <f ca="1">Деятельность_УК!$AN$595</f>
        <v>0</v>
      </c>
      <c r="M34" s="795">
        <f ca="1">Деятельность_УК!$AR$595</f>
        <v>0</v>
      </c>
      <c r="N34" s="720"/>
    </row>
    <row r="35" spans="1:14" ht="11.25" customHeight="1" x14ac:dyDescent="0.2">
      <c r="A35" s="734" t="str">
        <f>Деятельность_УК!$A$596</f>
        <v>начисленные проценты</v>
      </c>
      <c r="B35" s="820">
        <f ca="1">Деятельность_УК!$B$596</f>
        <v>88395.934885315291</v>
      </c>
      <c r="C35" s="762" t="str">
        <f>Деятельность_УК!$C$596</f>
        <v>тыс. руб.</v>
      </c>
      <c r="D35" s="739">
        <f ca="1">SUM(Деятельность_УК!$E$596:'Деятельность_УК'!$H$596)</f>
        <v>0</v>
      </c>
      <c r="E35" s="739">
        <f ca="1">SUM(Деятельность_УК!$I$596:'Деятельность_УК'!$L$596)</f>
        <v>0</v>
      </c>
      <c r="F35" s="739">
        <f ca="1">SUM(Деятельность_УК!$M$596:'Деятельность_УК'!$P$596)</f>
        <v>15268.877429163458</v>
      </c>
      <c r="G35" s="739">
        <f ca="1">SUM(Деятельность_УК!$Q$596:'Деятельность_УК'!$T$596)</f>
        <v>21661.688804411395</v>
      </c>
      <c r="H35" s="739">
        <f ca="1">SUM(Деятельность_УК!$U$596:'Деятельность_УК'!$X$596)</f>
        <v>18372.239047448784</v>
      </c>
      <c r="I35" s="739">
        <f ca="1">SUM(Деятельность_УК!$Y$596:'Деятельность_УК'!$AB$596)</f>
        <v>14776.596390118219</v>
      </c>
      <c r="J35" s="739">
        <f ca="1">SUM(Деятельность_УК!$AC$596:'Деятельность_УК'!$AF$596)</f>
        <v>10846.259381063801</v>
      </c>
      <c r="K35" s="739">
        <f ca="1">SUM(Деятельность_УК!$AG$596:'Деятельность_УК'!$AJ$596)</f>
        <v>5822.2876082196635</v>
      </c>
      <c r="L35" s="739">
        <f ca="1">SUM(Деятельность_УК!$AK$596:'Деятельность_УК'!$AN$596)</f>
        <v>1647.9862248899794</v>
      </c>
      <c r="M35" s="739">
        <f ca="1">SUM(Деятельность_УК!$AO$596:'Деятельность_УК'!$AR$596)</f>
        <v>0</v>
      </c>
      <c r="N35" s="766">
        <f ca="1">Деятельность_УК!$AT$596</f>
        <v>88395.934885315291</v>
      </c>
    </row>
    <row r="36" spans="1:14" ht="11.25" customHeight="1" x14ac:dyDescent="0.2">
      <c r="A36" s="621" t="str">
        <f>Деятельность_УК!$A$597</f>
        <v>выплаченные проценты</v>
      </c>
      <c r="B36" s="821">
        <f ca="1">Деятельность_УК!$B$597</f>
        <v>88395.934885315291</v>
      </c>
      <c r="C36" s="617" t="str">
        <f>Деятельность_УК!$C$597</f>
        <v>тыс. руб.</v>
      </c>
      <c r="D36" s="811">
        <f ca="1">SUM(Деятельность_УК!$E$597:'Деятельность_УК'!$H$597)</f>
        <v>0</v>
      </c>
      <c r="E36" s="811">
        <f ca="1">SUM(Деятельность_УК!$I$597:'Деятельность_УК'!$L$597)</f>
        <v>0</v>
      </c>
      <c r="F36" s="811">
        <f ca="1">SUM(Деятельность_УК!$M$597:'Деятельность_УК'!$P$597)</f>
        <v>15268.877429163458</v>
      </c>
      <c r="G36" s="811">
        <f ca="1">SUM(Деятельность_УК!$Q$597:'Деятельность_УК'!$T$597)</f>
        <v>21661.688804411395</v>
      </c>
      <c r="H36" s="811">
        <f ca="1">SUM(Деятельность_УК!$U$597:'Деятельность_УК'!$X$597)</f>
        <v>18372.239047448784</v>
      </c>
      <c r="I36" s="811">
        <f ca="1">SUM(Деятельность_УК!$Y$597:'Деятельность_УК'!$AB$597)</f>
        <v>14776.596390118219</v>
      </c>
      <c r="J36" s="811">
        <f ca="1">SUM(Деятельность_УК!$AC$597:'Деятельность_УК'!$AF$597)</f>
        <v>10846.259381063801</v>
      </c>
      <c r="K36" s="811">
        <f ca="1">SUM(Деятельность_УК!$AG$597:'Деятельность_УК'!$AJ$597)</f>
        <v>5822.2876082196635</v>
      </c>
      <c r="L36" s="811">
        <f ca="1">SUM(Деятельность_УК!$AK$597:'Деятельность_УК'!$AN$597)</f>
        <v>1647.9862248899794</v>
      </c>
      <c r="M36" s="811">
        <f ca="1">SUM(Деятельность_УК!$AO$597:'Деятельность_УК'!$AR$597)</f>
        <v>0</v>
      </c>
      <c r="N36" s="753">
        <f ca="1">Деятельность_УК!$AT$597</f>
        <v>88395.934885315291</v>
      </c>
    </row>
    <row r="37" spans="1:14" ht="11.25" customHeight="1" x14ac:dyDescent="0.2">
      <c r="A37" s="604"/>
      <c r="B37" s="653"/>
      <c r="C37" s="603"/>
      <c r="D37" s="709"/>
      <c r="E37" s="709"/>
      <c r="F37" s="709"/>
      <c r="G37" s="709"/>
      <c r="H37" s="709"/>
      <c r="I37" s="709"/>
      <c r="J37" s="709"/>
      <c r="K37" s="709"/>
      <c r="L37" s="709"/>
      <c r="M37" s="709"/>
      <c r="N37" s="724"/>
    </row>
    <row r="38" spans="1:14" ht="11.25" customHeight="1" x14ac:dyDescent="0.2">
      <c r="A38" s="729" t="str">
        <f>Деятельность_УК!$A$600</f>
        <v>Кредит на строительство корпуса B2</v>
      </c>
      <c r="B38" s="732"/>
      <c r="C38" s="774">
        <f>Деятельность_УК!$C$600</f>
        <v>1</v>
      </c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682"/>
    </row>
    <row r="39" spans="1:14" ht="11.25" customHeight="1" x14ac:dyDescent="0.2">
      <c r="A39" s="636" t="str">
        <f>Деятельность_УК!$A$601</f>
        <v>ставка процентов по кредиту</v>
      </c>
      <c r="B39" s="817">
        <f>Деятельность_УК!$B$601</f>
        <v>0.09</v>
      </c>
      <c r="C39" s="762" t="str">
        <f>Деятельность_УК!$C$601</f>
        <v>% в год</v>
      </c>
      <c r="D39" s="1015">
        <f ca="1">IFERROR(AVERAGE(Деятельность_УК!$E$601:'Деятельность_УК'!$H$601),"0")</f>
        <v>0.09</v>
      </c>
      <c r="E39" s="1015">
        <f ca="1">IFERROR(AVERAGE(Деятельность_УК!$I$601:'Деятельность_УК'!$L$601),"0")</f>
        <v>0.09</v>
      </c>
      <c r="F39" s="1015">
        <f ca="1">IFERROR(AVERAGE(Деятельность_УК!$M$601:'Деятельность_УК'!$P$601),"0")</f>
        <v>0.09</v>
      </c>
      <c r="G39" s="1015">
        <f ca="1">IFERROR(AVERAGE(Деятельность_УК!$Q$601:'Деятельность_УК'!$T$601),"0")</f>
        <v>0.09</v>
      </c>
      <c r="H39" s="1015">
        <f ca="1">IFERROR(AVERAGE(Деятельность_УК!$U$601:'Деятельность_УК'!$X$601),"0")</f>
        <v>0.09</v>
      </c>
      <c r="I39" s="1015">
        <f ca="1">IFERROR(AVERAGE(Деятельность_УК!$Y$601:'Деятельность_УК'!$AB$601),"0")</f>
        <v>0.09</v>
      </c>
      <c r="J39" s="1015">
        <f ca="1">IFERROR(AVERAGE(Деятельность_УК!$AC$601:'Деятельность_УК'!$AF$601),"0")</f>
        <v>0.08</v>
      </c>
      <c r="K39" s="1015">
        <f ca="1">IFERROR(AVERAGE(Деятельность_УК!$AG$601:'Деятельность_УК'!$AJ$601),"0")</f>
        <v>0.08</v>
      </c>
      <c r="L39" s="1015">
        <f ca="1">IFERROR(AVERAGE(Деятельность_УК!$AK$601:'Деятельность_УК'!$AN$601),"0")</f>
        <v>0.08</v>
      </c>
      <c r="M39" s="1016">
        <f ca="1">IFERROR(AVERAGE(Деятельность_УК!$AO$601:'Деятельность_УК'!$AR$601),"0")</f>
        <v>0.08</v>
      </c>
      <c r="N39" s="682"/>
    </row>
    <row r="40" spans="1:14" ht="11.25" customHeight="1" x14ac:dyDescent="0.2">
      <c r="A40" s="620" t="str">
        <f>Деятельность_УК!$A$602</f>
        <v>отсрочка выплаты процентов</v>
      </c>
      <c r="B40" s="616">
        <f>Деятельность_УК!$B$602</f>
        <v>0</v>
      </c>
      <c r="C40" s="623" t="str">
        <f>Деятельность_УК!$C$602</f>
        <v>кв.</v>
      </c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682"/>
    </row>
    <row r="41" spans="1:14" ht="11.25" customHeight="1" x14ac:dyDescent="0.2">
      <c r="A41" s="620" t="str">
        <f>Деятельность_УК!$A$603</f>
        <v>срок погашения кредита</v>
      </c>
      <c r="B41" s="616">
        <f>Деятельность_УК!$B$603</f>
        <v>32</v>
      </c>
      <c r="C41" s="623" t="str">
        <f>Деятельность_УК!$C$603</f>
        <v>кв.</v>
      </c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682"/>
    </row>
    <row r="42" spans="1:14" ht="11.25" customHeight="1" x14ac:dyDescent="0.2">
      <c r="A42" s="621" t="str">
        <f>Деятельность_УК!$A$604</f>
        <v>отсрочка по погашению основного долга</v>
      </c>
      <c r="B42" s="819">
        <f>Деятельность_УК!$B$604</f>
        <v>4</v>
      </c>
      <c r="C42" s="617" t="str">
        <f>Деятельность_УК!$C$604</f>
        <v>кв.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682"/>
    </row>
    <row r="43" spans="1:14" ht="11.25" customHeight="1" x14ac:dyDescent="0.2">
      <c r="A43" s="636" t="str">
        <f>Деятельность_УК!$A$607</f>
        <v>поступление денег от кредита</v>
      </c>
      <c r="B43" s="820">
        <f ca="1">Деятельность_УК!$B$607</f>
        <v>386142.92097500298</v>
      </c>
      <c r="C43" s="762" t="str">
        <f>Деятельность_УК!$C$607</f>
        <v>тыс. руб.</v>
      </c>
      <c r="D43" s="775">
        <f ca="1">SUM(Деятельность_УК!$E$607:'Деятельность_УК'!$H$607)</f>
        <v>0</v>
      </c>
      <c r="E43" s="775">
        <f ca="1">SUM(Деятельность_УК!$I$607:'Деятельность_УК'!$L$607)</f>
        <v>386142.92097500298</v>
      </c>
      <c r="F43" s="775">
        <f ca="1">SUM(Деятельность_УК!$M$607:'Деятельность_УК'!$P$607)</f>
        <v>0</v>
      </c>
      <c r="G43" s="775">
        <f ca="1">SUM(Деятельность_УК!$Q$607:'Деятельность_УК'!$T$607)</f>
        <v>0</v>
      </c>
      <c r="H43" s="775">
        <f ca="1">SUM(Деятельность_УК!$U$607:'Деятельность_УК'!$X$607)</f>
        <v>0</v>
      </c>
      <c r="I43" s="775">
        <f ca="1">SUM(Деятельность_УК!$Y$607:'Деятельность_УК'!$AB$607)</f>
        <v>0</v>
      </c>
      <c r="J43" s="775">
        <f ca="1">SUM(Деятельность_УК!$AC$607:'Деятельность_УК'!$AF$607)</f>
        <v>0</v>
      </c>
      <c r="K43" s="775">
        <f ca="1">SUM(Деятельность_УК!$AG$607:'Деятельность_УК'!$AJ$607)</f>
        <v>0</v>
      </c>
      <c r="L43" s="775">
        <f ca="1">SUM(Деятельность_УК!$AK$607:'Деятельность_УК'!$AN$607)</f>
        <v>0</v>
      </c>
      <c r="M43" s="775">
        <f ca="1">SUM(Деятельность_УК!$AO$607:'Деятельность_УК'!$AR$607)</f>
        <v>0</v>
      </c>
      <c r="N43" s="746">
        <f ca="1">Деятельность_УК!$AT$607</f>
        <v>386142.92097500298</v>
      </c>
    </row>
    <row r="44" spans="1:14" ht="11.25" customHeight="1" x14ac:dyDescent="0.2">
      <c r="A44" s="636" t="str">
        <f>Деятельность_УК!$A$608</f>
        <v>погашение кредита</v>
      </c>
      <c r="B44" s="820">
        <f ca="1">Деятельность_УК!$B$608</f>
        <v>386142.92097500304</v>
      </c>
      <c r="C44" s="762" t="str">
        <f>Деятельность_УК!$C$608</f>
        <v>тыс. руб.</v>
      </c>
      <c r="D44" s="775">
        <f ca="1">SUM(Деятельность_УК!$E$608:'Деятельность_УК'!$H$608)</f>
        <v>0</v>
      </c>
      <c r="E44" s="775">
        <f ca="1">SUM(Деятельность_УК!$I$608:'Деятельность_УК'!$L$608)</f>
        <v>0</v>
      </c>
      <c r="F44" s="775">
        <f ca="1">SUM(Деятельность_УК!$M$608:'Деятельность_УК'!$P$608)</f>
        <v>41575.007691015606</v>
      </c>
      <c r="G44" s="775">
        <f ca="1">SUM(Деятельность_УК!$Q$608:'Деятельность_УК'!$T$608)</f>
        <v>45444.947385576132</v>
      </c>
      <c r="H44" s="775">
        <f ca="1">SUM(Деятельность_УК!$U$608:'Деятельность_УК'!$X$608)</f>
        <v>49675.113910419888</v>
      </c>
      <c r="I44" s="775">
        <f ca="1">SUM(Деятельность_УК!$Y$608:'Деятельность_УК'!$AB$608)</f>
        <v>54299.038374426498</v>
      </c>
      <c r="J44" s="775">
        <f ca="1">SUM(Деятельность_УК!$AC$608:'Деятельность_УК'!$AF$608)</f>
        <v>59353.373073372772</v>
      </c>
      <c r="K44" s="775">
        <f ca="1">SUM(Деятельность_УК!$AG$608:'Деятельность_УК'!$AJ$608)</f>
        <v>64878.182020367691</v>
      </c>
      <c r="L44" s="775">
        <f ca="1">SUM(Деятельность_УК!$AK$608:'Деятельность_УК'!$AN$608)</f>
        <v>70917.258519824391</v>
      </c>
      <c r="M44" s="775">
        <f ca="1">SUM(Деятельность_УК!$AO$608:'Деятельность_УК'!$AR$608)</f>
        <v>0</v>
      </c>
      <c r="N44" s="744">
        <f ca="1">Деятельность_УК!$AT$608</f>
        <v>386142.92097500304</v>
      </c>
    </row>
    <row r="45" spans="1:14" ht="11.25" customHeight="1" x14ac:dyDescent="0.2">
      <c r="A45" s="734" t="str">
        <f>Деятельность_УК!$A$609</f>
        <v>задолженность по кредиту</v>
      </c>
      <c r="B45" s="686"/>
      <c r="C45" s="762" t="str">
        <f>Деятельность_УК!$C$609</f>
        <v>тыс. руб.</v>
      </c>
      <c r="D45" s="739">
        <f ca="1">Деятельность_УК!$H$609</f>
        <v>0</v>
      </c>
      <c r="E45" s="739">
        <f ca="1">Деятельность_УК!$L$609</f>
        <v>386142.92097500298</v>
      </c>
      <c r="F45" s="739">
        <f ca="1">Деятельность_УК!$P$609</f>
        <v>344567.91328398738</v>
      </c>
      <c r="G45" s="739">
        <f ca="1">Деятельность_УК!$T$609</f>
        <v>299122.96589841123</v>
      </c>
      <c r="H45" s="739">
        <f ca="1">Деятельность_УК!$X$609</f>
        <v>249447.85198799137</v>
      </c>
      <c r="I45" s="739">
        <f ca="1">Деятельность_УК!$AB$609</f>
        <v>195148.81361356485</v>
      </c>
      <c r="J45" s="739">
        <f ca="1">Деятельность_УК!$AF$609</f>
        <v>135795.44054019204</v>
      </c>
      <c r="K45" s="739">
        <f ca="1">Деятельность_УК!$AJ$609</f>
        <v>70917.258519824361</v>
      </c>
      <c r="L45" s="739">
        <f ca="1">Деятельность_УК!$AN$609</f>
        <v>0</v>
      </c>
      <c r="M45" s="795">
        <f ca="1">Деятельность_УК!$AR$609</f>
        <v>0</v>
      </c>
      <c r="N45" s="720"/>
    </row>
    <row r="46" spans="1:14" ht="11.25" customHeight="1" x14ac:dyDescent="0.2">
      <c r="A46" s="734" t="str">
        <f>Деятельность_УК!$A$610</f>
        <v>начисленные проценты</v>
      </c>
      <c r="B46" s="820">
        <f ca="1">Деятельность_УК!$B$610</f>
        <v>146906.4833449547</v>
      </c>
      <c r="C46" s="762" t="str">
        <f>Деятельность_УК!$C$610</f>
        <v>тыс. руб.</v>
      </c>
      <c r="D46" s="739">
        <f ca="1">SUM(Деятельность_УК!$E$610:'Деятельность_УК'!$H$610)</f>
        <v>0</v>
      </c>
      <c r="E46" s="739">
        <f ca="1">SUM(Деятельность_УК!$I$610:'Деятельность_УК'!$L$610)</f>
        <v>19895.026544795102</v>
      </c>
      <c r="F46" s="739">
        <f ca="1">SUM(Деятельность_УК!$M$610:'Деятельность_УК'!$P$610)</f>
        <v>32440.28262850373</v>
      </c>
      <c r="G46" s="739">
        <f ca="1">SUM(Деятельность_УК!$Q$610:'Деятельность_УК'!$T$610)</f>
        <v>28483.269290815584</v>
      </c>
      <c r="H46" s="739">
        <f ca="1">SUM(Деятельность_УК!$U$610:'Деятельность_УК'!$X$610)</f>
        <v>24157.924019162845</v>
      </c>
      <c r="I46" s="739">
        <f ca="1">SUM(Деятельность_УК!$Y$610:'Деятельность_УК'!$AB$610)</f>
        <v>19429.96125471609</v>
      </c>
      <c r="J46" s="739">
        <f ca="1">SUM(Деятельность_УК!$AC$610:'Деятельность_УК'!$AF$610)</f>
        <v>12677.248022260905</v>
      </c>
      <c r="K46" s="739">
        <f ca="1">SUM(Деятельность_УК!$AG$610:'Деятельность_УК'!$AJ$610)</f>
        <v>7655.8105571033011</v>
      </c>
      <c r="L46" s="739">
        <f ca="1">SUM(Деятельность_УК!$AK$610:'Деятельность_УК'!$AN$610)</f>
        <v>2166.9610275970936</v>
      </c>
      <c r="M46" s="739">
        <f ca="1">SUM(Деятельность_УК!$AO$610:'Деятельность_УК'!$AR$610)</f>
        <v>0</v>
      </c>
      <c r="N46" s="766">
        <f ca="1">Деятельность_УК!$AT$610</f>
        <v>146906.4833449547</v>
      </c>
    </row>
    <row r="47" spans="1:14" ht="11.25" customHeight="1" x14ac:dyDescent="0.2">
      <c r="A47" s="621" t="str">
        <f>Деятельность_УК!$A$611</f>
        <v>выплаченные проценты</v>
      </c>
      <c r="B47" s="821">
        <f ca="1">Деятельность_УК!$B$611</f>
        <v>146906.4833449547</v>
      </c>
      <c r="C47" s="617" t="str">
        <f>Деятельность_УК!$C$611</f>
        <v>тыс. руб.</v>
      </c>
      <c r="D47" s="811">
        <f ca="1">SUM(Деятельность_УК!$E$611:'Деятельность_УК'!$H$611)</f>
        <v>0</v>
      </c>
      <c r="E47" s="811">
        <f ca="1">SUM(Деятельность_УК!$I$611:'Деятельность_УК'!$L$611)</f>
        <v>19895.026544795102</v>
      </c>
      <c r="F47" s="811">
        <f ca="1">SUM(Деятельность_УК!$M$611:'Деятельность_УК'!$P$611)</f>
        <v>32440.28262850373</v>
      </c>
      <c r="G47" s="811">
        <f ca="1">SUM(Деятельность_УК!$Q$611:'Деятельность_УК'!$T$611)</f>
        <v>28483.269290815584</v>
      </c>
      <c r="H47" s="811">
        <f ca="1">SUM(Деятельность_УК!$U$611:'Деятельность_УК'!$X$611)</f>
        <v>24157.924019162845</v>
      </c>
      <c r="I47" s="811">
        <f ca="1">SUM(Деятельность_УК!$Y$611:'Деятельность_УК'!$AB$611)</f>
        <v>19429.96125471609</v>
      </c>
      <c r="J47" s="811">
        <f ca="1">SUM(Деятельность_УК!$AC$611:'Деятельность_УК'!$AF$611)</f>
        <v>12677.248022260905</v>
      </c>
      <c r="K47" s="811">
        <f ca="1">SUM(Деятельность_УК!$AG$611:'Деятельность_УК'!$AJ$611)</f>
        <v>7655.8105571033011</v>
      </c>
      <c r="L47" s="811">
        <f ca="1">SUM(Деятельность_УК!$AK$611:'Деятельность_УК'!$AN$611)</f>
        <v>2166.9610275970936</v>
      </c>
      <c r="M47" s="811">
        <f ca="1">SUM(Деятельность_УК!$AO$611:'Деятельность_УК'!$AR$611)</f>
        <v>0</v>
      </c>
      <c r="N47" s="753">
        <f ca="1">Деятельность_УК!$AT$611</f>
        <v>146906.4833449547</v>
      </c>
    </row>
    <row r="48" spans="1:14" ht="11.25" customHeight="1" x14ac:dyDescent="0.2">
      <c r="A48" s="604"/>
      <c r="B48" s="653"/>
      <c r="C48" s="603"/>
      <c r="D48" s="709"/>
      <c r="E48" s="709"/>
      <c r="F48" s="709"/>
      <c r="G48" s="709"/>
      <c r="H48" s="709"/>
      <c r="I48" s="709"/>
      <c r="J48" s="709"/>
      <c r="K48" s="709"/>
      <c r="L48" s="709"/>
      <c r="M48" s="709"/>
      <c r="N48" s="724"/>
    </row>
    <row r="49" spans="1:14" ht="11.25" customHeight="1" x14ac:dyDescent="0.2">
      <c r="A49" s="729" t="str">
        <f>Деятельность_УК!$A$614</f>
        <v>Кредит на строительство корпуса B1</v>
      </c>
      <c r="B49" s="732"/>
      <c r="C49" s="774">
        <f>Деятельность_УК!$C$614</f>
        <v>1</v>
      </c>
      <c r="D49" s="599"/>
      <c r="E49" s="599"/>
      <c r="F49" s="599"/>
      <c r="G49" s="599"/>
      <c r="H49" s="599"/>
      <c r="I49" s="599"/>
      <c r="J49" s="599"/>
      <c r="K49" s="599"/>
      <c r="L49" s="599"/>
      <c r="M49" s="599"/>
      <c r="N49" s="682"/>
    </row>
    <row r="50" spans="1:14" ht="11.25" customHeight="1" x14ac:dyDescent="0.2">
      <c r="A50" s="636" t="str">
        <f>Деятельность_УК!$A$615</f>
        <v>ставка процентов по кредиту</v>
      </c>
      <c r="B50" s="1003">
        <f>Деятельность_УК!$B$615</f>
        <v>0.09</v>
      </c>
      <c r="C50" s="762" t="str">
        <f>Деятельность_УК!$C$615</f>
        <v>% в год</v>
      </c>
      <c r="D50" s="1015">
        <f ca="1">IFERROR(AVERAGE(Деятельность_УК!$E$615:'Деятельность_УК'!$H$615),"0")</f>
        <v>0.09</v>
      </c>
      <c r="E50" s="1015">
        <f ca="1">IFERROR(AVERAGE(Деятельность_УК!$I$615:'Деятельность_УК'!$L$615),"0")</f>
        <v>0.09</v>
      </c>
      <c r="F50" s="1015">
        <f ca="1">IFERROR(AVERAGE(Деятельность_УК!$M$615:'Деятельность_УК'!$P$615),"0")</f>
        <v>0.09</v>
      </c>
      <c r="G50" s="1015">
        <f ca="1">IFERROR(AVERAGE(Деятельность_УК!$Q$615:'Деятельность_УК'!$T$615),"0")</f>
        <v>0.09</v>
      </c>
      <c r="H50" s="1015">
        <f ca="1">IFERROR(AVERAGE(Деятельность_УК!$U$615:'Деятельность_УК'!$X$615),"0")</f>
        <v>0.09</v>
      </c>
      <c r="I50" s="1015">
        <f ca="1">IFERROR(AVERAGE(Деятельность_УК!$Y$615:'Деятельность_УК'!$AB$615),"0")</f>
        <v>0.09</v>
      </c>
      <c r="J50" s="1015">
        <f ca="1">IFERROR(AVERAGE(Деятельность_УК!$AC$615:'Деятельность_УК'!$AF$615),"0")</f>
        <v>0.09</v>
      </c>
      <c r="K50" s="1015">
        <f ca="1">IFERROR(AVERAGE(Деятельность_УК!$AG$615:'Деятельность_УК'!$AJ$615),"0")</f>
        <v>0.08</v>
      </c>
      <c r="L50" s="1015">
        <f ca="1">IFERROR(AVERAGE(Деятельность_УК!$AK$615:'Деятельность_УК'!$AN$615),"0")</f>
        <v>0.08</v>
      </c>
      <c r="M50" s="1016">
        <f ca="1">IFERROR(AVERAGE(Деятельность_УК!$AO$615:'Деятельность_УК'!$AR$615),"0")</f>
        <v>0.08</v>
      </c>
      <c r="N50" s="682"/>
    </row>
    <row r="51" spans="1:14" ht="11.25" customHeight="1" x14ac:dyDescent="0.2">
      <c r="A51" s="620" t="str">
        <f>Деятельность_УК!$A$616</f>
        <v>отсрочка выплаты процентов</v>
      </c>
      <c r="B51" s="616">
        <f>Деятельность_УК!$B$616</f>
        <v>0</v>
      </c>
      <c r="C51" s="623" t="str">
        <f>Деятельность_УК!$C$616</f>
        <v>кв.</v>
      </c>
      <c r="D51" s="599"/>
      <c r="E51" s="599"/>
      <c r="F51" s="599"/>
      <c r="G51" s="599"/>
      <c r="H51" s="599"/>
      <c r="I51" s="599"/>
      <c r="J51" s="599"/>
      <c r="K51" s="599"/>
      <c r="L51" s="599"/>
      <c r="M51" s="599"/>
      <c r="N51" s="682"/>
    </row>
    <row r="52" spans="1:14" ht="11.25" customHeight="1" x14ac:dyDescent="0.2">
      <c r="A52" s="620" t="str">
        <f>Деятельность_УК!$A$617</f>
        <v>срок погашения кредита</v>
      </c>
      <c r="B52" s="616">
        <f>Деятельность_УК!$B$617</f>
        <v>28</v>
      </c>
      <c r="C52" s="623" t="str">
        <f>Деятельность_УК!$C$617</f>
        <v>кв.</v>
      </c>
      <c r="D52" s="599"/>
      <c r="E52" s="599"/>
      <c r="F52" s="599"/>
      <c r="G52" s="599"/>
      <c r="H52" s="599"/>
      <c r="I52" s="599"/>
      <c r="J52" s="599"/>
      <c r="K52" s="599"/>
      <c r="L52" s="599"/>
      <c r="M52" s="599"/>
      <c r="N52" s="682"/>
    </row>
    <row r="53" spans="1:14" ht="11.25" customHeight="1" x14ac:dyDescent="0.2">
      <c r="A53" s="621" t="str">
        <f>Деятельность_УК!$A$618</f>
        <v>отсрочка по погашению основного долга</v>
      </c>
      <c r="B53" s="819">
        <f>Деятельность_УК!$B$618</f>
        <v>4</v>
      </c>
      <c r="C53" s="617" t="str">
        <f>Деятельность_УК!$C$618</f>
        <v>кв.</v>
      </c>
      <c r="D53" s="599"/>
      <c r="E53" s="599"/>
      <c r="F53" s="599"/>
      <c r="G53" s="599"/>
      <c r="H53" s="599"/>
      <c r="I53" s="599"/>
      <c r="J53" s="599"/>
      <c r="K53" s="599"/>
      <c r="L53" s="599"/>
      <c r="M53" s="599"/>
      <c r="N53" s="682"/>
    </row>
    <row r="54" spans="1:14" ht="11.25" customHeight="1" x14ac:dyDescent="0.2">
      <c r="A54" s="636" t="str">
        <f>Деятельность_УК!$A$621</f>
        <v>поступление денег от кредита</v>
      </c>
      <c r="B54" s="820">
        <f ca="1">Деятельность_УК!$B$621</f>
        <v>240468.79041265399</v>
      </c>
      <c r="C54" s="762" t="str">
        <f>Деятельность_УК!$C$621</f>
        <v>тыс. руб.</v>
      </c>
      <c r="D54" s="775">
        <f ca="1">SUM(Деятельность_УК!$E$621:'Деятельность_УК'!$H$621)</f>
        <v>0</v>
      </c>
      <c r="E54" s="775">
        <f ca="1">SUM(Деятельность_УК!$I$621:'Деятельность_УК'!$L$621)</f>
        <v>0</v>
      </c>
      <c r="F54" s="775">
        <f ca="1">SUM(Деятельность_УК!$M$621:'Деятельность_УК'!$P$621)</f>
        <v>240468.79041265399</v>
      </c>
      <c r="G54" s="775">
        <f ca="1">SUM(Деятельность_УК!$Q$621:'Деятельность_УК'!$T$621)</f>
        <v>0</v>
      </c>
      <c r="H54" s="775">
        <f ca="1">SUM(Деятельность_УК!$U$621:'Деятельность_УК'!$X$621)</f>
        <v>0</v>
      </c>
      <c r="I54" s="775">
        <f ca="1">SUM(Деятельность_УК!$Y$621:'Деятельность_УК'!$AB$621)</f>
        <v>0</v>
      </c>
      <c r="J54" s="775">
        <f ca="1">SUM(Деятельность_УК!$AC$621:'Деятельность_УК'!$AF$621)</f>
        <v>0</v>
      </c>
      <c r="K54" s="775">
        <f ca="1">SUM(Деятельность_УК!$AG$621:'Деятельность_УК'!$AJ$621)</f>
        <v>0</v>
      </c>
      <c r="L54" s="775">
        <f ca="1">SUM(Деятельность_УК!$AK$621:'Деятельность_УК'!$AN$621)</f>
        <v>0</v>
      </c>
      <c r="M54" s="775">
        <f ca="1">SUM(Деятельность_УК!$AO$621:'Деятельность_УК'!$AR$621)</f>
        <v>0</v>
      </c>
      <c r="N54" s="746">
        <f ca="1">Деятельность_УК!$AT$621</f>
        <v>240468.79041265399</v>
      </c>
    </row>
    <row r="55" spans="1:14" ht="11.25" customHeight="1" x14ac:dyDescent="0.2">
      <c r="A55" s="636" t="str">
        <f>Деятельность_УК!$A$622</f>
        <v>погашение кредита</v>
      </c>
      <c r="B55" s="820">
        <f ca="1">Деятельность_УК!$B$622</f>
        <v>240468.79041265397</v>
      </c>
      <c r="C55" s="762" t="str">
        <f>Деятельность_УК!$C$622</f>
        <v>тыс. руб.</v>
      </c>
      <c r="D55" s="775">
        <f ca="1">SUM(Деятельность_УК!$E$622:'Деятельность_УК'!$H$622)</f>
        <v>0</v>
      </c>
      <c r="E55" s="775">
        <f ca="1">SUM(Деятельность_УК!$I$622:'Деятельность_УК'!$L$622)</f>
        <v>0</v>
      </c>
      <c r="F55" s="775">
        <f ca="1">SUM(Деятельность_УК!$M$622:'Деятельность_УК'!$P$622)</f>
        <v>0</v>
      </c>
      <c r="G55" s="775">
        <f ca="1">SUM(Деятельность_УК!$Q$622:'Деятельность_УК'!$T$622)</f>
        <v>31715.348721891685</v>
      </c>
      <c r="H55" s="775">
        <f ca="1">SUM(Деятельность_УК!$U$622:'Деятельность_УК'!$X$622)</f>
        <v>34667.518637477813</v>
      </c>
      <c r="I55" s="775">
        <f ca="1">SUM(Деятельность_УК!$Y$622:'Деятельность_УК'!$AB$622)</f>
        <v>37894.48632643593</v>
      </c>
      <c r="J55" s="775">
        <f ca="1">SUM(Деятельность_УК!$AC$622:'Деятельность_УК'!$AF$622)</f>
        <v>41421.830877507338</v>
      </c>
      <c r="K55" s="775">
        <f ca="1">SUM(Деятельность_УК!$AG$622:'Деятельность_УК'!$AJ$622)</f>
        <v>45277.512365904979</v>
      </c>
      <c r="L55" s="775">
        <f ca="1">SUM(Деятельность_УК!$AK$622:'Деятельность_УК'!$AN$622)</f>
        <v>49492.093483436234</v>
      </c>
      <c r="M55" s="775">
        <f ca="1">SUM(Деятельность_УК!$AO$622:'Деятельность_УК'!$AR$622)</f>
        <v>0</v>
      </c>
      <c r="N55" s="744">
        <f ca="1">Деятельность_УК!$AT$622</f>
        <v>240468.79041265397</v>
      </c>
    </row>
    <row r="56" spans="1:14" ht="11.25" customHeight="1" x14ac:dyDescent="0.2">
      <c r="A56" s="734" t="str">
        <f>Деятельность_УК!$A$623</f>
        <v>задолженность по кредиту</v>
      </c>
      <c r="B56" s="686"/>
      <c r="C56" s="762" t="str">
        <f>Деятельность_УК!$C$623</f>
        <v>тыс. руб.</v>
      </c>
      <c r="D56" s="739">
        <f ca="1">Деятельность_УК!$H$623</f>
        <v>0</v>
      </c>
      <c r="E56" s="739">
        <f ca="1">Деятельность_УК!$L$623</f>
        <v>0</v>
      </c>
      <c r="F56" s="739">
        <f ca="1">Деятельность_УК!$P$623</f>
        <v>240468.79041265399</v>
      </c>
      <c r="G56" s="739">
        <f ca="1">Деятельность_УК!$T$623</f>
        <v>208753.44169076229</v>
      </c>
      <c r="H56" s="739">
        <f ca="1">Деятельность_УК!$X$623</f>
        <v>174085.9230532845</v>
      </c>
      <c r="I56" s="739">
        <f ca="1">Деятельность_УК!$AB$623</f>
        <v>136191.43672684857</v>
      </c>
      <c r="J56" s="739">
        <f ca="1">Деятельность_УК!$AF$623</f>
        <v>94769.605849341257</v>
      </c>
      <c r="K56" s="739">
        <f ca="1">Деятельность_УК!$AJ$623</f>
        <v>49492.093483436271</v>
      </c>
      <c r="L56" s="739">
        <f ca="1">Деятельность_УК!$AN$623</f>
        <v>0</v>
      </c>
      <c r="M56" s="795">
        <f ca="1">Деятельность_УК!$AR$623</f>
        <v>0</v>
      </c>
      <c r="N56" s="720"/>
    </row>
    <row r="57" spans="1:14" ht="11.25" customHeight="1" x14ac:dyDescent="0.2">
      <c r="A57" s="734" t="str">
        <f>Деятельность_УК!$A$624</f>
        <v>начисленные проценты</v>
      </c>
      <c r="B57" s="820">
        <f ca="1">Деятельность_УК!$B$624</f>
        <v>79496.199085800909</v>
      </c>
      <c r="C57" s="762" t="str">
        <f>Деятельность_УК!$C$624</f>
        <v>тыс. руб.</v>
      </c>
      <c r="D57" s="739">
        <f ca="1">SUM(Деятельность_УК!$E$624:'Деятельность_УК'!$H$624)</f>
        <v>0</v>
      </c>
      <c r="E57" s="739">
        <f ca="1">SUM(Деятельность_УК!$I$624:'Деятельность_УК'!$L$624)</f>
        <v>0</v>
      </c>
      <c r="F57" s="739">
        <f ca="1">SUM(Деятельность_УК!$M$624:'Деятельность_УК'!$P$624)</f>
        <v>12390.484125874806</v>
      </c>
      <c r="G57" s="739">
        <f ca="1">SUM(Деятельность_УК!$Q$624:'Деятельность_УК'!$T$624)</f>
        <v>19878.047401689437</v>
      </c>
      <c r="H57" s="739">
        <f ca="1">SUM(Деятельность_УК!$U$624:'Деятельность_УК'!$X$624)</f>
        <v>16859.45366300262</v>
      </c>
      <c r="I57" s="739">
        <f ca="1">SUM(Деятельность_УК!$Y$624:'Деятельность_УК'!$AB$624)</f>
        <v>13559.879201042953</v>
      </c>
      <c r="J57" s="739">
        <f ca="1">SUM(Деятельность_УК!$AC$624:'Деятельность_УК'!$AF$624)</f>
        <v>9953.1693975724393</v>
      </c>
      <c r="K57" s="739">
        <f ca="1">SUM(Деятельность_УК!$AG$624:'Деятельность_УК'!$AJ$624)</f>
        <v>5342.8756228318634</v>
      </c>
      <c r="L57" s="739">
        <f ca="1">SUM(Деятельность_УК!$AK$624:'Деятельность_УК'!$AN$624)</f>
        <v>1512.2896737867916</v>
      </c>
      <c r="M57" s="739">
        <f ca="1">SUM(Деятельность_УК!$AO$624:'Деятельность_УК'!$AR$624)</f>
        <v>2.3283064365386963E-12</v>
      </c>
      <c r="N57" s="766">
        <f ca="1">Деятельность_УК!$AT$624</f>
        <v>79496.199085800909</v>
      </c>
    </row>
    <row r="58" spans="1:14" ht="11.25" customHeight="1" x14ac:dyDescent="0.2">
      <c r="A58" s="621" t="str">
        <f>Деятельность_УК!$A$625</f>
        <v>выплаченные проценты</v>
      </c>
      <c r="B58" s="821">
        <f ca="1">Деятельность_УК!$B$625</f>
        <v>79496.199085800909</v>
      </c>
      <c r="C58" s="617" t="str">
        <f>Деятельность_УК!$C$625</f>
        <v>тыс. руб.</v>
      </c>
      <c r="D58" s="811">
        <f ca="1">SUM(Деятельность_УК!$E$625:'Деятельность_УК'!$H$625)</f>
        <v>0</v>
      </c>
      <c r="E58" s="811">
        <f ca="1">SUM(Деятельность_УК!$I$625:'Деятельность_УК'!$L$625)</f>
        <v>0</v>
      </c>
      <c r="F58" s="811">
        <f ca="1">SUM(Деятельность_УК!$M$625:'Деятельность_УК'!$P$625)</f>
        <v>12390.484125874806</v>
      </c>
      <c r="G58" s="811">
        <f ca="1">SUM(Деятельность_УК!$Q$625:'Деятельность_УК'!$T$625)</f>
        <v>19878.047401689437</v>
      </c>
      <c r="H58" s="811">
        <f ca="1">SUM(Деятельность_УК!$U$625:'Деятельность_УК'!$X$625)</f>
        <v>16859.45366300262</v>
      </c>
      <c r="I58" s="811">
        <f ca="1">SUM(Деятельность_УК!$Y$625:'Деятельность_УК'!$AB$625)</f>
        <v>13559.879201042953</v>
      </c>
      <c r="J58" s="811">
        <f ca="1">SUM(Деятельность_УК!$AC$625:'Деятельность_УК'!$AF$625)</f>
        <v>9953.1693975724393</v>
      </c>
      <c r="K58" s="811">
        <f ca="1">SUM(Деятельность_УК!$AG$625:'Деятельность_УК'!$AJ$625)</f>
        <v>5342.8756228318634</v>
      </c>
      <c r="L58" s="811">
        <f ca="1">SUM(Деятельность_УК!$AK$625:'Деятельность_УК'!$AN$625)</f>
        <v>1512.2896737867916</v>
      </c>
      <c r="M58" s="811">
        <f ca="1">SUM(Деятельность_УК!$AO$625:'Деятельность_УК'!$AR$625)</f>
        <v>2.3283064365386963E-12</v>
      </c>
      <c r="N58" s="753">
        <f ca="1">Деятельность_УК!$AT$625</f>
        <v>79496.199085800909</v>
      </c>
    </row>
    <row r="59" spans="1:14" ht="11.25" customHeight="1" x14ac:dyDescent="0.2">
      <c r="A59" s="604"/>
      <c r="B59" s="653"/>
      <c r="C59" s="603"/>
      <c r="D59" s="709"/>
      <c r="E59" s="709"/>
      <c r="F59" s="709"/>
      <c r="G59" s="709"/>
      <c r="H59" s="709"/>
      <c r="I59" s="709"/>
      <c r="J59" s="709"/>
      <c r="K59" s="709"/>
      <c r="L59" s="709"/>
      <c r="M59" s="709"/>
      <c r="N59" s="724"/>
    </row>
    <row r="60" spans="1:14" ht="22.5" customHeight="1" x14ac:dyDescent="0.2">
      <c r="A60" s="1017" t="str">
        <f>Деятельность_УК!$A$628</f>
        <v>Кредит на строительство корпусов B3, БЦ с ЦОД и II очереди</v>
      </c>
      <c r="B60" s="732"/>
      <c r="C60" s="774">
        <f>Деятельность_УК!$C$628</f>
        <v>1</v>
      </c>
      <c r="D60" s="599"/>
      <c r="E60" s="599"/>
      <c r="F60" s="599"/>
      <c r="G60" s="599"/>
      <c r="H60" s="599"/>
      <c r="I60" s="599"/>
      <c r="J60" s="599"/>
      <c r="K60" s="599"/>
      <c r="L60" s="599"/>
      <c r="M60" s="599"/>
      <c r="N60" s="682"/>
    </row>
    <row r="61" spans="1:14" ht="11.25" customHeight="1" x14ac:dyDescent="0.2">
      <c r="A61" s="636" t="str">
        <f>Деятельность_УК!$A$629</f>
        <v>ставка процентов по кредиту</v>
      </c>
      <c r="B61" s="1003">
        <f>Деятельность_УК!$B$629</f>
        <v>0.09</v>
      </c>
      <c r="C61" s="762" t="str">
        <f>Деятельность_УК!$C$629</f>
        <v>% в год</v>
      </c>
      <c r="D61" s="1015">
        <f ca="1">IFERROR(AVERAGE(Деятельность_УК!$E$629:'Деятельность_УК'!$H$629),"0")</f>
        <v>0.09</v>
      </c>
      <c r="E61" s="1015">
        <f ca="1">IFERROR(AVERAGE(Деятельность_УК!$I$629:'Деятельность_УК'!$L$629),"0")</f>
        <v>0.09</v>
      </c>
      <c r="F61" s="1015">
        <f ca="1">IFERROR(AVERAGE(Деятельность_УК!$M$629:'Деятельность_УК'!$P$629),"0")</f>
        <v>0.09</v>
      </c>
      <c r="G61" s="1015">
        <f ca="1">IFERROR(AVERAGE(Деятельность_УК!$Q$629:'Деятельность_УК'!$T$629),"0")</f>
        <v>0.09</v>
      </c>
      <c r="H61" s="1015">
        <f ca="1">IFERROR(AVERAGE(Деятельность_УК!$U$629:'Деятельность_УК'!$X$629),"0")</f>
        <v>0.09</v>
      </c>
      <c r="I61" s="1015">
        <f ca="1">IFERROR(AVERAGE(Деятельность_УК!$Y$629:'Деятельность_УК'!$AB$629),"0")</f>
        <v>0.09</v>
      </c>
      <c r="J61" s="1015">
        <f ca="1">IFERROR(AVERAGE(Деятельность_УК!$AC$629:'Деятельность_УК'!$AF$629),"0")</f>
        <v>0.09</v>
      </c>
      <c r="K61" s="1015">
        <f ca="1">IFERROR(AVERAGE(Деятельность_УК!$AG$629:'Деятельность_УК'!$AJ$629),"0")</f>
        <v>0.08</v>
      </c>
      <c r="L61" s="1015">
        <f ca="1">IFERROR(AVERAGE(Деятельность_УК!$AK$629:'Деятельность_УК'!$AN$629),"0")</f>
        <v>0.08</v>
      </c>
      <c r="M61" s="1016">
        <f ca="1">IFERROR(AVERAGE(Деятельность_УК!$AO$629:'Деятельность_УК'!$AR$629),"0")</f>
        <v>0.08</v>
      </c>
      <c r="N61" s="682"/>
    </row>
    <row r="62" spans="1:14" ht="11.25" customHeight="1" x14ac:dyDescent="0.2">
      <c r="A62" s="620" t="str">
        <f>Деятельность_УК!$A$630</f>
        <v>отсрочка выплаты процентов</v>
      </c>
      <c r="B62" s="616">
        <f>Деятельность_УК!$B$630</f>
        <v>0</v>
      </c>
      <c r="C62" s="623" t="str">
        <f>Деятельность_УК!$C$630</f>
        <v>кв.</v>
      </c>
      <c r="D62" s="599"/>
      <c r="E62" s="599"/>
      <c r="F62" s="599"/>
      <c r="G62" s="599"/>
      <c r="H62" s="599"/>
      <c r="I62" s="599"/>
      <c r="J62" s="599"/>
      <c r="K62" s="599"/>
      <c r="L62" s="599"/>
      <c r="M62" s="599"/>
      <c r="N62" s="682"/>
    </row>
    <row r="63" spans="1:14" ht="11.25" customHeight="1" x14ac:dyDescent="0.2">
      <c r="A63" s="620" t="str">
        <f>Деятельность_УК!$A$631</f>
        <v>срок погашения кредита</v>
      </c>
      <c r="B63" s="616">
        <f>Деятельность_УК!$B$631</f>
        <v>28</v>
      </c>
      <c r="C63" s="623" t="str">
        <f>Деятельность_УК!$C$631</f>
        <v>кв.</v>
      </c>
      <c r="D63" s="599"/>
      <c r="E63" s="599"/>
      <c r="F63" s="599"/>
      <c r="G63" s="599"/>
      <c r="H63" s="599"/>
      <c r="I63" s="599"/>
      <c r="J63" s="599"/>
      <c r="K63" s="599"/>
      <c r="L63" s="599"/>
      <c r="M63" s="599"/>
      <c r="N63" s="682"/>
    </row>
    <row r="64" spans="1:14" ht="11.25" customHeight="1" x14ac:dyDescent="0.2">
      <c r="A64" s="621" t="str">
        <f>Деятельность_УК!$A$632</f>
        <v>отсрочка по погашению основного долга</v>
      </c>
      <c r="B64" s="819">
        <f>Деятельность_УК!$B$632</f>
        <v>4</v>
      </c>
      <c r="C64" s="617" t="str">
        <f>Деятельность_УК!$C$632</f>
        <v>кв.</v>
      </c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682"/>
    </row>
    <row r="65" spans="1:14" ht="11.25" customHeight="1" x14ac:dyDescent="0.2">
      <c r="A65" s="636" t="str">
        <f>Деятельность_УК!$A$635</f>
        <v>поступление денег от кредита</v>
      </c>
      <c r="B65" s="820">
        <f ca="1">Деятельность_УК!$B$635</f>
        <v>2890699.6109667523</v>
      </c>
      <c r="C65" s="762" t="str">
        <f>Деятельность_УК!$C$635</f>
        <v>тыс. руб.</v>
      </c>
      <c r="D65" s="775">
        <f ca="1">SUM(Деятельность_УК!$E$635:'Деятельность_УК'!$H$635)</f>
        <v>0</v>
      </c>
      <c r="E65" s="775">
        <f ca="1">SUM(Деятельность_УК!$I$635:'Деятельность_УК'!$L$635)</f>
        <v>0</v>
      </c>
      <c r="F65" s="775">
        <f ca="1">SUM(Деятельность_УК!$M$635:'Деятельность_УК'!$P$635)</f>
        <v>923675.55932980985</v>
      </c>
      <c r="G65" s="775">
        <f ca="1">SUM(Деятельность_УК!$Q$635:'Деятельность_УК'!$T$635)</f>
        <v>1967024.0516369422</v>
      </c>
      <c r="H65" s="775">
        <f ca="1">SUM(Деятельность_УК!$U$635:'Деятельность_УК'!$X$635)</f>
        <v>0</v>
      </c>
      <c r="I65" s="775">
        <f ca="1">SUM(Деятельность_УК!$Y$635:'Деятельность_УК'!$AB$635)</f>
        <v>0</v>
      </c>
      <c r="J65" s="775">
        <f ca="1">SUM(Деятельность_УК!$AC$635:'Деятельность_УК'!$AF$635)</f>
        <v>0</v>
      </c>
      <c r="K65" s="775">
        <f ca="1">SUM(Деятельность_УК!$AG$635:'Деятельность_УК'!$AJ$635)</f>
        <v>0</v>
      </c>
      <c r="L65" s="775">
        <f ca="1">SUM(Деятельность_УК!$AK$635:'Деятельность_УК'!$AN$635)</f>
        <v>0</v>
      </c>
      <c r="M65" s="775">
        <f ca="1">SUM(Деятельность_УК!$AO$635:'Деятельность_УК'!$AR$635)</f>
        <v>0</v>
      </c>
      <c r="N65" s="746">
        <f ca="1">Деятельность_УК!$AT$635</f>
        <v>2890699.6109667523</v>
      </c>
    </row>
    <row r="66" spans="1:14" ht="11.25" customHeight="1" x14ac:dyDescent="0.2">
      <c r="A66" s="636" t="str">
        <f>Деятельность_УК!$A$636</f>
        <v>погашение кредита</v>
      </c>
      <c r="B66" s="820">
        <f ca="1">Деятельность_УК!$B$636</f>
        <v>2890699.6109667523</v>
      </c>
      <c r="C66" s="762" t="str">
        <f>Деятельность_УК!$C$636</f>
        <v>тыс. руб.</v>
      </c>
      <c r="D66" s="775">
        <f ca="1">SUM(Деятельность_УК!$E$636:'Деятельность_УК'!$H$636)</f>
        <v>0</v>
      </c>
      <c r="E66" s="775">
        <f ca="1">SUM(Деятельность_УК!$I$636:'Деятельность_УК'!$L$636)</f>
        <v>0</v>
      </c>
      <c r="F66" s="775">
        <f ca="1">SUM(Деятельность_УК!$M$636:'Деятельность_УК'!$P$636)</f>
        <v>0</v>
      </c>
      <c r="G66" s="775">
        <f ca="1">SUM(Деятельность_УК!$Q$636:'Деятельность_УК'!$T$636)</f>
        <v>381253.40945376502</v>
      </c>
      <c r="H66" s="775">
        <f ca="1">SUM(Деятельность_УК!$U$636:'Деятельность_УК'!$X$636)</f>
        <v>416741.74210536678</v>
      </c>
      <c r="I66" s="775">
        <f ca="1">SUM(Деятельность_УК!$Y$636:'Деятельность_УК'!$AB$636)</f>
        <v>455533.44653846999</v>
      </c>
      <c r="J66" s="775">
        <f ca="1">SUM(Деятельность_УК!$AC$636:'Деятельность_УК'!$AF$636)</f>
        <v>497936.01156169071</v>
      </c>
      <c r="K66" s="775">
        <f ca="1">SUM(Деятельность_УК!$AG$636:'Деятельность_УК'!$AJ$636)</f>
        <v>544285.54806244187</v>
      </c>
      <c r="L66" s="775">
        <f ca="1">SUM(Деятельность_УК!$AK$636:'Деятельность_УК'!$AN$636)</f>
        <v>594949.45324501779</v>
      </c>
      <c r="M66" s="775">
        <f ca="1">SUM(Деятельность_УК!$AO$636:'Деятельность_УК'!$AR$636)</f>
        <v>0</v>
      </c>
      <c r="N66" s="744">
        <f ca="1">Деятельность_УК!$AT$636</f>
        <v>2890699.6109667523</v>
      </c>
    </row>
    <row r="67" spans="1:14" ht="11.25" customHeight="1" x14ac:dyDescent="0.2">
      <c r="A67" s="734" t="str">
        <f>Деятельность_УК!$A$637</f>
        <v>задолженность по кредиту</v>
      </c>
      <c r="B67" s="686"/>
      <c r="C67" s="762" t="str">
        <f>Деятельность_УК!$C$637</f>
        <v>тыс. руб.</v>
      </c>
      <c r="D67" s="739">
        <f ca="1">Деятельность_УК!$H$637</f>
        <v>0</v>
      </c>
      <c r="E67" s="739">
        <f ca="1">Деятельность_УК!$L$637</f>
        <v>0</v>
      </c>
      <c r="F67" s="739">
        <f ca="1">Деятельность_УК!$P$637</f>
        <v>923675.55932980985</v>
      </c>
      <c r="G67" s="739">
        <f ca="1">Деятельность_УК!$T$637</f>
        <v>2509446.2015129873</v>
      </c>
      <c r="H67" s="739">
        <f ca="1">Деятельность_УК!$X$637</f>
        <v>2092704.4594076204</v>
      </c>
      <c r="I67" s="739">
        <f ca="1">Деятельность_УК!$AB$637</f>
        <v>1637171.0128691504</v>
      </c>
      <c r="J67" s="739">
        <f ca="1">Деятельность_УК!$AF$637</f>
        <v>1139235.0013074595</v>
      </c>
      <c r="K67" s="739">
        <f ca="1">Деятельность_УК!$AJ$637</f>
        <v>594949.45324501768</v>
      </c>
      <c r="L67" s="739">
        <f ca="1">Деятельность_УК!$AN$637</f>
        <v>0</v>
      </c>
      <c r="M67" s="795">
        <f ca="1">Деятельность_УК!$AR$637</f>
        <v>0</v>
      </c>
      <c r="N67" s="720"/>
    </row>
    <row r="68" spans="1:14" ht="11.25" customHeight="1" x14ac:dyDescent="0.2">
      <c r="A68" s="734" t="str">
        <f>Деятельность_УК!$A$638</f>
        <v>начисленные проценты</v>
      </c>
      <c r="B68" s="820">
        <f ca="1">Деятельность_УК!$B$638</f>
        <v>784021.50693712663</v>
      </c>
      <c r="C68" s="762" t="str">
        <f>Деятельность_УК!$C$638</f>
        <v>тыс. руб.</v>
      </c>
      <c r="D68" s="739">
        <f ca="1">SUM(Деятельность_УК!$E$638:'Деятельность_УК'!$H$638)</f>
        <v>0</v>
      </c>
      <c r="E68" s="739">
        <f ca="1">SUM(Деятельность_УК!$I$638:'Деятельность_УК'!$L$638)</f>
        <v>0</v>
      </c>
      <c r="F68" s="739">
        <f ca="1">SUM(Деятельность_УК!$M$638:'Деятельность_УК'!$P$638)</f>
        <v>46522.181455372891</v>
      </c>
      <c r="G68" s="739">
        <f ca="1">SUM(Деятельность_УК!$Q$638:'Деятельность_УК'!$T$638)</f>
        <v>169770.76493472263</v>
      </c>
      <c r="H68" s="739">
        <f ca="1">SUM(Деятельность_УК!$U$638:'Деятельность_УК'!$X$638)</f>
        <v>202669.19487190587</v>
      </c>
      <c r="I68" s="739">
        <f ca="1">SUM(Деятельность_УК!$Y$638:'Деятельность_УК'!$AB$638)</f>
        <v>163004.67708905792</v>
      </c>
      <c r="J68" s="739">
        <f ca="1">SUM(Деятельность_УК!$AC$638:'Деятельность_УК'!$AF$638)</f>
        <v>119648.0543528147</v>
      </c>
      <c r="K68" s="739">
        <f ca="1">SUM(Деятельность_УК!$AG$638:'Деятельность_УК'!$AJ$638)</f>
        <v>64227.247360708105</v>
      </c>
      <c r="L68" s="739">
        <f ca="1">SUM(Деятельность_УК!$AK$638:'Деятельность_УК'!$AN$638)</f>
        <v>18179.386872544699</v>
      </c>
      <c r="M68" s="739">
        <f ca="1">SUM(Деятельность_УК!$AO$638:'Деятельность_УК'!$AR$638)</f>
        <v>0</v>
      </c>
      <c r="N68" s="766">
        <f ca="1">Деятельность_УК!$AT$638</f>
        <v>784021.50693712663</v>
      </c>
    </row>
    <row r="69" spans="1:14" ht="11.25" customHeight="1" x14ac:dyDescent="0.2">
      <c r="A69" s="621" t="str">
        <f>Деятельность_УК!$A$639</f>
        <v>выплаченные проценты</v>
      </c>
      <c r="B69" s="821">
        <f ca="1">Деятельность_УК!$B$639</f>
        <v>784021.50693712663</v>
      </c>
      <c r="C69" s="617" t="str">
        <f>Деятельность_УК!$C$639</f>
        <v>тыс. руб.</v>
      </c>
      <c r="D69" s="811">
        <f ca="1">SUM(Деятельность_УК!$E$639:'Деятельность_УК'!$H$639)</f>
        <v>0</v>
      </c>
      <c r="E69" s="811">
        <f ca="1">SUM(Деятельность_УК!$I$639:'Деятельность_УК'!$L$639)</f>
        <v>0</v>
      </c>
      <c r="F69" s="811">
        <f ca="1">SUM(Деятельность_УК!$M$639:'Деятельность_УК'!$P$639)</f>
        <v>46522.181455372891</v>
      </c>
      <c r="G69" s="811">
        <f ca="1">SUM(Деятельность_УК!$Q$639:'Деятельность_УК'!$T$639)</f>
        <v>169770.76493472263</v>
      </c>
      <c r="H69" s="811">
        <f ca="1">SUM(Деятельность_УК!$U$639:'Деятельность_УК'!$X$639)</f>
        <v>202669.19487190587</v>
      </c>
      <c r="I69" s="811">
        <f ca="1">SUM(Деятельность_УК!$Y$639:'Деятельность_УК'!$AB$639)</f>
        <v>163004.67708905792</v>
      </c>
      <c r="J69" s="811">
        <f ca="1">SUM(Деятельность_УК!$AC$639:'Деятельность_УК'!$AF$639)</f>
        <v>119648.0543528147</v>
      </c>
      <c r="K69" s="811">
        <f ca="1">SUM(Деятельность_УК!$AG$639:'Деятельность_УК'!$AJ$639)</f>
        <v>64227.247360708105</v>
      </c>
      <c r="L69" s="811">
        <f ca="1">SUM(Деятельность_УК!$AK$639:'Деятельность_УК'!$AN$639)</f>
        <v>18179.386872544699</v>
      </c>
      <c r="M69" s="811">
        <f ca="1">SUM(Деятельность_УК!$AO$639:'Деятельность_УК'!$AR$639)</f>
        <v>0</v>
      </c>
      <c r="N69" s="753">
        <f ca="1">Деятельность_УК!$AT$639</f>
        <v>784021.50693712663</v>
      </c>
    </row>
    <row r="70" spans="1:14" ht="11.25" customHeight="1" x14ac:dyDescent="0.2">
      <c r="A70" s="599"/>
      <c r="B70" s="599"/>
      <c r="C70" s="599"/>
      <c r="D70" s="599"/>
      <c r="E70" s="599"/>
      <c r="F70" s="599"/>
      <c r="G70" s="599"/>
      <c r="H70" s="599"/>
      <c r="I70" s="599"/>
      <c r="J70" s="599"/>
      <c r="K70" s="599"/>
      <c r="L70" s="599"/>
      <c r="M70" s="599"/>
      <c r="N70" s="682"/>
    </row>
    <row r="71" spans="1:14" ht="11.25" customHeight="1" x14ac:dyDescent="0.2">
      <c r="A71" s="678" t="str">
        <f>Деятельность_УК!$A$643</f>
        <v>Итого: Задолженность на конец периода</v>
      </c>
      <c r="B71" s="711"/>
      <c r="C71" s="717" t="str">
        <f>Деятельность_УК!$C$643</f>
        <v>тыс. руб.</v>
      </c>
      <c r="D71" s="779">
        <f ca="1">Деятельность_УК!$H$643</f>
        <v>187172</v>
      </c>
      <c r="E71" s="779">
        <f ca="1">Деятельность_УК!$L$643</f>
        <v>648047.02574424585</v>
      </c>
      <c r="F71" s="779">
        <f ca="1">Деятельность_УК!$P$643</f>
        <v>2003629.6896970982</v>
      </c>
      <c r="G71" s="779">
        <f ca="1">Деятельность_УК!$T$643</f>
        <v>3446220.4376739608</v>
      </c>
      <c r="H71" s="779">
        <f ca="1">Деятельность_УК!$X$643</f>
        <v>2873270.4677702938</v>
      </c>
      <c r="I71" s="779">
        <f ca="1">Деятельность_УК!$AB$643</f>
        <v>2247312.4134131502</v>
      </c>
      <c r="J71" s="779">
        <f ca="1">Деятельность_УК!$AF$643</f>
        <v>1563438.8142190063</v>
      </c>
      <c r="K71" s="779">
        <f ca="1">Деятельность_УК!$AJ$643</f>
        <v>816287.60870644485</v>
      </c>
      <c r="L71" s="779">
        <f ca="1">Деятельность_УК!$AN$643</f>
        <v>0</v>
      </c>
      <c r="M71" s="784">
        <f ca="1">Деятельность_УК!$AR$643</f>
        <v>0</v>
      </c>
      <c r="N71" s="652"/>
    </row>
    <row r="72" spans="1:14" ht="11.25" customHeight="1" x14ac:dyDescent="0.2">
      <c r="A72" s="636" t="str">
        <f>Деятельность_УК!$A$644</f>
        <v>Поступления кредитов</v>
      </c>
      <c r="B72" s="711"/>
      <c r="C72" s="717" t="str">
        <f>Деятельность_УК!$C$644</f>
        <v>тыс. руб.</v>
      </c>
      <c r="D72" s="712">
        <f ca="1">SUM(Деятельность_УК!$E$644:'Деятельность_УК'!$H$644)</f>
        <v>187172</v>
      </c>
      <c r="E72" s="712">
        <f ca="1">SUM(Деятельность_УК!$I$644:'Деятельность_УК'!$L$644)</f>
        <v>484860.39553601737</v>
      </c>
      <c r="F72" s="712">
        <f ca="1">SUM(Деятельность_УК!$M$644:'Деятельность_УК'!$P$644)</f>
        <v>1426190.2136963564</v>
      </c>
      <c r="G72" s="712">
        <f ca="1">SUM(Деятельность_УК!$Q$644:'Деятельность_УК'!$T$644)</f>
        <v>1967024.0516369422</v>
      </c>
      <c r="H72" s="712">
        <f ca="1">SUM(Деятельность_УК!$U$644:'Деятельность_УК'!$X$644)</f>
        <v>0</v>
      </c>
      <c r="I72" s="712">
        <f ca="1">SUM(Деятельность_УК!$Y$644:'Деятельность_УК'!$AB$644)</f>
        <v>0</v>
      </c>
      <c r="J72" s="712">
        <f ca="1">SUM(Деятельность_УК!$AC$644:'Деятельность_УК'!$AF$644)</f>
        <v>0</v>
      </c>
      <c r="K72" s="712">
        <f ca="1">SUM(Деятельность_УК!$AG$644:'Деятельность_УК'!$AJ$644)</f>
        <v>0</v>
      </c>
      <c r="L72" s="712">
        <f ca="1">SUM(Деятельность_УК!$AK$644:'Деятельность_УК'!$AN$644)</f>
        <v>0</v>
      </c>
      <c r="M72" s="712">
        <f ca="1">SUM(Деятельность_УК!$AO$644:'Деятельность_УК'!$AR$644)</f>
        <v>0</v>
      </c>
      <c r="N72" s="766">
        <f ca="1">Деятельность_УК!$AT$644</f>
        <v>4065246.6608693157</v>
      </c>
    </row>
    <row r="73" spans="1:14" ht="11.25" customHeight="1" x14ac:dyDescent="0.2">
      <c r="A73" s="636" t="str">
        <f>Деятельность_УК!$A$645</f>
        <v>Выплата основного долга</v>
      </c>
      <c r="B73" s="711"/>
      <c r="C73" s="717" t="str">
        <f>Деятельность_УК!$C$645</f>
        <v>тыс. руб.</v>
      </c>
      <c r="D73" s="712">
        <f ca="1">SUM(Деятельность_УК!$E$645:'Деятельность_УК'!$H$645)</f>
        <v>0</v>
      </c>
      <c r="E73" s="712">
        <f ca="1">SUM(Деятельность_УК!$I$645:'Деятельность_УК'!$L$645)</f>
        <v>23985.369791771507</v>
      </c>
      <c r="F73" s="712">
        <f ca="1">SUM(Деятельность_УК!$M$645:'Деятельность_УК'!$P$645)</f>
        <v>70607.549743503914</v>
      </c>
      <c r="G73" s="712">
        <f ca="1">SUM(Деятельность_УК!$Q$645:'Деятельность_УК'!$T$645)</f>
        <v>524433.30366008007</v>
      </c>
      <c r="H73" s="712">
        <f ca="1">SUM(Деятельность_УК!$U$645:'Деятельность_УК'!$X$645)</f>
        <v>572949.96990366676</v>
      </c>
      <c r="I73" s="712">
        <f ca="1">SUM(Деятельность_УК!$Y$645:'Деятельность_УК'!$AB$645)</f>
        <v>625958.05435714335</v>
      </c>
      <c r="J73" s="712">
        <f ca="1">SUM(Деятельность_УК!$AC$645:'Деятельность_УК'!$AF$645)</f>
        <v>683873.5991941439</v>
      </c>
      <c r="K73" s="712">
        <f ca="1">SUM(Деятельность_УК!$AG$645:'Деятельность_УК'!$AJ$645)</f>
        <v>747151.20551256149</v>
      </c>
      <c r="L73" s="712">
        <f ca="1">SUM(Деятельность_УК!$AK$645:'Деятельность_УК'!$AN$645)</f>
        <v>816287.60870644497</v>
      </c>
      <c r="M73" s="712">
        <f ca="1">SUM(Деятельность_УК!$AO$645:'Деятельность_УК'!$AR$645)</f>
        <v>0</v>
      </c>
      <c r="N73" s="766">
        <f ca="1">Деятельность_УК!$AT$645</f>
        <v>4065246.6608693162</v>
      </c>
    </row>
    <row r="74" spans="1:14" ht="11.25" customHeight="1" x14ac:dyDescent="0.2">
      <c r="A74" s="636" t="str">
        <f>Деятельность_УК!$A$646</f>
        <v>Проценты начисленные</v>
      </c>
      <c r="B74" s="711"/>
      <c r="C74" s="717" t="str">
        <f>Деятельность_УК!$C$646</f>
        <v>тыс. руб.</v>
      </c>
      <c r="D74" s="712">
        <f ca="1">SUM(Деятельность_УК!$E$646:'Деятельность_УК'!$H$646)</f>
        <v>7333.0399999999991</v>
      </c>
      <c r="E74" s="712">
        <f ca="1">SUM(Деятельность_УК!$I$646:'Деятельность_УК'!$L$646)</f>
        <v>39343.672738850262</v>
      </c>
      <c r="F74" s="712">
        <f ca="1">SUM(Деятельность_УК!$M$646:'Деятельность_УК'!$P$646)</f>
        <v>126403.24999587718</v>
      </c>
      <c r="G74" s="712">
        <f ca="1">SUM(Деятельность_УК!$Q$646:'Деятельность_УК'!$T$646)</f>
        <v>257100.04780954032</v>
      </c>
      <c r="H74" s="712">
        <f ca="1">SUM(Деятельность_УК!$U$646:'Деятельность_УК'!$X$646)</f>
        <v>276682.79806118063</v>
      </c>
      <c r="I74" s="712">
        <f ca="1">SUM(Деятельность_УК!$Y$646:'Деятельность_УК'!$AB$646)</f>
        <v>222488.30051838455</v>
      </c>
      <c r="J74" s="712">
        <f ca="1">SUM(Деятельность_УК!$AC$646:'Деятельность_УК'!$AF$646)</f>
        <v>161574.77037216787</v>
      </c>
      <c r="K74" s="712">
        <f ca="1">SUM(Деятельность_УК!$AG$646:'Деятельность_УК'!$AJ$646)</f>
        <v>88130.740677948997</v>
      </c>
      <c r="L74" s="712">
        <f ca="1">SUM(Деятельность_УК!$AK$646:'Деятельность_УК'!$AN$646)</f>
        <v>24940.082309954592</v>
      </c>
      <c r="M74" s="712">
        <f ca="1">SUM(Деятельность_УК!$AO$646:'Деятельность_УК'!$AR$646)</f>
        <v>2.6193447411060332E-12</v>
      </c>
      <c r="N74" s="747">
        <f ca="1">Деятельность_УК!$AT$646</f>
        <v>1203996.7024839048</v>
      </c>
    </row>
    <row r="75" spans="1:14" ht="11.25" customHeight="1" x14ac:dyDescent="0.2">
      <c r="A75" s="620" t="str">
        <f>Деятельность_УК!$A$647</f>
        <v>Средневзвешенная ставка по всем кредитам</v>
      </c>
      <c r="B75" s="688">
        <f ca="1">Деятельность_УК!$B$647</f>
        <v>8.4197013538173215E-2</v>
      </c>
      <c r="C75" s="623" t="str">
        <f>Деятельность_УК!$C$647</f>
        <v>тыс. руб.</v>
      </c>
      <c r="D75" s="1018">
        <f ca="1">Деятельность_УК!$E$647</f>
        <v>8.0000000000000016E-2</v>
      </c>
      <c r="E75" s="1018">
        <f ca="1">Деятельность_УК!$I$647</f>
        <v>8.0316348988530781E-2</v>
      </c>
      <c r="F75" s="1018">
        <f ca="1">Деятельность_УК!$M$647</f>
        <v>8.3328246294631703E-2</v>
      </c>
      <c r="G75" s="1018">
        <f ca="1">Деятельность_УК!$Q$647</f>
        <v>8.6545594540431647E-2</v>
      </c>
      <c r="H75" s="1018">
        <f ca="1">Деятельность_УК!$U$647</f>
        <v>8.7819713776719072E-2</v>
      </c>
      <c r="I75" s="1018">
        <f ca="1">Деятельность_УК!$Y$647</f>
        <v>8.7869813797964588E-2</v>
      </c>
      <c r="J75" s="1018">
        <f ca="1">Деятельность_УК!$AC$647</f>
        <v>8.717042669340723E-2</v>
      </c>
      <c r="K75" s="1018">
        <f ca="1">Деятельность_УК!$AG$647</f>
        <v>0.08</v>
      </c>
      <c r="L75" s="1018">
        <f ca="1">Деятельность_УК!$AK$647</f>
        <v>8.0000000000000016E-2</v>
      </c>
      <c r="M75" s="1019">
        <f ca="1">Деятельность_УК!$AO$647</f>
        <v>0</v>
      </c>
      <c r="N75" s="724"/>
    </row>
    <row r="76" spans="1:14" ht="11.25" customHeight="1" x14ac:dyDescent="0.2">
      <c r="A76" s="636" t="str">
        <f>Деятельность_УК!$A$648</f>
        <v>Проценты уплаченные</v>
      </c>
      <c r="B76" s="729"/>
      <c r="C76" s="717" t="str">
        <f>Деятельность_УК!$C$648</f>
        <v>тыс. руб.</v>
      </c>
      <c r="D76" s="712">
        <f ca="1">SUM(Деятельность_УК!$E$648:'Деятельность_УК'!$H$648)</f>
        <v>7333.0399999999991</v>
      </c>
      <c r="E76" s="712">
        <f ca="1">SUM(Деятельность_УК!$I$648:'Деятельность_УК'!$L$648)</f>
        <v>39343.672738850262</v>
      </c>
      <c r="F76" s="712">
        <f ca="1">SUM(Деятельность_УК!$M$648:'Деятельность_УК'!$P$648)</f>
        <v>126403.24999587718</v>
      </c>
      <c r="G76" s="712">
        <f ca="1">SUM(Деятельность_УК!$Q$648:'Деятельность_УК'!$T$648)</f>
        <v>257100.04780954032</v>
      </c>
      <c r="H76" s="712">
        <f ca="1">SUM(Деятельность_УК!$U$648:'Деятельность_УК'!$X$648)</f>
        <v>276682.79806118063</v>
      </c>
      <c r="I76" s="712">
        <f ca="1">SUM(Деятельность_УК!$Y$648:'Деятельность_УК'!$AB$648)</f>
        <v>222488.30051838455</v>
      </c>
      <c r="J76" s="712">
        <f ca="1">SUM(Деятельность_УК!$AC$648:'Деятельность_УК'!$AF$648)</f>
        <v>161574.77037216787</v>
      </c>
      <c r="K76" s="712">
        <f ca="1">SUM(Деятельность_УК!$AG$648:'Деятельность_УК'!$AJ$648)</f>
        <v>88130.740677948997</v>
      </c>
      <c r="L76" s="712">
        <f ca="1">SUM(Деятельность_УК!$AK$648:'Деятельность_УК'!$AN$648)</f>
        <v>24940.082309954592</v>
      </c>
      <c r="M76" s="712">
        <f ca="1">SUM(Деятельность_УК!$AO$648:'Деятельность_УК'!$AR$648)</f>
        <v>2.6193447411060332E-12</v>
      </c>
      <c r="N76" s="747">
        <f ca="1">Деятельность_УК!$AT$648</f>
        <v>1203996.7024839048</v>
      </c>
    </row>
    <row r="77" spans="1:14" ht="11.25" customHeight="1" x14ac:dyDescent="0.2">
      <c r="A77" s="636" t="str">
        <f>Деятельность_УК!$A$649</f>
        <v>Долгосрочные кредиты на конец периода</v>
      </c>
      <c r="B77" s="711"/>
      <c r="C77" s="717" t="str">
        <f>Деятельность_УК!$C$649</f>
        <v>тыс. руб.</v>
      </c>
      <c r="D77" s="712">
        <f ca="1">Деятельность_УК!$H$649</f>
        <v>187172</v>
      </c>
      <c r="E77" s="712">
        <f ca="1">Деятельность_УК!$L$649</f>
        <v>648047.02574424585</v>
      </c>
      <c r="F77" s="712">
        <f ca="1">Деятельность_УК!$P$649</f>
        <v>2003629.6896970982</v>
      </c>
      <c r="G77" s="712">
        <f ca="1">Деятельность_УК!$T$649</f>
        <v>3446220.4376739608</v>
      </c>
      <c r="H77" s="712">
        <f ca="1">Деятельность_УК!$X$649</f>
        <v>2873270.4677702938</v>
      </c>
      <c r="I77" s="712">
        <f ca="1">Деятельность_УК!$AB$649</f>
        <v>2247312.4134131502</v>
      </c>
      <c r="J77" s="712">
        <f ca="1">Деятельность_УК!$AF$649</f>
        <v>1563438.8142190063</v>
      </c>
      <c r="K77" s="712">
        <f ca="1">Деятельность_УК!$AJ$649</f>
        <v>816287.60870644485</v>
      </c>
      <c r="L77" s="712">
        <f ca="1">Деятельность_УК!$AN$649</f>
        <v>0</v>
      </c>
      <c r="M77" s="718">
        <f ca="1">Деятельность_УК!$AR$649</f>
        <v>0</v>
      </c>
      <c r="N77" s="652"/>
    </row>
    <row r="78" spans="1:14" ht="11.25" customHeight="1" x14ac:dyDescent="0.2">
      <c r="A78" s="637" t="str">
        <f>Деятельность_УК!$A$650</f>
        <v>Краткосрочные кредиты на конец периода</v>
      </c>
      <c r="B78" s="711"/>
      <c r="C78" s="664" t="str">
        <f>Деятельность_УК!$C$650</f>
        <v>тыс. руб.</v>
      </c>
      <c r="D78" s="713">
        <f>Деятельность_УК!$H$650</f>
        <v>0</v>
      </c>
      <c r="E78" s="713">
        <f>Деятельность_УК!$L$650</f>
        <v>0</v>
      </c>
      <c r="F78" s="713">
        <f>Деятельность_УК!$P$650</f>
        <v>0</v>
      </c>
      <c r="G78" s="713">
        <f>Деятельность_УК!$T$650</f>
        <v>0</v>
      </c>
      <c r="H78" s="713">
        <f>Деятельность_УК!$X$650</f>
        <v>0</v>
      </c>
      <c r="I78" s="713">
        <f>Деятельность_УК!$AB$650</f>
        <v>0</v>
      </c>
      <c r="J78" s="713">
        <f>Деятельность_УК!$AF$650</f>
        <v>0</v>
      </c>
      <c r="K78" s="713">
        <f>Деятельность_УК!$AJ$650</f>
        <v>0</v>
      </c>
      <c r="L78" s="713">
        <f>Деятельность_УК!$AN$650</f>
        <v>0</v>
      </c>
      <c r="M78" s="714">
        <f>Деятельность_УК!$AR$650</f>
        <v>0</v>
      </c>
      <c r="N78" s="652"/>
    </row>
    <row r="79" spans="1:14" ht="11.25" customHeight="1" x14ac:dyDescent="0.2">
      <c r="A79" s="637" t="str">
        <f>Деятельность_УК!$A$651</f>
        <v>Курсовые разницы</v>
      </c>
      <c r="B79" s="711"/>
      <c r="C79" s="664" t="str">
        <f>Деятельность_УК!$C$651</f>
        <v>тыс. руб.</v>
      </c>
      <c r="D79" s="713">
        <f ca="1">SUM(Деятельность_УК!$E$651:'Деятельность_УК'!$H$651)</f>
        <v>0</v>
      </c>
      <c r="E79" s="713">
        <f ca="1">SUM(Деятельность_УК!$I$651:'Деятельность_УК'!$L$651)</f>
        <v>0</v>
      </c>
      <c r="F79" s="713">
        <f ca="1">SUM(Деятельность_УК!$M$651:'Деятельность_УК'!$P$651)</f>
        <v>-2.3283064365386963E-10</v>
      </c>
      <c r="G79" s="713">
        <f ca="1">SUM(Деятельность_УК!$Q$651:'Деятельность_УК'!$T$651)</f>
        <v>-6.9849193096160889E-10</v>
      </c>
      <c r="H79" s="713">
        <f ca="1">SUM(Деятельность_УК!$U$651:'Деятельность_УК'!$X$651)</f>
        <v>4.6566128730773926E-10</v>
      </c>
      <c r="I79" s="713">
        <f ca="1">SUM(Деятельность_УК!$Y$651:'Деятельность_УК'!$AB$651)</f>
        <v>0</v>
      </c>
      <c r="J79" s="713">
        <f ca="1">SUM(Деятельность_УК!$AC$651:'Деятельность_УК'!$AF$651)</f>
        <v>0</v>
      </c>
      <c r="K79" s="713">
        <f ca="1">SUM(Деятельность_УК!$AG$651:'Деятельность_УК'!$AJ$651)</f>
        <v>0</v>
      </c>
      <c r="L79" s="713">
        <f ca="1">SUM(Деятельность_УК!$AK$651:'Деятельность_УК'!$AN$651)</f>
        <v>0</v>
      </c>
      <c r="M79" s="713">
        <f ca="1">SUM(Деятельность_УК!$AO$651:'Деятельность_УК'!$AR$651)</f>
        <v>0</v>
      </c>
      <c r="N79" s="747">
        <f ca="1">Деятельность_УК!$AT$651</f>
        <v>-4.6566128730773926E-10</v>
      </c>
    </row>
    <row r="80" spans="1:14" ht="11.25" customHeight="1" x14ac:dyDescent="0.2">
      <c r="A80" s="599"/>
      <c r="B80" s="599"/>
      <c r="C80" s="399"/>
      <c r="D80" s="651"/>
      <c r="E80" s="651"/>
      <c r="F80" s="651"/>
      <c r="G80" s="651"/>
      <c r="H80" s="651"/>
      <c r="I80" s="651"/>
      <c r="J80" s="651"/>
      <c r="K80" s="651"/>
      <c r="L80" s="651"/>
      <c r="M80" s="651"/>
      <c r="N80" s="720"/>
    </row>
    <row r="81" spans="1:14" ht="11.25" customHeight="1" x14ac:dyDescent="0.2">
      <c r="A81" s="694" t="str">
        <f>Деятельность_УК!$A$653</f>
        <v>Справочно: Остаток денег на счете</v>
      </c>
      <c r="B81" s="702"/>
      <c r="C81" s="823" t="str">
        <f>Деятельность_УК!$C$653</f>
        <v>тыс. руб.</v>
      </c>
      <c r="D81" s="742">
        <f ca="1">Деятельность_УК!$H$653</f>
        <v>43480.451816223431</v>
      </c>
      <c r="E81" s="742">
        <f ca="1">Деятельность_УК!$L$653</f>
        <v>120781.38680531505</v>
      </c>
      <c r="F81" s="742">
        <f ca="1">Деятельность_УК!$P$653</f>
        <v>238131.54163153394</v>
      </c>
      <c r="G81" s="742">
        <f ca="1">Деятельность_УК!$T$653</f>
        <v>530778.59554901929</v>
      </c>
      <c r="H81" s="742">
        <f ca="1">Деятельность_УК!$X$653</f>
        <v>978596.9500301244</v>
      </c>
      <c r="I81" s="742">
        <f ca="1">Деятельность_УК!$AB$653</f>
        <v>1404044.0360056132</v>
      </c>
      <c r="J81" s="742">
        <f ca="1">Деятельность_УК!$AF$653</f>
        <v>1695532.055461619</v>
      </c>
      <c r="K81" s="742">
        <f ca="1">Деятельность_УК!$AJ$653</f>
        <v>1926441.9743763444</v>
      </c>
      <c r="L81" s="742">
        <f ca="1">Деятельность_УК!$AN$653</f>
        <v>2572503.6230487865</v>
      </c>
      <c r="M81" s="746">
        <f ca="1">Деятельность_УК!$AR$653</f>
        <v>8467797.5368973203</v>
      </c>
      <c r="N81" s="720"/>
    </row>
    <row r="82" spans="1:14" ht="11.25" customHeight="1" x14ac:dyDescent="0.2">
      <c r="A82" s="822" t="str">
        <f>Деятельность_УК!$A$654</f>
        <v>Покрытие выплаты долга, DSCR</v>
      </c>
      <c r="B82" s="702"/>
      <c r="C82" s="816" t="str">
        <f>Деятельность_УК!$C$654</f>
        <v>раз</v>
      </c>
      <c r="D82" s="824">
        <f ca="1">IFERROR(AVERAGE(Деятельность_УК!$E$654:'Деятельность_УК'!$H$654),"0")</f>
        <v>1.2999999999999998</v>
      </c>
      <c r="E82" s="824">
        <f ca="1">IFERROR(AVERAGE(Деятельность_УК!$I$654:'Деятельность_УК'!$L$654),"0")</f>
        <v>1.3000000000000003</v>
      </c>
      <c r="F82" s="824">
        <f ca="1">IFERROR(AVERAGE(Деятельность_УК!$M$654:'Деятельность_УК'!$P$654),"0")</f>
        <v>1.3</v>
      </c>
      <c r="G82" s="824">
        <f ca="1">IFERROR(AVERAGE(Деятельность_УК!$Q$654:'Деятельность_УК'!$T$654),"0")</f>
        <v>1.2999999999999998</v>
      </c>
      <c r="H82" s="824">
        <f ca="1">IFERROR(AVERAGE(Деятельность_УК!$U$654:'Деятельность_УК'!$X$654),"0")</f>
        <v>1.429224325199957</v>
      </c>
      <c r="I82" s="824">
        <f ca="1">IFERROR(AVERAGE(Деятельность_УК!$Y$654:'Деятельность_УК'!$AB$654),"0")</f>
        <v>1.4082976359835377</v>
      </c>
      <c r="J82" s="824">
        <f ca="1">IFERROR(AVERAGE(Деятельность_УК!$AC$654:'Деятельность_УК'!$AF$654),"0")</f>
        <v>1.2806241675479804</v>
      </c>
      <c r="K82" s="824">
        <f ca="1">IFERROR(AVERAGE(Деятельность_УК!$AG$654:'Деятельность_УК'!$AJ$654),"0")</f>
        <v>1.2246029655255302</v>
      </c>
      <c r="L82" s="824">
        <f ca="1">IFERROR(AVERAGE(Деятельность_УК!$AK$654:'Деятельность_УК'!$AN$654),"0")</f>
        <v>1.6487782592228637</v>
      </c>
      <c r="M82" s="825">
        <f ca="1">IFERROR(AVERAGE(Деятельность_УК!$AO$654:'Деятельность_УК'!$AR$654),"0")</f>
        <v>4.018009432672364E+18</v>
      </c>
      <c r="N82" s="720"/>
    </row>
    <row r="83" spans="1:14" ht="11.25" customHeight="1" x14ac:dyDescent="0.2">
      <c r="A83" s="599"/>
      <c r="B83" s="599"/>
      <c r="C83" s="599"/>
      <c r="D83" s="599"/>
      <c r="E83" s="599"/>
      <c r="F83" s="599"/>
      <c r="G83" s="599"/>
      <c r="H83" s="599"/>
      <c r="I83" s="599"/>
      <c r="J83" s="599"/>
      <c r="K83" s="599"/>
      <c r="L83" s="599"/>
      <c r="M83" s="599"/>
      <c r="N83" s="682"/>
    </row>
  </sheetData>
  <pageMargins left="0.39370078740157483" right="0.39370078740157483" top="1.4960629921259843" bottom="0.51181102362204722" header="0.70866141732283472" footer="0.31496062992125984"/>
  <pageSetup paperSize="9" orientation="landscape" horizontalDpi="0" verticalDpi="0" r:id="rId1"/>
  <headerFooter scaleWithDoc="0">
    <oddHeader>&amp;L&amp;"Arial,полужирный"&amp;10Таб. 10&amp;R&amp;"Arial,полужирный"&amp;10Проект создания ИП «Бугры» на территории Ленинградской области. Управляющая компания.
&amp;C&amp;"Arial,полужирный"&amp;13
КРЕДИТЫ</oddHeader>
    <oddFooter>&amp;R&amp;P</oddFooter>
  </headerFooter>
  <rowBreaks count="2" manualBreakCount="2">
    <brk id="36" max="16383" man="1"/>
    <brk id="6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6"/>
  <dimension ref="A1:N36"/>
  <sheetViews>
    <sheetView workbookViewId="0"/>
  </sheetViews>
  <sheetFormatPr defaultRowHeight="12.75" x14ac:dyDescent="0.2"/>
  <cols>
    <col min="1" max="1" width="39" customWidth="1"/>
    <col min="2" max="2" width="10.85546875" customWidth="1"/>
    <col min="3" max="3" width="7.5703125" customWidth="1"/>
    <col min="4" max="12" width="7.42578125" customWidth="1"/>
    <col min="13" max="13" width="8.28515625" customWidth="1"/>
    <col min="14" max="14" width="8.7109375" customWidth="1"/>
  </cols>
  <sheetData>
    <row r="1" spans="1:14" s="301" customFormat="1" ht="26.1" customHeight="1" x14ac:dyDescent="0.2">
      <c r="A1" s="613" t="str">
        <f>Результаты_УК!$A$4</f>
        <v>ОТЧЕТ О ПРИБЫЛЯХ И УБЫТКАХ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Результаты_УК!$AT$4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20.25" customHeight="1" x14ac:dyDescent="0.2">
      <c r="A3" s="676"/>
      <c r="B3" s="827" t="str">
        <f>Результаты_УК!$B$6</f>
        <v>Среднегодовые
2024 - 2029</v>
      </c>
      <c r="C3" s="607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65" t="str">
        <f>Результаты_УК!$A$7</f>
        <v>Выручка</v>
      </c>
      <c r="B4" s="810">
        <f ca="1">Результаты_УК!$B$7</f>
        <v>2056579.4878551103</v>
      </c>
      <c r="C4" s="829" t="str">
        <f>Результаты_УК!$C$7</f>
        <v>тыс. руб.</v>
      </c>
      <c r="D4" s="712">
        <f ca="1">SUM(Результаты_УК!$E$7:'Результаты_УК'!$H$7)</f>
        <v>59988.109570131353</v>
      </c>
      <c r="E4" s="712">
        <f ca="1">SUM(Результаты_УК!$I$7:'Результаты_УК'!$L$7)</f>
        <v>141747.4601437737</v>
      </c>
      <c r="F4" s="712">
        <f ca="1">SUM(Результаты_УК!$M$7:'Результаты_УК'!$P$7)</f>
        <v>230371.78215414321</v>
      </c>
      <c r="G4" s="712">
        <f ca="1">SUM(Результаты_УК!$Q$7:'Результаты_УК'!$T$7)</f>
        <v>284256.7370961862</v>
      </c>
      <c r="H4" s="712">
        <f ca="1">SUM(Результаты_УК!$U$7:'Результаты_УК'!$X$7)</f>
        <v>924661.26453302405</v>
      </c>
      <c r="I4" s="712">
        <f ca="1">SUM(Результаты_УК!$Y$7:'Результаты_УК'!$AB$7)</f>
        <v>971265.14964447997</v>
      </c>
      <c r="J4" s="712">
        <f ca="1">SUM(Результаты_УК!$AC$7:'Результаты_УК'!$AF$7)</f>
        <v>1013454.8329956711</v>
      </c>
      <c r="K4" s="712">
        <f ca="1">SUM(Результаты_УК!$AG$7:'Результаты_УК'!$AJ$7)</f>
        <v>1057489.0135244343</v>
      </c>
      <c r="L4" s="712">
        <f ca="1">SUM(Результаты_УК!$AK$7:'Результаты_УК'!$AN$7)</f>
        <v>1470418.16596666</v>
      </c>
      <c r="M4" s="712">
        <f ca="1">SUM(Результаты_УК!$AO$7:'Результаты_УК'!$AR$7)</f>
        <v>6902188.5004663924</v>
      </c>
      <c r="N4" s="746">
        <f ca="1">Результаты_УК!$AT$7</f>
        <v>13055841.016094897</v>
      </c>
    </row>
    <row r="5" spans="1:14" ht="11.25" customHeight="1" x14ac:dyDescent="0.2">
      <c r="A5" s="636" t="str">
        <f>Результаты_УК!$A$8</f>
        <v>Выручка от аренды и прочих услуг резидентам</v>
      </c>
      <c r="B5" s="810">
        <f ca="1">Результаты_УК!$B$8</f>
        <v>925557.71790985949</v>
      </c>
      <c r="C5" s="829" t="str">
        <f>Результаты_УК!$C$8</f>
        <v>тыс. руб.</v>
      </c>
      <c r="D5" s="712">
        <f ca="1">SUM(Результаты_УК!$E$8:'Результаты_УК'!$H$8)</f>
        <v>59988.109570131353</v>
      </c>
      <c r="E5" s="712">
        <f ca="1">SUM(Результаты_УК!$I$8:'Результаты_УК'!$L$8)</f>
        <v>141747.4601437737</v>
      </c>
      <c r="F5" s="712">
        <f ca="1">SUM(Результаты_УК!$M$8:'Результаты_УК'!$P$8)</f>
        <v>230371.78215414321</v>
      </c>
      <c r="G5" s="712">
        <f ca="1">SUM(Результаты_УК!$Q$8:'Результаты_УК'!$T$8)</f>
        <v>284256.7370961862</v>
      </c>
      <c r="H5" s="712">
        <f ca="1">SUM(Результаты_УК!$U$8:'Результаты_УК'!$X$8)</f>
        <v>924661.26453302405</v>
      </c>
      <c r="I5" s="712">
        <f ca="1">SUM(Результаты_УК!$Y$8:'Результаты_УК'!$AB$8)</f>
        <v>971265.14964447997</v>
      </c>
      <c r="J5" s="712">
        <f ca="1">SUM(Результаты_УК!$AC$8:'Результаты_УК'!$AF$8)</f>
        <v>1013454.8329956711</v>
      </c>
      <c r="K5" s="712">
        <f ca="1">SUM(Результаты_УК!$AG$8:'Результаты_УК'!$AJ$8)</f>
        <v>1057489.0135244343</v>
      </c>
      <c r="L5" s="712">
        <f ca="1">SUM(Результаты_УК!$AK$8:'Результаты_УК'!$AN$8)</f>
        <v>1060988.5037623697</v>
      </c>
      <c r="M5" s="712">
        <f ca="1">SUM(Результаты_УК!$AO$8:'Результаты_УК'!$AR$8)</f>
        <v>525487.54299917712</v>
      </c>
      <c r="N5" s="746">
        <f ca="1">Результаты_УК!$AT$8</f>
        <v>6269710.3964233911</v>
      </c>
    </row>
    <row r="6" spans="1:14" ht="11.25" customHeight="1" x14ac:dyDescent="0.2">
      <c r="A6" s="636" t="str">
        <f>Результаты_УК!$A$9</f>
        <v>Выручка от продажи площадей</v>
      </c>
      <c r="B6" s="810">
        <f ca="1">Результаты_УК!$B$9</f>
        <v>1131021.7699452508</v>
      </c>
      <c r="C6" s="829" t="str">
        <f>Результаты_УК!$C$9</f>
        <v>тыс. руб.</v>
      </c>
      <c r="D6" s="712">
        <f ca="1">SUM(Результаты_УК!$E$9:'Результаты_УК'!$H$9)</f>
        <v>0</v>
      </c>
      <c r="E6" s="712">
        <f ca="1">SUM(Результаты_УК!$I$9:'Результаты_УК'!$L$9)</f>
        <v>0</v>
      </c>
      <c r="F6" s="712">
        <f ca="1">SUM(Результаты_УК!$M$9:'Результаты_УК'!$P$9)</f>
        <v>0</v>
      </c>
      <c r="G6" s="712">
        <f ca="1">SUM(Результаты_УК!$Q$9:'Результаты_УК'!$T$9)</f>
        <v>0</v>
      </c>
      <c r="H6" s="712">
        <f ca="1">SUM(Результаты_УК!$U$9:'Результаты_УК'!$X$9)</f>
        <v>0</v>
      </c>
      <c r="I6" s="712">
        <f ca="1">SUM(Результаты_УК!$Y$9:'Результаты_УК'!$AB$9)</f>
        <v>0</v>
      </c>
      <c r="J6" s="712">
        <f ca="1">SUM(Результаты_УК!$AC$9:'Результаты_УК'!$AF$9)</f>
        <v>0</v>
      </c>
      <c r="K6" s="712">
        <f ca="1">SUM(Результаты_УК!$AG$9:'Результаты_УК'!$AJ$9)</f>
        <v>0</v>
      </c>
      <c r="L6" s="712">
        <f ca="1">SUM(Результаты_УК!$AK$9:'Результаты_УК'!$AN$9)</f>
        <v>409429.66220429027</v>
      </c>
      <c r="M6" s="712">
        <f ca="1">SUM(Результаты_УК!$AO$9:'Результаты_УК'!$AR$9)</f>
        <v>6376700.9574672151</v>
      </c>
      <c r="N6" s="746">
        <f ca="1">Результаты_УК!$AT$9</f>
        <v>6786130.6196715049</v>
      </c>
    </row>
    <row r="7" spans="1:14" ht="11.25" customHeight="1" x14ac:dyDescent="0.2">
      <c r="A7" s="665" t="str">
        <f>Результаты_УК!$A$10</f>
        <v>Себестоимость:</v>
      </c>
      <c r="B7" s="810">
        <f ca="1">Результаты_УК!$B$10</f>
        <v>-518969.72222342307</v>
      </c>
      <c r="C7" s="829" t="str">
        <f>Результаты_УК!$C$10</f>
        <v>тыс. руб.</v>
      </c>
      <c r="D7" s="712">
        <f ca="1">SUM(Результаты_УК!$E$10:'Результаты_УК'!$H$10)</f>
        <v>-10836.225822882023</v>
      </c>
      <c r="E7" s="712">
        <f ca="1">SUM(Результаты_УК!$I$10:'Результаты_УК'!$L$10)</f>
        <v>-21482.487246427314</v>
      </c>
      <c r="F7" s="712">
        <f ca="1">SUM(Результаты_УК!$M$10:'Результаты_УК'!$P$10)</f>
        <v>-34371.109903726952</v>
      </c>
      <c r="G7" s="712">
        <f ca="1">SUM(Результаты_УК!$Q$10:'Результаты_УК'!$T$10)</f>
        <v>-43233.28206642055</v>
      </c>
      <c r="H7" s="712">
        <f ca="1">SUM(Результаты_УК!$U$10:'Результаты_УК'!$X$10)</f>
        <v>-97133.353367691569</v>
      </c>
      <c r="I7" s="712">
        <f ca="1">SUM(Результаты_УК!$Y$10:'Результаты_УК'!$AB$10)</f>
        <v>-101424.14881660629</v>
      </c>
      <c r="J7" s="712">
        <f ca="1">SUM(Результаты_УК!$AC$10:'Результаты_УК'!$AF$10)</f>
        <v>-105887.69935775557</v>
      </c>
      <c r="K7" s="712">
        <f ca="1">SUM(Результаты_УК!$AG$10:'Результаты_УК'!$AJ$10)</f>
        <v>-110542.64284358498</v>
      </c>
      <c r="L7" s="712">
        <f ca="1">SUM(Результаты_УК!$AK$10:'Результаты_УК'!$AN$10)</f>
        <v>-328917.65781238361</v>
      </c>
      <c r="M7" s="712">
        <f ca="1">SUM(Результаты_УК!$AO$10:'Результаты_УК'!$AR$10)</f>
        <v>-2369912.8311425168</v>
      </c>
      <c r="N7" s="746">
        <f ca="1">Результаты_УК!$AT$10</f>
        <v>-3223741.4383799955</v>
      </c>
    </row>
    <row r="8" spans="1:14" ht="11.25" customHeight="1" x14ac:dyDescent="0.2">
      <c r="A8" s="636" t="str">
        <f>Результаты_УК!$A$11</f>
        <v>Cырье и материалы</v>
      </c>
      <c r="B8" s="810">
        <f ca="1">Результаты_УК!$B$11</f>
        <v>0</v>
      </c>
      <c r="C8" s="829" t="str">
        <f>Результаты_УК!$C$11</f>
        <v>тыс. руб.</v>
      </c>
      <c r="D8" s="712">
        <f>SUM(Результаты_УК!$E$11:'Результаты_УК'!$H$11)</f>
        <v>0</v>
      </c>
      <c r="E8" s="712">
        <f>SUM(Результаты_УК!$I$11:'Результаты_УК'!$L$11)</f>
        <v>0</v>
      </c>
      <c r="F8" s="712">
        <f>SUM(Результаты_УК!$M$11:'Результаты_УК'!$P$11)</f>
        <v>0</v>
      </c>
      <c r="G8" s="712">
        <f>SUM(Результаты_УК!$Q$11:'Результаты_УК'!$T$11)</f>
        <v>0</v>
      </c>
      <c r="H8" s="712">
        <f>SUM(Результаты_УК!$U$11:'Результаты_УК'!$X$11)</f>
        <v>0</v>
      </c>
      <c r="I8" s="712">
        <f>SUM(Результаты_УК!$Y$11:'Результаты_УК'!$AB$11)</f>
        <v>0</v>
      </c>
      <c r="J8" s="712">
        <f>SUM(Результаты_УК!$AC$11:'Результаты_УК'!$AF$11)</f>
        <v>0</v>
      </c>
      <c r="K8" s="712">
        <f>SUM(Результаты_УК!$AG$11:'Результаты_УК'!$AJ$11)</f>
        <v>0</v>
      </c>
      <c r="L8" s="712">
        <f>SUM(Результаты_УК!$AK$11:'Результаты_УК'!$AN$11)</f>
        <v>0</v>
      </c>
      <c r="M8" s="712">
        <f>SUM(Результаты_УК!$AO$11:'Результаты_УК'!$AR$11)</f>
        <v>0</v>
      </c>
      <c r="N8" s="746">
        <f>Результаты_УК!$AT$11</f>
        <v>0</v>
      </c>
    </row>
    <row r="9" spans="1:14" ht="11.25" customHeight="1" x14ac:dyDescent="0.2">
      <c r="A9" s="636" t="str">
        <f>Результаты_УК!$A$12</f>
        <v>Производственный персонал</v>
      </c>
      <c r="B9" s="810">
        <f ca="1">Результаты_УК!$B$12</f>
        <v>-16203.300381833755</v>
      </c>
      <c r="C9" s="829" t="str">
        <f>Результаты_УК!$C$12</f>
        <v>тыс. руб.</v>
      </c>
      <c r="D9" s="712">
        <f ca="1">SUM(Результаты_УК!$E$12:'Результаты_УК'!$H$12)</f>
        <v>0</v>
      </c>
      <c r="E9" s="712">
        <f ca="1">SUM(Результаты_УК!$I$12:'Результаты_УК'!$L$12)</f>
        <v>-3791.5508467702298</v>
      </c>
      <c r="F9" s="712">
        <f ca="1">SUM(Результаты_УК!$M$12:'Результаты_УК'!$P$12)</f>
        <v>-8985.0778064854312</v>
      </c>
      <c r="G9" s="712">
        <f ca="1">SUM(Результаты_УК!$Q$12:'Результаты_УК'!$T$12)</f>
        <v>-12768.850691538108</v>
      </c>
      <c r="H9" s="712">
        <f ca="1">SUM(Результаты_УК!$U$12:'Результаты_УК'!$X$12)</f>
        <v>-13647.0105976825</v>
      </c>
      <c r="I9" s="712">
        <f ca="1">SUM(Результаты_УК!$Y$12:'Результаты_УК'!$AB$12)</f>
        <v>-14592.211603727123</v>
      </c>
      <c r="J9" s="712">
        <f ca="1">SUM(Результаты_УК!$AC$12:'Результаты_УК'!$AF$12)</f>
        <v>-15591.129409426947</v>
      </c>
      <c r="K9" s="712">
        <f ca="1">SUM(Результаты_УК!$AG$12:'Результаты_УК'!$AJ$12)</f>
        <v>-16650.122366108655</v>
      </c>
      <c r="L9" s="712">
        <f ca="1">SUM(Результаты_УК!$AK$12:'Результаты_УК'!$AN$12)</f>
        <v>-17774.528303866722</v>
      </c>
      <c r="M9" s="712">
        <f ca="1">SUM(Результаты_УК!$AO$12:'Результаты_УК'!$AR$12)</f>
        <v>-18964.800010190589</v>
      </c>
      <c r="N9" s="746">
        <f ca="1">Результаты_УК!$AT$12</f>
        <v>-122765.28163579627</v>
      </c>
    </row>
    <row r="10" spans="1:14" ht="11.25" customHeight="1" x14ac:dyDescent="0.2">
      <c r="A10" s="636" t="str">
        <f>Результаты_УК!$A$13</f>
        <v>Прочие производственные расходы</v>
      </c>
      <c r="B10" s="810">
        <f ca="1">Результаты_УК!$B$13</f>
        <v>-84507.502973488125</v>
      </c>
      <c r="C10" s="829" t="str">
        <f>Результаты_УК!$C$13</f>
        <v>тыс. руб.</v>
      </c>
      <c r="D10" s="712">
        <f ca="1">SUM(Результаты_УК!$E$13:'Результаты_УК'!$H$13)</f>
        <v>-10836.225822882023</v>
      </c>
      <c r="E10" s="712">
        <f ca="1">SUM(Результаты_УК!$I$13:'Результаты_УК'!$L$13)</f>
        <v>-17690.936399657083</v>
      </c>
      <c r="F10" s="712">
        <f ca="1">SUM(Результаты_УК!$M$13:'Результаты_УК'!$P$13)</f>
        <v>-25386.032097241521</v>
      </c>
      <c r="G10" s="712">
        <f ca="1">SUM(Результаты_УК!$Q$13:'Результаты_УК'!$T$13)</f>
        <v>-30464.431374882446</v>
      </c>
      <c r="H10" s="712">
        <f ca="1">SUM(Результаты_УК!$U$13:'Результаты_УК'!$X$13)</f>
        <v>-83486.342770009069</v>
      </c>
      <c r="I10" s="712">
        <f ca="1">SUM(Результаты_УК!$Y$13:'Результаты_УК'!$AB$13)</f>
        <v>-86831.937212879158</v>
      </c>
      <c r="J10" s="712">
        <f ca="1">SUM(Результаты_УК!$AC$13:'Результаты_УК'!$AF$13)</f>
        <v>-90296.56994832863</v>
      </c>
      <c r="K10" s="712">
        <f ca="1">SUM(Результаты_УК!$AG$13:'Результаты_УК'!$AJ$13)</f>
        <v>-93892.520477476326</v>
      </c>
      <c r="L10" s="712">
        <f ca="1">SUM(Результаты_УК!$AK$13:'Результаты_УК'!$AN$13)</f>
        <v>-94829.570540401735</v>
      </c>
      <c r="M10" s="712">
        <f ca="1">SUM(Результаты_УК!$AO$13:'Результаты_УК'!$AR$13)</f>
        <v>-57708.076891833902</v>
      </c>
      <c r="N10" s="746">
        <f ca="1">Результаты_УК!$AT$13</f>
        <v>-591422.64353559178</v>
      </c>
    </row>
    <row r="11" spans="1:14" ht="11.25" customHeight="1" x14ac:dyDescent="0.2">
      <c r="A11" s="636" t="str">
        <f>Результаты_УК!$A$14</f>
        <v>Себестоимость реализованных площадей</v>
      </c>
      <c r="B11" s="810">
        <f ca="1">Результаты_УК!$B$14</f>
        <v>-418258.9188681012</v>
      </c>
      <c r="C11" s="829" t="str">
        <f>Результаты_УК!$C$14</f>
        <v>тыс. руб.</v>
      </c>
      <c r="D11" s="712">
        <f ca="1">SUM(Результаты_УК!$E$14:'Результаты_УК'!$H$14)</f>
        <v>0</v>
      </c>
      <c r="E11" s="712">
        <f ca="1">SUM(Результаты_УК!$I$14:'Результаты_УК'!$L$14)</f>
        <v>0</v>
      </c>
      <c r="F11" s="712">
        <f ca="1">SUM(Результаты_УК!$M$14:'Результаты_УК'!$P$14)</f>
        <v>0</v>
      </c>
      <c r="G11" s="712">
        <f ca="1">SUM(Результаты_УК!$Q$14:'Результаты_УК'!$T$14)</f>
        <v>0</v>
      </c>
      <c r="H11" s="712">
        <f ca="1">SUM(Результаты_УК!$U$14:'Результаты_УК'!$X$14)</f>
        <v>0</v>
      </c>
      <c r="I11" s="712">
        <f ca="1">SUM(Результаты_УК!$Y$14:'Результаты_УК'!$AB$14)</f>
        <v>0</v>
      </c>
      <c r="J11" s="712">
        <f ca="1">SUM(Результаты_УК!$AC$14:'Результаты_УК'!$AF$14)</f>
        <v>0</v>
      </c>
      <c r="K11" s="712">
        <f ca="1">SUM(Результаты_УК!$AG$14:'Результаты_УК'!$AJ$14)</f>
        <v>0</v>
      </c>
      <c r="L11" s="712">
        <f ca="1">SUM(Результаты_УК!$AK$14:'Результаты_УК'!$AN$14)</f>
        <v>-216313.55896811513</v>
      </c>
      <c r="M11" s="712">
        <f ca="1">SUM(Результаты_УК!$AO$14:'Результаты_УК'!$AR$14)</f>
        <v>-2293239.9542404925</v>
      </c>
      <c r="N11" s="746">
        <f ca="1">Результаты_УК!$AT$14</f>
        <v>-2509553.5132086077</v>
      </c>
    </row>
    <row r="12" spans="1:14" ht="11.25" customHeight="1" x14ac:dyDescent="0.2">
      <c r="A12" s="633" t="str">
        <f>Результаты_УК!$A$15</f>
        <v>Валовая прибыль</v>
      </c>
      <c r="B12" s="811">
        <f ca="1">Результаты_УК!$B$15</f>
        <v>1537609.7656316869</v>
      </c>
      <c r="C12" s="828" t="str">
        <f>Результаты_УК!$C$15</f>
        <v>тыс. руб.</v>
      </c>
      <c r="D12" s="780">
        <f ca="1">SUM(Результаты_УК!$E$15:'Результаты_УК'!$H$15)</f>
        <v>49151.883747249332</v>
      </c>
      <c r="E12" s="780">
        <f ca="1">SUM(Результаты_УК!$I$15:'Результаты_УК'!$L$15)</f>
        <v>120264.97289734636</v>
      </c>
      <c r="F12" s="780">
        <f ca="1">SUM(Результаты_УК!$M$15:'Результаты_УК'!$P$15)</f>
        <v>196000.67225041625</v>
      </c>
      <c r="G12" s="780">
        <f ca="1">SUM(Результаты_УК!$Q$15:'Результаты_УК'!$T$15)</f>
        <v>241023.4550297657</v>
      </c>
      <c r="H12" s="780">
        <f ca="1">SUM(Результаты_УК!$U$15:'Результаты_УК'!$X$15)</f>
        <v>827527.91116533242</v>
      </c>
      <c r="I12" s="780">
        <f ca="1">SUM(Результаты_УК!$Y$15:'Результаты_УК'!$AB$15)</f>
        <v>869841.00082787371</v>
      </c>
      <c r="J12" s="780">
        <f ca="1">SUM(Результаты_УК!$AC$15:'Результаты_УК'!$AF$15)</f>
        <v>907567.1336379156</v>
      </c>
      <c r="K12" s="780">
        <f ca="1">SUM(Результаты_УК!$AG$15:'Результаты_УК'!$AJ$15)</f>
        <v>946946.37068084918</v>
      </c>
      <c r="L12" s="780">
        <f ca="1">SUM(Результаты_УК!$AK$15:'Результаты_УК'!$AN$15)</f>
        <v>1141500.5081542765</v>
      </c>
      <c r="M12" s="780">
        <f ca="1">SUM(Результаты_УК!$AO$15:'Результаты_УК'!$AR$15)</f>
        <v>4532275.6693238756</v>
      </c>
      <c r="N12" s="782">
        <f ca="1">Результаты_УК!$AT$15</f>
        <v>9832099.5777148996</v>
      </c>
    </row>
    <row r="13" spans="1:14" ht="11.25" customHeight="1" x14ac:dyDescent="0.2">
      <c r="A13" s="398"/>
      <c r="B13" s="706"/>
      <c r="C13" s="607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652"/>
    </row>
    <row r="14" spans="1:14" ht="11.25" customHeight="1" x14ac:dyDescent="0.2">
      <c r="A14" s="636" t="str">
        <f>Результаты_УК!$A$17</f>
        <v>Административный и коммерческий персонал</v>
      </c>
      <c r="B14" s="810">
        <f ca="1">Результаты_УК!$B$17</f>
        <v>-28220.155786303487</v>
      </c>
      <c r="C14" s="829" t="str">
        <f>Результаты_УК!$C$17</f>
        <v>тыс. руб.</v>
      </c>
      <c r="D14" s="712">
        <f ca="1">SUM(Результаты_УК!$E$17:'Результаты_УК'!$H$17)</f>
        <v>-7025.9809260000002</v>
      </c>
      <c r="E14" s="712">
        <f ca="1">SUM(Результаты_УК!$I$17:'Результаты_УК'!$L$17)</f>
        <v>-15845.178264883494</v>
      </c>
      <c r="F14" s="712">
        <f ca="1">SUM(Результаты_УК!$M$17:'Результаты_УК'!$P$17)</f>
        <v>-20806.611605854898</v>
      </c>
      <c r="G14" s="712">
        <f ca="1">SUM(Результаты_УК!$Q$17:'Результаты_УК'!$T$17)</f>
        <v>-22238.614802898213</v>
      </c>
      <c r="H14" s="712">
        <f ca="1">SUM(Результаты_УК!$U$17:'Результаты_УК'!$X$17)</f>
        <v>-23768.044534662269</v>
      </c>
      <c r="I14" s="712">
        <f ca="1">SUM(Результаты_УК!$Y$17:'Результаты_УК'!$AB$17)</f>
        <v>-25414.235064454282</v>
      </c>
      <c r="J14" s="712">
        <f ca="1">SUM(Результаты_УК!$AC$17:'Результаты_УК'!$AF$17)</f>
        <v>-27153.98038980578</v>
      </c>
      <c r="K14" s="712">
        <f ca="1">SUM(Результаты_УК!$AG$17:'Результаты_УК'!$AJ$17)</f>
        <v>-28998.354406821563</v>
      </c>
      <c r="L14" s="712">
        <f ca="1">SUM(Результаты_УК!$AK$17:'Результаты_УК'!$AN$17)</f>
        <v>-30956.653641102996</v>
      </c>
      <c r="M14" s="712">
        <f ca="1">SUM(Результаты_УК!$AO$17:'Результаты_УК'!$AR$17)</f>
        <v>-33029.666680974049</v>
      </c>
      <c r="N14" s="746">
        <f ca="1">Результаты_УК!$AT$17</f>
        <v>-235237.32031745758</v>
      </c>
    </row>
    <row r="15" spans="1:14" ht="11.25" customHeight="1" x14ac:dyDescent="0.2">
      <c r="A15" s="636" t="str">
        <f>Результаты_УК!$A$18</f>
        <v>Административные расходы</v>
      </c>
      <c r="B15" s="810">
        <f ca="1">Результаты_УК!$B$18</f>
        <v>-1891.9507050510765</v>
      </c>
      <c r="C15" s="829" t="str">
        <f>Результаты_УК!$C$18</f>
        <v>тыс. руб.</v>
      </c>
      <c r="D15" s="712">
        <f ca="1">SUM(Результаты_УК!$E$18:'Результаты_УК'!$H$18)</f>
        <v>-1500</v>
      </c>
      <c r="E15" s="712">
        <f ca="1">SUM(Результаты_УК!$I$18:'Результаты_УК'!$L$18)</f>
        <v>-1522.3782082535013</v>
      </c>
      <c r="F15" s="712">
        <f ca="1">SUM(Результаты_УК!$M$18:'Результаты_УК'!$P$18)</f>
        <v>-1583.3514975480148</v>
      </c>
      <c r="G15" s="712">
        <f ca="1">SUM(Результаты_УК!$Q$18:'Результаты_УК'!$T$18)</f>
        <v>-1646.5174932690131</v>
      </c>
      <c r="H15" s="712">
        <f ca="1">SUM(Результаты_УК!$U$18:'Результаты_УК'!$X$18)</f>
        <v>-1712.103956198669</v>
      </c>
      <c r="I15" s="712">
        <f ca="1">SUM(Результаты_УК!$Y$18:'Результаты_УК'!$AB$18)</f>
        <v>-1780.4188401286403</v>
      </c>
      <c r="J15" s="712">
        <f ca="1">SUM(Результаты_УК!$AC$18:'Результаты_УК'!$AF$18)</f>
        <v>-1851.4595048089955</v>
      </c>
      <c r="K15" s="712">
        <f ca="1">SUM(Результаты_УК!$AG$18:'Результаты_УК'!$AJ$18)</f>
        <v>-1925.1931989924024</v>
      </c>
      <c r="L15" s="712">
        <f ca="1">SUM(Результаты_УК!$AK$18:'Результаты_УК'!$AN$18)</f>
        <v>-2001.6322893408551</v>
      </c>
      <c r="M15" s="712">
        <f ca="1">SUM(Результаты_УК!$AO$18:'Результаты_УК'!$AR$18)</f>
        <v>-2080.8964408368961</v>
      </c>
      <c r="N15" s="746">
        <f ca="1">Результаты_УК!$AT$18</f>
        <v>-17603.95142937699</v>
      </c>
    </row>
    <row r="16" spans="1:14" ht="11.25" customHeight="1" x14ac:dyDescent="0.2">
      <c r="A16" s="636" t="str">
        <f>Результаты_УК!$A$19</f>
        <v>Коммерческие расходы</v>
      </c>
      <c r="B16" s="810">
        <f ca="1">Результаты_УК!$B$19</f>
        <v>0</v>
      </c>
      <c r="C16" s="829" t="str">
        <f>Результаты_УК!$C$19</f>
        <v>тыс. руб.</v>
      </c>
      <c r="D16" s="712">
        <f ca="1">SUM(Результаты_УК!$E$19:'Результаты_УК'!$H$19)</f>
        <v>-1083.3333333333335</v>
      </c>
      <c r="E16" s="712">
        <f ca="1">SUM(Результаты_УК!$I$19:'Результаты_УК'!$L$19)</f>
        <v>-1099.4953726275289</v>
      </c>
      <c r="F16" s="712">
        <f ca="1">SUM(Результаты_УК!$M$19:'Результаты_УК'!$P$19)</f>
        <v>-1143.5316371180106</v>
      </c>
      <c r="G16" s="712">
        <f ca="1">SUM(Результаты_УК!$Q$19:'Результаты_УК'!$T$19)</f>
        <v>-1189.1515229165093</v>
      </c>
      <c r="H16" s="712">
        <f ca="1">SUM(Результаты_УК!$U$19:'Результаты_УК'!$X$19)</f>
        <v>0</v>
      </c>
      <c r="I16" s="712">
        <f ca="1">SUM(Результаты_УК!$Y$19:'Результаты_УК'!$AB$19)</f>
        <v>0</v>
      </c>
      <c r="J16" s="712">
        <f ca="1">SUM(Результаты_УК!$AC$19:'Результаты_УК'!$AF$19)</f>
        <v>0</v>
      </c>
      <c r="K16" s="712">
        <f ca="1">SUM(Результаты_УК!$AG$19:'Результаты_УК'!$AJ$19)</f>
        <v>0</v>
      </c>
      <c r="L16" s="712">
        <f ca="1">SUM(Результаты_УК!$AK$19:'Результаты_УК'!$AN$19)</f>
        <v>0</v>
      </c>
      <c r="M16" s="712">
        <f ca="1">SUM(Результаты_УК!$AO$19:'Результаты_УК'!$AR$19)</f>
        <v>0</v>
      </c>
      <c r="N16" s="746">
        <f ca="1">Результаты_УК!$AT$19</f>
        <v>-4515.5118659953823</v>
      </c>
    </row>
    <row r="17" spans="1:14" ht="11.25" customHeight="1" x14ac:dyDescent="0.2">
      <c r="A17" s="636" t="str">
        <f>Результаты_УК!$A$20</f>
        <v>Налоги и сборы</v>
      </c>
      <c r="B17" s="810">
        <f ca="1">Результаты_УК!$B$20</f>
        <v>-42450.565934600265</v>
      </c>
      <c r="C17" s="829" t="str">
        <f>Результаты_УК!$C$20</f>
        <v>тыс. руб.</v>
      </c>
      <c r="D17" s="712">
        <f ca="1">SUM(Результаты_УК!$E$20:'Результаты_УК'!$H$20)</f>
        <v>-13039.676438216235</v>
      </c>
      <c r="E17" s="712">
        <f ca="1">SUM(Результаты_УК!$I$20:'Результаты_УК'!$L$20)</f>
        <v>-5242.6512819662348</v>
      </c>
      <c r="F17" s="712">
        <f ca="1">SUM(Результаты_УК!$M$20:'Результаты_УК'!$P$20)</f>
        <v>-5242.6512819662348</v>
      </c>
      <c r="G17" s="712">
        <f ca="1">SUM(Результаты_УК!$Q$20:'Результаты_УК'!$T$20)</f>
        <v>-5242.6512819662348</v>
      </c>
      <c r="H17" s="712">
        <f ca="1">SUM(Результаты_УК!$U$20:'Результаты_УК'!$X$20)</f>
        <v>-5242.6512819662348</v>
      </c>
      <c r="I17" s="712">
        <f ca="1">SUM(Результаты_УК!$Y$20:'Результаты_УК'!$AB$20)</f>
        <v>-5242.6512819662348</v>
      </c>
      <c r="J17" s="712">
        <f ca="1">SUM(Результаты_УК!$AC$20:'Результаты_УК'!$AF$20)</f>
        <v>-5242.6512819662348</v>
      </c>
      <c r="K17" s="712">
        <f ca="1">SUM(Результаты_УК!$AG$20:'Результаты_УК'!$AJ$20)</f>
        <v>-102786.55783385391</v>
      </c>
      <c r="L17" s="712">
        <f ca="1">SUM(Результаты_УК!$AK$20:'Результаты_УК'!$AN$20)</f>
        <v>-92500.322457080329</v>
      </c>
      <c r="M17" s="712">
        <f ca="1">SUM(Результаты_УК!$AO$20:'Результаты_УК'!$AR$20)</f>
        <v>-43688.561470768662</v>
      </c>
      <c r="N17" s="746">
        <f ca="1">Результаты_УК!$AT$20</f>
        <v>-283471.02589171648</v>
      </c>
    </row>
    <row r="18" spans="1:14" ht="11.25" customHeight="1" x14ac:dyDescent="0.2">
      <c r="A18" s="633" t="str">
        <f>Результаты_УК!$A$21</f>
        <v>EBITDA</v>
      </c>
      <c r="B18" s="811">
        <f ca="1">Результаты_УК!$B$21</f>
        <v>1465047.0932057323</v>
      </c>
      <c r="C18" s="828" t="str">
        <f>Результаты_УК!$C$21</f>
        <v>тыс. руб.</v>
      </c>
      <c r="D18" s="780">
        <f ca="1">SUM(Результаты_УК!$E$21:'Результаты_УК'!$H$21)</f>
        <v>26502.893049699764</v>
      </c>
      <c r="E18" s="780">
        <f ca="1">SUM(Результаты_УК!$I$21:'Результаты_УК'!$L$21)</f>
        <v>96555.26976961561</v>
      </c>
      <c r="F18" s="780">
        <f ca="1">SUM(Результаты_УК!$M$21:'Результаты_УК'!$P$21)</f>
        <v>167224.52622792908</v>
      </c>
      <c r="G18" s="780">
        <f ca="1">SUM(Результаты_УК!$Q$21:'Результаты_УК'!$T$21)</f>
        <v>210706.51992871572</v>
      </c>
      <c r="H18" s="780">
        <f ca="1">SUM(Результаты_УК!$U$21:'Результаты_УК'!$X$21)</f>
        <v>796805.11139250523</v>
      </c>
      <c r="I18" s="780">
        <f ca="1">SUM(Результаты_УК!$Y$21:'Результаты_УК'!$AB$21)</f>
        <v>837403.69564132462</v>
      </c>
      <c r="J18" s="780">
        <f ca="1">SUM(Результаты_УК!$AC$21:'Результаты_УК'!$AF$21)</f>
        <v>873319.04246133461</v>
      </c>
      <c r="K18" s="780">
        <f ca="1">SUM(Результаты_УК!$AG$21:'Результаты_УК'!$AJ$21)</f>
        <v>813236.26524118136</v>
      </c>
      <c r="L18" s="780">
        <f ca="1">SUM(Результаты_УК!$AK$21:'Результаты_УК'!$AN$21)</f>
        <v>1016041.8997667523</v>
      </c>
      <c r="M18" s="780">
        <f ca="1">SUM(Результаты_УК!$AO$21:'Результаты_УК'!$AR$21)</f>
        <v>4453476.5447312957</v>
      </c>
      <c r="N18" s="782">
        <f ca="1">Результаты_УК!$AT$21</f>
        <v>9291271.7682103533</v>
      </c>
    </row>
    <row r="19" spans="1:14" ht="11.25" customHeight="1" x14ac:dyDescent="0.2">
      <c r="A19" s="398"/>
      <c r="B19" s="706"/>
      <c r="C19" s="607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2"/>
    </row>
    <row r="20" spans="1:14" ht="11.25" customHeight="1" x14ac:dyDescent="0.2">
      <c r="A20" s="636" t="str">
        <f>Результаты_УК!$A$23</f>
        <v>Лизинговые платежи</v>
      </c>
      <c r="B20" s="810">
        <f ca="1">Результаты_УК!$B$23</f>
        <v>0</v>
      </c>
      <c r="C20" s="829" t="str">
        <f>Результаты_УК!$C$23</f>
        <v>тыс. руб.</v>
      </c>
      <c r="D20" s="712">
        <f>SUM(Результаты_УК!$E$23:'Результаты_УК'!$H$23)</f>
        <v>0</v>
      </c>
      <c r="E20" s="712">
        <f>SUM(Результаты_УК!$I$23:'Результаты_УК'!$L$23)</f>
        <v>0</v>
      </c>
      <c r="F20" s="712">
        <f>SUM(Результаты_УК!$M$23:'Результаты_УК'!$P$23)</f>
        <v>0</v>
      </c>
      <c r="G20" s="712">
        <f>SUM(Результаты_УК!$Q$23:'Результаты_УК'!$T$23)</f>
        <v>0</v>
      </c>
      <c r="H20" s="712">
        <f>SUM(Результаты_УК!$U$23:'Результаты_УК'!$X$23)</f>
        <v>0</v>
      </c>
      <c r="I20" s="712">
        <f>SUM(Результаты_УК!$Y$23:'Результаты_УК'!$AB$23)</f>
        <v>0</v>
      </c>
      <c r="J20" s="712">
        <f>SUM(Результаты_УК!$AC$23:'Результаты_УК'!$AF$23)</f>
        <v>0</v>
      </c>
      <c r="K20" s="712">
        <f>SUM(Результаты_УК!$AG$23:'Результаты_УК'!$AJ$23)</f>
        <v>0</v>
      </c>
      <c r="L20" s="712">
        <f>SUM(Результаты_УК!$AK$23:'Результаты_УК'!$AN$23)</f>
        <v>0</v>
      </c>
      <c r="M20" s="712">
        <f>SUM(Результаты_УК!$AO$23:'Результаты_УК'!$AR$23)</f>
        <v>0</v>
      </c>
      <c r="N20" s="746">
        <f>Результаты_УК!$AT$23</f>
        <v>0</v>
      </c>
    </row>
    <row r="21" spans="1:14" ht="11.25" customHeight="1" x14ac:dyDescent="0.2">
      <c r="A21" s="636" t="str">
        <f>Результаты_УК!$A$24</f>
        <v>Амортизация</v>
      </c>
      <c r="B21" s="810">
        <f ca="1">Результаты_УК!$B$24</f>
        <v>-251989.81696647455</v>
      </c>
      <c r="C21" s="829" t="str">
        <f>Результаты_УК!$C$24</f>
        <v>тыс. руб.</v>
      </c>
      <c r="D21" s="712">
        <f ca="1">SUM(Результаты_УК!$E$24:'Результаты_УК'!$H$24)</f>
        <v>-24027.8125</v>
      </c>
      <c r="E21" s="712">
        <f ca="1">SUM(Результаты_УК!$I$24:'Результаты_УК'!$L$24)</f>
        <v>-51160.934087705609</v>
      </c>
      <c r="F21" s="712">
        <f ca="1">SUM(Результаты_УК!$M$24:'Результаты_УК'!$P$24)</f>
        <v>-87361.051051029353</v>
      </c>
      <c r="G21" s="712">
        <f ca="1">SUM(Результаты_УК!$Q$24:'Результаты_УК'!$T$24)</f>
        <v>-113373.14559734325</v>
      </c>
      <c r="H21" s="712">
        <f ca="1">SUM(Результаты_УК!$U$24:'Результаты_УК'!$X$24)</f>
        <v>-285438.59863107844</v>
      </c>
      <c r="I21" s="712">
        <f ca="1">SUM(Результаты_УК!$Y$24:'Результаты_УК'!$AB$24)</f>
        <v>-285438.59863107844</v>
      </c>
      <c r="J21" s="712">
        <f ca="1">SUM(Результаты_УК!$AC$24:'Результаты_УК'!$AF$24)</f>
        <v>-285438.59863107844</v>
      </c>
      <c r="K21" s="712">
        <f ca="1">SUM(Результаты_УК!$AG$24:'Результаты_УК'!$AJ$24)</f>
        <v>-285438.59863107844</v>
      </c>
      <c r="L21" s="712">
        <f ca="1">SUM(Результаты_УК!$AK$24:'Результаты_УК'!$AN$24)</f>
        <v>-271124.98015413474</v>
      </c>
      <c r="M21" s="712">
        <f ca="1">SUM(Результаты_УК!$AO$24:'Результаты_УК'!$AR$24)</f>
        <v>-99059.527120399493</v>
      </c>
      <c r="N21" s="746">
        <f ca="1">Результаты_УК!$AT$24</f>
        <v>-1787861.8450349255</v>
      </c>
    </row>
    <row r="22" spans="1:14" ht="11.25" customHeight="1" x14ac:dyDescent="0.2">
      <c r="A22" s="633" t="str">
        <f>Результаты_УК!$A$25</f>
        <v>EBIT</v>
      </c>
      <c r="B22" s="811">
        <f ca="1">Результаты_УК!$B$25</f>
        <v>1213057.2762392575</v>
      </c>
      <c r="C22" s="828" t="str">
        <f>Результаты_УК!$C$25</f>
        <v>тыс. руб.</v>
      </c>
      <c r="D22" s="780">
        <f ca="1">SUM(Результаты_УК!$E$25:'Результаты_УК'!$H$25)</f>
        <v>2475.0805496997637</v>
      </c>
      <c r="E22" s="780">
        <f ca="1">SUM(Результаты_УК!$I$25:'Результаты_УК'!$L$25)</f>
        <v>45394.335681910001</v>
      </c>
      <c r="F22" s="780">
        <f ca="1">SUM(Результаты_УК!$M$25:'Результаты_УК'!$P$25)</f>
        <v>79863.475176899708</v>
      </c>
      <c r="G22" s="780">
        <f ca="1">SUM(Результаты_УК!$Q$25:'Результаты_УК'!$T$25)</f>
        <v>97333.374331372455</v>
      </c>
      <c r="H22" s="780">
        <f ca="1">SUM(Результаты_УК!$U$25:'Результаты_УК'!$X$25)</f>
        <v>511366.51276142686</v>
      </c>
      <c r="I22" s="780">
        <f ca="1">SUM(Результаты_УК!$Y$25:'Результаты_УК'!$AB$25)</f>
        <v>551965.09701024601</v>
      </c>
      <c r="J22" s="780">
        <f ca="1">SUM(Результаты_УК!$AC$25:'Результаты_УК'!$AF$25)</f>
        <v>587880.44383025623</v>
      </c>
      <c r="K22" s="780">
        <f ca="1">SUM(Результаты_УК!$AG$25:'Результаты_УК'!$AJ$25)</f>
        <v>527797.66661010298</v>
      </c>
      <c r="L22" s="780">
        <f ca="1">SUM(Результаты_УК!$AK$25:'Результаты_УК'!$AN$25)</f>
        <v>744916.91961261746</v>
      </c>
      <c r="M22" s="780">
        <f ca="1">SUM(Результаты_УК!$AO$25:'Результаты_УК'!$AR$25)</f>
        <v>4354417.0176108964</v>
      </c>
      <c r="N22" s="782">
        <f ca="1">Результаты_УК!$AT$25</f>
        <v>7503409.9231754271</v>
      </c>
    </row>
    <row r="23" spans="1:14" ht="11.25" customHeight="1" x14ac:dyDescent="0.2">
      <c r="A23" s="414"/>
      <c r="B23" s="706"/>
      <c r="C23" s="607"/>
      <c r="D23" s="651"/>
      <c r="E23" s="651"/>
      <c r="F23" s="651"/>
      <c r="G23" s="651"/>
      <c r="H23" s="651"/>
      <c r="I23" s="651"/>
      <c r="J23" s="651"/>
      <c r="K23" s="651"/>
      <c r="L23" s="651"/>
      <c r="M23" s="651"/>
      <c r="N23" s="652"/>
    </row>
    <row r="24" spans="1:14" ht="11.25" customHeight="1" x14ac:dyDescent="0.2">
      <c r="A24" s="636" t="str">
        <f>Результаты_УК!$A$27</f>
        <v>Проценты к уплате</v>
      </c>
      <c r="B24" s="810">
        <f ca="1">Результаты_УК!$B$27</f>
        <v>-151150.96098256807</v>
      </c>
      <c r="C24" s="829" t="str">
        <f>Результаты_УК!$C$27</f>
        <v>тыс. руб.</v>
      </c>
      <c r="D24" s="712">
        <f ca="1">SUM(Результаты_УК!$E$27:'Результаты_УК'!$H$27)</f>
        <v>-92258.077669422521</v>
      </c>
      <c r="E24" s="712">
        <f ca="1">SUM(Результаты_УК!$I$27:'Результаты_УК'!$L$27)</f>
        <v>-121860.48964559688</v>
      </c>
      <c r="F24" s="712">
        <f ca="1">SUM(Результаты_УК!$M$27:'Результаты_УК'!$P$27)</f>
        <v>-199517.82156753269</v>
      </c>
      <c r="G24" s="712">
        <f ca="1">SUM(Результаты_УК!$Q$27:'Результаты_УК'!$T$27)</f>
        <v>-320037.32665428321</v>
      </c>
      <c r="H24" s="712">
        <f ca="1">SUM(Результаты_УК!$U$27:'Результаты_УК'!$X$27)</f>
        <v>-328603.84795657924</v>
      </c>
      <c r="I24" s="712">
        <f ca="1">SUM(Результаты_УК!$Y$27:'Результаты_УК'!$AB$27)</f>
        <v>-262485.02991708985</v>
      </c>
      <c r="J24" s="712">
        <f ca="1">SUM(Результаты_УК!$AC$27:'Результаты_УК'!$AF$27)</f>
        <v>-188664.2317791052</v>
      </c>
      <c r="K24" s="712">
        <f ca="1">SUM(Результаты_УК!$AG$27:'Результаты_УК'!$AJ$27)</f>
        <v>-101248.96011285804</v>
      </c>
      <c r="L24" s="712">
        <f ca="1">SUM(Результаты_УК!$AK$27:'Результаты_УК'!$AN$27)</f>
        <v>-25903.696129775879</v>
      </c>
      <c r="M24" s="712">
        <f ca="1">SUM(Результаты_УК!$AO$27:'Результаты_УК'!$AR$27)</f>
        <v>-2.6193447411060332E-12</v>
      </c>
      <c r="N24" s="746">
        <f ca="1">Результаты_УК!$AT$27</f>
        <v>-1640579.4814322437</v>
      </c>
    </row>
    <row r="25" spans="1:14" ht="22.5" x14ac:dyDescent="0.2">
      <c r="A25" s="834" t="str">
        <f>Результаты_УК!$A$28</f>
        <v>Прибыль (убыток) от операционной деятельности</v>
      </c>
      <c r="B25" s="831">
        <f ca="1">Результаты_УК!$B$28</f>
        <v>1061906.3152566894</v>
      </c>
      <c r="C25" s="832" t="str">
        <f>Результаты_УК!$C$28</f>
        <v>тыс. руб.</v>
      </c>
      <c r="D25" s="780">
        <f ca="1">SUM(Результаты_УК!$E$28:'Результаты_УК'!$H$28)</f>
        <v>-89782.997119722742</v>
      </c>
      <c r="E25" s="780">
        <f ca="1">SUM(Результаты_УК!$I$28:'Результаты_УК'!$L$28)</f>
        <v>-76466.153963686884</v>
      </c>
      <c r="F25" s="780">
        <f ca="1">SUM(Результаты_УК!$M$28:'Результаты_УК'!$P$28)</f>
        <v>-119654.34639063299</v>
      </c>
      <c r="G25" s="780">
        <f ca="1">SUM(Результаты_УК!$Q$28:'Результаты_УК'!$T$28)</f>
        <v>-222703.95232291077</v>
      </c>
      <c r="H25" s="780">
        <f ca="1">SUM(Результаты_УК!$U$28:'Результаты_УК'!$X$28)</f>
        <v>182762.66480484762</v>
      </c>
      <c r="I25" s="780">
        <f ca="1">SUM(Результаты_УК!$Y$28:'Результаты_УК'!$AB$28)</f>
        <v>289480.06709315622</v>
      </c>
      <c r="J25" s="780">
        <f ca="1">SUM(Результаты_УК!$AC$28:'Результаты_УК'!$AF$28)</f>
        <v>399216.21205115109</v>
      </c>
      <c r="K25" s="780">
        <f ca="1">SUM(Результаты_УК!$AG$28:'Результаты_УК'!$AJ$28)</f>
        <v>426548.70649724489</v>
      </c>
      <c r="L25" s="780">
        <f ca="1">SUM(Результаты_УК!$AK$28:'Результаты_УК'!$AN$28)</f>
        <v>719013.22348284139</v>
      </c>
      <c r="M25" s="780">
        <f ca="1">SUM(Результаты_УК!$AO$28:'Результаты_УК'!$AR$28)</f>
        <v>4354417.0176108964</v>
      </c>
      <c r="N25" s="782">
        <f ca="1">Результаты_УК!$AT$28</f>
        <v>5862830.4417431839</v>
      </c>
    </row>
    <row r="26" spans="1:14" ht="11.25" customHeight="1" x14ac:dyDescent="0.2">
      <c r="A26" s="398"/>
      <c r="B26" s="706"/>
      <c r="C26" s="607"/>
      <c r="D26" s="651"/>
      <c r="E26" s="651"/>
      <c r="F26" s="651"/>
      <c r="G26" s="651"/>
      <c r="H26" s="651"/>
      <c r="I26" s="651"/>
      <c r="J26" s="651"/>
      <c r="K26" s="651"/>
      <c r="L26" s="651"/>
      <c r="M26" s="651"/>
      <c r="N26" s="652"/>
    </row>
    <row r="27" spans="1:14" ht="11.25" customHeight="1" x14ac:dyDescent="0.2">
      <c r="A27" s="636" t="str">
        <f>Результаты_УК!$A$30</f>
        <v>Доходы от реализации внеоборотных активов</v>
      </c>
      <c r="B27" s="810">
        <f ca="1">Результаты_УК!$B$30</f>
        <v>0</v>
      </c>
      <c r="C27" s="829" t="str">
        <f>Результаты_УК!$C$30</f>
        <v>тыс. руб.</v>
      </c>
      <c r="D27" s="712">
        <f>SUM(Результаты_УК!$E$30:'Результаты_УК'!$H$30)</f>
        <v>0</v>
      </c>
      <c r="E27" s="712">
        <f>SUM(Результаты_УК!$I$30:'Результаты_УК'!$L$30)</f>
        <v>0</v>
      </c>
      <c r="F27" s="712">
        <f>SUM(Результаты_УК!$M$30:'Результаты_УК'!$P$30)</f>
        <v>0</v>
      </c>
      <c r="G27" s="712">
        <f>SUM(Результаты_УК!$Q$30:'Результаты_УК'!$T$30)</f>
        <v>0</v>
      </c>
      <c r="H27" s="712">
        <f>SUM(Результаты_УК!$U$30:'Результаты_УК'!$X$30)</f>
        <v>0</v>
      </c>
      <c r="I27" s="712">
        <f>SUM(Результаты_УК!$Y$30:'Результаты_УК'!$AB$30)</f>
        <v>0</v>
      </c>
      <c r="J27" s="712">
        <f>SUM(Результаты_УК!$AC$30:'Результаты_УК'!$AF$30)</f>
        <v>0</v>
      </c>
      <c r="K27" s="712">
        <f>SUM(Результаты_УК!$AG$30:'Результаты_УК'!$AJ$30)</f>
        <v>0</v>
      </c>
      <c r="L27" s="712">
        <f>SUM(Результаты_УК!$AK$30:'Результаты_УК'!$AN$30)</f>
        <v>0</v>
      </c>
      <c r="M27" s="712">
        <f>SUM(Результаты_УК!$AO$30:'Результаты_УК'!$AR$30)</f>
        <v>0</v>
      </c>
      <c r="N27" s="746">
        <f>Результаты_УК!$AT$30</f>
        <v>0</v>
      </c>
    </row>
    <row r="28" spans="1:14" ht="11.25" customHeight="1" x14ac:dyDescent="0.2">
      <c r="A28" s="636" t="str">
        <f>Результаты_УК!$A$31</f>
        <v>Курсовые разницы</v>
      </c>
      <c r="B28" s="810">
        <f ca="1">Результаты_УК!$B$31</f>
        <v>-1.940255363782247E-10</v>
      </c>
      <c r="C28" s="829" t="str">
        <f>Результаты_УК!$C$31</f>
        <v>тыс. руб.</v>
      </c>
      <c r="D28" s="712">
        <f ca="1">SUM(Результаты_УК!$E$31:'Результаты_УК'!$H$31)</f>
        <v>-1.4551915228366852E-11</v>
      </c>
      <c r="E28" s="712">
        <f ca="1">SUM(Результаты_УК!$I$31:'Результаты_УК'!$L$31)</f>
        <v>-1.4551915228366852E-11</v>
      </c>
      <c r="F28" s="712">
        <f ca="1">SUM(Результаты_УК!$M$31:'Результаты_УК'!$P$31)</f>
        <v>-2.6193447411060333E-10</v>
      </c>
      <c r="G28" s="712">
        <f ca="1">SUM(Результаты_УК!$Q$31:'Результаты_УК'!$T$31)</f>
        <v>-8.7311491370201111E-10</v>
      </c>
      <c r="H28" s="712">
        <f ca="1">SUM(Результаты_УК!$U$31:'Результаты_УК'!$X$31)</f>
        <v>2.3283064365386963E-10</v>
      </c>
      <c r="I28" s="712">
        <f ca="1">SUM(Результаты_УК!$Y$31:'Результаты_УК'!$AB$31)</f>
        <v>-4.6566128730773926E-10</v>
      </c>
      <c r="J28" s="712">
        <f ca="1">SUM(Результаты_УК!$AC$31:'Результаты_УК'!$AF$31)</f>
        <v>0</v>
      </c>
      <c r="K28" s="712">
        <f ca="1">SUM(Результаты_УК!$AG$31:'Результаты_УК'!$AJ$31)</f>
        <v>-9.3132257461547852E-10</v>
      </c>
      <c r="L28" s="712">
        <f ca="1">SUM(Результаты_УК!$AK$31:'Результаты_УК'!$AN$31)</f>
        <v>0</v>
      </c>
      <c r="M28" s="712">
        <f ca="1">SUM(Результаты_УК!$AO$31:'Результаты_УК'!$AR$31)</f>
        <v>0</v>
      </c>
      <c r="N28" s="746">
        <f ca="1">Результаты_УК!$AT$31</f>
        <v>-2.3283064365386963E-9</v>
      </c>
    </row>
    <row r="29" spans="1:14" ht="11.25" customHeight="1" x14ac:dyDescent="0.2">
      <c r="A29" s="636" t="str">
        <f>Результаты_УК!$A$32</f>
        <v>Прочие доходы</v>
      </c>
      <c r="B29" s="810">
        <f ca="1">Результаты_УК!$B$32</f>
        <v>0</v>
      </c>
      <c r="C29" s="829" t="str">
        <f>Результаты_УК!$C$32</f>
        <v>тыс. руб.</v>
      </c>
      <c r="D29" s="712">
        <f>SUM(Результаты_УК!$E$32:'Результаты_УК'!$H$32)</f>
        <v>0</v>
      </c>
      <c r="E29" s="712">
        <f>SUM(Результаты_УК!$I$32:'Результаты_УК'!$L$32)</f>
        <v>0</v>
      </c>
      <c r="F29" s="712">
        <f>SUM(Результаты_УК!$M$32:'Результаты_УК'!$P$32)</f>
        <v>0</v>
      </c>
      <c r="G29" s="712">
        <f>SUM(Результаты_УК!$Q$32:'Результаты_УК'!$T$32)</f>
        <v>0</v>
      </c>
      <c r="H29" s="712">
        <f>SUM(Результаты_УК!$U$32:'Результаты_УК'!$X$32)</f>
        <v>0</v>
      </c>
      <c r="I29" s="712">
        <f>SUM(Результаты_УК!$Y$32:'Результаты_УК'!$AB$32)</f>
        <v>0</v>
      </c>
      <c r="J29" s="712">
        <f>SUM(Результаты_УК!$AC$32:'Результаты_УК'!$AF$32)</f>
        <v>0</v>
      </c>
      <c r="K29" s="712">
        <f>SUM(Результаты_УК!$AG$32:'Результаты_УК'!$AJ$32)</f>
        <v>0</v>
      </c>
      <c r="L29" s="712">
        <f>SUM(Результаты_УК!$AK$32:'Результаты_УК'!$AN$32)</f>
        <v>0</v>
      </c>
      <c r="M29" s="712">
        <f>SUM(Результаты_УК!$AO$32:'Результаты_УК'!$AR$32)</f>
        <v>0</v>
      </c>
      <c r="N29" s="746">
        <f>Результаты_УК!$AT$32</f>
        <v>0</v>
      </c>
    </row>
    <row r="30" spans="1:14" ht="11.25" customHeight="1" x14ac:dyDescent="0.2">
      <c r="A30" s="636" t="str">
        <f>Результаты_УК!$A$33</f>
        <v>Прочие расходы</v>
      </c>
      <c r="B30" s="810">
        <f ca="1">Результаты_УК!$B$33</f>
        <v>0</v>
      </c>
      <c r="C30" s="829" t="str">
        <f>Результаты_УК!$C$33</f>
        <v>тыс. руб.</v>
      </c>
      <c r="D30" s="712">
        <f>SUM(Результаты_УК!$E$33:'Результаты_УК'!$H$33)</f>
        <v>0</v>
      </c>
      <c r="E30" s="712">
        <f>SUM(Результаты_УК!$I$33:'Результаты_УК'!$L$33)</f>
        <v>0</v>
      </c>
      <c r="F30" s="712">
        <f>SUM(Результаты_УК!$M$33:'Результаты_УК'!$P$33)</f>
        <v>0</v>
      </c>
      <c r="G30" s="712">
        <f>SUM(Результаты_УК!$Q$33:'Результаты_УК'!$T$33)</f>
        <v>0</v>
      </c>
      <c r="H30" s="712">
        <f>SUM(Результаты_УК!$U$33:'Результаты_УК'!$X$33)</f>
        <v>0</v>
      </c>
      <c r="I30" s="712">
        <f>SUM(Результаты_УК!$Y$33:'Результаты_УК'!$AB$33)</f>
        <v>0</v>
      </c>
      <c r="J30" s="712">
        <f>SUM(Результаты_УК!$AC$33:'Результаты_УК'!$AF$33)</f>
        <v>0</v>
      </c>
      <c r="K30" s="712">
        <f>SUM(Результаты_УК!$AG$33:'Результаты_УК'!$AJ$33)</f>
        <v>0</v>
      </c>
      <c r="L30" s="712">
        <f>SUM(Результаты_УК!$AK$33:'Результаты_УК'!$AN$33)</f>
        <v>0</v>
      </c>
      <c r="M30" s="712">
        <f>SUM(Результаты_УК!$AO$33:'Результаты_УК'!$AR$33)</f>
        <v>0</v>
      </c>
      <c r="N30" s="746">
        <f>Результаты_УК!$AT$33</f>
        <v>0</v>
      </c>
    </row>
    <row r="31" spans="1:14" ht="22.5" x14ac:dyDescent="0.2">
      <c r="A31" s="834" t="str">
        <f>Результаты_УК!$A$34</f>
        <v>Прибыль до налогообложения (по бухгалтерскому учету)</v>
      </c>
      <c r="B31" s="831">
        <f ca="1">Результаты_УК!$B$34</f>
        <v>1061906.3152566894</v>
      </c>
      <c r="C31" s="832" t="str">
        <f>Результаты_УК!$C$34</f>
        <v>тыс. руб.</v>
      </c>
      <c r="D31" s="780">
        <f ca="1">SUM(Результаты_УК!$E$34:'Результаты_УК'!$H$34)</f>
        <v>-89782.997119722757</v>
      </c>
      <c r="E31" s="780">
        <f ca="1">SUM(Результаты_УК!$I$34:'Результаты_УК'!$L$34)</f>
        <v>-76466.153963686898</v>
      </c>
      <c r="F31" s="780">
        <f ca="1">SUM(Результаты_УК!$M$34:'Результаты_УК'!$P$34)</f>
        <v>-119654.34639063325</v>
      </c>
      <c r="G31" s="780">
        <f ca="1">SUM(Результаты_УК!$Q$34:'Результаты_УК'!$T$34)</f>
        <v>-222703.95232291165</v>
      </c>
      <c r="H31" s="780">
        <f ca="1">SUM(Результаты_УК!$U$34:'Результаты_УК'!$X$34)</f>
        <v>182762.66480484785</v>
      </c>
      <c r="I31" s="780">
        <f ca="1">SUM(Результаты_УК!$Y$34:'Результаты_УК'!$AB$34)</f>
        <v>289480.06709315575</v>
      </c>
      <c r="J31" s="780">
        <f ca="1">SUM(Результаты_УК!$AC$34:'Результаты_УК'!$AF$34)</f>
        <v>399216.21205115109</v>
      </c>
      <c r="K31" s="780">
        <f ca="1">SUM(Результаты_УК!$AG$34:'Результаты_УК'!$AJ$34)</f>
        <v>426548.70649724395</v>
      </c>
      <c r="L31" s="780">
        <f ca="1">SUM(Результаты_УК!$AK$34:'Результаты_УК'!$AN$34)</f>
        <v>719013.22348284139</v>
      </c>
      <c r="M31" s="780">
        <f ca="1">SUM(Результаты_УК!$AO$34:'Результаты_УК'!$AR$34)</f>
        <v>4354417.0176108964</v>
      </c>
      <c r="N31" s="782">
        <f ca="1">Результаты_УК!$AT$34</f>
        <v>5862830.441743182</v>
      </c>
    </row>
    <row r="32" spans="1:14" ht="11.25" customHeight="1" x14ac:dyDescent="0.2">
      <c r="A32" s="636" t="str">
        <f>Результаты_УК!$A$35</f>
        <v>Налог на прибыль</v>
      </c>
      <c r="B32" s="810">
        <f ca="1">Результаты_УК!$B$35</f>
        <v>-192706.29518529784</v>
      </c>
      <c r="C32" s="829" t="str">
        <f>Результаты_УК!$C$35</f>
        <v>тыс. руб.</v>
      </c>
      <c r="D32" s="712">
        <f ca="1">SUM(Результаты_УК!$E$35:'Результаты_УК'!$H$35)</f>
        <v>0</v>
      </c>
      <c r="E32" s="712">
        <f ca="1">SUM(Результаты_УК!$I$35:'Результаты_УК'!$L$35)</f>
        <v>0</v>
      </c>
      <c r="F32" s="712">
        <f ca="1">SUM(Результаты_УК!$M$35:'Результаты_УК'!$P$35)</f>
        <v>0</v>
      </c>
      <c r="G32" s="712">
        <f ca="1">SUM(Результаты_УК!$Q$35:'Результаты_УК'!$T$35)</f>
        <v>0</v>
      </c>
      <c r="H32" s="712">
        <f ca="1">SUM(Результаты_УК!$U$35:'Результаты_УК'!$X$35)</f>
        <v>0</v>
      </c>
      <c r="I32" s="712">
        <f ca="1">SUM(Результаты_УК!$Y$35:'Результаты_УК'!$AB$35)</f>
        <v>0</v>
      </c>
      <c r="J32" s="712">
        <f ca="1">SUM(Результаты_УК!$AC$35:'Результаты_УК'!$AF$35)</f>
        <v>-56241.981593591016</v>
      </c>
      <c r="K32" s="712">
        <f ca="1">SUM(Результаты_УК!$AG$35:'Результаты_УК'!$AJ$35)</f>
        <v>-85309.741299448797</v>
      </c>
      <c r="L32" s="712">
        <f ca="1">SUM(Результаты_УК!$AK$35:'Результаты_УК'!$AN$35)</f>
        <v>-143802.64469656828</v>
      </c>
      <c r="M32" s="712">
        <f ca="1">SUM(Результаты_УК!$AO$35:'Результаты_УК'!$AR$35)</f>
        <v>-870883.40352217911</v>
      </c>
      <c r="N32" s="746">
        <f ca="1">Результаты_УК!$AT$35</f>
        <v>-1156237.7711117871</v>
      </c>
    </row>
    <row r="33" spans="1:14" ht="11.25" customHeight="1" x14ac:dyDescent="0.2">
      <c r="A33" s="633" t="str">
        <f>Результаты_УК!$A$36</f>
        <v>Чистая прибыль (убыток)</v>
      </c>
      <c r="B33" s="811">
        <f ca="1">Результаты_УК!$B$36</f>
        <v>869200.02007139148</v>
      </c>
      <c r="C33" s="828" t="str">
        <f>Результаты_УК!$C$36</f>
        <v>тыс. руб.</v>
      </c>
      <c r="D33" s="780">
        <f ca="1">SUM(Результаты_УК!$E$36:'Результаты_УК'!$H$36)</f>
        <v>-89782.997119722757</v>
      </c>
      <c r="E33" s="780">
        <f ca="1">SUM(Результаты_УК!$I$36:'Результаты_УК'!$L$36)</f>
        <v>-76466.153963686898</v>
      </c>
      <c r="F33" s="780">
        <f ca="1">SUM(Результаты_УК!$M$36:'Результаты_УК'!$P$36)</f>
        <v>-119654.34639063325</v>
      </c>
      <c r="G33" s="780">
        <f ca="1">SUM(Результаты_УК!$Q$36:'Результаты_УК'!$T$36)</f>
        <v>-222703.95232291165</v>
      </c>
      <c r="H33" s="780">
        <f ca="1">SUM(Результаты_УК!$U$36:'Результаты_УК'!$X$36)</f>
        <v>182762.66480484785</v>
      </c>
      <c r="I33" s="780">
        <f ca="1">SUM(Результаты_УК!$Y$36:'Результаты_УК'!$AB$36)</f>
        <v>289480.06709315575</v>
      </c>
      <c r="J33" s="780">
        <f ca="1">SUM(Результаты_УК!$AC$36:'Результаты_УК'!$AF$36)</f>
        <v>342974.23045756004</v>
      </c>
      <c r="K33" s="780">
        <f ca="1">SUM(Результаты_УК!$AG$36:'Результаты_УК'!$AJ$36)</f>
        <v>341238.96519779519</v>
      </c>
      <c r="L33" s="780">
        <f ca="1">SUM(Результаты_УК!$AK$36:'Результаты_УК'!$AN$36)</f>
        <v>575210.57878627325</v>
      </c>
      <c r="M33" s="780">
        <f ca="1">SUM(Результаты_УК!$AO$36:'Результаты_УК'!$AR$36)</f>
        <v>3483533.6140887169</v>
      </c>
      <c r="N33" s="782">
        <f ca="1">Результаты_УК!$AT$36</f>
        <v>4706592.6706313938</v>
      </c>
    </row>
    <row r="34" spans="1:14" ht="11.25" customHeight="1" x14ac:dyDescent="0.2">
      <c r="A34" s="398"/>
      <c r="B34" s="706"/>
      <c r="C34" s="607"/>
      <c r="D34" s="651"/>
      <c r="E34" s="651"/>
      <c r="F34" s="651"/>
      <c r="G34" s="651"/>
      <c r="H34" s="651"/>
      <c r="I34" s="651"/>
      <c r="J34" s="651"/>
      <c r="K34" s="651"/>
      <c r="L34" s="651"/>
      <c r="M34" s="651"/>
      <c r="N34" s="652"/>
    </row>
    <row r="35" spans="1:14" ht="11.25" customHeight="1" x14ac:dyDescent="0.2">
      <c r="A35" s="636" t="str">
        <f>Результаты_УК!$A$38</f>
        <v>Нераспределенная чистая прибыль за период</v>
      </c>
      <c r="B35" s="810">
        <f ca="1">Результаты_УК!$B$38</f>
        <v>869200.02007139148</v>
      </c>
      <c r="C35" s="829" t="str">
        <f>Результаты_УК!$C$38</f>
        <v>тыс. руб.</v>
      </c>
      <c r="D35" s="712">
        <f ca="1">SUM(Результаты_УК!$E$38:'Результаты_УК'!$H$38)</f>
        <v>-89782.997119722757</v>
      </c>
      <c r="E35" s="712">
        <f ca="1">SUM(Результаты_УК!$I$38:'Результаты_УК'!$L$38)</f>
        <v>-76466.153963686898</v>
      </c>
      <c r="F35" s="712">
        <f ca="1">SUM(Результаты_УК!$M$38:'Результаты_УК'!$P$38)</f>
        <v>-119654.34639063325</v>
      </c>
      <c r="G35" s="712">
        <f ca="1">SUM(Результаты_УК!$Q$38:'Результаты_УК'!$T$38)</f>
        <v>-222703.95232291165</v>
      </c>
      <c r="H35" s="712">
        <f ca="1">SUM(Результаты_УК!$U$38:'Результаты_УК'!$X$38)</f>
        <v>182762.66480484785</v>
      </c>
      <c r="I35" s="712">
        <f ca="1">SUM(Результаты_УК!$Y$38:'Результаты_УК'!$AB$38)</f>
        <v>289480.06709315575</v>
      </c>
      <c r="J35" s="712">
        <f ca="1">SUM(Результаты_УК!$AC$38:'Результаты_УК'!$AF$38)</f>
        <v>342974.23045756004</v>
      </c>
      <c r="K35" s="712">
        <f ca="1">SUM(Результаты_УК!$AG$38:'Результаты_УК'!$AJ$38)</f>
        <v>341238.96519779519</v>
      </c>
      <c r="L35" s="712">
        <f ca="1">SUM(Результаты_УК!$AK$38:'Результаты_УК'!$AN$38)</f>
        <v>575210.57878627325</v>
      </c>
      <c r="M35" s="712">
        <f ca="1">SUM(Результаты_УК!$AO$38:'Результаты_УК'!$AR$38)</f>
        <v>3483533.6140887169</v>
      </c>
      <c r="N35" s="744">
        <f ca="1">Результаты_УК!$AT$38</f>
        <v>4706592.6706313938</v>
      </c>
    </row>
    <row r="36" spans="1:14" ht="22.5" x14ac:dyDescent="0.2">
      <c r="A36" s="754" t="str">
        <f>Результаты_УК!$A$39</f>
        <v>нераспределеная чистая прибыль нарастающим итогом</v>
      </c>
      <c r="B36" s="810"/>
      <c r="C36" s="835" t="str">
        <f>Результаты_УК!$C$39</f>
        <v>тыс. руб.</v>
      </c>
      <c r="D36" s="750">
        <f ca="1">Результаты_УК!$H$39</f>
        <v>-89782.997119722757</v>
      </c>
      <c r="E36" s="750">
        <f ca="1">Результаты_УК!$L$39</f>
        <v>-166249.15108340967</v>
      </c>
      <c r="F36" s="750">
        <f ca="1">Результаты_УК!$P$39</f>
        <v>-285903.49747404293</v>
      </c>
      <c r="G36" s="750">
        <f ca="1">Результаты_УК!$T$39</f>
        <v>-508607.44979695452</v>
      </c>
      <c r="H36" s="750">
        <f ca="1">Результаты_УК!$X$39</f>
        <v>-325844.78499210661</v>
      </c>
      <c r="I36" s="750">
        <f ca="1">Результаты_УК!$AB$39</f>
        <v>-36364.717898950839</v>
      </c>
      <c r="J36" s="750">
        <f ca="1">Результаты_УК!$AF$39</f>
        <v>306609.51255860919</v>
      </c>
      <c r="K36" s="750">
        <f ca="1">Результаты_УК!$AJ$39</f>
        <v>647848.47775640432</v>
      </c>
      <c r="L36" s="750">
        <f ca="1">Результаты_УК!$AN$39</f>
        <v>1223059.0565426776</v>
      </c>
      <c r="M36" s="751">
        <f ca="1">Результаты_УК!$AR$39</f>
        <v>4706592.6706313938</v>
      </c>
      <c r="N36" s="724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11&amp;R&amp;"Arial,полужирный"&amp;10Проект создания ИП «Бугры» на территории Ленинградской области. Управляющая компания.
&amp;C&amp;"Arial,полужирный"&amp;13
ОТЧЕТ О ПРИБЫЛЯХ И УБЫТКАХ</oddHead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37"/>
  <dimension ref="A1:N33"/>
  <sheetViews>
    <sheetView workbookViewId="0"/>
  </sheetViews>
  <sheetFormatPr defaultRowHeight="12.75" x14ac:dyDescent="0.2"/>
  <cols>
    <col min="1" max="1" width="34" customWidth="1"/>
    <col min="2" max="2" width="10.85546875" customWidth="1"/>
    <col min="3" max="3" width="8.140625" customWidth="1"/>
    <col min="4" max="5" width="7.85546875" customWidth="1"/>
    <col min="6" max="7" width="8.140625" customWidth="1"/>
    <col min="8" max="12" width="7.85546875" customWidth="1"/>
    <col min="13" max="14" width="8.5703125" customWidth="1"/>
  </cols>
  <sheetData>
    <row r="1" spans="1:14" s="301" customFormat="1" ht="26.1" customHeight="1" x14ac:dyDescent="0.2">
      <c r="A1" s="613" t="str">
        <f>Результаты_УК!$A$43</f>
        <v>ОТЧЕТ О ДВИЖЕНИИ ДЕНЕЖНЫХ СРЕДСТВ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Результаты_УК!$AT$43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9.5" customHeight="1" x14ac:dyDescent="0.2">
      <c r="A3" s="676"/>
      <c r="B3" s="827" t="str">
        <f>Результаты_УК!$B$45</f>
        <v>Среднегодовые
2024 - 2029</v>
      </c>
      <c r="C3" s="607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36" t="str">
        <f>Результаты_УК!$A$46</f>
        <v>Выручка от реализации</v>
      </c>
      <c r="B4" s="810">
        <f ca="1">Результаты_УК!$B$46</f>
        <v>1110669.2614918312</v>
      </c>
      <c r="C4" s="829" t="str">
        <f>Результаты_УК!$C$46</f>
        <v>тыс. руб.</v>
      </c>
      <c r="D4" s="712">
        <f ca="1">SUM(Результаты_УК!$E$46:'Результаты_УК'!$H$46)</f>
        <v>71985.731484157615</v>
      </c>
      <c r="E4" s="712">
        <f ca="1">SUM(Результаты_УК!$I$46:'Результаты_УК'!$L$46)</f>
        <v>170096.9521725284</v>
      </c>
      <c r="F4" s="712">
        <f ca="1">SUM(Результаты_УК!$M$46:'Результаты_УК'!$P$46)</f>
        <v>276446.13858497184</v>
      </c>
      <c r="G4" s="712">
        <f ca="1">SUM(Результаты_УК!$Q$46:'Результаты_УК'!$T$46)</f>
        <v>341108.0845154234</v>
      </c>
      <c r="H4" s="712">
        <f ca="1">SUM(Результаты_УК!$U$46:'Результаты_УК'!$X$46)</f>
        <v>1109593.5174396287</v>
      </c>
      <c r="I4" s="712">
        <f ca="1">SUM(Результаты_УК!$Y$46:'Результаты_УК'!$AB$46)</f>
        <v>1165518.179573376</v>
      </c>
      <c r="J4" s="712">
        <f ca="1">SUM(Результаты_УК!$AC$46:'Результаты_УК'!$AF$46)</f>
        <v>1216145.7995948053</v>
      </c>
      <c r="K4" s="712">
        <f ca="1">SUM(Результаты_УК!$AG$46:'Результаты_УК'!$AJ$46)</f>
        <v>1268986.8162293211</v>
      </c>
      <c r="L4" s="712">
        <f ca="1">SUM(Результаты_УК!$AK$46:'Результаты_УК'!$AN$46)</f>
        <v>1273186.2045148436</v>
      </c>
      <c r="M4" s="712">
        <f ca="1">SUM(Результаты_УК!$AO$46:'Результаты_УК'!$AR$46)</f>
        <v>630585.05159901245</v>
      </c>
      <c r="N4" s="746">
        <f ca="1">Результаты_УК!$AT$46</f>
        <v>7523652.4757080674</v>
      </c>
    </row>
    <row r="5" spans="1:14" ht="11.25" customHeight="1" x14ac:dyDescent="0.2">
      <c r="A5" s="636" t="str">
        <f>Результаты_УК!$A$47</f>
        <v>Оплата материалов и комплектующих</v>
      </c>
      <c r="B5" s="810">
        <f ca="1">Результаты_УК!$B$47</f>
        <v>0</v>
      </c>
      <c r="C5" s="829" t="str">
        <f>Результаты_УК!$C$47</f>
        <v>тыс. руб.</v>
      </c>
      <c r="D5" s="712">
        <f>SUM(Результаты_УК!$E$47:'Результаты_УК'!$H$47)</f>
        <v>0</v>
      </c>
      <c r="E5" s="712">
        <f>SUM(Результаты_УК!$I$47:'Результаты_УК'!$L$47)</f>
        <v>0</v>
      </c>
      <c r="F5" s="712">
        <f>SUM(Результаты_УК!$M$47:'Результаты_УК'!$P$47)</f>
        <v>0</v>
      </c>
      <c r="G5" s="712">
        <f>SUM(Результаты_УК!$Q$47:'Результаты_УК'!$T$47)</f>
        <v>0</v>
      </c>
      <c r="H5" s="712">
        <f>SUM(Результаты_УК!$U$47:'Результаты_УК'!$X$47)</f>
        <v>0</v>
      </c>
      <c r="I5" s="712">
        <f>SUM(Результаты_УК!$Y$47:'Результаты_УК'!$AB$47)</f>
        <v>0</v>
      </c>
      <c r="J5" s="712">
        <f>SUM(Результаты_УК!$AC$47:'Результаты_УК'!$AF$47)</f>
        <v>0</v>
      </c>
      <c r="K5" s="712">
        <f>SUM(Результаты_УК!$AG$47:'Результаты_УК'!$AJ$47)</f>
        <v>0</v>
      </c>
      <c r="L5" s="712">
        <f>SUM(Результаты_УК!$AK$47:'Результаты_УК'!$AN$47)</f>
        <v>0</v>
      </c>
      <c r="M5" s="712">
        <f>SUM(Результаты_УК!$AO$47:'Результаты_УК'!$AR$47)</f>
        <v>0</v>
      </c>
      <c r="N5" s="746">
        <f>Результаты_УК!$AT$47</f>
        <v>0</v>
      </c>
    </row>
    <row r="6" spans="1:14" ht="11.25" customHeight="1" x14ac:dyDescent="0.2">
      <c r="A6" s="636" t="str">
        <f>Результаты_УК!$A$48</f>
        <v>Заработная плата</v>
      </c>
      <c r="B6" s="810">
        <f ca="1">Результаты_УК!$B$48</f>
        <v>-33922.484438441112</v>
      </c>
      <c r="C6" s="829" t="str">
        <f>Результаты_УК!$C$48</f>
        <v>тыс. руб.</v>
      </c>
      <c r="D6" s="712">
        <f ca="1">SUM(Результаты_УК!$E$48:'Результаты_УК'!$H$48)</f>
        <v>-5003.7654999999995</v>
      </c>
      <c r="E6" s="712">
        <f ca="1">SUM(Результаты_УК!$I$48:'Результаты_УК'!$L$48)</f>
        <v>-14530.876579993983</v>
      </c>
      <c r="F6" s="712">
        <f ca="1">SUM(Результаты_УК!$M$48:'Результаты_УК'!$P$48)</f>
        <v>-22620.998769057234</v>
      </c>
      <c r="G6" s="712">
        <f ca="1">SUM(Результаты_УК!$Q$48:'Результаты_УК'!$T$48)</f>
        <v>-26731.725367879026</v>
      </c>
      <c r="H6" s="712">
        <f ca="1">SUM(Результаты_УК!$U$48:'Результаты_УК'!$X$48)</f>
        <v>-28569.302746880399</v>
      </c>
      <c r="I6" s="712">
        <f ca="1">SUM(Результаты_УК!$Y$48:'Результаты_УК'!$AB$48)</f>
        <v>-30548.430939337177</v>
      </c>
      <c r="J6" s="712">
        <f ca="1">SUM(Результаты_УК!$AC$48:'Результаты_УК'!$AF$48)</f>
        <v>-32640.562629110005</v>
      </c>
      <c r="K6" s="712">
        <f ca="1">SUM(Результаты_УК!$AG$48:'Результаты_УК'!$AJ$48)</f>
        <v>-34858.107988351316</v>
      </c>
      <c r="L6" s="712">
        <f ca="1">SUM(Результаты_УК!$AK$48:'Результаты_УК'!$AN$48)</f>
        <v>-37212.845827169789</v>
      </c>
      <c r="M6" s="712">
        <f ca="1">SUM(Результаты_УК!$AO$48:'Результаты_УК'!$AR$48)</f>
        <v>-39705.656499797951</v>
      </c>
      <c r="N6" s="746">
        <f ca="1">Результаты_УК!$AT$48</f>
        <v>-272422.27284757694</v>
      </c>
    </row>
    <row r="7" spans="1:14" ht="11.25" customHeight="1" x14ac:dyDescent="0.2">
      <c r="A7" s="636" t="str">
        <f>Результаты_УК!$A$49</f>
        <v>Постоянные издержки</v>
      </c>
      <c r="B7" s="810">
        <f ca="1">Результаты_УК!$B$49</f>
        <v>-103679.34441424704</v>
      </c>
      <c r="C7" s="829" t="str">
        <f>Результаты_УК!$C$49</f>
        <v>тыс. руб.</v>
      </c>
      <c r="D7" s="712">
        <f ca="1">SUM(Результаты_УК!$E$49:'Результаты_УК'!$H$49)</f>
        <v>-16103.47098745843</v>
      </c>
      <c r="E7" s="712">
        <f ca="1">SUM(Результаты_УК!$I$49:'Результаты_УК'!$L$49)</f>
        <v>-24375.371976645736</v>
      </c>
      <c r="F7" s="712">
        <f ca="1">SUM(Результаты_УК!$M$49:'Результаты_УК'!$P$49)</f>
        <v>-33735.498278289051</v>
      </c>
      <c r="G7" s="712">
        <f ca="1">SUM(Результаты_УК!$Q$49:'Результаты_УК'!$T$49)</f>
        <v>-39960.120469281566</v>
      </c>
      <c r="H7" s="712">
        <f ca="1">SUM(Результаты_УК!$U$49:'Результаты_УК'!$X$49)</f>
        <v>-102238.13607144929</v>
      </c>
      <c r="I7" s="712">
        <f ca="1">SUM(Результаты_УК!$Y$49:'Результаты_УК'!$AB$49)</f>
        <v>-106334.82726360938</v>
      </c>
      <c r="J7" s="712">
        <f ca="1">SUM(Результаты_УК!$AC$49:'Результаты_УК'!$AF$49)</f>
        <v>-110577.63534376514</v>
      </c>
      <c r="K7" s="712">
        <f ca="1">SUM(Результаты_УК!$AG$49:'Результаты_УК'!$AJ$49)</f>
        <v>-114981.25641176247</v>
      </c>
      <c r="L7" s="712">
        <f ca="1">SUM(Результаты_УК!$AK$49:'Результаты_УК'!$AN$49)</f>
        <v>-116197.44339569111</v>
      </c>
      <c r="M7" s="712">
        <f ca="1">SUM(Результаты_УК!$AO$49:'Результаты_УК'!$AR$49)</f>
        <v>-71746.767999204953</v>
      </c>
      <c r="N7" s="746">
        <f ca="1">Результаты_УК!$AT$49</f>
        <v>-736250.52819715696</v>
      </c>
    </row>
    <row r="8" spans="1:14" ht="11.25" customHeight="1" x14ac:dyDescent="0.2">
      <c r="A8" s="636" t="str">
        <f>Результаты_УК!$A$50</f>
        <v>Налоги</v>
      </c>
      <c r="B8" s="810">
        <f ca="1">Результаты_УК!$B$50</f>
        <v>-462107.23525354057</v>
      </c>
      <c r="C8" s="829" t="str">
        <f>Результаты_УК!$C$50</f>
        <v>тыс. руб.</v>
      </c>
      <c r="D8" s="712">
        <f ca="1">SUM(Результаты_УК!$E$50:'Результаты_УК'!$H$50)</f>
        <v>-7958.1041542871762</v>
      </c>
      <c r="E8" s="712">
        <f ca="1">SUM(Результаты_УК!$I$50:'Результаты_УК'!$L$50)</f>
        <v>-14721.602991222195</v>
      </c>
      <c r="F8" s="712">
        <f ca="1">SUM(Результаты_УК!$M$50:'Результаты_УК'!$P$50)</f>
        <v>-12106.413891434666</v>
      </c>
      <c r="G8" s="712">
        <f ca="1">SUM(Результаты_УК!$Q$50:'Результаты_УК'!$T$50)</f>
        <v>-13400.105460326029</v>
      </c>
      <c r="H8" s="712">
        <f ca="1">SUM(Результаты_УК!$U$50:'Результаты_УК'!$X$50)</f>
        <v>-13960.59682148162</v>
      </c>
      <c r="I8" s="712">
        <f ca="1">SUM(Результаты_УК!$Y$50:'Результаты_УК'!$AB$50)</f>
        <v>-14564.65190469395</v>
      </c>
      <c r="J8" s="712">
        <f ca="1">SUM(Результаты_УК!$AC$50:'Результаты_УК'!$AF$50)</f>
        <v>-54347.972557567758</v>
      </c>
      <c r="K8" s="712">
        <f ca="1">SUM(Результаты_УК!$AG$50:'Результаты_УК'!$AJ$50)</f>
        <v>-168454.18181390071</v>
      </c>
      <c r="L8" s="712">
        <f ca="1">SUM(Результаты_УК!$AK$50:'Результаты_УК'!$AN$50)</f>
        <v>-245436.14621146355</v>
      </c>
      <c r="M8" s="712">
        <f ca="1">SUM(Результаты_УК!$AO$50:'Результаты_УК'!$AR$50)</f>
        <v>-2275879.8622121359</v>
      </c>
      <c r="N8" s="746">
        <f ca="1">Результаты_УК!$AT$50</f>
        <v>-2820829.6380185131</v>
      </c>
    </row>
    <row r="9" spans="1:14" ht="11.25" customHeight="1" x14ac:dyDescent="0.2">
      <c r="A9" s="637" t="str">
        <f>Результаты_УК!$A$51</f>
        <v>Выплата процентов по кредитам</v>
      </c>
      <c r="B9" s="811">
        <f ca="1">Результаты_УК!$B$51</f>
        <v>-151150.96098256807</v>
      </c>
      <c r="C9" s="828" t="str">
        <f>Результаты_УК!$C$51</f>
        <v>тыс. руб.</v>
      </c>
      <c r="D9" s="713">
        <f ca="1">SUM(Результаты_УК!$E$51:'Результаты_УК'!$H$51)</f>
        <v>-92258.077669422521</v>
      </c>
      <c r="E9" s="713">
        <f ca="1">SUM(Результаты_УК!$I$51:'Результаты_УК'!$L$51)</f>
        <v>-121860.48964559688</v>
      </c>
      <c r="F9" s="713">
        <f ca="1">SUM(Результаты_УК!$M$51:'Результаты_УК'!$P$51)</f>
        <v>-199517.82156753269</v>
      </c>
      <c r="G9" s="713">
        <f ca="1">SUM(Результаты_УК!$Q$51:'Результаты_УК'!$T$51)</f>
        <v>-320037.32665428321</v>
      </c>
      <c r="H9" s="713">
        <f ca="1">SUM(Результаты_УК!$U$51:'Результаты_УК'!$X$51)</f>
        <v>-328603.84795657924</v>
      </c>
      <c r="I9" s="713">
        <f ca="1">SUM(Результаты_УК!$Y$51:'Результаты_УК'!$AB$51)</f>
        <v>-262485.02991708985</v>
      </c>
      <c r="J9" s="713">
        <f ca="1">SUM(Результаты_УК!$AC$51:'Результаты_УК'!$AF$51)</f>
        <v>-188664.2317791052</v>
      </c>
      <c r="K9" s="713">
        <f ca="1">SUM(Результаты_УК!$AG$51:'Результаты_УК'!$AJ$51)</f>
        <v>-101248.96011285804</v>
      </c>
      <c r="L9" s="713">
        <f ca="1">SUM(Результаты_УК!$AK$51:'Результаты_УК'!$AN$51)</f>
        <v>-25903.696129775879</v>
      </c>
      <c r="M9" s="713">
        <f ca="1">SUM(Результаты_УК!$AO$51:'Результаты_УК'!$AR$51)</f>
        <v>-2.6193447411060332E-12</v>
      </c>
      <c r="N9" s="744">
        <f ca="1">Результаты_УК!$AT$51</f>
        <v>-1640579.4814322437</v>
      </c>
    </row>
    <row r="10" spans="1:14" ht="11.25" customHeight="1" x14ac:dyDescent="0.2">
      <c r="A10" s="636" t="str">
        <f>Результаты_УК!$A$53</f>
        <v>Прочие поступления</v>
      </c>
      <c r="B10" s="810">
        <f ca="1">Результаты_УК!$B$53</f>
        <v>0</v>
      </c>
      <c r="C10" s="829" t="str">
        <f>Результаты_УК!$C$53</f>
        <v>тыс. руб.</v>
      </c>
      <c r="D10" s="712">
        <f>SUM(Результаты_УК!$E$53:'Результаты_УК'!$H$53)</f>
        <v>0</v>
      </c>
      <c r="E10" s="712">
        <f>SUM(Результаты_УК!$I$53:'Результаты_УК'!$L$53)</f>
        <v>0</v>
      </c>
      <c r="F10" s="712">
        <f>SUM(Результаты_УК!$M$53:'Результаты_УК'!$P$53)</f>
        <v>0</v>
      </c>
      <c r="G10" s="712">
        <f>SUM(Результаты_УК!$Q$53:'Результаты_УК'!$T$53)</f>
        <v>0</v>
      </c>
      <c r="H10" s="712">
        <f>SUM(Результаты_УК!$U$53:'Результаты_УК'!$X$53)</f>
        <v>0</v>
      </c>
      <c r="I10" s="712">
        <f>SUM(Результаты_УК!$Y$53:'Результаты_УК'!$AB$53)</f>
        <v>0</v>
      </c>
      <c r="J10" s="712">
        <f>SUM(Результаты_УК!$AC$53:'Результаты_УК'!$AF$53)</f>
        <v>0</v>
      </c>
      <c r="K10" s="712">
        <f>SUM(Результаты_УК!$AG$53:'Результаты_УК'!$AJ$53)</f>
        <v>0</v>
      </c>
      <c r="L10" s="712">
        <f>SUM(Результаты_УК!$AK$53:'Результаты_УК'!$AN$53)</f>
        <v>0</v>
      </c>
      <c r="M10" s="712">
        <f>SUM(Результаты_УК!$AO$53:'Результаты_УК'!$AR$53)</f>
        <v>0</v>
      </c>
      <c r="N10" s="746">
        <f>Результаты_УК!$AT$53</f>
        <v>0</v>
      </c>
    </row>
    <row r="11" spans="1:14" ht="11.25" customHeight="1" x14ac:dyDescent="0.2">
      <c r="A11" s="637" t="str">
        <f>Результаты_УК!$A$54</f>
        <v>Прочие затраты</v>
      </c>
      <c r="B11" s="811">
        <f ca="1">Результаты_УК!$B$54</f>
        <v>0</v>
      </c>
      <c r="C11" s="828" t="str">
        <f>Результаты_УК!$C$54</f>
        <v>тыс. руб.</v>
      </c>
      <c r="D11" s="713">
        <f>SUM(Результаты_УК!$E$54:'Результаты_УК'!$H$54)</f>
        <v>0</v>
      </c>
      <c r="E11" s="713">
        <f>SUM(Результаты_УК!$I$54:'Результаты_УК'!$L$54)</f>
        <v>0</v>
      </c>
      <c r="F11" s="713">
        <f>SUM(Результаты_УК!$M$54:'Результаты_УК'!$P$54)</f>
        <v>0</v>
      </c>
      <c r="G11" s="713">
        <f>SUM(Результаты_УК!$Q$54:'Результаты_УК'!$T$54)</f>
        <v>0</v>
      </c>
      <c r="H11" s="713">
        <f>SUM(Результаты_УК!$U$54:'Результаты_УК'!$X$54)</f>
        <v>0</v>
      </c>
      <c r="I11" s="713">
        <f>SUM(Результаты_УК!$Y$54:'Результаты_УК'!$AB$54)</f>
        <v>0</v>
      </c>
      <c r="J11" s="713">
        <f>SUM(Результаты_УК!$AC$54:'Результаты_УК'!$AF$54)</f>
        <v>0</v>
      </c>
      <c r="K11" s="713">
        <f>SUM(Результаты_УК!$AG$54:'Результаты_УК'!$AJ$54)</f>
        <v>0</v>
      </c>
      <c r="L11" s="713">
        <f>SUM(Результаты_УК!$AK$54:'Результаты_УК'!$AN$54)</f>
        <v>0</v>
      </c>
      <c r="M11" s="713">
        <f>SUM(Результаты_УК!$AO$54:'Результаты_УК'!$AR$54)</f>
        <v>0</v>
      </c>
      <c r="N11" s="744">
        <f>Результаты_УК!$AT$54</f>
        <v>0</v>
      </c>
    </row>
    <row r="12" spans="1:14" ht="11.25" customHeight="1" x14ac:dyDescent="0.2">
      <c r="A12" s="398"/>
      <c r="B12" s="706"/>
      <c r="C12" s="607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2"/>
    </row>
    <row r="13" spans="1:14" ht="22.5" x14ac:dyDescent="0.2">
      <c r="A13" s="833" t="str">
        <f>Результаты_УК!$A$56</f>
        <v>Денежные потоки от операционной деятельности</v>
      </c>
      <c r="B13" s="810">
        <f ca="1">Результаты_УК!$B$56</f>
        <v>359809.23640303453</v>
      </c>
      <c r="C13" s="828" t="str">
        <f>Результаты_УК!$C$56</f>
        <v>тыс. руб.</v>
      </c>
      <c r="D13" s="780">
        <f ca="1">SUM(Результаты_УК!$E$56:'Результаты_УК'!$H$56)</f>
        <v>-49337.686827010475</v>
      </c>
      <c r="E13" s="780">
        <f ca="1">SUM(Результаты_УК!$I$56:'Результаты_УК'!$L$56)</f>
        <v>-5391.38902093039</v>
      </c>
      <c r="F13" s="780">
        <f ca="1">SUM(Результаты_УК!$M$56:'Результаты_УК'!$P$56)</f>
        <v>8465.4060786581613</v>
      </c>
      <c r="G13" s="780">
        <f ca="1">SUM(Результаты_УК!$Q$56:'Результаты_УК'!$T$56)</f>
        <v>-59021.193436346424</v>
      </c>
      <c r="H13" s="780">
        <f ca="1">SUM(Результаты_УК!$U$56:'Результаты_УК'!$X$56)</f>
        <v>636221.63384323823</v>
      </c>
      <c r="I13" s="780">
        <f ca="1">SUM(Результаты_УК!$Y$56:'Результаты_УК'!$AB$56)</f>
        <v>751585.23954864556</v>
      </c>
      <c r="J13" s="780">
        <f ca="1">SUM(Результаты_УК!$AC$56:'Результаты_УК'!$AF$56)</f>
        <v>829915.39728525712</v>
      </c>
      <c r="K13" s="780">
        <f ca="1">SUM(Результаты_УК!$AG$56:'Результаты_УК'!$AJ$56)</f>
        <v>849444.30990244867</v>
      </c>
      <c r="L13" s="780">
        <f ca="1">SUM(Результаты_УК!$AK$56:'Результаты_УК'!$AN$56)</f>
        <v>848436.07295074326</v>
      </c>
      <c r="M13" s="780">
        <f ca="1">SUM(Результаты_УК!$AO$56:'Результаты_УК'!$AR$56)</f>
        <v>-1756747.235112126</v>
      </c>
      <c r="N13" s="782">
        <f ca="1">Результаты_УК!$AT$56</f>
        <v>2053570.5552125778</v>
      </c>
    </row>
    <row r="14" spans="1:14" ht="11.25" customHeight="1" x14ac:dyDescent="0.2">
      <c r="A14" s="665"/>
      <c r="B14" s="836">
        <f ca="1">Результаты_УК!$B$57</f>
        <v>0</v>
      </c>
      <c r="C14" s="607"/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652"/>
    </row>
    <row r="15" spans="1:14" ht="11.25" customHeight="1" x14ac:dyDescent="0.2">
      <c r="A15" s="636" t="str">
        <f>Результаты_УК!$A$58</f>
        <v>Инвестиции в земельные участки</v>
      </c>
      <c r="B15" s="810">
        <f ca="1">Результаты_УК!$B$58</f>
        <v>0</v>
      </c>
      <c r="C15" s="829" t="str">
        <f>Результаты_УК!$C$58</f>
        <v>тыс. руб.</v>
      </c>
      <c r="D15" s="712">
        <f>SUM(Результаты_УК!$E$58:'Результаты_УК'!$H$58)</f>
        <v>0</v>
      </c>
      <c r="E15" s="712">
        <f>SUM(Результаты_УК!$I$58:'Результаты_УК'!$L$58)</f>
        <v>0</v>
      </c>
      <c r="F15" s="712">
        <f>SUM(Результаты_УК!$M$58:'Результаты_УК'!$P$58)</f>
        <v>0</v>
      </c>
      <c r="G15" s="712">
        <f>SUM(Результаты_УК!$Q$58:'Результаты_УК'!$T$58)</f>
        <v>0</v>
      </c>
      <c r="H15" s="712">
        <f>SUM(Результаты_УК!$U$58:'Результаты_УК'!$X$58)</f>
        <v>0</v>
      </c>
      <c r="I15" s="712">
        <f>SUM(Результаты_УК!$Y$58:'Результаты_УК'!$AB$58)</f>
        <v>0</v>
      </c>
      <c r="J15" s="712">
        <f>SUM(Результаты_УК!$AC$58:'Результаты_УК'!$AF$58)</f>
        <v>0</v>
      </c>
      <c r="K15" s="712">
        <f>SUM(Результаты_УК!$AG$58:'Результаты_УК'!$AJ$58)</f>
        <v>0</v>
      </c>
      <c r="L15" s="712">
        <f>SUM(Результаты_УК!$AK$58:'Результаты_УК'!$AN$58)</f>
        <v>0</v>
      </c>
      <c r="M15" s="712">
        <f>SUM(Результаты_УК!$AO$58:'Результаты_УК'!$AR$58)</f>
        <v>0</v>
      </c>
      <c r="N15" s="746">
        <f>Результаты_УК!$AT$58</f>
        <v>0</v>
      </c>
    </row>
    <row r="16" spans="1:14" ht="11.25" customHeight="1" x14ac:dyDescent="0.2">
      <c r="A16" s="636" t="str">
        <f>Результаты_УК!$A$59</f>
        <v>Инвестиции в здания, инфраструктуру</v>
      </c>
      <c r="B16" s="810">
        <f ca="1">Результаты_УК!$B$59</f>
        <v>0</v>
      </c>
      <c r="C16" s="829" t="str">
        <f>Результаты_УК!$C$59</f>
        <v>тыс. руб.</v>
      </c>
      <c r="D16" s="712">
        <f ca="1">SUM(Результаты_УК!$E$59:'Результаты_УК'!$H$59)</f>
        <v>-763839.5</v>
      </c>
      <c r="E16" s="712">
        <f ca="1">SUM(Результаты_УК!$I$59:'Результаты_УК'!$L$59)</f>
        <v>-662570.41666974302</v>
      </c>
      <c r="F16" s="712">
        <f ca="1">SUM(Результаты_УК!$M$59:'Результаты_УК'!$P$59)</f>
        <v>-2037414.5909947951</v>
      </c>
      <c r="G16" s="712">
        <f ca="1">SUM(Результаты_УК!$Q$59:'Результаты_УК'!$T$59)</f>
        <v>-2810034.3594813468</v>
      </c>
      <c r="H16" s="712">
        <f ca="1">SUM(Результаты_УК!$U$59:'Результаты_УК'!$X$59)</f>
        <v>0</v>
      </c>
      <c r="I16" s="712">
        <f ca="1">SUM(Результаты_УК!$Y$59:'Результаты_УК'!$AB$59)</f>
        <v>0</v>
      </c>
      <c r="J16" s="712">
        <f ca="1">SUM(Результаты_УК!$AC$59:'Результаты_УК'!$AF$59)</f>
        <v>0</v>
      </c>
      <c r="K16" s="712">
        <f ca="1">SUM(Результаты_УК!$AG$59:'Результаты_УК'!$AJ$59)</f>
        <v>0</v>
      </c>
      <c r="L16" s="712">
        <f ca="1">SUM(Результаты_УК!$AK$59:'Результаты_УК'!$AN$59)</f>
        <v>0</v>
      </c>
      <c r="M16" s="712">
        <f ca="1">SUM(Результаты_УК!$AO$59:'Результаты_УК'!$AR$59)</f>
        <v>0</v>
      </c>
      <c r="N16" s="746">
        <f ca="1">Результаты_УК!$AT$59</f>
        <v>-6273858.8671458848</v>
      </c>
    </row>
    <row r="17" spans="1:14" ht="22.5" x14ac:dyDescent="0.2">
      <c r="A17" s="674" t="str">
        <f>Результаты_УК!$A$60</f>
        <v>Инвестиции в оборудование и прочие активы</v>
      </c>
      <c r="B17" s="810">
        <f ca="1">Результаты_УК!$B$60</f>
        <v>0</v>
      </c>
      <c r="C17" s="829" t="str">
        <f>Результаты_УК!$C$60</f>
        <v>тыс. руб.</v>
      </c>
      <c r="D17" s="712">
        <f>SUM(Результаты_УК!$E$60:'Результаты_УК'!$H$60)</f>
        <v>0</v>
      </c>
      <c r="E17" s="712">
        <f>SUM(Результаты_УК!$I$60:'Результаты_УК'!$L$60)</f>
        <v>0</v>
      </c>
      <c r="F17" s="712">
        <f>SUM(Результаты_УК!$M$60:'Результаты_УК'!$P$60)</f>
        <v>0</v>
      </c>
      <c r="G17" s="712">
        <f>SUM(Результаты_УК!$Q$60:'Результаты_УК'!$T$60)</f>
        <v>0</v>
      </c>
      <c r="H17" s="712">
        <f>SUM(Результаты_УК!$U$60:'Результаты_УК'!$X$60)</f>
        <v>0</v>
      </c>
      <c r="I17" s="712">
        <f>SUM(Результаты_УК!$Y$60:'Результаты_УК'!$AB$60)</f>
        <v>0</v>
      </c>
      <c r="J17" s="712">
        <f>SUM(Результаты_УК!$AC$60:'Результаты_УК'!$AF$60)</f>
        <v>0</v>
      </c>
      <c r="K17" s="712">
        <f>SUM(Результаты_УК!$AG$60:'Результаты_УК'!$AJ$60)</f>
        <v>0</v>
      </c>
      <c r="L17" s="712">
        <f>SUM(Результаты_УК!$AK$60:'Результаты_УК'!$AN$60)</f>
        <v>0</v>
      </c>
      <c r="M17" s="712">
        <f>SUM(Результаты_УК!$AO$60:'Результаты_УК'!$AR$60)</f>
        <v>0</v>
      </c>
      <c r="N17" s="746">
        <f>Результаты_УК!$AT$60</f>
        <v>0</v>
      </c>
    </row>
    <row r="18" spans="1:14" ht="11.25" customHeight="1" x14ac:dyDescent="0.2">
      <c r="A18" s="636" t="str">
        <f>Результаты_УК!$A$61</f>
        <v>Инвестиции в нематериальные активы</v>
      </c>
      <c r="B18" s="810">
        <f ca="1">Результаты_УК!$B$61</f>
        <v>0</v>
      </c>
      <c r="C18" s="829" t="str">
        <f>Результаты_УК!$C$61</f>
        <v>тыс. руб.</v>
      </c>
      <c r="D18" s="712">
        <f>SUM(Результаты_УК!$E$61:'Результаты_УК'!$H$61)</f>
        <v>0</v>
      </c>
      <c r="E18" s="712">
        <f>SUM(Результаты_УК!$I$61:'Результаты_УК'!$L$61)</f>
        <v>0</v>
      </c>
      <c r="F18" s="712">
        <f>SUM(Результаты_УК!$M$61:'Результаты_УК'!$P$61)</f>
        <v>0</v>
      </c>
      <c r="G18" s="712">
        <f>SUM(Результаты_УК!$Q$61:'Результаты_УК'!$T$61)</f>
        <v>0</v>
      </c>
      <c r="H18" s="712">
        <f>SUM(Результаты_УК!$U$61:'Результаты_УК'!$X$61)</f>
        <v>0</v>
      </c>
      <c r="I18" s="712">
        <f>SUM(Результаты_УК!$Y$61:'Результаты_УК'!$AB$61)</f>
        <v>0</v>
      </c>
      <c r="J18" s="712">
        <f>SUM(Результаты_УК!$AC$61:'Результаты_УК'!$AF$61)</f>
        <v>0</v>
      </c>
      <c r="K18" s="712">
        <f>SUM(Результаты_УК!$AG$61:'Результаты_УК'!$AJ$61)</f>
        <v>0</v>
      </c>
      <c r="L18" s="712">
        <f>SUM(Результаты_УК!$AK$61:'Результаты_УК'!$AN$61)</f>
        <v>0</v>
      </c>
      <c r="M18" s="712">
        <f>SUM(Результаты_УК!$AO$61:'Результаты_УК'!$AR$61)</f>
        <v>0</v>
      </c>
      <c r="N18" s="746">
        <f>Результаты_УК!$AT$61</f>
        <v>0</v>
      </c>
    </row>
    <row r="19" spans="1:14" ht="11.25" customHeight="1" x14ac:dyDescent="0.2">
      <c r="A19" s="637" t="str">
        <f>Результаты_УК!$A$62</f>
        <v>Инвестиции в финансовые активы</v>
      </c>
      <c r="B19" s="811">
        <f ca="1">Результаты_УК!$B$62</f>
        <v>0</v>
      </c>
      <c r="C19" s="828" t="str">
        <f>Результаты_УК!$C$62</f>
        <v>тыс. руб.</v>
      </c>
      <c r="D19" s="713">
        <f>SUM(Результаты_УК!$E$62:'Результаты_УК'!$H$62)</f>
        <v>0</v>
      </c>
      <c r="E19" s="713">
        <f>SUM(Результаты_УК!$I$62:'Результаты_УК'!$L$62)</f>
        <v>0</v>
      </c>
      <c r="F19" s="713">
        <f>SUM(Результаты_УК!$M$62:'Результаты_УК'!$P$62)</f>
        <v>0</v>
      </c>
      <c r="G19" s="713">
        <f>SUM(Результаты_УК!$Q$62:'Результаты_УК'!$T$62)</f>
        <v>0</v>
      </c>
      <c r="H19" s="713">
        <f>SUM(Результаты_УК!$U$62:'Результаты_УК'!$X$62)</f>
        <v>0</v>
      </c>
      <c r="I19" s="713">
        <f>SUM(Результаты_УК!$Y$62:'Результаты_УК'!$AB$62)</f>
        <v>0</v>
      </c>
      <c r="J19" s="713">
        <f>SUM(Результаты_УК!$AC$62:'Результаты_УК'!$AF$62)</f>
        <v>0</v>
      </c>
      <c r="K19" s="713">
        <f>SUM(Результаты_УК!$AG$62:'Результаты_УК'!$AJ$62)</f>
        <v>0</v>
      </c>
      <c r="L19" s="713">
        <f>SUM(Результаты_УК!$AK$62:'Результаты_УК'!$AN$62)</f>
        <v>0</v>
      </c>
      <c r="M19" s="713">
        <f>SUM(Результаты_УК!$AO$62:'Результаты_УК'!$AR$62)</f>
        <v>0</v>
      </c>
      <c r="N19" s="744">
        <f>Результаты_УК!$AT$62</f>
        <v>0</v>
      </c>
    </row>
    <row r="20" spans="1:14" ht="11.25" customHeight="1" x14ac:dyDescent="0.2">
      <c r="A20" s="637" t="str">
        <f>Результаты_УК!$A$63</f>
        <v>Выручка от реализации активов</v>
      </c>
      <c r="B20" s="811">
        <f ca="1">Результаты_УК!$B$63</f>
        <v>1357226.1239343011</v>
      </c>
      <c r="C20" s="828" t="str">
        <f>Результаты_УК!$C$63</f>
        <v>тыс. руб.</v>
      </c>
      <c r="D20" s="713">
        <f ca="1">SUM(Результаты_УК!$E$63:'Результаты_УК'!$H$63)</f>
        <v>0</v>
      </c>
      <c r="E20" s="713">
        <f ca="1">SUM(Результаты_УК!$I$63:'Результаты_УК'!$L$63)</f>
        <v>0</v>
      </c>
      <c r="F20" s="713">
        <f ca="1">SUM(Результаты_УК!$M$63:'Результаты_УК'!$P$63)</f>
        <v>0</v>
      </c>
      <c r="G20" s="713">
        <f ca="1">SUM(Результаты_УК!$Q$63:'Результаты_УК'!$T$63)</f>
        <v>0</v>
      </c>
      <c r="H20" s="713">
        <f ca="1">SUM(Результаты_УК!$U$63:'Результаты_УК'!$X$63)</f>
        <v>0</v>
      </c>
      <c r="I20" s="713">
        <f ca="1">SUM(Результаты_УК!$Y$63:'Результаты_УК'!$AB$63)</f>
        <v>0</v>
      </c>
      <c r="J20" s="713">
        <f ca="1">SUM(Результаты_УК!$AC$63:'Результаты_УК'!$AF$63)</f>
        <v>0</v>
      </c>
      <c r="K20" s="713">
        <f ca="1">SUM(Результаты_УК!$AG$63:'Результаты_УК'!$AJ$63)</f>
        <v>0</v>
      </c>
      <c r="L20" s="713">
        <f ca="1">SUM(Результаты_УК!$AK$63:'Результаты_УК'!$AN$63)</f>
        <v>491315.59464514832</v>
      </c>
      <c r="M20" s="713">
        <f ca="1">SUM(Результаты_УК!$AO$63:'Результаты_УК'!$AR$63)</f>
        <v>7652041.1489606583</v>
      </c>
      <c r="N20" s="744">
        <f ca="1">Результаты_УК!$AT$63</f>
        <v>8143356.7436058065</v>
      </c>
    </row>
    <row r="21" spans="1:14" ht="11.25" customHeight="1" x14ac:dyDescent="0.2">
      <c r="A21" s="398"/>
      <c r="B21" s="706"/>
      <c r="C21" s="607"/>
      <c r="D21" s="651"/>
      <c r="E21" s="651"/>
      <c r="F21" s="651"/>
      <c r="G21" s="651"/>
      <c r="H21" s="651"/>
      <c r="I21" s="651"/>
      <c r="J21" s="651"/>
      <c r="K21" s="651"/>
      <c r="L21" s="651"/>
      <c r="M21" s="651"/>
      <c r="N21" s="652"/>
    </row>
    <row r="22" spans="1:14" ht="22.5" x14ac:dyDescent="0.2">
      <c r="A22" s="833" t="str">
        <f>Результаты_УК!$A$65</f>
        <v>Денежные потоки от инвестиционной деятельности</v>
      </c>
      <c r="B22" s="810">
        <f ca="1">Результаты_УК!$B$65</f>
        <v>1357226.1239343011</v>
      </c>
      <c r="C22" s="828" t="str">
        <f>Результаты_УК!$C$65</f>
        <v>тыс. руб.</v>
      </c>
      <c r="D22" s="780">
        <f ca="1">SUM(Результаты_УК!$E$65:'Результаты_УК'!$H$65)</f>
        <v>-763839.5</v>
      </c>
      <c r="E22" s="780">
        <f ca="1">SUM(Результаты_УК!$I$65:'Результаты_УК'!$L$65)</f>
        <v>-662570.41666974302</v>
      </c>
      <c r="F22" s="780">
        <f ca="1">SUM(Результаты_УК!$M$65:'Результаты_УК'!$P$65)</f>
        <v>-2037414.5909947951</v>
      </c>
      <c r="G22" s="780">
        <f ca="1">SUM(Результаты_УК!$Q$65:'Результаты_УК'!$T$65)</f>
        <v>-2810034.3594813468</v>
      </c>
      <c r="H22" s="780">
        <f ca="1">SUM(Результаты_УК!$U$65:'Результаты_УК'!$X$65)</f>
        <v>0</v>
      </c>
      <c r="I22" s="780">
        <f ca="1">SUM(Результаты_УК!$Y$65:'Результаты_УК'!$AB$65)</f>
        <v>0</v>
      </c>
      <c r="J22" s="780">
        <f ca="1">SUM(Результаты_УК!$AC$65:'Результаты_УК'!$AF$65)</f>
        <v>0</v>
      </c>
      <c r="K22" s="780">
        <f ca="1">SUM(Результаты_УК!$AG$65:'Результаты_УК'!$AJ$65)</f>
        <v>0</v>
      </c>
      <c r="L22" s="780">
        <f ca="1">SUM(Результаты_УК!$AK$65:'Результаты_УК'!$AN$65)</f>
        <v>491315.59464514832</v>
      </c>
      <c r="M22" s="780">
        <f ca="1">SUM(Результаты_УК!$AO$65:'Результаты_УК'!$AR$65)</f>
        <v>7652041.1489606583</v>
      </c>
      <c r="N22" s="782">
        <f ca="1">Результаты_УК!$AT$65</f>
        <v>1869497.8764599217</v>
      </c>
    </row>
    <row r="23" spans="1:14" ht="11.25" customHeight="1" x14ac:dyDescent="0.2">
      <c r="A23" s="665"/>
      <c r="B23" s="836">
        <f ca="1">Результаты_УК!$B$66</f>
        <v>0</v>
      </c>
      <c r="C23" s="607"/>
      <c r="D23" s="651"/>
      <c r="E23" s="651"/>
      <c r="F23" s="651"/>
      <c r="G23" s="651"/>
      <c r="H23" s="651"/>
      <c r="I23" s="651"/>
      <c r="J23" s="651"/>
      <c r="K23" s="651"/>
      <c r="L23" s="651"/>
      <c r="M23" s="651"/>
      <c r="N23" s="652"/>
    </row>
    <row r="24" spans="1:14" ht="11.25" customHeight="1" x14ac:dyDescent="0.2">
      <c r="A24" s="636" t="str">
        <f>Результаты_УК!$A$67</f>
        <v>Поступления собственного капитала</v>
      </c>
      <c r="B24" s="810">
        <f ca="1">Результаты_УК!$B$67</f>
        <v>243950.26820987166</v>
      </c>
      <c r="C24" s="829" t="str">
        <f>Результаты_УК!$C$67</f>
        <v>тыс. руб.</v>
      </c>
      <c r="D24" s="712">
        <f ca="1">SUM(Результаты_УК!$E$67:'Результаты_УК'!$H$67)</f>
        <v>145494.90036122283</v>
      </c>
      <c r="E24" s="712">
        <f ca="1">SUM(Результаты_УК!$I$67:'Результаты_УК'!$L$67)</f>
        <v>393202.13327205938</v>
      </c>
      <c r="F24" s="712">
        <f ca="1">SUM(Результаты_УК!$M$67:'Результаты_УК'!$P$67)</f>
        <v>898326.50529737328</v>
      </c>
      <c r="G24" s="712">
        <f ca="1">SUM(Результаты_УК!$Q$67:'Результаты_УК'!$T$67)</f>
        <v>1813421.4570349338</v>
      </c>
      <c r="H24" s="712">
        <f ca="1">SUM(Результаты_УК!$U$67:'Результаты_УК'!$X$67)</f>
        <v>313012.07751929259</v>
      </c>
      <c r="I24" s="712">
        <f ca="1">SUM(Результаты_УК!$Y$67:'Результаты_УК'!$AB$67)</f>
        <v>312586.01053075155</v>
      </c>
      <c r="J24" s="712">
        <f ca="1">SUM(Результаты_УК!$AC$67:'Результаты_УК'!$AF$67)</f>
        <v>311610.68983215268</v>
      </c>
      <c r="K24" s="712">
        <f ca="1">SUM(Результаты_УК!$AG$67:'Результаты_УК'!$AJ$67)</f>
        <v>308478.57904310629</v>
      </c>
      <c r="L24" s="712">
        <f ca="1">SUM(Результаты_УК!$AK$67:'Результаты_УК'!$AN$67)</f>
        <v>218014.25233392685</v>
      </c>
      <c r="M24" s="712">
        <f ca="1">SUM(Результаты_УК!$AO$67:'Результаты_УК'!$AR$67)</f>
        <v>0</v>
      </c>
      <c r="N24" s="746">
        <f ca="1">Результаты_УК!$AT$67</f>
        <v>4714146.6052248208</v>
      </c>
    </row>
    <row r="25" spans="1:14" ht="11.25" customHeight="1" x14ac:dyDescent="0.2">
      <c r="A25" s="636" t="str">
        <f>Результаты_УК!$A$68</f>
        <v>Целевое (бюджетное) финансирование</v>
      </c>
      <c r="B25" s="810">
        <f ca="1">Результаты_УК!$B$68</f>
        <v>59016.426884635039</v>
      </c>
      <c r="C25" s="829" t="str">
        <f>Результаты_УК!$C$68</f>
        <v>тыс. руб.</v>
      </c>
      <c r="D25" s="712">
        <f ca="1">SUM(Результаты_УК!$E$68:'Результаты_УК'!$H$68)</f>
        <v>0</v>
      </c>
      <c r="E25" s="712">
        <f ca="1">SUM(Результаты_УК!$I$68:'Результаты_УК'!$L$68)</f>
        <v>3009.5055230634734</v>
      </c>
      <c r="F25" s="712">
        <f ca="1">SUM(Результаты_УК!$M$68:'Результаты_УК'!$P$68)</f>
        <v>13431.981935156522</v>
      </c>
      <c r="G25" s="712">
        <f ca="1">SUM(Результаты_УК!$Q$68:'Результаты_УК'!$T$68)</f>
        <v>36709.951233969747</v>
      </c>
      <c r="H25" s="712">
        <f ca="1">SUM(Результаты_УК!$U$68:'Результаты_УК'!$X$68)</f>
        <v>213354.3868929703</v>
      </c>
      <c r="I25" s="712">
        <f ca="1">SUM(Результаты_УК!$Y$68:'Результаты_УК'!$AB$68)</f>
        <v>140744.17441483997</v>
      </c>
      <c r="J25" s="712">
        <f ca="1">SUM(Результаты_УК!$AC$68:'Результаты_УК'!$AF$68)</f>
        <v>0</v>
      </c>
      <c r="K25" s="712">
        <f ca="1">SUM(Результаты_УК!$AG$68:'Результаты_УК'!$AJ$68)</f>
        <v>0</v>
      </c>
      <c r="L25" s="712">
        <f ca="1">SUM(Результаты_УК!$AK$68:'Результаты_УК'!$AN$68)</f>
        <v>0</v>
      </c>
      <c r="M25" s="712">
        <f ca="1">SUM(Результаты_УК!$AO$68:'Результаты_УК'!$AR$68)</f>
        <v>0</v>
      </c>
      <c r="N25" s="746">
        <f ca="1">Результаты_УК!$AT$68</f>
        <v>407250</v>
      </c>
    </row>
    <row r="26" spans="1:14" ht="11.25" customHeight="1" x14ac:dyDescent="0.2">
      <c r="A26" s="636" t="str">
        <f>Результаты_УК!$A$69</f>
        <v>Поступления кредитов</v>
      </c>
      <c r="B26" s="810">
        <f ca="1">Результаты_УК!$B$69</f>
        <v>0</v>
      </c>
      <c r="C26" s="829" t="str">
        <f>Результаты_УК!$C$69</f>
        <v>тыс. руб.</v>
      </c>
      <c r="D26" s="712">
        <f ca="1">SUM(Результаты_УК!$E$69:'Результаты_УК'!$H$69)</f>
        <v>763839.5</v>
      </c>
      <c r="E26" s="712">
        <f ca="1">SUM(Результаты_УК!$I$69:'Результаты_УК'!$L$69)</f>
        <v>484860.39553601737</v>
      </c>
      <c r="F26" s="712">
        <f ca="1">SUM(Результаты_УК!$M$69:'Результаты_УК'!$P$69)</f>
        <v>1426190.2136963564</v>
      </c>
      <c r="G26" s="712">
        <f ca="1">SUM(Результаты_УК!$Q$69:'Результаты_УК'!$T$69)</f>
        <v>1967024.0516369422</v>
      </c>
      <c r="H26" s="712">
        <f ca="1">SUM(Результаты_УК!$U$69:'Результаты_УК'!$X$69)</f>
        <v>0</v>
      </c>
      <c r="I26" s="712">
        <f ca="1">SUM(Результаты_УК!$Y$69:'Результаты_УК'!$AB$69)</f>
        <v>0</v>
      </c>
      <c r="J26" s="712">
        <f ca="1">SUM(Результаты_УК!$AC$69:'Результаты_УК'!$AF$69)</f>
        <v>0</v>
      </c>
      <c r="K26" s="712">
        <f ca="1">SUM(Результаты_УК!$AG$69:'Результаты_УК'!$AJ$69)</f>
        <v>0</v>
      </c>
      <c r="L26" s="712">
        <f ca="1">SUM(Результаты_УК!$AK$69:'Результаты_УК'!$AN$69)</f>
        <v>0</v>
      </c>
      <c r="M26" s="712">
        <f ca="1">SUM(Результаты_УК!$AO$69:'Результаты_УК'!$AR$69)</f>
        <v>0</v>
      </c>
      <c r="N26" s="746">
        <f ca="1">Результаты_УК!$AT$69</f>
        <v>4641914.1608693162</v>
      </c>
    </row>
    <row r="27" spans="1:14" ht="11.25" customHeight="1" x14ac:dyDescent="0.2">
      <c r="A27" s="637" t="str">
        <f>Результаты_УК!$A$70</f>
        <v>Возврат кредитов</v>
      </c>
      <c r="B27" s="811">
        <f ca="1">Результаты_УК!$B$70</f>
        <v>-697165.56520712562</v>
      </c>
      <c r="C27" s="828" t="str">
        <f>Результаты_УК!$C$70</f>
        <v>тыс. руб.</v>
      </c>
      <c r="D27" s="713">
        <f ca="1">SUM(Результаты_УК!$E$70:'Результаты_УК'!$H$70)</f>
        <v>-52676.761717988906</v>
      </c>
      <c r="E27" s="713">
        <f ca="1">SUM(Результаты_УК!$I$70:'Результаты_УК'!$L$70)</f>
        <v>-135809.29365137522</v>
      </c>
      <c r="F27" s="713">
        <f ca="1">SUM(Результаты_УК!$M$70:'Результаты_УК'!$P$70)</f>
        <v>-191649.36118653027</v>
      </c>
      <c r="G27" s="713">
        <f ca="1">SUM(Результаты_УК!$Q$70:'Результаты_УК'!$T$70)</f>
        <v>-655452.85307066783</v>
      </c>
      <c r="H27" s="713">
        <f ca="1">SUM(Результаты_УК!$U$70:'Результаты_УК'!$X$70)</f>
        <v>-714769.7437743959</v>
      </c>
      <c r="I27" s="713">
        <f ca="1">SUM(Результаты_УК!$Y$70:'Результаты_УК'!$AB$70)</f>
        <v>-779468.33851874841</v>
      </c>
      <c r="J27" s="713">
        <f ca="1">SUM(Результаты_УК!$AC$70:'Результаты_УК'!$AF$70)</f>
        <v>-850038.06766140379</v>
      </c>
      <c r="K27" s="713">
        <f ca="1">SUM(Результаты_УК!$AG$70:'Результаты_УК'!$AJ$70)</f>
        <v>-927012.97003082954</v>
      </c>
      <c r="L27" s="713">
        <f ca="1">SUM(Результаты_УК!$AK$70:'Результаты_УК'!$AN$70)</f>
        <v>-911704.27125737618</v>
      </c>
      <c r="M27" s="713">
        <f ca="1">SUM(Результаты_УК!$AO$70:'Результаты_УК'!$AR$70)</f>
        <v>0</v>
      </c>
      <c r="N27" s="744">
        <f ca="1">Результаты_УК!$AT$70</f>
        <v>-5218581.6608693162</v>
      </c>
    </row>
    <row r="28" spans="1:14" ht="11.25" customHeight="1" x14ac:dyDescent="0.2">
      <c r="A28" s="398"/>
      <c r="B28" s="706"/>
      <c r="C28" s="607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2"/>
    </row>
    <row r="29" spans="1:14" ht="22.5" x14ac:dyDescent="0.2">
      <c r="A29" s="834" t="str">
        <f>Результаты_УК!$A$73</f>
        <v>Денежные потоки от финансовой деятельности</v>
      </c>
      <c r="B29" s="811">
        <f ca="1">Результаты_УК!$B$73</f>
        <v>-394198.8701126189</v>
      </c>
      <c r="C29" s="828" t="str">
        <f>Результаты_УК!$C$73</f>
        <v>тыс. руб.</v>
      </c>
      <c r="D29" s="780">
        <f ca="1">SUM(Результаты_УК!$E$73:'Результаты_УК'!$H$73)</f>
        <v>856657.63864323392</v>
      </c>
      <c r="E29" s="780">
        <f ca="1">SUM(Результаты_УК!$I$73:'Результаты_УК'!$L$73)</f>
        <v>745262.740679765</v>
      </c>
      <c r="F29" s="780">
        <f ca="1">SUM(Результаты_УК!$M$73:'Результаты_УК'!$P$73)</f>
        <v>2146299.339742356</v>
      </c>
      <c r="G29" s="780">
        <f ca="1">SUM(Результаты_УК!$Q$73:'Результаты_УК'!$T$73)</f>
        <v>3161702.6068351781</v>
      </c>
      <c r="H29" s="780">
        <f ca="1">SUM(Результаты_УК!$U$73:'Результаты_УК'!$X$73)</f>
        <v>-188403.27936213306</v>
      </c>
      <c r="I29" s="780">
        <f ca="1">SUM(Результаты_УК!$Y$73:'Результаты_УК'!$AB$73)</f>
        <v>-326138.15357315692</v>
      </c>
      <c r="J29" s="780">
        <f ca="1">SUM(Результаты_УК!$AC$73:'Результаты_УК'!$AF$73)</f>
        <v>-538427.37782925111</v>
      </c>
      <c r="K29" s="780">
        <f ca="1">SUM(Результаты_УК!$AG$73:'Результаты_УК'!$AJ$73)</f>
        <v>-618534.39098772325</v>
      </c>
      <c r="L29" s="780">
        <f ca="1">SUM(Результаты_УК!$AK$73:'Результаты_УК'!$AN$73)</f>
        <v>-693690.01892344933</v>
      </c>
      <c r="M29" s="780">
        <f ca="1">SUM(Результаты_УК!$AO$73:'Результаты_УК'!$AR$73)</f>
        <v>0</v>
      </c>
      <c r="N29" s="782">
        <f ca="1">Результаты_УК!$AT$73</f>
        <v>4544729.1052248171</v>
      </c>
    </row>
    <row r="30" spans="1:14" ht="11.25" customHeight="1" x14ac:dyDescent="0.2">
      <c r="A30" s="398"/>
      <c r="B30" s="706"/>
      <c r="C30" s="607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52"/>
    </row>
    <row r="31" spans="1:14" ht="11.25" customHeight="1" x14ac:dyDescent="0.2">
      <c r="A31" s="665" t="str">
        <f>Результаты_УК!$A$75</f>
        <v>Суммарный денежный поток за период</v>
      </c>
      <c r="B31" s="810">
        <f ca="1">Результаты_УК!$B$75</f>
        <v>1322836.4902247167</v>
      </c>
      <c r="C31" s="829" t="str">
        <f>Результаты_УК!$C$75</f>
        <v>тыс. руб.</v>
      </c>
      <c r="D31" s="712">
        <f ca="1">SUM(Результаты_УК!$E$75:'Результаты_УК'!$H$75)</f>
        <v>43480.451816223431</v>
      </c>
      <c r="E31" s="712">
        <f ca="1">SUM(Результаты_УК!$I$75:'Результаты_УК'!$L$75)</f>
        <v>77300.93498909162</v>
      </c>
      <c r="F31" s="712">
        <f ca="1">SUM(Результаты_УК!$M$75:'Результаты_УК'!$P$75)</f>
        <v>117350.1548262189</v>
      </c>
      <c r="G31" s="712">
        <f ca="1">SUM(Результаты_УК!$Q$75:'Результаты_УК'!$T$75)</f>
        <v>292647.05391748529</v>
      </c>
      <c r="H31" s="712">
        <f ca="1">SUM(Результаты_УК!$U$75:'Результаты_УК'!$X$75)</f>
        <v>447818.35448110511</v>
      </c>
      <c r="I31" s="712">
        <f ca="1">SUM(Результаты_УК!$Y$75:'Результаты_УК'!$AB$75)</f>
        <v>425447.08597548871</v>
      </c>
      <c r="J31" s="712">
        <f ca="1">SUM(Результаты_УК!$AC$75:'Результаты_УК'!$AF$75)</f>
        <v>291488.01945600612</v>
      </c>
      <c r="K31" s="712">
        <f ca="1">SUM(Результаты_УК!$AG$75:'Результаты_УК'!$AJ$75)</f>
        <v>230909.91891472545</v>
      </c>
      <c r="L31" s="712">
        <f ca="1">SUM(Результаты_УК!$AK$75:'Результаты_УК'!$AN$75)</f>
        <v>646061.64867244218</v>
      </c>
      <c r="M31" s="712">
        <f ca="1">SUM(Результаты_УК!$AO$75:'Результаты_УК'!$AR$75)</f>
        <v>5895293.9138485333</v>
      </c>
      <c r="N31" s="744">
        <f ca="1">Результаты_УК!$AT$75</f>
        <v>8467797.5368973203</v>
      </c>
    </row>
    <row r="32" spans="1:14" ht="11.25" customHeight="1" x14ac:dyDescent="0.2">
      <c r="A32" s="665" t="str">
        <f>Результаты_УК!$A$76</f>
        <v>Денежные средства на начало периода</v>
      </c>
      <c r="B32" s="810">
        <f ca="1">Результаты_УК!$B$76</f>
        <v>9918627.9782243036</v>
      </c>
      <c r="C32" s="829" t="str">
        <f>Результаты_УК!$C$76</f>
        <v>тыс. руб.</v>
      </c>
      <c r="D32" s="712">
        <f>Результаты_УК!$E$76</f>
        <v>0</v>
      </c>
      <c r="E32" s="712">
        <f ca="1">Результаты_УК!$I$76</f>
        <v>43480.451816223431</v>
      </c>
      <c r="F32" s="712">
        <f ca="1">Результаты_УК!$M$76</f>
        <v>120781.38680531505</v>
      </c>
      <c r="G32" s="712">
        <f ca="1">Результаты_УК!$Q$76</f>
        <v>238131.54163153394</v>
      </c>
      <c r="H32" s="712">
        <f ca="1">Результаты_УК!$U$76</f>
        <v>530778.59554901929</v>
      </c>
      <c r="I32" s="712">
        <f ca="1">Результаты_УК!$Y$76</f>
        <v>978596.9500301244</v>
      </c>
      <c r="J32" s="712">
        <f ca="1">Результаты_УК!$AC$76</f>
        <v>1404044.0360056132</v>
      </c>
      <c r="K32" s="712">
        <f ca="1">Результаты_УК!$AG$76</f>
        <v>1695532.055461619</v>
      </c>
      <c r="L32" s="712">
        <f ca="1">Результаты_УК!$AK$76</f>
        <v>1926441.9743763444</v>
      </c>
      <c r="M32" s="718">
        <f ca="1">Результаты_УК!$AO$76</f>
        <v>2572503.6230487865</v>
      </c>
      <c r="N32" s="651"/>
    </row>
    <row r="33" spans="1:14" ht="11.25" customHeight="1" x14ac:dyDescent="0.2">
      <c r="A33" s="666" t="str">
        <f>Результаты_УК!$A$77</f>
        <v>Денежные средства на конец периода</v>
      </c>
      <c r="B33" s="811">
        <f ca="1">Результаты_УК!$B$77</f>
        <v>11241464.468449021</v>
      </c>
      <c r="C33" s="828" t="str">
        <f>Результаты_УК!$C$77</f>
        <v>тыс. руб.</v>
      </c>
      <c r="D33" s="713">
        <f ca="1">Результаты_УК!$H$77</f>
        <v>43480.451816223431</v>
      </c>
      <c r="E33" s="713">
        <f ca="1">Результаты_УК!$L$77</f>
        <v>120781.38680531505</v>
      </c>
      <c r="F33" s="713">
        <f ca="1">Результаты_УК!$P$77</f>
        <v>238131.54163153394</v>
      </c>
      <c r="G33" s="713">
        <f ca="1">Результаты_УК!$T$77</f>
        <v>530778.59554901929</v>
      </c>
      <c r="H33" s="713">
        <f ca="1">Результаты_УК!$X$77</f>
        <v>978596.9500301244</v>
      </c>
      <c r="I33" s="713">
        <f ca="1">Результаты_УК!$AB$77</f>
        <v>1404044.0360056132</v>
      </c>
      <c r="J33" s="713">
        <f ca="1">Результаты_УК!$AF$77</f>
        <v>1695532.055461619</v>
      </c>
      <c r="K33" s="713">
        <f ca="1">Результаты_УК!$AJ$77</f>
        <v>1926441.9743763444</v>
      </c>
      <c r="L33" s="713">
        <f ca="1">Результаты_УК!$AN$77</f>
        <v>2572503.6230487865</v>
      </c>
      <c r="M33" s="714">
        <f ca="1">Результаты_УК!$AR$77</f>
        <v>8467797.5368973203</v>
      </c>
      <c r="N33" s="651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12&amp;R&amp;"Arial,полужирный"&amp;10Проект создания ИП «Бугры» на территории Ленинградской области. Управляющая компания.
&amp;C&amp;"Arial,полужирный"&amp;13
ОТЧЕТ О ДВИЖЕНИИ ДЕНЕЖНЫХ СРЕДСТВ</oddHead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38"/>
  <dimension ref="A1:L36"/>
  <sheetViews>
    <sheetView workbookViewId="0"/>
  </sheetViews>
  <sheetFormatPr defaultRowHeight="12.75" x14ac:dyDescent="0.2"/>
  <cols>
    <col min="1" max="1" width="45.5703125" customWidth="1"/>
    <col min="2" max="2" width="9" customWidth="1"/>
    <col min="3" max="12" width="8.7109375" customWidth="1"/>
  </cols>
  <sheetData>
    <row r="1" spans="1:12" s="301" customFormat="1" ht="26.1" customHeight="1" x14ac:dyDescent="0.2">
      <c r="A1" s="613" t="str">
        <f>Результаты_УК!$A$81</f>
        <v>БАЛАНС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</row>
    <row r="2" spans="1:12" ht="11.25" customHeight="1" x14ac:dyDescent="0.2">
      <c r="A2" s="398"/>
      <c r="B2" s="607"/>
      <c r="C2" s="599"/>
      <c r="D2" s="599"/>
      <c r="E2" s="599"/>
      <c r="F2" s="599"/>
      <c r="G2" s="599"/>
      <c r="H2" s="599"/>
      <c r="I2" s="599"/>
      <c r="J2" s="599"/>
      <c r="K2" s="599"/>
      <c r="L2" s="599"/>
    </row>
    <row r="3" spans="1:12" ht="11.25" customHeight="1" x14ac:dyDescent="0.2">
      <c r="A3" s="639" t="str">
        <f>Результаты_УК!$A$83</f>
        <v>Денежные средства</v>
      </c>
      <c r="B3" s="829" t="str">
        <f>Результаты_УК!$C$83</f>
        <v>тыс. руб.</v>
      </c>
      <c r="C3" s="712">
        <f ca="1">Результаты_УК!$H$83</f>
        <v>43480.451816223431</v>
      </c>
      <c r="D3" s="712">
        <f ca="1">Результаты_УК!$L$83</f>
        <v>120781.38680531505</v>
      </c>
      <c r="E3" s="712">
        <f ca="1">Результаты_УК!$P$83</f>
        <v>238131.54163153394</v>
      </c>
      <c r="F3" s="712">
        <f ca="1">Результаты_УК!$T$83</f>
        <v>530778.59554901929</v>
      </c>
      <c r="G3" s="712">
        <f ca="1">Результаты_УК!$X$83</f>
        <v>978596.9500301244</v>
      </c>
      <c r="H3" s="712">
        <f ca="1">Результаты_УК!$AB$83</f>
        <v>1404044.0360056132</v>
      </c>
      <c r="I3" s="712">
        <f ca="1">Результаты_УК!$AF$83</f>
        <v>1695532.055461619</v>
      </c>
      <c r="J3" s="712">
        <f ca="1">Результаты_УК!$AJ$83</f>
        <v>1926441.9743763444</v>
      </c>
      <c r="K3" s="712">
        <f ca="1">Результаты_УК!$AN$83</f>
        <v>2572503.6230487865</v>
      </c>
      <c r="L3" s="718">
        <f ca="1">Результаты_УК!$AR$83</f>
        <v>8467797.5368973203</v>
      </c>
    </row>
    <row r="4" spans="1:12" ht="11.25" customHeight="1" x14ac:dyDescent="0.2">
      <c r="A4" s="639" t="str">
        <f>Результаты_УК!$A$84</f>
        <v>Дебиторская задолженность</v>
      </c>
      <c r="B4" s="829" t="str">
        <f>Результаты_УК!$C$84</f>
        <v>тыс. руб.</v>
      </c>
      <c r="C4" s="712">
        <f>Результаты_УК!$H$84</f>
        <v>0</v>
      </c>
      <c r="D4" s="712">
        <f>Результаты_УК!$L$84</f>
        <v>0</v>
      </c>
      <c r="E4" s="712">
        <f>Результаты_УК!$P$84</f>
        <v>0</v>
      </c>
      <c r="F4" s="712">
        <f>Результаты_УК!$T$84</f>
        <v>0</v>
      </c>
      <c r="G4" s="712">
        <f>Результаты_УК!$X$84</f>
        <v>0</v>
      </c>
      <c r="H4" s="712">
        <f>Результаты_УК!$AB$84</f>
        <v>0</v>
      </c>
      <c r="I4" s="712">
        <f>Результаты_УК!$AF$84</f>
        <v>0</v>
      </c>
      <c r="J4" s="712">
        <f>Результаты_УК!$AJ$84</f>
        <v>0</v>
      </c>
      <c r="K4" s="712">
        <f>Результаты_УК!$AN$84</f>
        <v>0</v>
      </c>
      <c r="L4" s="718">
        <f>Результаты_УК!$AR$84</f>
        <v>0</v>
      </c>
    </row>
    <row r="5" spans="1:12" ht="11.25" customHeight="1" x14ac:dyDescent="0.2">
      <c r="A5" s="639" t="str">
        <f>Результаты_УК!$A$85</f>
        <v>Авансы уплаченные поставщикам</v>
      </c>
      <c r="B5" s="829" t="str">
        <f>Результаты_УК!$C$85</f>
        <v>тыс. руб.</v>
      </c>
      <c r="C5" s="712">
        <f>Результаты_УК!$H$85</f>
        <v>0</v>
      </c>
      <c r="D5" s="712">
        <f>Результаты_УК!$L$85</f>
        <v>0</v>
      </c>
      <c r="E5" s="712">
        <f>Результаты_УК!$P$85</f>
        <v>0</v>
      </c>
      <c r="F5" s="712">
        <f>Результаты_УК!$T$85</f>
        <v>0</v>
      </c>
      <c r="G5" s="712">
        <f>Результаты_УК!$X$85</f>
        <v>0</v>
      </c>
      <c r="H5" s="712">
        <f>Результаты_УК!$AB$85</f>
        <v>0</v>
      </c>
      <c r="I5" s="712">
        <f>Результаты_УК!$AF$85</f>
        <v>0</v>
      </c>
      <c r="J5" s="712">
        <f>Результаты_УК!$AJ$85</f>
        <v>0</v>
      </c>
      <c r="K5" s="712">
        <f>Результаты_УК!$AN$85</f>
        <v>0</v>
      </c>
      <c r="L5" s="718">
        <f>Результаты_УК!$AR$85</f>
        <v>0</v>
      </c>
    </row>
    <row r="6" spans="1:12" ht="11.25" customHeight="1" x14ac:dyDescent="0.2">
      <c r="A6" s="639" t="str">
        <f>Результаты_УК!$A$86</f>
        <v>Готовая продукция на складе</v>
      </c>
      <c r="B6" s="829" t="str">
        <f>Результаты_УК!$C$86</f>
        <v>тыс. руб.</v>
      </c>
      <c r="C6" s="712">
        <f>Результаты_УК!$H$86</f>
        <v>0</v>
      </c>
      <c r="D6" s="712">
        <f>Результаты_УК!$L$86</f>
        <v>0</v>
      </c>
      <c r="E6" s="712">
        <f>Результаты_УК!$P$86</f>
        <v>0</v>
      </c>
      <c r="F6" s="712">
        <f>Результаты_УК!$T$86</f>
        <v>0</v>
      </c>
      <c r="G6" s="712">
        <f>Результаты_УК!$X$86</f>
        <v>0</v>
      </c>
      <c r="H6" s="712">
        <f>Результаты_УК!$AB$86</f>
        <v>0</v>
      </c>
      <c r="I6" s="712">
        <f>Результаты_УК!$AF$86</f>
        <v>0</v>
      </c>
      <c r="J6" s="712">
        <f>Результаты_УК!$AJ$86</f>
        <v>0</v>
      </c>
      <c r="K6" s="712">
        <f>Результаты_УК!$AN$86</f>
        <v>0</v>
      </c>
      <c r="L6" s="718">
        <f>Результаты_УК!$AR$86</f>
        <v>0</v>
      </c>
    </row>
    <row r="7" spans="1:12" ht="11.25" customHeight="1" x14ac:dyDescent="0.2">
      <c r="A7" s="639" t="str">
        <f>Результаты_УК!$A$87</f>
        <v>Незавершенное производство</v>
      </c>
      <c r="B7" s="829" t="str">
        <f>Результаты_УК!$C$87</f>
        <v>тыс. руб.</v>
      </c>
      <c r="C7" s="712">
        <f>Результаты_УК!$H$87</f>
        <v>0</v>
      </c>
      <c r="D7" s="712">
        <f>Результаты_УК!$L$87</f>
        <v>0</v>
      </c>
      <c r="E7" s="712">
        <f>Результаты_УК!$P$87</f>
        <v>0</v>
      </c>
      <c r="F7" s="712">
        <f>Результаты_УК!$T$87</f>
        <v>0</v>
      </c>
      <c r="G7" s="712">
        <f>Результаты_УК!$X$87</f>
        <v>0</v>
      </c>
      <c r="H7" s="712">
        <f>Результаты_УК!$AB$87</f>
        <v>0</v>
      </c>
      <c r="I7" s="712">
        <f>Результаты_УК!$AF$87</f>
        <v>0</v>
      </c>
      <c r="J7" s="712">
        <f>Результаты_УК!$AJ$87</f>
        <v>0</v>
      </c>
      <c r="K7" s="712">
        <f>Результаты_УК!$AN$87</f>
        <v>0</v>
      </c>
      <c r="L7" s="718">
        <f>Результаты_УК!$AR$87</f>
        <v>0</v>
      </c>
    </row>
    <row r="8" spans="1:12" ht="11.25" customHeight="1" x14ac:dyDescent="0.2">
      <c r="A8" s="639" t="str">
        <f>Результаты_УК!$A$88</f>
        <v>Запасы материалов и комплектующих</v>
      </c>
      <c r="B8" s="829" t="str">
        <f>Результаты_УК!$C$88</f>
        <v>тыс. руб.</v>
      </c>
      <c r="C8" s="712">
        <f>Результаты_УК!$H$88</f>
        <v>0</v>
      </c>
      <c r="D8" s="712">
        <f>Результаты_УК!$L$88</f>
        <v>0</v>
      </c>
      <c r="E8" s="712">
        <f>Результаты_УК!$P$88</f>
        <v>0</v>
      </c>
      <c r="F8" s="712">
        <f>Результаты_УК!$T$88</f>
        <v>0</v>
      </c>
      <c r="G8" s="712">
        <f>Результаты_УК!$X$88</f>
        <v>0</v>
      </c>
      <c r="H8" s="712">
        <f>Результаты_УК!$AB$88</f>
        <v>0</v>
      </c>
      <c r="I8" s="712">
        <f>Результаты_УК!$AF$88</f>
        <v>0</v>
      </c>
      <c r="J8" s="712">
        <f>Результаты_УК!$AJ$88</f>
        <v>0</v>
      </c>
      <c r="K8" s="712">
        <f>Результаты_УК!$AN$88</f>
        <v>0</v>
      </c>
      <c r="L8" s="718">
        <f>Результаты_УК!$AR$88</f>
        <v>0</v>
      </c>
    </row>
    <row r="9" spans="1:12" ht="11.25" customHeight="1" x14ac:dyDescent="0.2">
      <c r="A9" s="639" t="str">
        <f>Результаты_УК!$A$89</f>
        <v>НДС на приобретенные товары</v>
      </c>
      <c r="B9" s="829" t="str">
        <f>Результаты_УК!$C$89</f>
        <v>тыс. руб.</v>
      </c>
      <c r="C9" s="712">
        <f ca="1">Результаты_УК!$H$89</f>
        <v>214104.12325055015</v>
      </c>
      <c r="D9" s="712">
        <f ca="1">Результаты_УК!$L$89</f>
        <v>300245.59599619359</v>
      </c>
      <c r="E9" s="712">
        <f ca="1">Результаты_УК!$P$89</f>
        <v>599362.92111087893</v>
      </c>
      <c r="F9" s="712">
        <f ca="1">Результаты_УК!$T$89</f>
        <v>1017510.6536834132</v>
      </c>
      <c r="G9" s="712">
        <f ca="1">Результаты_УК!$X$89</f>
        <v>849618.09012204991</v>
      </c>
      <c r="H9" s="712">
        <f ca="1">Результаты_УК!$AB$89</f>
        <v>673087.53140375554</v>
      </c>
      <c r="I9" s="712">
        <f ca="1">Результаты_УК!$AF$89</f>
        <v>488826.17069524893</v>
      </c>
      <c r="J9" s="712">
        <f ca="1">Результаты_УК!$AJ$89</f>
        <v>296491.91072565579</v>
      </c>
      <c r="K9" s="712">
        <f ca="1">Результаты_УК!$AN$89</f>
        <v>21774.518098272296</v>
      </c>
      <c r="L9" s="718">
        <f ca="1">Результаты_УК!$AR$89</f>
        <v>-1.1641532182693481E-10</v>
      </c>
    </row>
    <row r="10" spans="1:12" ht="11.25" customHeight="1" x14ac:dyDescent="0.2">
      <c r="A10" s="638" t="str">
        <f>Результаты_УК!$A$90</f>
        <v>Краткосрочные финансовые вложения</v>
      </c>
      <c r="B10" s="828" t="str">
        <f>Результаты_УК!$C$90</f>
        <v>тыс. руб.</v>
      </c>
      <c r="C10" s="713">
        <f>Результаты_УК!$H$90</f>
        <v>0</v>
      </c>
      <c r="D10" s="713">
        <f>Результаты_УК!$L$90</f>
        <v>0</v>
      </c>
      <c r="E10" s="713">
        <f>Результаты_УК!$P$90</f>
        <v>0</v>
      </c>
      <c r="F10" s="713">
        <f>Результаты_УК!$T$90</f>
        <v>0</v>
      </c>
      <c r="G10" s="713">
        <f>Результаты_УК!$X$90</f>
        <v>0</v>
      </c>
      <c r="H10" s="713">
        <f>Результаты_УК!$AB$90</f>
        <v>0</v>
      </c>
      <c r="I10" s="713">
        <f>Результаты_УК!$AF$90</f>
        <v>0</v>
      </c>
      <c r="J10" s="713">
        <f>Результаты_УК!$AJ$90</f>
        <v>0</v>
      </c>
      <c r="K10" s="713">
        <f>Результаты_УК!$AN$90</f>
        <v>0</v>
      </c>
      <c r="L10" s="714">
        <f>Результаты_УК!$AR$90</f>
        <v>0</v>
      </c>
    </row>
    <row r="11" spans="1:12" ht="11.25" customHeight="1" x14ac:dyDescent="0.2">
      <c r="A11" s="634" t="str">
        <f>Результаты_УК!$A$91</f>
        <v>Суммарные оборотные активы</v>
      </c>
      <c r="B11" s="828" t="str">
        <f>Результаты_УК!$C$91</f>
        <v>тыс. руб.</v>
      </c>
      <c r="C11" s="780">
        <f ca="1">Результаты_УК!$H$91</f>
        <v>257584.57506677357</v>
      </c>
      <c r="D11" s="780">
        <f ca="1">Результаты_УК!$L$91</f>
        <v>421026.98280150862</v>
      </c>
      <c r="E11" s="780">
        <f ca="1">Результаты_УК!$P$91</f>
        <v>837494.46274241293</v>
      </c>
      <c r="F11" s="780">
        <f ca="1">Результаты_УК!$T$91</f>
        <v>1548289.2492324323</v>
      </c>
      <c r="G11" s="780">
        <f ca="1">Результаты_УК!$X$91</f>
        <v>1828215.0401521744</v>
      </c>
      <c r="H11" s="780">
        <f ca="1">Результаты_УК!$AB$91</f>
        <v>2077131.5674093687</v>
      </c>
      <c r="I11" s="780">
        <f ca="1">Результаты_УК!$AF$91</f>
        <v>2184358.226156868</v>
      </c>
      <c r="J11" s="780">
        <f ca="1">Результаты_УК!$AJ$91</f>
        <v>2222933.8851020001</v>
      </c>
      <c r="K11" s="780">
        <f ca="1">Результаты_УК!$AN$91</f>
        <v>2594278.1411470589</v>
      </c>
      <c r="L11" s="781">
        <f ca="1">Результаты_УК!$AR$91</f>
        <v>8467797.5368973203</v>
      </c>
    </row>
    <row r="12" spans="1:12" ht="11.25" customHeight="1" x14ac:dyDescent="0.2">
      <c r="A12" s="398"/>
      <c r="B12" s="607"/>
      <c r="C12" s="651"/>
      <c r="D12" s="651"/>
      <c r="E12" s="651"/>
      <c r="F12" s="651"/>
      <c r="G12" s="651"/>
      <c r="H12" s="651"/>
      <c r="I12" s="651"/>
      <c r="J12" s="651"/>
      <c r="K12" s="651"/>
      <c r="L12" s="651"/>
    </row>
    <row r="13" spans="1:12" ht="11.25" customHeight="1" x14ac:dyDescent="0.2">
      <c r="A13" s="639" t="str">
        <f>Результаты_УК!$A$93</f>
        <v>Земельные участки</v>
      </c>
      <c r="B13" s="829" t="str">
        <f>Результаты_УК!$C$93</f>
        <v>тыс. руб.</v>
      </c>
      <c r="C13" s="712">
        <f>Результаты_УК!$H$93</f>
        <v>42736.027728946232</v>
      </c>
      <c r="D13" s="712">
        <f>Результаты_УК!$L$93</f>
        <v>42736.027728946232</v>
      </c>
      <c r="E13" s="712">
        <f>Результаты_УК!$P$93</f>
        <v>42736.027728946232</v>
      </c>
      <c r="F13" s="712">
        <f>Результаты_УК!$T$93</f>
        <v>42736.027728946232</v>
      </c>
      <c r="G13" s="712">
        <f>Результаты_УК!$X$93</f>
        <v>42736.027728946232</v>
      </c>
      <c r="H13" s="712">
        <f>Результаты_УК!$AB$93</f>
        <v>42736.027728946232</v>
      </c>
      <c r="I13" s="712">
        <f>Результаты_УК!$AF$93</f>
        <v>42736.027728946232</v>
      </c>
      <c r="J13" s="712">
        <f>Результаты_УК!$AJ$93</f>
        <v>42736.027728946232</v>
      </c>
      <c r="K13" s="712">
        <f>Результаты_УК!$AN$93</f>
        <v>42736.027728946232</v>
      </c>
      <c r="L13" s="718">
        <f>Результаты_УК!$AR$93</f>
        <v>42736.027728946232</v>
      </c>
    </row>
    <row r="14" spans="1:12" ht="11.25" customHeight="1" x14ac:dyDescent="0.2">
      <c r="A14" s="639" t="str">
        <f>Результаты_УК!$A$94</f>
        <v>Здания, инфраструктура</v>
      </c>
      <c r="B14" s="829" t="str">
        <f>Результаты_УК!$C$94</f>
        <v>тыс. руб.</v>
      </c>
      <c r="C14" s="712">
        <f ca="1">Результаты_УК!$H$94</f>
        <v>937084.6875</v>
      </c>
      <c r="D14" s="712">
        <f ca="1">Результаты_УК!$L$94</f>
        <v>1134348.4804287432</v>
      </c>
      <c r="E14" s="712">
        <f ca="1">Результаты_УК!$P$94</f>
        <v>1818640.7447692563</v>
      </c>
      <c r="F14" s="712">
        <f ca="1">Результаты_УК!$T$94</f>
        <v>1991539.9687107867</v>
      </c>
      <c r="G14" s="712">
        <f ca="1">Результаты_УК!$X$94</f>
        <v>5147410.430754411</v>
      </c>
      <c r="H14" s="712">
        <f ca="1">Результаты_УК!$AB$94</f>
        <v>4861971.8321233317</v>
      </c>
      <c r="I14" s="712">
        <f ca="1">Результаты_УК!$AF$94</f>
        <v>4576533.2334922524</v>
      </c>
      <c r="J14" s="712">
        <f ca="1">Результаты_УК!$AJ$94</f>
        <v>4291094.6348611731</v>
      </c>
      <c r="K14" s="712">
        <f ca="1">Результаты_УК!$AN$94</f>
        <v>3803656.0957389227</v>
      </c>
      <c r="L14" s="718">
        <f ca="1">Результаты_УК!$AR$94</f>
        <v>1411356.6143780309</v>
      </c>
    </row>
    <row r="15" spans="1:12" ht="11.25" customHeight="1" x14ac:dyDescent="0.2">
      <c r="A15" s="638" t="str">
        <f>Результаты_УК!$A$95</f>
        <v>Оборудование и прочие активы</v>
      </c>
      <c r="B15" s="828" t="str">
        <f>Результаты_УК!$C$95</f>
        <v>тыс. руб.</v>
      </c>
      <c r="C15" s="713">
        <f>Результаты_УК!$H$95</f>
        <v>0</v>
      </c>
      <c r="D15" s="713">
        <f>Результаты_УК!$L$95</f>
        <v>0</v>
      </c>
      <c r="E15" s="713">
        <f>Результаты_УК!$P$95</f>
        <v>0</v>
      </c>
      <c r="F15" s="713">
        <f>Результаты_УК!$T$95</f>
        <v>0</v>
      </c>
      <c r="G15" s="713">
        <f>Результаты_УК!$X$95</f>
        <v>0</v>
      </c>
      <c r="H15" s="713">
        <f>Результаты_УК!$AB$95</f>
        <v>0</v>
      </c>
      <c r="I15" s="713">
        <f>Результаты_УК!$AF$95</f>
        <v>0</v>
      </c>
      <c r="J15" s="713">
        <f>Результаты_УК!$AJ$95</f>
        <v>0</v>
      </c>
      <c r="K15" s="713">
        <f>Результаты_УК!$AN$95</f>
        <v>0</v>
      </c>
      <c r="L15" s="714">
        <f>Результаты_УК!$AR$95</f>
        <v>0</v>
      </c>
    </row>
    <row r="16" spans="1:12" ht="11.25" customHeight="1" x14ac:dyDescent="0.2">
      <c r="A16" s="638" t="str">
        <f>Результаты_УК!$A$96</f>
        <v>Незавершенные капиталовложения</v>
      </c>
      <c r="B16" s="828" t="str">
        <f>Результаты_УК!$C$96</f>
        <v>тыс. руб.</v>
      </c>
      <c r="C16" s="713">
        <f ca="1">Результаты_УК!$H$96</f>
        <v>155976.66666666669</v>
      </c>
      <c r="D16" s="713">
        <f ca="1">Результаты_УК!$L$96</f>
        <v>459693.95354167023</v>
      </c>
      <c r="E16" s="713">
        <f ca="1">Результаты_УК!$P$96</f>
        <v>1385886.1306457904</v>
      </c>
      <c r="F16" s="713">
        <f ca="1">Результаты_УК!$T$96</f>
        <v>3441309.0606747051</v>
      </c>
      <c r="G16" s="713">
        <f ca="1">Результаты_УК!$X$96</f>
        <v>9.3132257461547852E-10</v>
      </c>
      <c r="H16" s="713">
        <f ca="1">Результаты_УК!$AB$96</f>
        <v>9.3132257461547852E-10</v>
      </c>
      <c r="I16" s="713">
        <f ca="1">Результаты_УК!$AF$96</f>
        <v>9.3132257461547852E-10</v>
      </c>
      <c r="J16" s="713">
        <f ca="1">Результаты_УК!$AJ$96</f>
        <v>9.3132257461547852E-10</v>
      </c>
      <c r="K16" s="713">
        <f ca="1">Результаты_УК!$AN$96</f>
        <v>9.3132257461547852E-10</v>
      </c>
      <c r="L16" s="714">
        <f ca="1">Результаты_УК!$AR$96</f>
        <v>9.3132257461547852E-10</v>
      </c>
    </row>
    <row r="17" spans="1:12" ht="11.25" customHeight="1" x14ac:dyDescent="0.2">
      <c r="A17" s="634" t="str">
        <f>Результаты_УК!$A$97</f>
        <v>Суммарные внеоборотные активы</v>
      </c>
      <c r="B17" s="828" t="str">
        <f>Результаты_УК!$C$97</f>
        <v>тыс. руб.</v>
      </c>
      <c r="C17" s="780">
        <f ca="1">Результаты_УК!$H$97</f>
        <v>1135797.3818956129</v>
      </c>
      <c r="D17" s="780">
        <f ca="1">Результаты_УК!$L$97</f>
        <v>1636778.4616993596</v>
      </c>
      <c r="E17" s="780">
        <f ca="1">Результаты_УК!$P$97</f>
        <v>3247262.9031439926</v>
      </c>
      <c r="F17" s="780">
        <f ca="1">Результаты_УК!$T$97</f>
        <v>5475585.0571144382</v>
      </c>
      <c r="G17" s="780">
        <f ca="1">Результаты_УК!$X$97</f>
        <v>5190146.4584833579</v>
      </c>
      <c r="H17" s="780">
        <f ca="1">Результаты_УК!$AB$97</f>
        <v>4904707.8598522786</v>
      </c>
      <c r="I17" s="780">
        <f ca="1">Результаты_УК!$AF$97</f>
        <v>4619269.2612211993</v>
      </c>
      <c r="J17" s="780">
        <f ca="1">Результаты_УК!$AJ$97</f>
        <v>4333830.66259012</v>
      </c>
      <c r="K17" s="780">
        <f ca="1">Результаты_УК!$AN$97</f>
        <v>3846392.1234678701</v>
      </c>
      <c r="L17" s="781">
        <f ca="1">Результаты_УК!$AR$97</f>
        <v>1454092.642106978</v>
      </c>
    </row>
    <row r="18" spans="1:12" ht="11.25" customHeight="1" x14ac:dyDescent="0.2">
      <c r="A18" s="398"/>
      <c r="B18" s="607"/>
      <c r="C18" s="651"/>
      <c r="D18" s="651"/>
      <c r="E18" s="651"/>
      <c r="F18" s="651"/>
      <c r="G18" s="651"/>
      <c r="H18" s="651"/>
      <c r="I18" s="651"/>
      <c r="J18" s="651"/>
      <c r="K18" s="651"/>
      <c r="L18" s="651"/>
    </row>
    <row r="19" spans="1:12" ht="11.25" customHeight="1" x14ac:dyDescent="0.2">
      <c r="A19" s="634" t="str">
        <f>Результаты_УК!$A$99</f>
        <v>ИТОГО АКТИВОВ</v>
      </c>
      <c r="B19" s="828" t="str">
        <f>Результаты_УК!$C$99</f>
        <v>тыс. руб.</v>
      </c>
      <c r="C19" s="780">
        <f ca="1">Результаты_УК!$H$99</f>
        <v>1393381.9569623866</v>
      </c>
      <c r="D19" s="780">
        <f ca="1">Результаты_УК!$L$99</f>
        <v>2057805.4445008682</v>
      </c>
      <c r="E19" s="780">
        <f ca="1">Результаты_УК!$P$99</f>
        <v>4084757.3658864056</v>
      </c>
      <c r="F19" s="780">
        <f ca="1">Результаты_УК!$T$99</f>
        <v>7023874.306346871</v>
      </c>
      <c r="G19" s="780">
        <f ca="1">Результаты_УК!$X$99</f>
        <v>7018361.4986355323</v>
      </c>
      <c r="H19" s="780">
        <f ca="1">Результаты_УК!$AB$99</f>
        <v>6981839.4272616468</v>
      </c>
      <c r="I19" s="780">
        <f ca="1">Результаты_УК!$AF$99</f>
        <v>6803627.4873780673</v>
      </c>
      <c r="J19" s="780">
        <f ca="1">Результаты_УК!$AJ$99</f>
        <v>6556764.5476921201</v>
      </c>
      <c r="K19" s="780">
        <f ca="1">Результаты_УК!$AN$99</f>
        <v>6440670.2646149285</v>
      </c>
      <c r="L19" s="781">
        <f ca="1">Результаты_УК!$AR$99</f>
        <v>9921890.1790042985</v>
      </c>
    </row>
    <row r="20" spans="1:12" ht="11.25" customHeight="1" x14ac:dyDescent="0.2">
      <c r="A20" s="398"/>
      <c r="B20" s="607"/>
      <c r="C20" s="651"/>
      <c r="D20" s="651"/>
      <c r="E20" s="651"/>
      <c r="F20" s="651"/>
      <c r="G20" s="651"/>
      <c r="H20" s="651"/>
      <c r="I20" s="651"/>
      <c r="J20" s="651"/>
      <c r="K20" s="651"/>
      <c r="L20" s="651"/>
    </row>
    <row r="21" spans="1:12" ht="11.25" customHeight="1" x14ac:dyDescent="0.2">
      <c r="A21" s="639" t="str">
        <f>Результаты_УК!$A$101</f>
        <v>Расчеты с бюджетом и внебюджетными фондами</v>
      </c>
      <c r="B21" s="829" t="str">
        <f>Результаты_УК!$C$101</f>
        <v>тыс. руб.</v>
      </c>
      <c r="C21" s="712">
        <f ca="1">Результаты_УК!$H$101</f>
        <v>6727.7822099290588</v>
      </c>
      <c r="D21" s="712">
        <f ca="1">Результаты_УК!$L$101</f>
        <v>1849.7792818109538</v>
      </c>
      <c r="E21" s="712">
        <f ca="1">Результаты_УК!$P$101</f>
        <v>1966.3053095371158</v>
      </c>
      <c r="F21" s="712">
        <f ca="1">Результаты_УК!$T$101</f>
        <v>2011.2128779594912</v>
      </c>
      <c r="G21" s="712">
        <f ca="1">Результаты_УК!$X$101</f>
        <v>2059.7350800195272</v>
      </c>
      <c r="H21" s="712">
        <f ca="1">Результаты_УК!$AB$101</f>
        <v>2111.3735694384513</v>
      </c>
      <c r="I21" s="712">
        <f ca="1">Результаты_УК!$AF$101</f>
        <v>19263.350578519228</v>
      </c>
      <c r="J21" s="712">
        <f ca="1">Результаты_УК!$AJ$101</f>
        <v>49601.052807964632</v>
      </c>
      <c r="K21" s="712">
        <f ca="1">Результаты_УК!$AN$101</f>
        <v>51885.746395755203</v>
      </c>
      <c r="L21" s="718">
        <f ca="1">Результаты_УК!$AR$101</f>
        <v>49465.707261161857</v>
      </c>
    </row>
    <row r="22" spans="1:12" ht="11.25" customHeight="1" x14ac:dyDescent="0.2">
      <c r="A22" s="639" t="str">
        <f>Результаты_УК!$A$102</f>
        <v>Расчеты с персоналом</v>
      </c>
      <c r="B22" s="829" t="str">
        <f>Результаты_УК!$C$102</f>
        <v>тыс. руб.</v>
      </c>
      <c r="C22" s="712">
        <f ca="1">Результаты_УК!$H$102</f>
        <v>376.00549999999993</v>
      </c>
      <c r="D22" s="712">
        <f ca="1">Результаты_УК!$L$102</f>
        <v>880.90925052188754</v>
      </c>
      <c r="E22" s="712">
        <f ca="1">Результаты_УК!$P$102</f>
        <v>1071.3112566103873</v>
      </c>
      <c r="F22" s="712">
        <f ca="1">Результаты_УК!$T$102</f>
        <v>1144.6896363855105</v>
      </c>
      <c r="G22" s="712">
        <f ca="1">Результаты_УК!$X$102</f>
        <v>1223.9742802744579</v>
      </c>
      <c r="H22" s="712">
        <f ca="1">Результаты_УК!$AB$102</f>
        <v>1308.3508969720465</v>
      </c>
      <c r="I22" s="712">
        <f ca="1">Результаты_УК!$AF$102</f>
        <v>1397.5813760034853</v>
      </c>
      <c r="J22" s="712">
        <f ca="1">Результаты_УК!$AJ$102</f>
        <v>1492.3652505390155</v>
      </c>
      <c r="K22" s="712">
        <f ca="1">Результаты_УК!$AN$102</f>
        <v>1592.8287227334783</v>
      </c>
      <c r="L22" s="718">
        <f ca="1">Результаты_УК!$AR$102</f>
        <v>1699.1681579773597</v>
      </c>
    </row>
    <row r="23" spans="1:12" ht="11.25" customHeight="1" x14ac:dyDescent="0.2">
      <c r="A23" s="639" t="str">
        <f>Результаты_УК!$A$103</f>
        <v>Полученные авансы покупателей</v>
      </c>
      <c r="B23" s="829" t="str">
        <f>Результаты_УК!$C$103</f>
        <v>тыс. руб.</v>
      </c>
      <c r="C23" s="712">
        <f>Результаты_УК!$H$103</f>
        <v>0</v>
      </c>
      <c r="D23" s="712">
        <f>Результаты_УК!$L$103</f>
        <v>0</v>
      </c>
      <c r="E23" s="712">
        <f>Результаты_УК!$P$103</f>
        <v>0</v>
      </c>
      <c r="F23" s="712">
        <f>Результаты_УК!$T$103</f>
        <v>0</v>
      </c>
      <c r="G23" s="712">
        <f>Результаты_УК!$X$103</f>
        <v>0</v>
      </c>
      <c r="H23" s="712">
        <f>Результаты_УК!$AB$103</f>
        <v>0</v>
      </c>
      <c r="I23" s="712">
        <f>Результаты_УК!$AF$103</f>
        <v>0</v>
      </c>
      <c r="J23" s="712">
        <f>Результаты_УК!$AJ$103</f>
        <v>0</v>
      </c>
      <c r="K23" s="712">
        <f>Результаты_УК!$AN$103</f>
        <v>0</v>
      </c>
      <c r="L23" s="718">
        <f>Результаты_УК!$AR$103</f>
        <v>0</v>
      </c>
    </row>
    <row r="24" spans="1:12" ht="11.25" customHeight="1" x14ac:dyDescent="0.2">
      <c r="A24" s="638" t="str">
        <f>Результаты_УК!$A$104</f>
        <v>Краткосрочные кредиты</v>
      </c>
      <c r="B24" s="828" t="str">
        <f>Результаты_УК!$C$104</f>
        <v>тыс. руб.</v>
      </c>
      <c r="C24" s="713">
        <f>Результаты_УК!$H$104</f>
        <v>0</v>
      </c>
      <c r="D24" s="713">
        <f>Результаты_УК!$L$104</f>
        <v>0</v>
      </c>
      <c r="E24" s="713">
        <f>Результаты_УК!$P$104</f>
        <v>0</v>
      </c>
      <c r="F24" s="713">
        <f>Результаты_УК!$T$104</f>
        <v>0</v>
      </c>
      <c r="G24" s="713">
        <f>Результаты_УК!$X$104</f>
        <v>0</v>
      </c>
      <c r="H24" s="713">
        <f>Результаты_УК!$AB$104</f>
        <v>0</v>
      </c>
      <c r="I24" s="713">
        <f>Результаты_УК!$AF$104</f>
        <v>0</v>
      </c>
      <c r="J24" s="713">
        <f>Результаты_УК!$AJ$104</f>
        <v>0</v>
      </c>
      <c r="K24" s="713">
        <f>Результаты_УК!$AN$104</f>
        <v>0</v>
      </c>
      <c r="L24" s="714">
        <f>Результаты_УК!$AR$104</f>
        <v>0</v>
      </c>
    </row>
    <row r="25" spans="1:12" ht="11.25" customHeight="1" x14ac:dyDescent="0.2">
      <c r="A25" s="634" t="str">
        <f>Результаты_УК!$A$105</f>
        <v>Суммарные краткосрочные обязательства</v>
      </c>
      <c r="B25" s="828" t="str">
        <f>Результаты_УК!$C$105</f>
        <v>тыс. руб.</v>
      </c>
      <c r="C25" s="780">
        <f ca="1">Результаты_УК!$H$105</f>
        <v>7103.787709929059</v>
      </c>
      <c r="D25" s="780">
        <f ca="1">Результаты_УК!$L$105</f>
        <v>2730.6885323328415</v>
      </c>
      <c r="E25" s="780">
        <f ca="1">Результаты_УК!$P$105</f>
        <v>3037.6165661475034</v>
      </c>
      <c r="F25" s="780">
        <f ca="1">Результаты_УК!$T$105</f>
        <v>3155.9025143450017</v>
      </c>
      <c r="G25" s="780">
        <f ca="1">Результаты_УК!$X$105</f>
        <v>3283.7093602939849</v>
      </c>
      <c r="H25" s="780">
        <f ca="1">Результаты_УК!$AB$105</f>
        <v>3419.7244664104978</v>
      </c>
      <c r="I25" s="780">
        <f ca="1">Результаты_УК!$AF$105</f>
        <v>20660.931954522712</v>
      </c>
      <c r="J25" s="780">
        <f ca="1">Результаты_УК!$AJ$105</f>
        <v>51093.418058503645</v>
      </c>
      <c r="K25" s="780">
        <f ca="1">Результаты_УК!$AN$105</f>
        <v>53478.575118488683</v>
      </c>
      <c r="L25" s="781">
        <f ca="1">Результаты_УК!$AR$105</f>
        <v>51164.875419139215</v>
      </c>
    </row>
    <row r="26" spans="1:12" ht="11.25" customHeight="1" x14ac:dyDescent="0.2">
      <c r="A26" s="398"/>
      <c r="B26" s="607"/>
      <c r="C26" s="651"/>
      <c r="D26" s="651"/>
      <c r="E26" s="651"/>
      <c r="F26" s="651"/>
      <c r="G26" s="651"/>
      <c r="H26" s="651"/>
      <c r="I26" s="651"/>
      <c r="J26" s="651"/>
      <c r="K26" s="651"/>
      <c r="L26" s="651"/>
    </row>
    <row r="27" spans="1:12" ht="11.25" customHeight="1" x14ac:dyDescent="0.2">
      <c r="A27" s="638" t="str">
        <f>Результаты_УК!$A$107</f>
        <v>Долгосрочные кредиты</v>
      </c>
      <c r="B27" s="828" t="str">
        <f>Результаты_УК!$C$107</f>
        <v>тыс. руб.</v>
      </c>
      <c r="C27" s="713">
        <f ca="1">Результаты_УК!$H$107</f>
        <v>1287830.2382820111</v>
      </c>
      <c r="D27" s="713">
        <f ca="1">Результаты_УК!$L$107</f>
        <v>1636881.3401666533</v>
      </c>
      <c r="E27" s="713">
        <f ca="1">Результаты_УК!$P$107</f>
        <v>2871422.192676479</v>
      </c>
      <c r="F27" s="713">
        <f ca="1">Результаты_УК!$T$107</f>
        <v>4182993.3912427542</v>
      </c>
      <c r="G27" s="713">
        <f ca="1">Результаты_УК!$X$107</f>
        <v>3468223.6474683583</v>
      </c>
      <c r="H27" s="713">
        <f ca="1">Результаты_УК!$AB$107</f>
        <v>2688755.3089496093</v>
      </c>
      <c r="I27" s="713">
        <f ca="1">Результаты_УК!$AF$107</f>
        <v>1838717.2412882056</v>
      </c>
      <c r="J27" s="713">
        <f ca="1">Результаты_УК!$AJ$107</f>
        <v>911704.27125737618</v>
      </c>
      <c r="K27" s="713">
        <f ca="1">Результаты_УК!$AN$107</f>
        <v>0</v>
      </c>
      <c r="L27" s="714">
        <f ca="1">Результаты_УК!$AR$107</f>
        <v>0</v>
      </c>
    </row>
    <row r="28" spans="1:12" ht="11.25" customHeight="1" x14ac:dyDescent="0.2">
      <c r="A28" s="634" t="str">
        <f>Результаты_УК!$A$108</f>
        <v>Суммарные долгосрочные обязательства</v>
      </c>
      <c r="B28" s="828" t="str">
        <f>Результаты_УК!$C$108</f>
        <v>тыс. руб.</v>
      </c>
      <c r="C28" s="780">
        <f ca="1">Результаты_УК!$H$108</f>
        <v>1287830.2382820111</v>
      </c>
      <c r="D28" s="780">
        <f ca="1">Результаты_УК!$L$108</f>
        <v>1636881.3401666533</v>
      </c>
      <c r="E28" s="780">
        <f ca="1">Результаты_УК!$P$108</f>
        <v>2871422.192676479</v>
      </c>
      <c r="F28" s="780">
        <f ca="1">Результаты_УК!$T$108</f>
        <v>4182993.3912427542</v>
      </c>
      <c r="G28" s="780">
        <f ca="1">Результаты_УК!$X$108</f>
        <v>3468223.6474683583</v>
      </c>
      <c r="H28" s="780">
        <f ca="1">Результаты_УК!$AB$108</f>
        <v>2688755.3089496093</v>
      </c>
      <c r="I28" s="780">
        <f ca="1">Результаты_УК!$AF$108</f>
        <v>1838717.2412882056</v>
      </c>
      <c r="J28" s="780">
        <f ca="1">Результаты_УК!$AJ$108</f>
        <v>911704.27125737618</v>
      </c>
      <c r="K28" s="780">
        <f ca="1">Результаты_УК!$AN$108</f>
        <v>0</v>
      </c>
      <c r="L28" s="781">
        <f ca="1">Результаты_УК!$AR$108</f>
        <v>0</v>
      </c>
    </row>
    <row r="29" spans="1:12" ht="11.25" customHeight="1" x14ac:dyDescent="0.2">
      <c r="A29" s="398"/>
      <c r="B29" s="607"/>
      <c r="C29" s="651"/>
      <c r="D29" s="651"/>
      <c r="E29" s="651"/>
      <c r="F29" s="651"/>
      <c r="G29" s="651"/>
      <c r="H29" s="651"/>
      <c r="I29" s="651"/>
      <c r="J29" s="651"/>
      <c r="K29" s="651"/>
      <c r="L29" s="651"/>
    </row>
    <row r="30" spans="1:12" ht="11.25" customHeight="1" x14ac:dyDescent="0.2">
      <c r="A30" s="639" t="str">
        <f>Результаты_УК!$A$110</f>
        <v>Собственный (акционерный) капитал</v>
      </c>
      <c r="B30" s="829" t="str">
        <f>Результаты_УК!$C$110</f>
        <v>тыс. руб.</v>
      </c>
      <c r="C30" s="712">
        <f ca="1">Результаты_УК!$H$110</f>
        <v>145504.90036122283</v>
      </c>
      <c r="D30" s="712">
        <f ca="1">Результаты_УК!$L$110</f>
        <v>538707.03363328229</v>
      </c>
      <c r="E30" s="712">
        <f ca="1">Результаты_УК!$P$110</f>
        <v>1437033.5389306555</v>
      </c>
      <c r="F30" s="712">
        <f ca="1">Результаты_УК!$T$110</f>
        <v>3250454.9959655893</v>
      </c>
      <c r="G30" s="712">
        <f ca="1">Результаты_УК!$X$110</f>
        <v>3563467.0734848822</v>
      </c>
      <c r="H30" s="712">
        <f ca="1">Результаты_УК!$AB$110</f>
        <v>3876053.0840156334</v>
      </c>
      <c r="I30" s="712">
        <f ca="1">Результаты_УК!$AF$110</f>
        <v>4187663.7738477867</v>
      </c>
      <c r="J30" s="712">
        <f ca="1">Результаты_УК!$AJ$110</f>
        <v>4496142.3528908929</v>
      </c>
      <c r="K30" s="712">
        <f ca="1">Результаты_УК!$AN$110</f>
        <v>4714156.6052248208</v>
      </c>
      <c r="L30" s="718">
        <f ca="1">Результаты_УК!$AR$110</f>
        <v>4714156.6052248208</v>
      </c>
    </row>
    <row r="31" spans="1:12" ht="11.25" customHeight="1" x14ac:dyDescent="0.2">
      <c r="A31" s="639" t="str">
        <f>Результаты_УК!$A$111</f>
        <v>Нераспределенная прибыль</v>
      </c>
      <c r="B31" s="829" t="str">
        <f>Результаты_УК!$C$111</f>
        <v>тыс. руб.</v>
      </c>
      <c r="C31" s="712">
        <f ca="1">Результаты_УК!$H$111</f>
        <v>-89782.997119722757</v>
      </c>
      <c r="D31" s="712">
        <f ca="1">Результаты_УК!$L$111</f>
        <v>-166249.15108340967</v>
      </c>
      <c r="E31" s="712">
        <f ca="1">Результаты_УК!$P$111</f>
        <v>-285903.49747404293</v>
      </c>
      <c r="F31" s="712">
        <f ca="1">Результаты_УК!$T$111</f>
        <v>-508607.44979695452</v>
      </c>
      <c r="G31" s="712">
        <f ca="1">Результаты_УК!$X$111</f>
        <v>-325844.78499210661</v>
      </c>
      <c r="H31" s="712">
        <f ca="1">Результаты_УК!$AB$111</f>
        <v>-36364.717898950839</v>
      </c>
      <c r="I31" s="712">
        <f ca="1">Результаты_УК!$AF$111</f>
        <v>306609.51255860919</v>
      </c>
      <c r="J31" s="712">
        <f ca="1">Результаты_УК!$AJ$111</f>
        <v>647848.47775640432</v>
      </c>
      <c r="K31" s="712">
        <f ca="1">Результаты_УК!$AN$111</f>
        <v>1223059.0565426776</v>
      </c>
      <c r="L31" s="718">
        <f ca="1">Результаты_УК!$AR$111</f>
        <v>4706592.6706313938</v>
      </c>
    </row>
    <row r="32" spans="1:12" ht="11.25" customHeight="1" x14ac:dyDescent="0.2">
      <c r="A32" s="639" t="str">
        <f>Результаты_УК!$A$112</f>
        <v>Целевое (бюджетное) финансирование</v>
      </c>
      <c r="B32" s="829" t="str">
        <f>Результаты_УК!$C$112</f>
        <v>тыс. руб.</v>
      </c>
      <c r="C32" s="712">
        <f ca="1">Результаты_УК!$H$112</f>
        <v>0</v>
      </c>
      <c r="D32" s="712">
        <f ca="1">Результаты_УК!$L$112</f>
        <v>3009.5055230634734</v>
      </c>
      <c r="E32" s="712">
        <f ca="1">Результаты_УК!$P$112</f>
        <v>16441.487458219995</v>
      </c>
      <c r="F32" s="712">
        <f ca="1">Результаты_УК!$T$112</f>
        <v>53151.438692189746</v>
      </c>
      <c r="G32" s="712">
        <f ca="1">Результаты_УК!$X$112</f>
        <v>266505.82558516006</v>
      </c>
      <c r="H32" s="712">
        <f ca="1">Результаты_УК!$AB$112</f>
        <v>407250</v>
      </c>
      <c r="I32" s="712">
        <f ca="1">Результаты_УК!$AF$112</f>
        <v>407250</v>
      </c>
      <c r="J32" s="712">
        <f ca="1">Результаты_УК!$AJ$112</f>
        <v>407250</v>
      </c>
      <c r="K32" s="712">
        <f ca="1">Результаты_УК!$AN$112</f>
        <v>407250</v>
      </c>
      <c r="L32" s="718">
        <f ca="1">Результаты_УК!$AR$112</f>
        <v>407250</v>
      </c>
    </row>
    <row r="33" spans="1:12" ht="11.25" customHeight="1" x14ac:dyDescent="0.2">
      <c r="A33" s="639" t="str">
        <f>Результаты_УК!$A$113</f>
        <v>Прочий собственный капитал</v>
      </c>
      <c r="B33" s="829" t="str">
        <f>Результаты_УК!$C$113</f>
        <v>тыс. руб.</v>
      </c>
      <c r="C33" s="712">
        <f>Результаты_УК!$H$113</f>
        <v>42726.027728946181</v>
      </c>
      <c r="D33" s="712">
        <f>Результаты_УК!$L$113</f>
        <v>42726.027728946181</v>
      </c>
      <c r="E33" s="712">
        <f>Результаты_УК!$P$113</f>
        <v>42726.027728946181</v>
      </c>
      <c r="F33" s="712">
        <f>Результаты_УК!$T$113</f>
        <v>42726.027728946181</v>
      </c>
      <c r="G33" s="712">
        <f>Результаты_УК!$X$113</f>
        <v>42726.027728946181</v>
      </c>
      <c r="H33" s="712">
        <f>Результаты_УК!$AB$113</f>
        <v>42726.027728946181</v>
      </c>
      <c r="I33" s="712">
        <f>Результаты_УК!$AF$113</f>
        <v>42726.027728946181</v>
      </c>
      <c r="J33" s="712">
        <f>Результаты_УК!$AJ$113</f>
        <v>42726.027728946181</v>
      </c>
      <c r="K33" s="712">
        <f>Результаты_УК!$AN$113</f>
        <v>42726.027728946181</v>
      </c>
      <c r="L33" s="718">
        <f>Результаты_УК!$AR$113</f>
        <v>42726.027728946181</v>
      </c>
    </row>
    <row r="34" spans="1:12" ht="11.25" customHeight="1" x14ac:dyDescent="0.2">
      <c r="A34" s="634" t="str">
        <f>Результаты_УК!$A$114</f>
        <v>Суммарный собственный капитал</v>
      </c>
      <c r="B34" s="828" t="str">
        <f>Результаты_УК!$C$114</f>
        <v>тыс. руб.</v>
      </c>
      <c r="C34" s="780">
        <f ca="1">Результаты_УК!$H$114</f>
        <v>98447.93097044625</v>
      </c>
      <c r="D34" s="780">
        <f ca="1">Результаты_УК!$L$114</f>
        <v>418193.41580188228</v>
      </c>
      <c r="E34" s="780">
        <f ca="1">Результаты_УК!$P$114</f>
        <v>1210297.5566437787</v>
      </c>
      <c r="F34" s="780">
        <f ca="1">Результаты_УК!$T$114</f>
        <v>2837725.0125897704</v>
      </c>
      <c r="G34" s="780">
        <f ca="1">Результаты_УК!$X$114</f>
        <v>3546854.1418068819</v>
      </c>
      <c r="H34" s="780">
        <f ca="1">Результаты_УК!$AB$114</f>
        <v>4289664.393845628</v>
      </c>
      <c r="I34" s="780">
        <f ca="1">Результаты_УК!$AF$114</f>
        <v>4944249.3141353419</v>
      </c>
      <c r="J34" s="780">
        <f ca="1">Результаты_УК!$AJ$114</f>
        <v>5593966.8583762432</v>
      </c>
      <c r="K34" s="780">
        <f ca="1">Результаты_УК!$AN$114</f>
        <v>6387191.6894964445</v>
      </c>
      <c r="L34" s="781">
        <f ca="1">Результаты_УК!$AR$114</f>
        <v>9870725.3035851624</v>
      </c>
    </row>
    <row r="35" spans="1:12" ht="11.25" customHeight="1" x14ac:dyDescent="0.2">
      <c r="A35" s="398"/>
      <c r="B35" s="607"/>
      <c r="C35" s="651"/>
      <c r="D35" s="651"/>
      <c r="E35" s="651"/>
      <c r="F35" s="651"/>
      <c r="G35" s="651"/>
      <c r="H35" s="651"/>
      <c r="I35" s="651"/>
      <c r="J35" s="651"/>
      <c r="K35" s="651"/>
      <c r="L35" s="651"/>
    </row>
    <row r="36" spans="1:12" ht="11.25" customHeight="1" x14ac:dyDescent="0.2">
      <c r="A36" s="634" t="str">
        <f>Результаты_УК!$A$116</f>
        <v>ИТОГО ПАССИВОВ</v>
      </c>
      <c r="B36" s="828" t="str">
        <f>Результаты_УК!$C$116</f>
        <v>тыс. руб.</v>
      </c>
      <c r="C36" s="780">
        <f ca="1">Результаты_УК!$H$116</f>
        <v>1393381.9569623864</v>
      </c>
      <c r="D36" s="780">
        <f ca="1">Результаты_УК!$L$116</f>
        <v>2057805.4445008684</v>
      </c>
      <c r="E36" s="780">
        <f ca="1">Результаты_УК!$P$116</f>
        <v>4084757.3658864051</v>
      </c>
      <c r="F36" s="780">
        <f ca="1">Результаты_УК!$T$116</f>
        <v>7023874.3063468691</v>
      </c>
      <c r="G36" s="780">
        <f ca="1">Результаты_УК!$X$116</f>
        <v>7018361.4986355342</v>
      </c>
      <c r="H36" s="780">
        <f ca="1">Результаты_УК!$AB$116</f>
        <v>6981839.4272616478</v>
      </c>
      <c r="I36" s="780">
        <f ca="1">Результаты_УК!$AF$116</f>
        <v>6803627.4873780701</v>
      </c>
      <c r="J36" s="780">
        <f ca="1">Результаты_УК!$AJ$116</f>
        <v>6556764.5476921229</v>
      </c>
      <c r="K36" s="780">
        <f ca="1">Результаты_УК!$AN$116</f>
        <v>6440670.2646149332</v>
      </c>
      <c r="L36" s="781">
        <f ca="1">Результаты_УК!$AR$116</f>
        <v>9921890.1790043022</v>
      </c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13&amp;R&amp;"Arial,полужирный"&amp;10Проект создания ИП «Бугры» на территории Ленинградской области. Управляющая компания.
&amp;C&amp;"Arial,полужирный"&amp;13
БАЛАНС</oddHead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39"/>
  <dimension ref="A1:M32"/>
  <sheetViews>
    <sheetView workbookViewId="0"/>
  </sheetViews>
  <sheetFormatPr defaultRowHeight="12.75" x14ac:dyDescent="0.2"/>
  <cols>
    <col min="1" max="1" width="42.140625" customWidth="1"/>
    <col min="2" max="2" width="8.85546875" customWidth="1"/>
    <col min="3" max="3" width="8" customWidth="1"/>
    <col min="4" max="13" width="8.28515625" customWidth="1"/>
  </cols>
  <sheetData>
    <row r="1" spans="1:13" s="301" customFormat="1" ht="26.1" customHeight="1" x14ac:dyDescent="0.2">
      <c r="A1" s="613" t="str">
        <f>Результаты_УК!$A$119</f>
        <v>ПОКАЗАТЕЛИ ДОЛГА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</row>
    <row r="2" spans="1:13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</row>
    <row r="3" spans="1:13" ht="11.25" customHeight="1" x14ac:dyDescent="0.2">
      <c r="A3" s="840" t="str">
        <f>Результаты_УК!$A$121</f>
        <v>Справочно:</v>
      </c>
      <c r="B3" s="837"/>
      <c r="C3" s="684"/>
      <c r="D3" s="682"/>
      <c r="E3" s="682"/>
      <c r="F3" s="682"/>
      <c r="G3" s="682"/>
      <c r="H3" s="682"/>
      <c r="I3" s="682"/>
      <c r="J3" s="682"/>
      <c r="K3" s="682"/>
      <c r="L3" s="682"/>
      <c r="M3" s="682"/>
    </row>
    <row r="4" spans="1:13" ht="11.25" customHeight="1" x14ac:dyDescent="0.2">
      <c r="A4" s="655" t="str">
        <f>Результаты_УК!$A$122</f>
        <v>EBITDA</v>
      </c>
      <c r="B4" s="841"/>
      <c r="C4" s="846" t="str">
        <f>Результаты_УК!$C$122</f>
        <v>тыс. руб.</v>
      </c>
      <c r="D4" s="843">
        <f ca="1">SUM(Результаты_УК!$E$122:'Результаты_УК'!$H$122)</f>
        <v>26502.893049699764</v>
      </c>
      <c r="E4" s="843">
        <f ca="1">SUM(Результаты_УК!$I$122:'Результаты_УК'!$L$122)</f>
        <v>96555.26976961561</v>
      </c>
      <c r="F4" s="843">
        <f ca="1">SUM(Результаты_УК!$M$122:'Результаты_УК'!$P$122)</f>
        <v>167224.52622792908</v>
      </c>
      <c r="G4" s="843">
        <f ca="1">SUM(Результаты_УК!$Q$122:'Результаты_УК'!$T$122)</f>
        <v>210706.51992871572</v>
      </c>
      <c r="H4" s="843">
        <f ca="1">SUM(Результаты_УК!$U$122:'Результаты_УК'!$X$122)</f>
        <v>796805.11139250523</v>
      </c>
      <c r="I4" s="843">
        <f ca="1">SUM(Результаты_УК!$Y$122:'Результаты_УК'!$AB$122)</f>
        <v>837403.69564132462</v>
      </c>
      <c r="J4" s="843">
        <f ca="1">SUM(Результаты_УК!$AC$122:'Результаты_УК'!$AF$122)</f>
        <v>873319.04246133461</v>
      </c>
      <c r="K4" s="843">
        <f ca="1">SUM(Результаты_УК!$AG$122:'Результаты_УК'!$AJ$122)</f>
        <v>813236.26524118136</v>
      </c>
      <c r="L4" s="843">
        <f ca="1">SUM(Результаты_УК!$AK$122:'Результаты_УК'!$AN$122)</f>
        <v>1016041.8997667523</v>
      </c>
      <c r="M4" s="847">
        <f ca="1">SUM(Результаты_УК!$AO$122:'Результаты_УК'!$AR$122)</f>
        <v>4453476.5447312957</v>
      </c>
    </row>
    <row r="5" spans="1:13" ht="11.25" customHeight="1" x14ac:dyDescent="0.2">
      <c r="A5" s="656" t="str">
        <f>Результаты_УК!$A$123</f>
        <v>EBIT</v>
      </c>
      <c r="B5" s="841"/>
      <c r="C5" s="842" t="str">
        <f>Результаты_УК!$C$123</f>
        <v>тыс. руб.</v>
      </c>
      <c r="D5" s="844">
        <f ca="1">SUM(Результаты_УК!$E$123:'Результаты_УК'!$H$123)</f>
        <v>2475.0805496997637</v>
      </c>
      <c r="E5" s="844">
        <f ca="1">SUM(Результаты_УК!$I$123:'Результаты_УК'!$L$123)</f>
        <v>45394.335681910001</v>
      </c>
      <c r="F5" s="844">
        <f ca="1">SUM(Результаты_УК!$M$123:'Результаты_УК'!$P$123)</f>
        <v>79863.475176899708</v>
      </c>
      <c r="G5" s="844">
        <f ca="1">SUM(Результаты_УК!$Q$123:'Результаты_УК'!$T$123)</f>
        <v>97333.374331372455</v>
      </c>
      <c r="H5" s="844">
        <f ca="1">SUM(Результаты_УК!$U$123:'Результаты_УК'!$X$123)</f>
        <v>511366.51276142686</v>
      </c>
      <c r="I5" s="844">
        <f ca="1">SUM(Результаты_УК!$Y$123:'Результаты_УК'!$AB$123)</f>
        <v>551965.09701024601</v>
      </c>
      <c r="J5" s="844">
        <f ca="1">SUM(Результаты_УК!$AC$123:'Результаты_УК'!$AF$123)</f>
        <v>587880.44383025623</v>
      </c>
      <c r="K5" s="844">
        <f ca="1">SUM(Результаты_УК!$AG$123:'Результаты_УК'!$AJ$123)</f>
        <v>527797.66661010298</v>
      </c>
      <c r="L5" s="844">
        <f ca="1">SUM(Результаты_УК!$AK$123:'Результаты_УК'!$AN$123)</f>
        <v>744916.91961261746</v>
      </c>
      <c r="M5" s="845">
        <f ca="1">SUM(Результаты_УК!$AO$123:'Результаты_УК'!$AR$123)</f>
        <v>4354417.0176108964</v>
      </c>
    </row>
    <row r="6" spans="1:13" ht="11.25" customHeight="1" x14ac:dyDescent="0.2">
      <c r="A6" s="649"/>
      <c r="B6" s="837"/>
      <c r="C6" s="684"/>
      <c r="D6" s="838"/>
      <c r="E6" s="838"/>
      <c r="F6" s="838"/>
      <c r="G6" s="838"/>
      <c r="H6" s="838"/>
      <c r="I6" s="838"/>
      <c r="J6" s="838"/>
      <c r="K6" s="838"/>
      <c r="L6" s="838"/>
      <c r="M6" s="838"/>
    </row>
    <row r="7" spans="1:13" ht="22.5" customHeight="1" x14ac:dyDescent="0.2">
      <c r="A7" s="674" t="str">
        <f>Результаты_УК!$A$125</f>
        <v>Суммарная задолженность 
(долгосрочные и краткосрочные обязательства), TD</v>
      </c>
      <c r="B7" s="685"/>
      <c r="C7" s="829" t="str">
        <f>Результаты_УК!$C$125</f>
        <v>тыс. руб.</v>
      </c>
      <c r="D7" s="848">
        <f ca="1">IFERROR(AVERAGE(Результаты_УК!$E$125:'Результаты_УК'!$H$125),"0")</f>
        <v>1153225.9708677814</v>
      </c>
      <c r="E7" s="848">
        <f ca="1">IFERROR(AVERAGE(Результаты_УК!$I$125:'Результаты_УК'!$L$125),"0")</f>
        <v>1493360.2684660526</v>
      </c>
      <c r="F7" s="848">
        <f ca="1">IFERROR(AVERAGE(Результаты_УК!$M$125:'Результаты_УК'!$P$125),"0")</f>
        <v>2342559.8525612606</v>
      </c>
      <c r="G7" s="848">
        <f ca="1">IFERROR(AVERAGE(Результаты_УК!$Q$125:'Результаты_УК'!$T$125),"0")</f>
        <v>3664498.4596696431</v>
      </c>
      <c r="H7" s="848">
        <f ca="1">IFERROR(AVERAGE(Результаты_УК!$U$125:'Результаты_УК'!$X$125),"0")</f>
        <v>3741099.9114284012</v>
      </c>
      <c r="I7" s="848">
        <f ca="1">IFERROR(AVERAGE(Результаты_УК!$Y$125:'Результаты_УК'!$AB$125),"0")</f>
        <v>2986332.4952434404</v>
      </c>
      <c r="J7" s="848">
        <f ca="1">IFERROR(AVERAGE(Результаты_УК!$AC$125:'Результаты_УК'!$AF$125),"0")</f>
        <v>2163236.9484451329</v>
      </c>
      <c r="K7" s="848">
        <f ca="1">IFERROR(AVERAGE(Результаты_УК!$AG$125:'Результаты_УК'!$AJ$125),"0")</f>
        <v>1265612.0014107255</v>
      </c>
      <c r="L7" s="848">
        <f ca="1">IFERROR(AVERAGE(Результаты_УК!$AK$125:'Результаты_УК'!$AN$125),"0")</f>
        <v>323796.20162219845</v>
      </c>
      <c r="M7" s="851">
        <f ca="1">IFERROR(AVERAGE(Результаты_УК!$AO$125:'Результаты_УК'!$AR$125),"0")</f>
        <v>0</v>
      </c>
    </row>
    <row r="8" spans="1:13" ht="11.25" customHeight="1" x14ac:dyDescent="0.2">
      <c r="A8" s="632" t="str">
        <f>Результаты_УК!$A$126</f>
        <v>TD / EBITDA*</v>
      </c>
      <c r="B8" s="685"/>
      <c r="C8" s="829" t="str">
        <f>Результаты_УК!$C$126</f>
        <v>раз</v>
      </c>
      <c r="D8" s="849">
        <f ca="1">IFERROR(AVERAGE(Результаты_УК!$E$126:'Результаты_УК'!$H$126),"0")</f>
        <v>-39.976872558957282</v>
      </c>
      <c r="E8" s="849">
        <f ca="1">IFERROR(AVERAGE(Результаты_УК!$I$126:'Результаты_УК'!$L$126),"0")</f>
        <v>62.749557525512756</v>
      </c>
      <c r="F8" s="849">
        <f ca="1">IFERROR(AVERAGE(Результаты_УК!$M$126:'Результаты_УК'!$P$126),"0")</f>
        <v>59.196609546953212</v>
      </c>
      <c r="G8" s="849">
        <f ca="1">IFERROR(AVERAGE(Результаты_УК!$Q$126:'Результаты_УК'!$T$126),"0")</f>
        <v>71.343861324466275</v>
      </c>
      <c r="H8" s="849">
        <f ca="1">IFERROR(AVERAGE(Результаты_УК!$U$126:'Результаты_УК'!$X$126),"0")</f>
        <v>21.904177750659883</v>
      </c>
      <c r="I8" s="849">
        <f ca="1">IFERROR(AVERAGE(Результаты_УК!$Y$126:'Результаты_УК'!$AB$126),"0")</f>
        <v>14.354377603721552</v>
      </c>
      <c r="J8" s="849">
        <f ca="1">IFERROR(AVERAGE(Результаты_УК!$AC$126:'Результаты_УК'!$AF$126),"0")</f>
        <v>9.9745150050170359</v>
      </c>
      <c r="K8" s="849">
        <f ca="1">IFERROR(AVERAGE(Результаты_УК!$AG$126:'Результаты_УК'!$AJ$126),"0")</f>
        <v>6.1661338264012358</v>
      </c>
      <c r="L8" s="849">
        <f ca="1">IFERROR(AVERAGE(Результаты_УК!$AK$126:'Результаты_УК'!$AN$126),"0")</f>
        <v>1.159220885131951</v>
      </c>
      <c r="M8" s="852">
        <f ca="1">IFERROR(AVERAGE(Результаты_УК!$AO$126:'Результаты_УК'!$AR$126),"0")</f>
        <v>0</v>
      </c>
    </row>
    <row r="9" spans="1:13" ht="11.25" customHeight="1" x14ac:dyDescent="0.2">
      <c r="A9" s="632" t="str">
        <f>Результаты_УК!$A$127</f>
        <v>TD / EBIT*</v>
      </c>
      <c r="B9" s="685"/>
      <c r="C9" s="829" t="str">
        <f>Результаты_УК!$C$127</f>
        <v>раз</v>
      </c>
      <c r="D9" s="849">
        <f ca="1">IFERROR(AVERAGE(Результаты_УК!$E$127:'Результаты_УК'!$H$127),"0")</f>
        <v>-448.42790284234769</v>
      </c>
      <c r="E9" s="849">
        <f ca="1">IFERROR(AVERAGE(Результаты_УК!$I$127:'Результаты_УК'!$L$127),"0")</f>
        <v>134.25974101245933</v>
      </c>
      <c r="F9" s="849">
        <f ca="1">IFERROR(AVERAGE(Результаты_УК!$M$127:'Результаты_УК'!$P$127),"0")</f>
        <v>125.56834952662047</v>
      </c>
      <c r="G9" s="849">
        <f ca="1">IFERROR(AVERAGE(Результаты_УК!$Q$127:'Результаты_УК'!$T$127),"0")</f>
        <v>156.83106410191255</v>
      </c>
      <c r="H9" s="849">
        <f ca="1">IFERROR(AVERAGE(Результаты_УК!$U$127:'Результаты_УК'!$X$127),"0")</f>
        <v>35.156400661322365</v>
      </c>
      <c r="I9" s="849">
        <f ca="1">IFERROR(AVERAGE(Результаты_УК!$Y$127:'Результаты_УК'!$AB$127),"0")</f>
        <v>21.850880996081386</v>
      </c>
      <c r="J9" s="849">
        <f ca="1">IFERROR(AVERAGE(Результаты_УК!$AC$127:'Результаты_УК'!$AF$127),"0")</f>
        <v>14.867371447089381</v>
      </c>
      <c r="K9" s="849">
        <f ca="1">IFERROR(AVERAGE(Результаты_УК!$AG$127:'Результаты_УК'!$AJ$127),"0")</f>
        <v>9.4553171805662029</v>
      </c>
      <c r="L9" s="849">
        <f ca="1">IFERROR(AVERAGE(Результаты_УК!$AK$127:'Результаты_УК'!$AN$127),"0")</f>
        <v>1.5539091216273695</v>
      </c>
      <c r="M9" s="852">
        <f ca="1">IFERROR(AVERAGE(Результаты_УК!$AO$127:'Результаты_УК'!$AR$127),"0")</f>
        <v>0</v>
      </c>
    </row>
    <row r="10" spans="1:13" ht="11.25" customHeight="1" x14ac:dyDescent="0.2">
      <c r="A10" s="632" t="str">
        <f>Результаты_УК!$A$128</f>
        <v>TD / CFADS*</v>
      </c>
      <c r="B10" s="685"/>
      <c r="C10" s="829" t="str">
        <f>Результаты_УК!$C$128</f>
        <v>раз</v>
      </c>
      <c r="D10" s="849">
        <f ca="1">IFERROR(AVERAGE(Результаты_УК!$E$128:'Результаты_УК'!$H$128),"0")</f>
        <v>31.905877324822463</v>
      </c>
      <c r="E10" s="849">
        <f ca="1">IFERROR(AVERAGE(Результаты_УК!$I$128:'Результаты_УК'!$L$128),"0")</f>
        <v>18.404853671184181</v>
      </c>
      <c r="F10" s="849">
        <f ca="1">IFERROR(AVERAGE(Результаты_УК!$M$128:'Результаты_УК'!$P$128),"0")</f>
        <v>19.350761872729635</v>
      </c>
      <c r="G10" s="849">
        <f ca="1">IFERROR(AVERAGE(Результаты_УК!$Q$128:'Результаты_УК'!$T$128),"0")</f>
        <v>12.606451071029223</v>
      </c>
      <c r="H10" s="849">
        <f ca="1">IFERROR(AVERAGE(Результаты_УК!$U$128:'Результаты_УК'!$X$128),"0")</f>
        <v>10.204492253332416</v>
      </c>
      <c r="I10" s="849">
        <f ca="1">IFERROR(AVERAGE(Результаты_УК!$Y$128:'Результаты_УК'!$AB$128),"0")</f>
        <v>8.0590013456350817</v>
      </c>
      <c r="J10" s="849">
        <f ca="1">IFERROR(AVERAGE(Результаты_УК!$AC$128:'Результаты_УК'!$AF$128),"0")</f>
        <v>6.4866466850789184</v>
      </c>
      <c r="K10" s="849">
        <f ca="1">IFERROR(AVERAGE(Результаты_УК!$AG$128:'Результаты_УК'!$AJ$128),"0")</f>
        <v>3.9721243464117273</v>
      </c>
      <c r="L10" s="849">
        <f ca="1">IFERROR(AVERAGE(Результаты_УК!$AK$128:'Результаты_УК'!$AN$128),"0")</f>
        <v>0.68777613082733979</v>
      </c>
      <c r="M10" s="852">
        <f ca="1">IFERROR(AVERAGE(Результаты_УК!$AO$128:'Результаты_УК'!$AR$128),"0")</f>
        <v>0</v>
      </c>
    </row>
    <row r="11" spans="1:13" ht="11.25" customHeight="1" x14ac:dyDescent="0.2">
      <c r="A11" s="633" t="str">
        <f>Результаты_УК!$A$129</f>
        <v>EBIT* / Проценты (ICR)</v>
      </c>
      <c r="B11" s="685"/>
      <c r="C11" s="828" t="str">
        <f>Результаты_УК!$C$129</f>
        <v>раз</v>
      </c>
      <c r="D11" s="850">
        <f ca="1">IFERROR(AVERAGE(Результаты_УК!$E$129:'Результаты_УК'!$H$129),"0")</f>
        <v>-6.1902201387743556E-2</v>
      </c>
      <c r="E11" s="850">
        <f ca="1">IFERROR(AVERAGE(Результаты_УК!$I$129:'Результаты_УК'!$L$129),"0")</f>
        <v>0.38264600467242615</v>
      </c>
      <c r="F11" s="850">
        <f ca="1">IFERROR(AVERAGE(Результаты_УК!$M$129:'Результаты_УК'!$P$129),"0")</f>
        <v>0.38234176912955986</v>
      </c>
      <c r="G11" s="850">
        <f ca="1">IFERROR(AVERAGE(Результаты_УК!$Q$129:'Результаты_УК'!$T$129),"0")</f>
        <v>0.29335274155246827</v>
      </c>
      <c r="H11" s="850">
        <f ca="1">IFERROR(AVERAGE(Результаты_УК!$U$129:'Результаты_УК'!$X$129),"0")</f>
        <v>1.4098072389981591</v>
      </c>
      <c r="I11" s="850">
        <f ca="1">IFERROR(AVERAGE(Результаты_УК!$Y$129:'Результаты_УК'!$AB$129),"0")</f>
        <v>2.1002727773309791</v>
      </c>
      <c r="J11" s="850">
        <f ca="1">IFERROR(AVERAGE(Результаты_УК!$AC$129:'Результаты_УК'!$AF$129),"0")</f>
        <v>3.1366384891275132</v>
      </c>
      <c r="K11" s="850">
        <f ca="1">IFERROR(AVERAGE(Результаты_УК!$AG$129:'Результаты_УК'!$AJ$129),"0")</f>
        <v>5.5226429590038517</v>
      </c>
      <c r="L11" s="853">
        <f ca="1">IFERROR(AVERAGE(Результаты_УК!$AK$129:'Результаты_УК'!$AN$129),"0")</f>
        <v>5.3859929913679952E+16</v>
      </c>
      <c r="M11" s="854">
        <f ca="1">IFERROR(AVERAGE(Результаты_УК!$AO$129:'Результаты_УК'!$AR$129),"0")</f>
        <v>1.6753620950413036E+18</v>
      </c>
    </row>
    <row r="12" spans="1:13" ht="11.25" customHeight="1" x14ac:dyDescent="0.2">
      <c r="A12" s="398"/>
      <c r="B12" s="681"/>
      <c r="C12" s="607"/>
      <c r="D12" s="650"/>
      <c r="E12" s="650"/>
      <c r="F12" s="650"/>
      <c r="G12" s="650"/>
      <c r="H12" s="650"/>
      <c r="I12" s="650"/>
      <c r="J12" s="650"/>
      <c r="K12" s="650"/>
      <c r="L12" s="650"/>
      <c r="M12" s="650"/>
    </row>
    <row r="13" spans="1:13" ht="22.5" x14ac:dyDescent="0.2">
      <c r="A13" s="674" t="str">
        <f>Результаты_УК!$A$131</f>
        <v xml:space="preserve">CFADS (денежный поток, доступный для погашения долга) </v>
      </c>
      <c r="B13" s="685"/>
      <c r="C13" s="829" t="str">
        <f>Результаты_УК!$C$131</f>
        <v>тыс. руб.</v>
      </c>
      <c r="D13" s="785">
        <f ca="1">SUM(Результаты_УК!$E$131:'Результаты_УК'!$H$131)</f>
        <v>188415.29120363481</v>
      </c>
      <c r="E13" s="785">
        <f ca="1">SUM(Результаты_УК!$I$131:'Результаты_УК'!$L$131)</f>
        <v>334970.71828606375</v>
      </c>
      <c r="F13" s="785">
        <f ca="1">SUM(Результаты_УК!$M$131:'Результаты_УК'!$P$131)</f>
        <v>508517.33758028183</v>
      </c>
      <c r="G13" s="785">
        <f ca="1">SUM(Результаты_УК!$Q$131:'Результаты_УК'!$T$131)</f>
        <v>1268137.2336424361</v>
      </c>
      <c r="H13" s="785">
        <f ca="1">SUM(Результаты_УК!$U$131:'Результаты_УК'!$X$131)</f>
        <v>1491191.9462120803</v>
      </c>
      <c r="I13" s="785">
        <f ca="1">SUM(Результаты_УК!$Y$131:'Результаты_УК'!$AB$131)</f>
        <v>1467400.4544113269</v>
      </c>
      <c r="J13" s="785">
        <f ca="1">SUM(Результаты_УК!$AC$131:'Результаты_УК'!$AF$131)</f>
        <v>1330190.3188965151</v>
      </c>
      <c r="K13" s="785">
        <f ca="1">SUM(Результаты_УК!$AG$131:'Результаты_УК'!$AJ$131)</f>
        <v>1259171.8490584129</v>
      </c>
      <c r="L13" s="785">
        <f ca="1">SUM(Результаты_УК!$AK$131:'Результаты_УК'!$AN$131)</f>
        <v>1583669.6160595943</v>
      </c>
      <c r="M13" s="855">
        <f ca="1">SUM(Результаты_УК!$AO$131:'Результаты_УК'!$AR$131)</f>
        <v>5895293.9138485333</v>
      </c>
    </row>
    <row r="14" spans="1:13" ht="11.25" customHeight="1" x14ac:dyDescent="0.2">
      <c r="A14" s="636" t="str">
        <f>Результаты_УК!$A$132</f>
        <v>Выплаты процентов</v>
      </c>
      <c r="B14" s="685"/>
      <c r="C14" s="829" t="str">
        <f>Результаты_УК!$C$132</f>
        <v>тыс. руб.</v>
      </c>
      <c r="D14" s="785">
        <f ca="1">SUM(Результаты_УК!$E$132:'Результаты_УК'!$H$132)</f>
        <v>-92258.077669422521</v>
      </c>
      <c r="E14" s="785">
        <f ca="1">SUM(Результаты_УК!$I$132:'Результаты_УК'!$L$132)</f>
        <v>-121860.48964559688</v>
      </c>
      <c r="F14" s="785">
        <f ca="1">SUM(Результаты_УК!$M$132:'Результаты_УК'!$P$132)</f>
        <v>-199517.82156753269</v>
      </c>
      <c r="G14" s="785">
        <f ca="1">SUM(Результаты_УК!$Q$132:'Результаты_УК'!$T$132)</f>
        <v>-320037.32665428321</v>
      </c>
      <c r="H14" s="785">
        <f ca="1">SUM(Результаты_УК!$U$132:'Результаты_УК'!$X$132)</f>
        <v>-328603.84795657924</v>
      </c>
      <c r="I14" s="785">
        <f ca="1">SUM(Результаты_УК!$Y$132:'Результаты_УК'!$AB$132)</f>
        <v>-262485.02991708985</v>
      </c>
      <c r="J14" s="785">
        <f ca="1">SUM(Результаты_УК!$AC$132:'Результаты_УК'!$AF$132)</f>
        <v>-188664.2317791052</v>
      </c>
      <c r="K14" s="785">
        <f ca="1">SUM(Результаты_УК!$AG$132:'Результаты_УК'!$AJ$132)</f>
        <v>-101248.96011285804</v>
      </c>
      <c r="L14" s="785">
        <f ca="1">SUM(Результаты_УК!$AK$132:'Результаты_УК'!$AN$132)</f>
        <v>-25903.696129775879</v>
      </c>
      <c r="M14" s="855">
        <f ca="1">SUM(Результаты_УК!$AO$132:'Результаты_УК'!$AR$132)</f>
        <v>-2.6193447411060332E-12</v>
      </c>
    </row>
    <row r="15" spans="1:13" ht="11.25" customHeight="1" x14ac:dyDescent="0.2">
      <c r="A15" s="636" t="str">
        <f>Результаты_УК!$A$133</f>
        <v>Выплаты основной суммы долга</v>
      </c>
      <c r="B15" s="685"/>
      <c r="C15" s="829" t="str">
        <f>Результаты_УК!$C$133</f>
        <v>тыс. руб.</v>
      </c>
      <c r="D15" s="785">
        <f ca="1">SUM(Результаты_УК!$E$133:'Результаты_УК'!$H$133)</f>
        <v>-52676.761717988906</v>
      </c>
      <c r="E15" s="785">
        <f ca="1">SUM(Результаты_УК!$I$133:'Результаты_УК'!$L$133)</f>
        <v>-135809.29365137522</v>
      </c>
      <c r="F15" s="785">
        <f ca="1">SUM(Результаты_УК!$M$133:'Результаты_УК'!$P$133)</f>
        <v>-191649.36118653027</v>
      </c>
      <c r="G15" s="785">
        <f ca="1">SUM(Результаты_УК!$Q$133:'Результаты_УК'!$T$133)</f>
        <v>-655452.85307066783</v>
      </c>
      <c r="H15" s="785">
        <f ca="1">SUM(Результаты_УК!$U$133:'Результаты_УК'!$X$133)</f>
        <v>-714769.7437743959</v>
      </c>
      <c r="I15" s="785">
        <f ca="1">SUM(Результаты_УК!$Y$133:'Результаты_УК'!$AB$133)</f>
        <v>-779468.33851874841</v>
      </c>
      <c r="J15" s="785">
        <f ca="1">SUM(Результаты_УК!$AC$133:'Результаты_УК'!$AF$133)</f>
        <v>-850038.06766140379</v>
      </c>
      <c r="K15" s="785">
        <f ca="1">SUM(Результаты_УК!$AG$133:'Результаты_УК'!$AJ$133)</f>
        <v>-927012.97003082954</v>
      </c>
      <c r="L15" s="785">
        <f ca="1">SUM(Результаты_УК!$AK$133:'Результаты_УК'!$AN$133)</f>
        <v>-911704.27125737618</v>
      </c>
      <c r="M15" s="855">
        <f ca="1">SUM(Результаты_УК!$AO$133:'Результаты_УК'!$AR$133)</f>
        <v>0</v>
      </c>
    </row>
    <row r="16" spans="1:13" ht="11.25" customHeight="1" x14ac:dyDescent="0.2">
      <c r="A16" s="633" t="str">
        <f>Результаты_УК!$A$134</f>
        <v>Покрытие выплаты долга, DSCR</v>
      </c>
      <c r="B16" s="646"/>
      <c r="C16" s="832" t="str">
        <f>Результаты_УК!$C$134</f>
        <v>раз</v>
      </c>
      <c r="D16" s="856">
        <f ca="1">IFERROR(AVERAGE(Результаты_УК!$E$134:'Результаты_УК'!$H$134),"0")</f>
        <v>1.2999999999999998</v>
      </c>
      <c r="E16" s="856">
        <f ca="1">IFERROR(AVERAGE(Результаты_УК!$I$134:'Результаты_УК'!$L$134),"0")</f>
        <v>1.3000000000000003</v>
      </c>
      <c r="F16" s="856">
        <f ca="1">IFERROR(AVERAGE(Результаты_УК!$M$134:'Результаты_УК'!$P$134),"0")</f>
        <v>1.3</v>
      </c>
      <c r="G16" s="856">
        <f ca="1">IFERROR(AVERAGE(Результаты_УК!$Q$134:'Результаты_УК'!$T$134),"0")</f>
        <v>1.2999999999999998</v>
      </c>
      <c r="H16" s="856">
        <f ca="1">IFERROR(AVERAGE(Результаты_УК!$U$134:'Результаты_УК'!$X$134),"0")</f>
        <v>1.429224325199957</v>
      </c>
      <c r="I16" s="856">
        <f ca="1">IFERROR(AVERAGE(Результаты_УК!$Y$134:'Результаты_УК'!$AB$134),"0")</f>
        <v>1.4082976359835377</v>
      </c>
      <c r="J16" s="856">
        <f ca="1">IFERROR(AVERAGE(Результаты_УК!$AC$134:'Результаты_УК'!$AF$134),"0")</f>
        <v>1.2806241675479804</v>
      </c>
      <c r="K16" s="856">
        <f ca="1">IFERROR(AVERAGE(Результаты_УК!$AG$134:'Результаты_УК'!$AJ$134),"0")</f>
        <v>1.2246029655255302</v>
      </c>
      <c r="L16" s="856">
        <f ca="1">IFERROR(AVERAGE(Результаты_УК!$AK$134:'Результаты_УК'!$AN$134),"0")</f>
        <v>1.6487782592228637</v>
      </c>
      <c r="M16" s="854">
        <f ca="1">IFERROR(AVERAGE(Результаты_УК!$AO$134:'Результаты_УК'!$AR$134),"0")</f>
        <v>4.018009432672364E+18</v>
      </c>
    </row>
    <row r="17" spans="1:13" ht="11.25" customHeight="1" x14ac:dyDescent="0.2">
      <c r="A17" s="398"/>
      <c r="B17" s="681"/>
      <c r="C17" s="607"/>
      <c r="D17" s="650"/>
      <c r="E17" s="650"/>
      <c r="F17" s="650"/>
      <c r="G17" s="650"/>
      <c r="H17" s="650"/>
      <c r="I17" s="650"/>
      <c r="J17" s="650"/>
      <c r="K17" s="650"/>
      <c r="L17" s="650"/>
      <c r="M17" s="650"/>
    </row>
    <row r="18" spans="1:13" ht="11.25" customHeight="1" x14ac:dyDescent="0.2">
      <c r="A18" s="635" t="str">
        <f>Результаты_УК!$A$137</f>
        <v>Расчет LLCR</v>
      </c>
      <c r="B18" s="681"/>
      <c r="C18" s="607"/>
      <c r="D18" s="650"/>
      <c r="E18" s="650"/>
      <c r="F18" s="650"/>
      <c r="G18" s="650"/>
      <c r="H18" s="650"/>
      <c r="I18" s="650"/>
      <c r="J18" s="650"/>
      <c r="K18" s="650"/>
      <c r="L18" s="650"/>
      <c r="M18" s="650"/>
    </row>
    <row r="19" spans="1:13" ht="11.25" customHeight="1" x14ac:dyDescent="0.2">
      <c r="A19" s="636" t="str">
        <f>Результаты_УК!$A$138</f>
        <v>CFADS</v>
      </c>
      <c r="B19" s="685"/>
      <c r="C19" s="829" t="str">
        <f>Результаты_УК!$C$138</f>
        <v>тыс. руб.</v>
      </c>
      <c r="D19" s="785">
        <f ca="1">SUM(Результаты_УК!$E$138:'Результаты_УК'!$H$138)</f>
        <v>188415.29120363481</v>
      </c>
      <c r="E19" s="785">
        <f ca="1">SUM(Результаты_УК!$I$138:'Результаты_УК'!$L$138)</f>
        <v>334970.71828606375</v>
      </c>
      <c r="F19" s="785">
        <f ca="1">SUM(Результаты_УК!$M$138:'Результаты_УК'!$P$138)</f>
        <v>508517.33758028183</v>
      </c>
      <c r="G19" s="785">
        <f ca="1">SUM(Результаты_УК!$Q$138:'Результаты_УК'!$T$138)</f>
        <v>1268137.2336424361</v>
      </c>
      <c r="H19" s="785">
        <f ca="1">SUM(Результаты_УК!$U$138:'Результаты_УК'!$X$138)</f>
        <v>1491191.9462120803</v>
      </c>
      <c r="I19" s="785">
        <f ca="1">SUM(Результаты_УК!$Y$138:'Результаты_УК'!$AB$138)</f>
        <v>1467400.4544113269</v>
      </c>
      <c r="J19" s="785">
        <f ca="1">SUM(Результаты_УК!$AC$138:'Результаты_УК'!$AF$138)</f>
        <v>1330190.3188965151</v>
      </c>
      <c r="K19" s="785">
        <f ca="1">SUM(Результаты_УК!$AG$138:'Результаты_УК'!$AJ$138)</f>
        <v>1259171.8490584129</v>
      </c>
      <c r="L19" s="785">
        <f ca="1">SUM(Результаты_УК!$AK$138:'Результаты_УК'!$AN$138)</f>
        <v>1583669.6160595943</v>
      </c>
      <c r="M19" s="855">
        <f ca="1">SUM(Результаты_УК!$AO$138:'Результаты_УК'!$AR$138)</f>
        <v>5895293.9138485333</v>
      </c>
    </row>
    <row r="20" spans="1:13" ht="11.25" customHeight="1" x14ac:dyDescent="0.2">
      <c r="A20" s="636" t="str">
        <f>Результаты_УК!$A$139</f>
        <v>PV(CFADS)</v>
      </c>
      <c r="B20" s="685"/>
      <c r="C20" s="829" t="str">
        <f>Результаты_УК!$C$139</f>
        <v>тыс. руб.</v>
      </c>
      <c r="D20" s="785">
        <f ca="1">SUM(Результаты_УК!$E$139:'Результаты_УК'!$H$139)</f>
        <v>188415.29120363481</v>
      </c>
      <c r="E20" s="785">
        <f ca="1">SUM(Результаты_УК!$I$139:'Результаты_УК'!$L$139)</f>
        <v>318155.73808408843</v>
      </c>
      <c r="F20" s="785">
        <f ca="1">SUM(Результаты_УК!$M$139:'Результаты_УК'!$P$139)</f>
        <v>444928.4256065106</v>
      </c>
      <c r="G20" s="785">
        <f ca="1">SUM(Результаты_УК!$Q$139:'Результаты_УК'!$T$139)</f>
        <v>1024567.532426554</v>
      </c>
      <c r="H20" s="785">
        <f ca="1">SUM(Результаты_УК!$U$139:'Результаты_УК'!$X$139)</f>
        <v>1111619.5261142545</v>
      </c>
      <c r="I20" s="785">
        <f ca="1">SUM(Результаты_УК!$Y$139:'Результаты_УК'!$AB$139)</f>
        <v>1010686.1983737237</v>
      </c>
      <c r="J20" s="785">
        <f ca="1">SUM(Результаты_УК!$AC$139:'Результаты_УК'!$AF$139)</f>
        <v>844559.95253182575</v>
      </c>
      <c r="K20" s="785">
        <f ca="1">SUM(Результаты_УК!$AG$139:'Результаты_УК'!$AJ$139)</f>
        <v>737580.76473956381</v>
      </c>
      <c r="L20" s="785">
        <f ca="1">SUM(Результаты_УК!$AK$139:'Результаты_УК'!$AN$139)</f>
        <v>864296.33948906919</v>
      </c>
      <c r="M20" s="855">
        <f ca="1">SUM(Результаты_УК!$AO$139:'Результаты_УК'!$AR$139)</f>
        <v>3042149.9691817337</v>
      </c>
    </row>
    <row r="21" spans="1:13" ht="11.25" customHeight="1" x14ac:dyDescent="0.2">
      <c r="A21" s="636" t="str">
        <f>Результаты_УК!$A$140</f>
        <v>Остаток задолженности</v>
      </c>
      <c r="B21" s="685"/>
      <c r="C21" s="829" t="str">
        <f>Результаты_УК!$C$140</f>
        <v>тыс. руб.</v>
      </c>
      <c r="D21" s="785">
        <f ca="1">Результаты_УК!$H$140</f>
        <v>187172</v>
      </c>
      <c r="E21" s="785">
        <f ca="1">Результаты_УК!$L$140</f>
        <v>648047.02574424585</v>
      </c>
      <c r="F21" s="785">
        <f ca="1">Результаты_УК!$P$140</f>
        <v>2003629.6896970982</v>
      </c>
      <c r="G21" s="785">
        <f ca="1">Результаты_УК!$T$140</f>
        <v>3446220.4376739608</v>
      </c>
      <c r="H21" s="785">
        <f ca="1">Результаты_УК!$X$140</f>
        <v>2873270.4677702938</v>
      </c>
      <c r="I21" s="785">
        <f ca="1">Результаты_УК!$AB$140</f>
        <v>2247312.4134131502</v>
      </c>
      <c r="J21" s="785">
        <f ca="1">Результаты_УК!$AF$140</f>
        <v>1563438.8142190063</v>
      </c>
      <c r="K21" s="785">
        <f ca="1">Результаты_УК!$AJ$140</f>
        <v>816287.60870644485</v>
      </c>
      <c r="L21" s="785">
        <f ca="1">Результаты_УК!$AN$140</f>
        <v>0</v>
      </c>
      <c r="M21" s="855">
        <f ca="1">Результаты_УК!$AR$140</f>
        <v>0</v>
      </c>
    </row>
    <row r="22" spans="1:13" ht="11.25" customHeight="1" x14ac:dyDescent="0.2">
      <c r="A22" s="636" t="str">
        <f>Результаты_УК!$A$141</f>
        <v>Остаток денежных средств</v>
      </c>
      <c r="B22" s="685"/>
      <c r="C22" s="829" t="str">
        <f>Результаты_УК!$C$141</f>
        <v>тыс. руб.</v>
      </c>
      <c r="D22" s="785">
        <f ca="1">Результаты_УК!$H$141</f>
        <v>43480.451816223431</v>
      </c>
      <c r="E22" s="785">
        <f ca="1">Результаты_УК!$L$141</f>
        <v>120781.38680531505</v>
      </c>
      <c r="F22" s="785">
        <f ca="1">Результаты_УК!$P$141</f>
        <v>238131.54163153394</v>
      </c>
      <c r="G22" s="785">
        <f ca="1">Результаты_УК!$T$141</f>
        <v>530778.59554901929</v>
      </c>
      <c r="H22" s="785">
        <f ca="1">Результаты_УК!$X$141</f>
        <v>978596.9500301244</v>
      </c>
      <c r="I22" s="785">
        <f ca="1">Результаты_УК!$AB$141</f>
        <v>1404044.0360056132</v>
      </c>
      <c r="J22" s="785">
        <f ca="1">Результаты_УК!$AF$141</f>
        <v>1695532.055461619</v>
      </c>
      <c r="K22" s="785">
        <f ca="1">Результаты_УК!$AJ$141</f>
        <v>1926441.9743763444</v>
      </c>
      <c r="L22" s="785">
        <f ca="1">Результаты_УК!$AN$141</f>
        <v>2572503.6230487865</v>
      </c>
      <c r="M22" s="855">
        <f ca="1">Результаты_УК!$AR$141</f>
        <v>8467797.5368973203</v>
      </c>
    </row>
    <row r="23" spans="1:13" ht="11.25" customHeight="1" x14ac:dyDescent="0.2">
      <c r="A23" s="633" t="str">
        <f>Результаты_УК!$A$142</f>
        <v>LLCR</v>
      </c>
      <c r="B23" s="646"/>
      <c r="C23" s="832" t="str">
        <f>Результаты_УК!$C$142</f>
        <v>раз</v>
      </c>
      <c r="D23" s="857">
        <f ca="1">IFERROR(AVERAGE(Результаты_УК!$E$142:'Результаты_УК'!$H$142),"0")</f>
        <v>1.1140100461973701</v>
      </c>
      <c r="E23" s="857">
        <f ca="1">IFERROR(AVERAGE(Результаты_УК!$I$142:'Результаты_УК'!$L$142),"0")</f>
        <v>0.39727205916222019</v>
      </c>
      <c r="F23" s="857">
        <f ca="1">IFERROR(AVERAGE(Результаты_УК!$M$142:'Результаты_УК'!$P$142),"0")</f>
        <v>0.22582618731699705</v>
      </c>
      <c r="G23" s="857">
        <f ca="1">IFERROR(AVERAGE(Результаты_УК!$Q$142:'Результаты_УК'!$T$142),"0")</f>
        <v>0.2353530387968375</v>
      </c>
      <c r="H23" s="857">
        <f ca="1">IFERROR(AVERAGE(Результаты_УК!$U$142:'Результаты_УК'!$X$142),"0")</f>
        <v>0.3497438899083416</v>
      </c>
      <c r="I23" s="857">
        <f ca="1">IFERROR(AVERAGE(Результаты_УК!$Y$142:'Результаты_УК'!$AB$142),"0")</f>
        <v>0.61385142645785284</v>
      </c>
      <c r="J23" s="857">
        <f ca="1">IFERROR(AVERAGE(Результаты_УК!$AC$142:'Результаты_УК'!$AF$142),"0")</f>
        <v>1.0024756688650729</v>
      </c>
      <c r="K23" s="857">
        <f ca="1">IFERROR(AVERAGE(Результаты_УК!$AG$142:'Результаты_УК'!$AJ$142),"0")</f>
        <v>1.9264345038965915</v>
      </c>
      <c r="L23" s="857">
        <f ca="1">IFERROR(AVERAGE(Результаты_УК!$AK$142:'Результаты_УК'!$AN$142),"0")</f>
        <v>7.9321552391189663</v>
      </c>
      <c r="M23" s="858" t="str">
        <f ca="1">IFERROR(AVERAGE(Результаты_УК!$AO$142:'Результаты_УК'!$AR$142),"0")</f>
        <v>0</v>
      </c>
    </row>
    <row r="24" spans="1:13" ht="11.25" customHeight="1" x14ac:dyDescent="0.2">
      <c r="A24" s="398"/>
      <c r="B24" s="681"/>
      <c r="C24" s="607"/>
      <c r="D24" s="650"/>
      <c r="E24" s="650"/>
      <c r="F24" s="650"/>
      <c r="G24" s="650"/>
      <c r="H24" s="650"/>
      <c r="I24" s="650"/>
      <c r="J24" s="650"/>
      <c r="K24" s="650"/>
      <c r="L24" s="650"/>
      <c r="M24" s="650"/>
    </row>
    <row r="25" spans="1:13" ht="11.25" customHeight="1" x14ac:dyDescent="0.2">
      <c r="A25" s="633" t="str">
        <f>Результаты_УК!$A$144</f>
        <v>Отношение Долг / Собственный капитал</v>
      </c>
      <c r="B25" s="685"/>
      <c r="C25" s="828" t="str">
        <f>Результаты_УК!$C$144</f>
        <v>раз</v>
      </c>
      <c r="D25" s="859">
        <f ca="1">IFERROR(AVERAGE(Результаты_УК!$E$144:'Результаты_УК'!$H$144),"0")</f>
        <v>17.58497589190614</v>
      </c>
      <c r="E25" s="859">
        <f ca="1">IFERROR(AVERAGE(Результаты_УК!$I$144:'Результаты_УК'!$L$144),"0")</f>
        <v>5.7432696759458972</v>
      </c>
      <c r="F25" s="859">
        <f ca="1">IFERROR(AVERAGE(Результаты_УК!$M$144:'Результаты_УК'!$P$144),"0")</f>
        <v>2.7616374163300992</v>
      </c>
      <c r="G25" s="859">
        <f ca="1">IFERROR(AVERAGE(Результаты_УК!$Q$144:'Результаты_УК'!$T$144),"0")</f>
        <v>1.7050493667662745</v>
      </c>
      <c r="H25" s="859">
        <f ca="1">IFERROR(AVERAGE(Результаты_УК!$U$144:'Результаты_УК'!$X$144),"0")</f>
        <v>1.1580255975987215</v>
      </c>
      <c r="I25" s="859">
        <f ca="1">IFERROR(AVERAGE(Результаты_УК!$Y$144:'Результаты_УК'!$AB$144),"0")</f>
        <v>0.74858432882461146</v>
      </c>
      <c r="J25" s="859">
        <f ca="1">IFERROR(AVERAGE(Результаты_УК!$AC$144:'Результаты_УК'!$AF$144),"0")</f>
        <v>0.46734646615714742</v>
      </c>
      <c r="K25" s="859">
        <f ca="1">IFERROR(AVERAGE(Результаты_УК!$AG$144:'Результаты_УК'!$AJ$144),"0")</f>
        <v>0.24811148794886195</v>
      </c>
      <c r="L25" s="859">
        <f ca="1">IFERROR(AVERAGE(Результаты_УК!$AK$144:'Результаты_УК'!$AN$144),"0")</f>
        <v>6.3708193101444197E-2</v>
      </c>
      <c r="M25" s="860">
        <f ca="1">IFERROR(AVERAGE(Результаты_УК!$AO$144:'Результаты_УК'!$AR$144),"0")</f>
        <v>5.8510822268696291E-2</v>
      </c>
    </row>
    <row r="26" spans="1:13" ht="11.25" customHeight="1" x14ac:dyDescent="0.2">
      <c r="A26" s="398"/>
      <c r="B26" s="681"/>
      <c r="C26" s="607"/>
      <c r="D26" s="650"/>
      <c r="E26" s="650"/>
      <c r="F26" s="650"/>
      <c r="G26" s="650"/>
      <c r="H26" s="650"/>
      <c r="I26" s="650"/>
      <c r="J26" s="650"/>
      <c r="K26" s="650"/>
      <c r="L26" s="650"/>
      <c r="M26" s="650"/>
    </row>
    <row r="27" spans="1:13" ht="11.25" customHeight="1" x14ac:dyDescent="0.2">
      <c r="A27" s="636" t="str">
        <f>Результаты_УК!$A$146</f>
        <v>Суммарные привлеченные кредиты</v>
      </c>
      <c r="B27" s="775">
        <f ca="1">Результаты_УК!$B$146</f>
        <v>4641914.1608693162</v>
      </c>
      <c r="C27" s="829" t="str">
        <f>Результаты_УК!$C$146</f>
        <v>тыс. руб.</v>
      </c>
      <c r="D27" s="785">
        <f ca="1">SUM(Результаты_УК!$E$146:'Результаты_УК'!$H$146)</f>
        <v>763839.5</v>
      </c>
      <c r="E27" s="785">
        <f ca="1">SUM(Результаты_УК!$I$146:'Результаты_УК'!$L$146)</f>
        <v>484860.39553601737</v>
      </c>
      <c r="F27" s="785">
        <f ca="1">SUM(Результаты_УК!$M$146:'Результаты_УК'!$P$146)</f>
        <v>1426190.2136963564</v>
      </c>
      <c r="G27" s="785">
        <f ca="1">SUM(Результаты_УК!$Q$146:'Результаты_УК'!$T$146)</f>
        <v>1967024.0516369422</v>
      </c>
      <c r="H27" s="785">
        <f ca="1">SUM(Результаты_УК!$U$146:'Результаты_УК'!$X$146)</f>
        <v>0</v>
      </c>
      <c r="I27" s="785">
        <f ca="1">SUM(Результаты_УК!$Y$146:'Результаты_УК'!$AB$146)</f>
        <v>0</v>
      </c>
      <c r="J27" s="785">
        <f ca="1">SUM(Результаты_УК!$AC$146:'Результаты_УК'!$AF$146)</f>
        <v>0</v>
      </c>
      <c r="K27" s="785">
        <f ca="1">SUM(Результаты_УК!$AG$146:'Результаты_УК'!$AJ$146)</f>
        <v>0</v>
      </c>
      <c r="L27" s="785">
        <f ca="1">SUM(Результаты_УК!$AK$146:'Результаты_УК'!$AN$146)</f>
        <v>0</v>
      </c>
      <c r="M27" s="855">
        <f ca="1">SUM(Результаты_УК!$AO$146:'Результаты_УК'!$AR$146)</f>
        <v>0</v>
      </c>
    </row>
    <row r="28" spans="1:13" ht="22.5" customHeight="1" x14ac:dyDescent="0.2">
      <c r="A28" s="674" t="str">
        <f>Результаты_УК!$A$147</f>
        <v>Суммарный вклад собственного капитала (включая ранее осуществленные инвестиции)</v>
      </c>
      <c r="B28" s="775">
        <f ca="1">Результаты_УК!$B$147</f>
        <v>4756882.6329537667</v>
      </c>
      <c r="C28" s="829" t="str">
        <f>Результаты_УК!$C$147</f>
        <v>тыс. руб.</v>
      </c>
      <c r="D28" s="785">
        <f ca="1">SUM(Результаты_УК!$E$147:'Результаты_УК'!$H$147)</f>
        <v>145494.90036122283</v>
      </c>
      <c r="E28" s="785">
        <f ca="1">SUM(Результаты_УК!$I$147:'Результаты_УК'!$L$147)</f>
        <v>393202.13327205938</v>
      </c>
      <c r="F28" s="785">
        <f ca="1">SUM(Результаты_УК!$M$147:'Результаты_УК'!$P$147)</f>
        <v>898326.50529737328</v>
      </c>
      <c r="G28" s="785">
        <f ca="1">SUM(Результаты_УК!$Q$147:'Результаты_УК'!$T$147)</f>
        <v>1813421.4570349338</v>
      </c>
      <c r="H28" s="785">
        <f ca="1">SUM(Результаты_УК!$U$147:'Результаты_УК'!$X$147)</f>
        <v>313012.07751929259</v>
      </c>
      <c r="I28" s="785">
        <f ca="1">SUM(Результаты_УК!$Y$147:'Результаты_УК'!$AB$147)</f>
        <v>312586.01053075155</v>
      </c>
      <c r="J28" s="785">
        <f ca="1">SUM(Результаты_УК!$AC$147:'Результаты_УК'!$AF$147)</f>
        <v>311610.68983215268</v>
      </c>
      <c r="K28" s="785">
        <f ca="1">SUM(Результаты_УК!$AG$147:'Результаты_УК'!$AJ$147)</f>
        <v>308478.57904310629</v>
      </c>
      <c r="L28" s="785">
        <f ca="1">SUM(Результаты_УК!$AK$147:'Результаты_УК'!$AN$147)</f>
        <v>218014.25233392685</v>
      </c>
      <c r="M28" s="855">
        <f ca="1">SUM(Результаты_УК!$AO$147:'Результаты_УК'!$AR$147)</f>
        <v>0</v>
      </c>
    </row>
    <row r="29" spans="1:13" ht="22.5" x14ac:dyDescent="0.2">
      <c r="A29" s="834" t="str">
        <f>Результаты_УК!$A$148</f>
        <v>Доля кредитов во внешних источниках финансирования</v>
      </c>
      <c r="B29" s="861">
        <f ca="1">Результаты_УК!$B$148</f>
        <v>0.49388387287189744</v>
      </c>
      <c r="C29" s="828" t="str">
        <f>Результаты_УК!$C$148</f>
        <v>%</v>
      </c>
      <c r="D29" s="861">
        <f ca="1">IFERROR(AVERAGE(Результаты_УК!$E$148:'Результаты_УК'!$H$148),"0")</f>
        <v>0.76498785620347498</v>
      </c>
      <c r="E29" s="861">
        <f ca="1">IFERROR(AVERAGE(Результаты_УК!$I$148:'Результаты_УК'!$L$148),"0")</f>
        <v>0.54321197490949902</v>
      </c>
      <c r="F29" s="861">
        <f ca="1">IFERROR(AVERAGE(Результаты_УК!$M$148:'Результаты_УК'!$P$148),"0")</f>
        <v>0.60568780168379655</v>
      </c>
      <c r="G29" s="861">
        <f ca="1">IFERROR(AVERAGE(Результаты_УК!$Q$148:'Результаты_УК'!$T$148),"0")</f>
        <v>0.50758000334485853</v>
      </c>
      <c r="H29" s="861">
        <f ca="1">IFERROR(AVERAGE(Результаты_УК!$U$148:'Результаты_УК'!$X$148),"0")</f>
        <v>0</v>
      </c>
      <c r="I29" s="861">
        <f ca="1">IFERROR(AVERAGE(Результаты_УК!$Y$148:'Результаты_УК'!$AB$148),"0")</f>
        <v>0</v>
      </c>
      <c r="J29" s="861">
        <f ca="1">IFERROR(AVERAGE(Результаты_УК!$AC$148:'Результаты_УК'!$AF$148),"0")</f>
        <v>0</v>
      </c>
      <c r="K29" s="861">
        <f ca="1">IFERROR(AVERAGE(Результаты_УК!$AG$148:'Результаты_УК'!$AJ$148),"0")</f>
        <v>0</v>
      </c>
      <c r="L29" s="861">
        <f ca="1">IFERROR(AVERAGE(Результаты_УК!$AK$148:'Результаты_УК'!$AN$148),"0")</f>
        <v>0</v>
      </c>
      <c r="M29" s="862" t="str">
        <f ca="1">IFERROR(AVERAGE(Результаты_УК!$AO$148:'Результаты_УК'!$AR$148),"0")</f>
        <v>0</v>
      </c>
    </row>
    <row r="30" spans="1:13" ht="11.25" customHeight="1" x14ac:dyDescent="0.2">
      <c r="A30" s="413"/>
      <c r="B30" s="839"/>
      <c r="C30" s="607"/>
      <c r="D30" s="839"/>
      <c r="E30" s="839"/>
      <c r="F30" s="839"/>
      <c r="G30" s="839"/>
      <c r="H30" s="839"/>
      <c r="I30" s="839"/>
      <c r="J30" s="839"/>
      <c r="K30" s="839"/>
      <c r="L30" s="839"/>
      <c r="M30" s="839"/>
    </row>
    <row r="31" spans="1:13" ht="22.5" customHeight="1" x14ac:dyDescent="0.2">
      <c r="A31" s="704" t="str">
        <f>Результаты_УК!$A$150</f>
        <v>* - для отмеченных показателей принимается к расчету среднее значение за текущий период</v>
      </c>
      <c r="B31" s="839"/>
      <c r="C31" s="607"/>
      <c r="D31" s="839"/>
      <c r="E31" s="839"/>
      <c r="F31" s="839"/>
      <c r="G31" s="839"/>
      <c r="H31" s="839"/>
      <c r="I31" s="839"/>
      <c r="J31" s="839"/>
      <c r="K31" s="839"/>
      <c r="L31" s="839"/>
      <c r="M31" s="839"/>
    </row>
    <row r="32" spans="1:13" ht="11.25" customHeight="1" x14ac:dyDescent="0.2">
      <c r="A32" s="398"/>
      <c r="B32" s="681"/>
      <c r="C32" s="607"/>
      <c r="D32" s="599"/>
      <c r="E32" s="599"/>
      <c r="F32" s="599"/>
      <c r="G32" s="599"/>
      <c r="H32" s="599"/>
      <c r="I32" s="599"/>
      <c r="J32" s="599"/>
      <c r="K32" s="599"/>
      <c r="L32" s="599"/>
      <c r="M32" s="599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14&amp;R&amp;"Arial,полужирный"&amp;10Проект создания ИП «Бугры» на территории Ленинградской области. Управляющая компания.
&amp;C&amp;"Arial,полужирный"&amp;13
ПОКАЗАТЕЛИ ДОЛГА</oddHead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40"/>
  <dimension ref="A1:M42"/>
  <sheetViews>
    <sheetView workbookViewId="0"/>
  </sheetViews>
  <sheetFormatPr defaultRowHeight="12.75" x14ac:dyDescent="0.2"/>
  <cols>
    <col min="1" max="1" width="43.85546875" customWidth="1"/>
    <col min="2" max="2" width="10.85546875" customWidth="1"/>
    <col min="3" max="3" width="7.140625" customWidth="1"/>
    <col min="4" max="13" width="8" customWidth="1"/>
  </cols>
  <sheetData>
    <row r="1" spans="1:13" s="301" customFormat="1" ht="26.1" customHeight="1" x14ac:dyDescent="0.2">
      <c r="A1" s="613" t="str">
        <f>Результаты_УК!$A$154</f>
        <v>РЕНТАБЕЛЬНОСТЬ И ОБОРАЧИВАЕМОСТЬ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</row>
    <row r="2" spans="1:13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</row>
    <row r="3" spans="1:13" ht="19.5" customHeight="1" x14ac:dyDescent="0.2">
      <c r="A3" s="632" t="str">
        <f>Результаты_УК!$A$156</f>
        <v>Структура затрат:</v>
      </c>
      <c r="B3" s="827" t="str">
        <f>Результаты_УК!$B$156</f>
        <v>Среднегодовые
2024 - 2029</v>
      </c>
      <c r="C3" s="607"/>
      <c r="D3" s="599"/>
      <c r="E3" s="599"/>
      <c r="F3" s="599"/>
      <c r="G3" s="599"/>
      <c r="H3" s="599"/>
      <c r="I3" s="599"/>
      <c r="J3" s="599"/>
      <c r="K3" s="599"/>
      <c r="L3" s="599"/>
      <c r="M3" s="599"/>
    </row>
    <row r="4" spans="1:13" ht="11.25" customHeight="1" x14ac:dyDescent="0.2">
      <c r="A4" s="636" t="str">
        <f>Результаты_УК!$A$157</f>
        <v>Cырье и материалы</v>
      </c>
      <c r="B4" s="688">
        <f ca="1">Результаты_УК!$B$157</f>
        <v>0</v>
      </c>
      <c r="C4" s="829" t="str">
        <f>Результаты_УК!$C$157</f>
        <v>%</v>
      </c>
      <c r="D4" s="865">
        <f ca="1">IFERROR(AVERAGE(Результаты_УК!$E$157:'Результаты_УК'!$H$157),"0")</f>
        <v>0</v>
      </c>
      <c r="E4" s="865">
        <f ca="1">IFERROR(AVERAGE(Результаты_УК!$I$157:'Результаты_УК'!$L$157),"0")</f>
        <v>0</v>
      </c>
      <c r="F4" s="865">
        <f ca="1">IFERROR(AVERAGE(Результаты_УК!$M$157:'Результаты_УК'!$P$157),"0")</f>
        <v>0</v>
      </c>
      <c r="G4" s="865">
        <f ca="1">IFERROR(AVERAGE(Результаты_УК!$Q$157:'Результаты_УК'!$T$157),"0")</f>
        <v>0</v>
      </c>
      <c r="H4" s="865">
        <f ca="1">IFERROR(AVERAGE(Результаты_УК!$U$157:'Результаты_УК'!$X$157),"0")</f>
        <v>0</v>
      </c>
      <c r="I4" s="865">
        <f ca="1">IFERROR(AVERAGE(Результаты_УК!$Y$157:'Результаты_УК'!$AB$157),"0")</f>
        <v>0</v>
      </c>
      <c r="J4" s="865">
        <f ca="1">IFERROR(AVERAGE(Результаты_УК!$AC$157:'Результаты_УК'!$AF$157),"0")</f>
        <v>0</v>
      </c>
      <c r="K4" s="865">
        <f ca="1">IFERROR(AVERAGE(Результаты_УК!$AG$157:'Результаты_УК'!$AJ$157),"0")</f>
        <v>0</v>
      </c>
      <c r="L4" s="865">
        <f ca="1">IFERROR(AVERAGE(Результаты_УК!$AK$157:'Результаты_УК'!$AN$157),"0")</f>
        <v>0</v>
      </c>
      <c r="M4" s="868">
        <f ca="1">IFERROR(AVERAGE(Результаты_УК!$AO$157:'Результаты_УК'!$AR$157),"0")</f>
        <v>0</v>
      </c>
    </row>
    <row r="5" spans="1:13" ht="11.25" customHeight="1" x14ac:dyDescent="0.2">
      <c r="A5" s="636" t="str">
        <f>Результаты_УК!$A$158</f>
        <v>Прочие производственные расходы</v>
      </c>
      <c r="B5" s="688">
        <f ca="1">Результаты_УК!$B$158</f>
        <v>8.592150474151948E-2</v>
      </c>
      <c r="C5" s="829" t="str">
        <f>Результаты_УК!$C$158</f>
        <v>%</v>
      </c>
      <c r="D5" s="865">
        <f ca="1">IFERROR(AVERAGE(Результаты_УК!$E$158:'Результаты_УК'!$H$158),"0")</f>
        <v>7.3975456355133862E-2</v>
      </c>
      <c r="E5" s="865">
        <f ca="1">IFERROR(AVERAGE(Результаты_УК!$I$158:'Результаты_УК'!$L$158),"0")</f>
        <v>0.1247895227059081</v>
      </c>
      <c r="F5" s="865">
        <f ca="1">IFERROR(AVERAGE(Результаты_УК!$M$158:'Результаты_УК'!$P$158),"0")</f>
        <v>0.11018725462459605</v>
      </c>
      <c r="G5" s="865">
        <f ca="1">IFERROR(AVERAGE(Результаты_УК!$Q$158:'Результаты_УК'!$T$158),"0")</f>
        <v>0.10717521489431858</v>
      </c>
      <c r="H5" s="865">
        <f ca="1">IFERROR(AVERAGE(Результаты_УК!$U$158:'Результаты_УК'!$X$158),"0")</f>
        <v>9.0310755676808754E-2</v>
      </c>
      <c r="I5" s="865">
        <f ca="1">IFERROR(AVERAGE(Результаты_УК!$Y$158:'Результаты_УК'!$AB$158),"0")</f>
        <v>8.9401854336489672E-2</v>
      </c>
      <c r="J5" s="865">
        <f ca="1">IFERROR(AVERAGE(Результаты_УК!$AC$158:'Результаты_УК'!$AF$158),"0")</f>
        <v>8.9098797658367632E-2</v>
      </c>
      <c r="K5" s="865">
        <f ca="1">IFERROR(AVERAGE(Результаты_УК!$AG$158:'Результаты_УК'!$AJ$158),"0")</f>
        <v>8.8789213567422781E-2</v>
      </c>
      <c r="L5" s="865">
        <f ca="1">IFERROR(AVERAGE(Результаты_УК!$AK$158:'Результаты_УК'!$AN$158),"0")</f>
        <v>7.5700737033323362E-2</v>
      </c>
      <c r="M5" s="868">
        <f ca="1">IFERROR(AVERAGE(Результаты_УК!$AO$158:'Результаты_УК'!$AR$158),"0")</f>
        <v>8.2227670176704737E-2</v>
      </c>
    </row>
    <row r="6" spans="1:13" ht="11.25" customHeight="1" x14ac:dyDescent="0.2">
      <c r="A6" s="793" t="str">
        <f>Результаты_УК!$A$159</f>
        <v>Содержание и обслуживание территорий</v>
      </c>
      <c r="B6" s="688">
        <f ca="1">Результаты_УК!$B$159</f>
        <v>2.5176569528619203E-2</v>
      </c>
      <c r="C6" s="829" t="str">
        <f>Результаты_УК!$C$159</f>
        <v>%</v>
      </c>
      <c r="D6" s="865">
        <f ca="1">IFERROR(AVERAGE(Результаты_УК!$E$159:'Результаты_УК'!$H$159),"0")</f>
        <v>1.4680106243407843E-2</v>
      </c>
      <c r="E6" s="865">
        <f ca="1">IFERROR(AVERAGE(Результаты_УК!$I$159:'Результаты_УК'!$L$159),"0")</f>
        <v>2.4542085331092721E-2</v>
      </c>
      <c r="F6" s="865">
        <f ca="1">IFERROR(AVERAGE(Результаты_УК!$M$159:'Результаты_УК'!$P$159),"0")</f>
        <v>2.3527310310751365E-2</v>
      </c>
      <c r="G6" s="865">
        <f ca="1">IFERROR(AVERAGE(Результаты_УК!$Q$159:'Результаты_УК'!$T$159),"0")</f>
        <v>2.312272852820204E-2</v>
      </c>
      <c r="H6" s="865">
        <f ca="1">IFERROR(AVERAGE(Результаты_УК!$U$159:'Результаты_УК'!$X$159),"0")</f>
        <v>2.3518974062012817E-2</v>
      </c>
      <c r="I6" s="865">
        <f ca="1">IFERROR(AVERAGE(Результаты_УК!$Y$159:'Результаты_УК'!$AB$159),"0")</f>
        <v>2.3278379835732974E-2</v>
      </c>
      <c r="J6" s="865">
        <f ca="1">IFERROR(AVERAGE(Результаты_УК!$AC$159:'Результаты_УК'!$AF$159),"0")</f>
        <v>2.3199484739177753E-2</v>
      </c>
      <c r="K6" s="865">
        <f ca="1">IFERROR(AVERAGE(Результаты_УК!$AG$159:'Результаты_УК'!$AJ$159),"0")</f>
        <v>2.3118894484835648E-2</v>
      </c>
      <c r="L6" s="865">
        <f ca="1">IFERROR(AVERAGE(Результаты_УК!$AK$159:'Результаты_УК'!$AN$159),"0")</f>
        <v>2.0291033332210013E-2</v>
      </c>
      <c r="M6" s="868">
        <f ca="1">IFERROR(AVERAGE(Результаты_УК!$AO$159:'Результаты_УК'!$AR$159),"0")</f>
        <v>3.7652650717746025E-2</v>
      </c>
    </row>
    <row r="7" spans="1:13" ht="22.5" x14ac:dyDescent="0.2">
      <c r="A7" s="699" t="str">
        <f>Результаты_УК!$A$160</f>
        <v>Содержание и обслуживание инфраструктуры и зданий на балансе УК</v>
      </c>
      <c r="B7" s="688">
        <f ca="1">Результаты_УК!$B$160</f>
        <v>1.6700652942676791E-2</v>
      </c>
      <c r="C7" s="829" t="str">
        <f>Результаты_УК!$C$160</f>
        <v>%</v>
      </c>
      <c r="D7" s="865">
        <f ca="1">IFERROR(AVERAGE(Результаты_УК!$E$160:'Результаты_УК'!$H$160),"0")</f>
        <v>1.0290770710242527E-2</v>
      </c>
      <c r="E7" s="865">
        <f ca="1">IFERROR(AVERAGE(Результаты_УК!$I$160:'Результаты_УК'!$L$160),"0")</f>
        <v>1.8315763094581383E-2</v>
      </c>
      <c r="F7" s="865">
        <f ca="1">IFERROR(AVERAGE(Результаты_УК!$M$160:'Результаты_УК'!$P$160),"0")</f>
        <v>2.0013241262660353E-2</v>
      </c>
      <c r="G7" s="865">
        <f ca="1">IFERROR(AVERAGE(Результаты_УК!$Q$160:'Результаты_УК'!$T$160),"0")</f>
        <v>2.1890544411246052E-2</v>
      </c>
      <c r="H7" s="865">
        <f ca="1">IFERROR(AVERAGE(Результаты_УК!$U$160:'Результаты_УК'!$X$160),"0")</f>
        <v>1.7621638431733994E-2</v>
      </c>
      <c r="I7" s="865">
        <f ca="1">IFERROR(AVERAGE(Результаты_УК!$Y$160:'Результаты_УК'!$AB$160),"0")</f>
        <v>1.7441372725709253E-2</v>
      </c>
      <c r="J7" s="865">
        <f ca="1">IFERROR(AVERAGE(Результаты_УК!$AC$160:'Результаты_УК'!$AF$160),"0")</f>
        <v>1.7382260416564002E-2</v>
      </c>
      <c r="K7" s="865">
        <f ca="1">IFERROR(AVERAGE(Результаты_УК!$AG$160:'Результаты_УК'!$AJ$160),"0")</f>
        <v>1.7321878007051001E-2</v>
      </c>
      <c r="L7" s="865">
        <f ca="1">IFERROR(AVERAGE(Результаты_УК!$AK$160:'Результаты_УК'!$AN$160),"0")</f>
        <v>1.4627030205866677E-2</v>
      </c>
      <c r="M7" s="868">
        <f ca="1">IFERROR(AVERAGE(Результаты_УК!$AO$160:'Результаты_УК'!$AR$160),"0")</f>
        <v>1.5809737869135806E-2</v>
      </c>
    </row>
    <row r="8" spans="1:13" ht="11.25" customHeight="1" x14ac:dyDescent="0.2">
      <c r="A8" s="793" t="str">
        <f>Результаты_УК!$A$161</f>
        <v>Услуги ЧОП</v>
      </c>
      <c r="B8" s="688">
        <f ca="1">Результаты_УК!$B$161</f>
        <v>5.2869080064803196E-3</v>
      </c>
      <c r="C8" s="829" t="str">
        <f>Результаты_УК!$C$161</f>
        <v>%</v>
      </c>
      <c r="D8" s="865">
        <f ca="1">IFERROR(AVERAGE(Результаты_УК!$E$161:'Результаты_УК'!$H$161),"0")</f>
        <v>1.71314316860805E-2</v>
      </c>
      <c r="E8" s="865">
        <f ca="1">IFERROR(AVERAGE(Результаты_УК!$I$161:'Результаты_УК'!$L$161),"0")</f>
        <v>2.8640191788283136E-2</v>
      </c>
      <c r="F8" s="865">
        <f ca="1">IFERROR(AVERAGE(Результаты_УК!$M$161:'Результаты_УК'!$P$161),"0")</f>
        <v>1.832925959069882E-2</v>
      </c>
      <c r="G8" s="865">
        <f ca="1">IFERROR(AVERAGE(Результаты_УК!$Q$161:'Результаты_УК'!$T$161),"0")</f>
        <v>1.5446722799060472E-2</v>
      </c>
      <c r="H8" s="865">
        <f ca="1">IFERROR(AVERAGE(Результаты_УК!$U$161:'Результаты_УК'!$X$161),"0")</f>
        <v>4.938824256073223E-3</v>
      </c>
      <c r="I8" s="865">
        <f ca="1">IFERROR(AVERAGE(Результаты_УК!$Y$161:'Результаты_УК'!$AB$161),"0")</f>
        <v>4.888301108359E-3</v>
      </c>
      <c r="J8" s="865">
        <f ca="1">IFERROR(AVERAGE(Результаты_УК!$AC$161:'Результаты_УК'!$AF$161),"0")</f>
        <v>4.8717336758032784E-3</v>
      </c>
      <c r="K8" s="865">
        <f ca="1">IFERROR(AVERAGE(Результаты_УК!$AG$161:'Результаты_УК'!$AJ$161),"0")</f>
        <v>4.8548102716659026E-3</v>
      </c>
      <c r="L8" s="865">
        <f ca="1">IFERROR(AVERAGE(Результаты_УК!$AK$161:'Результаты_УК'!$AN$161),"0")</f>
        <v>4.2609787033088186E-3</v>
      </c>
      <c r="M8" s="868">
        <f ca="1">IFERROR(AVERAGE(Результаты_УК!$AO$161:'Результаты_УК'!$AR$161),"0")</f>
        <v>7.9068000236716951E-3</v>
      </c>
    </row>
    <row r="9" spans="1:13" ht="22.5" customHeight="1" x14ac:dyDescent="0.2">
      <c r="A9" s="699" t="str">
        <f>Результаты_УК!$A$162</f>
        <v>Инженерно-эксплуатационные расходы УК в части собственных нужд</v>
      </c>
      <c r="B9" s="688">
        <f ca="1">Результаты_УК!$B$162</f>
        <v>5.2818352031271012E-4</v>
      </c>
      <c r="C9" s="829" t="str">
        <f>Результаты_УК!$C$162</f>
        <v>%</v>
      </c>
      <c r="D9" s="865">
        <f ca="1">IFERROR(AVERAGE(Результаты_УК!$E$162:'Результаты_УК'!$H$162),"0")</f>
        <v>1.7131431686080499E-3</v>
      </c>
      <c r="E9" s="865">
        <f ca="1">IFERROR(AVERAGE(Результаты_УК!$I$162:'Результаты_УК'!$L$162),"0")</f>
        <v>2.8642512236961588E-3</v>
      </c>
      <c r="F9" s="865">
        <f ca="1">IFERROR(AVERAGE(Результаты_УК!$M$162:'Результаты_УК'!$P$162),"0")</f>
        <v>1.8335730359244256E-3</v>
      </c>
      <c r="G9" s="865">
        <f ca="1">IFERROR(AVERAGE(Результаты_УК!$Q$162:'Результаты_УК'!$T$162),"0")</f>
        <v>1.5453019173196875E-3</v>
      </c>
      <c r="H9" s="865">
        <f ca="1">IFERROR(AVERAGE(Результаты_УК!$U$162:'Результаты_УК'!$X$162),"0")</f>
        <v>4.9386358714682593E-4</v>
      </c>
      <c r="I9" s="865">
        <f ca="1">IFERROR(AVERAGE(Результаты_УК!$Y$162:'Результаты_УК'!$AB$162),"0")</f>
        <v>4.8861072798850791E-4</v>
      </c>
      <c r="J9" s="865">
        <f ca="1">IFERROR(AVERAGE(Результаты_УК!$AC$162:'Результаты_УК'!$AF$162),"0")</f>
        <v>4.8677085945170916E-4</v>
      </c>
      <c r="K9" s="865">
        <f ca="1">IFERROR(AVERAGE(Результаты_УК!$AG$162:'Результаты_УК'!$AJ$162),"0")</f>
        <v>4.8493287657764065E-4</v>
      </c>
      <c r="L9" s="865">
        <f ca="1">IFERROR(AVERAGE(Результаты_УК!$AK$162:'Результаты_УК'!$AN$162),"0")</f>
        <v>4.2550984544575596E-4</v>
      </c>
      <c r="M9" s="868">
        <f ca="1">IFERROR(AVERAGE(Результаты_УК!$AO$162:'Результаты_УК'!$AR$162),"0")</f>
        <v>7.8941322526582063E-4</v>
      </c>
    </row>
    <row r="10" spans="1:13" ht="22.5" customHeight="1" x14ac:dyDescent="0.2">
      <c r="A10" s="699" t="str">
        <f>Результаты_УК!$A$163</f>
        <v xml:space="preserve">Коммунальные услуги за счет УК в корпусах, арендованных резидентами </v>
      </c>
      <c r="B10" s="688">
        <f ca="1">Результаты_УК!$B$163</f>
        <v>3.8229190743430473E-2</v>
      </c>
      <c r="C10" s="829" t="str">
        <f>Результаты_УК!$C$163</f>
        <v>%</v>
      </c>
      <c r="D10" s="865">
        <f ca="1">IFERROR(AVERAGE(Результаты_УК!$E$163:'Результаты_УК'!$H$163),"0")</f>
        <v>3.016000454679494E-2</v>
      </c>
      <c r="E10" s="865">
        <f ca="1">IFERROR(AVERAGE(Результаты_УК!$I$163:'Результаты_УК'!$L$163),"0")</f>
        <v>5.0427231268254699E-2</v>
      </c>
      <c r="F10" s="865">
        <f ca="1">IFERROR(AVERAGE(Результаты_УК!$M$163:'Результаты_УК'!$P$163),"0")</f>
        <v>4.6483870424561091E-2</v>
      </c>
      <c r="G10" s="865">
        <f ca="1">IFERROR(AVERAGE(Результаты_УК!$Q$163:'Результаты_УК'!$T$163),"0")</f>
        <v>4.5169917238490329E-2</v>
      </c>
      <c r="H10" s="865">
        <f ca="1">IFERROR(AVERAGE(Результаты_УК!$U$163:'Результаты_УК'!$X$163),"0")</f>
        <v>4.3737455339841899E-2</v>
      </c>
      <c r="I10" s="865">
        <f ca="1">IFERROR(AVERAGE(Результаты_УК!$Y$163:'Результаты_УК'!$AB$163),"0")</f>
        <v>4.3305189938699924E-2</v>
      </c>
      <c r="J10" s="865">
        <f ca="1">IFERROR(AVERAGE(Результаты_УК!$AC$163:'Результаты_УК'!$AF$163),"0")</f>
        <v>4.3158547967370883E-2</v>
      </c>
      <c r="K10" s="865">
        <f ca="1">IFERROR(AVERAGE(Результаты_УК!$AG$163:'Результаты_УК'!$AJ$163),"0")</f>
        <v>4.3008697927292582E-2</v>
      </c>
      <c r="L10" s="865">
        <f ca="1">IFERROR(AVERAGE(Результаты_УК!$AK$163:'Результаты_УК'!$AN$163),"0")</f>
        <v>3.6096184946492103E-2</v>
      </c>
      <c r="M10" s="868">
        <f ca="1">IFERROR(AVERAGE(Результаты_УК!$AO$163:'Результаты_УК'!$AR$163),"0")</f>
        <v>2.0069068340885395E-2</v>
      </c>
    </row>
    <row r="11" spans="1:13" ht="11.25" customHeight="1" x14ac:dyDescent="0.2">
      <c r="A11" s="636" t="str">
        <f>Результаты_УК!$A$164</f>
        <v>Административные расходы</v>
      </c>
      <c r="B11" s="688">
        <f ca="1">Результаты_УК!$B$164</f>
        <v>1.9825905024301199E-3</v>
      </c>
      <c r="C11" s="829" t="str">
        <f>Результаты_УК!$C$164</f>
        <v>%</v>
      </c>
      <c r="D11" s="865">
        <f ca="1">IFERROR(AVERAGE(Результаты_УК!$E$164:'Результаты_УК'!$H$164),"0")</f>
        <v>6.4242868822801877E-3</v>
      </c>
      <c r="E11" s="865">
        <f ca="1">IFERROR(AVERAGE(Результаты_УК!$I$164:'Результаты_УК'!$L$164),"0")</f>
        <v>1.0740071920606175E-2</v>
      </c>
      <c r="F11" s="865">
        <f ca="1">IFERROR(AVERAGE(Результаты_УК!$M$164:'Результаты_УК'!$P$164),"0")</f>
        <v>6.8734723465120572E-3</v>
      </c>
      <c r="G11" s="865">
        <f ca="1">IFERROR(AVERAGE(Результаты_УК!$Q$164:'Результаты_УК'!$T$164),"0")</f>
        <v>5.7925210496476776E-3</v>
      </c>
      <c r="H11" s="865">
        <f ca="1">IFERROR(AVERAGE(Результаты_УК!$U$164:'Результаты_УК'!$X$164),"0")</f>
        <v>1.8520590960274586E-3</v>
      </c>
      <c r="I11" s="865">
        <f ca="1">IFERROR(AVERAGE(Результаты_УК!$Y$164:'Результаты_УК'!$AB$164),"0")</f>
        <v>1.8331129156346252E-3</v>
      </c>
      <c r="J11" s="865">
        <f ca="1">IFERROR(AVERAGE(Результаты_УК!$AC$164:'Результаты_УК'!$AF$164),"0")</f>
        <v>1.8269001284262295E-3</v>
      </c>
      <c r="K11" s="865">
        <f ca="1">IFERROR(AVERAGE(Результаты_УК!$AG$164:'Результаты_УК'!$AJ$164),"0")</f>
        <v>1.8205538518747135E-3</v>
      </c>
      <c r="L11" s="865">
        <f ca="1">IFERROR(AVERAGE(Результаты_УК!$AK$164:'Результаты_УК'!$AN$164),"0")</f>
        <v>1.5978670137408069E-3</v>
      </c>
      <c r="M11" s="868">
        <f ca="1">IFERROR(AVERAGE(Результаты_УК!$AO$164:'Результаты_УК'!$AR$164),"0")</f>
        <v>2.9650500088768857E-3</v>
      </c>
    </row>
    <row r="12" spans="1:13" ht="22.5" x14ac:dyDescent="0.2">
      <c r="A12" s="699" t="str">
        <f>Результаты_УК!$A$165</f>
        <v>Обеспечение финансово-хозяйственной деятельности</v>
      </c>
      <c r="B12" s="688">
        <f ca="1">Результаты_УК!$B$165</f>
        <v>1.9825905024301199E-3</v>
      </c>
      <c r="C12" s="829" t="str">
        <f>Результаты_УК!$C$165</f>
        <v>%</v>
      </c>
      <c r="D12" s="865">
        <f ca="1">IFERROR(AVERAGE(Результаты_УК!$E$165:'Результаты_УК'!$H$165),"0")</f>
        <v>6.4242868822801877E-3</v>
      </c>
      <c r="E12" s="865">
        <f ca="1">IFERROR(AVERAGE(Результаты_УК!$I$165:'Результаты_УК'!$L$165),"0")</f>
        <v>1.0740071920606175E-2</v>
      </c>
      <c r="F12" s="865">
        <f ca="1">IFERROR(AVERAGE(Результаты_УК!$M$165:'Результаты_УК'!$P$165),"0")</f>
        <v>6.8734723465120572E-3</v>
      </c>
      <c r="G12" s="865">
        <f ca="1">IFERROR(AVERAGE(Результаты_УК!$Q$165:'Результаты_УК'!$T$165),"0")</f>
        <v>5.7925210496476776E-3</v>
      </c>
      <c r="H12" s="865">
        <f ca="1">IFERROR(AVERAGE(Результаты_УК!$U$165:'Результаты_УК'!$X$165),"0")</f>
        <v>1.8520590960274586E-3</v>
      </c>
      <c r="I12" s="865">
        <f ca="1">IFERROR(AVERAGE(Результаты_УК!$Y$165:'Результаты_УК'!$AB$165),"0")</f>
        <v>1.8331129156346252E-3</v>
      </c>
      <c r="J12" s="865">
        <f ca="1">IFERROR(AVERAGE(Результаты_УК!$AC$165:'Результаты_УК'!$AF$165),"0")</f>
        <v>1.8269001284262295E-3</v>
      </c>
      <c r="K12" s="865">
        <f ca="1">IFERROR(AVERAGE(Результаты_УК!$AG$165:'Результаты_УК'!$AJ$165),"0")</f>
        <v>1.8205538518747135E-3</v>
      </c>
      <c r="L12" s="865">
        <f ca="1">IFERROR(AVERAGE(Результаты_УК!$AK$165:'Результаты_УК'!$AN$165),"0")</f>
        <v>1.5978670137408069E-3</v>
      </c>
      <c r="M12" s="868">
        <f ca="1">IFERROR(AVERAGE(Результаты_УК!$AO$165:'Результаты_УК'!$AR$165),"0")</f>
        <v>2.9650500088768857E-3</v>
      </c>
    </row>
    <row r="13" spans="1:13" ht="11.25" customHeight="1" x14ac:dyDescent="0.2">
      <c r="A13" s="636" t="str">
        <f>Результаты_УК!$A$166</f>
        <v>Коммерческие расходы</v>
      </c>
      <c r="B13" s="688">
        <f ca="1">Результаты_УК!$B$166</f>
        <v>0</v>
      </c>
      <c r="C13" s="829" t="str">
        <f>Результаты_УК!$C$166</f>
        <v>%</v>
      </c>
      <c r="D13" s="865">
        <f ca="1">IFERROR(AVERAGE(Результаты_УК!$E$166:'Результаты_УК'!$H$166),"0")</f>
        <v>4.6397627483134697E-3</v>
      </c>
      <c r="E13" s="865">
        <f ca="1">IFERROR(AVERAGE(Результаты_УК!$I$166:'Результаты_УК'!$L$166),"0")</f>
        <v>7.756718609326683E-3</v>
      </c>
      <c r="F13" s="865">
        <f ca="1">IFERROR(AVERAGE(Результаты_УК!$M$166:'Результаты_УК'!$P$166),"0")</f>
        <v>4.9641744724809311E-3</v>
      </c>
      <c r="G13" s="865">
        <f ca="1">IFERROR(AVERAGE(Результаты_УК!$Q$166:'Результаты_УК'!$T$166),"0")</f>
        <v>4.1834874247455448E-3</v>
      </c>
      <c r="H13" s="865">
        <f ca="1">IFERROR(AVERAGE(Результаты_УК!$U$166:'Результаты_УК'!$X$166),"0")</f>
        <v>0</v>
      </c>
      <c r="I13" s="865">
        <f ca="1">IFERROR(AVERAGE(Результаты_УК!$Y$166:'Результаты_УК'!$AB$166),"0")</f>
        <v>0</v>
      </c>
      <c r="J13" s="865">
        <f ca="1">IFERROR(AVERAGE(Результаты_УК!$AC$166:'Результаты_УК'!$AF$166),"0")</f>
        <v>0</v>
      </c>
      <c r="K13" s="865">
        <f ca="1">IFERROR(AVERAGE(Результаты_УК!$AG$166:'Результаты_УК'!$AJ$166),"0")</f>
        <v>0</v>
      </c>
      <c r="L13" s="865">
        <f ca="1">IFERROR(AVERAGE(Результаты_УК!$AK$166:'Результаты_УК'!$AN$166),"0")</f>
        <v>0</v>
      </c>
      <c r="M13" s="868">
        <f ca="1">IFERROR(AVERAGE(Результаты_УК!$AO$166:'Результаты_УК'!$AR$166),"0")</f>
        <v>0</v>
      </c>
    </row>
    <row r="14" spans="1:13" ht="33.75" x14ac:dyDescent="0.2">
      <c r="A14" s="699" t="str">
        <f>Результаты_УК!$A$167</f>
        <v>Мероприятия по привлечению резидентов и маркетинговому продвижению парка до 100% заполнения площадей</v>
      </c>
      <c r="B14" s="688">
        <f ca="1">Результаты_УК!$B$167</f>
        <v>0</v>
      </c>
      <c r="C14" s="829" t="str">
        <f>Результаты_УК!$C$167</f>
        <v>%</v>
      </c>
      <c r="D14" s="865">
        <f ca="1">IFERROR(AVERAGE(Результаты_УК!$E$167:'Результаты_УК'!$H$167),"0")</f>
        <v>4.6397627483134697E-3</v>
      </c>
      <c r="E14" s="865">
        <f ca="1">IFERROR(AVERAGE(Результаты_УК!$I$167:'Результаты_УК'!$L$167),"0")</f>
        <v>7.756718609326683E-3</v>
      </c>
      <c r="F14" s="865">
        <f ca="1">IFERROR(AVERAGE(Результаты_УК!$M$167:'Результаты_УК'!$P$167),"0")</f>
        <v>4.9641744724809311E-3</v>
      </c>
      <c r="G14" s="865">
        <f ca="1">IFERROR(AVERAGE(Результаты_УК!$Q$167:'Результаты_УК'!$T$167),"0")</f>
        <v>4.1834874247455448E-3</v>
      </c>
      <c r="H14" s="865">
        <f ca="1">IFERROR(AVERAGE(Результаты_УК!$U$167:'Результаты_УК'!$X$167),"0")</f>
        <v>0</v>
      </c>
      <c r="I14" s="865">
        <f ca="1">IFERROR(AVERAGE(Результаты_УК!$Y$167:'Результаты_УК'!$AB$167),"0")</f>
        <v>0</v>
      </c>
      <c r="J14" s="865">
        <f ca="1">IFERROR(AVERAGE(Результаты_УК!$AC$167:'Результаты_УК'!$AF$167),"0")</f>
        <v>0</v>
      </c>
      <c r="K14" s="865">
        <f ca="1">IFERROR(AVERAGE(Результаты_УК!$AG$167:'Результаты_УК'!$AJ$167),"0")</f>
        <v>0</v>
      </c>
      <c r="L14" s="865">
        <f ca="1">IFERROR(AVERAGE(Результаты_УК!$AK$167:'Результаты_УК'!$AN$167),"0")</f>
        <v>0</v>
      </c>
      <c r="M14" s="868">
        <f ca="1">IFERROR(AVERAGE(Результаты_УК!$AO$167:'Результаты_УК'!$AR$167),"0")</f>
        <v>0</v>
      </c>
    </row>
    <row r="15" spans="1:13" ht="11.25" customHeight="1" x14ac:dyDescent="0.2">
      <c r="A15" s="636" t="str">
        <f>Результаты_УК!$A$168</f>
        <v>Производственный персонал</v>
      </c>
      <c r="B15" s="688">
        <f ca="1">Результаты_УК!$B$168</f>
        <v>1.7037366542494038E-2</v>
      </c>
      <c r="C15" s="829" t="str">
        <f>Результаты_УК!$C$168</f>
        <v>%</v>
      </c>
      <c r="D15" s="865">
        <f ca="1">IFERROR(AVERAGE(Результаты_УК!$E$168:'Результаты_УК'!$H$168),"0")</f>
        <v>0</v>
      </c>
      <c r="E15" s="865">
        <f ca="1">IFERROR(AVERAGE(Результаты_УК!$I$168:'Результаты_УК'!$L$168),"0")</f>
        <v>2.6488220903199192E-2</v>
      </c>
      <c r="F15" s="865">
        <f ca="1">IFERROR(AVERAGE(Результаты_УК!$M$168:'Результаты_УК'!$P$168),"0")</f>
        <v>3.8924274004011959E-2</v>
      </c>
      <c r="G15" s="865">
        <f ca="1">IFERROR(AVERAGE(Результаты_УК!$Q$168:'Результаты_УК'!$T$168),"0")</f>
        <v>4.4916997675631357E-2</v>
      </c>
      <c r="H15" s="865">
        <f ca="1">IFERROR(AVERAGE(Результаты_УК!$U$168:'Результаты_УК'!$X$168),"0")</f>
        <v>1.4760178424475056E-2</v>
      </c>
      <c r="I15" s="865">
        <f ca="1">IFERROR(AVERAGE(Результаты_УК!$Y$168:'Результаты_УК'!$AB$168),"0")</f>
        <v>1.5022726719715603E-2</v>
      </c>
      <c r="J15" s="865">
        <f ca="1">IFERROR(AVERAGE(Результаты_УК!$AC$168:'Результаты_УК'!$AF$168),"0")</f>
        <v>1.5382948775630168E-2</v>
      </c>
      <c r="K15" s="865">
        <f ca="1">IFERROR(AVERAGE(Результаты_УК!$AG$168:'Результаты_УК'!$AJ$168),"0")</f>
        <v>1.5743755043345443E-2</v>
      </c>
      <c r="L15" s="865">
        <f ca="1">IFERROR(AVERAGE(Результаты_УК!$AK$168:'Результаты_УК'!$AN$168),"0")</f>
        <v>1.421283049569454E-2</v>
      </c>
      <c r="M15" s="868">
        <f ca="1">IFERROR(AVERAGE(Результаты_УК!$AO$168:'Результаты_УК'!$AR$168),"0")</f>
        <v>2.710175979610345E-2</v>
      </c>
    </row>
    <row r="16" spans="1:13" ht="11.25" customHeight="1" x14ac:dyDescent="0.2">
      <c r="A16" s="636" t="str">
        <f>Результаты_УК!$A$169</f>
        <v>Административный и коммерческий персонал</v>
      </c>
      <c r="B16" s="688">
        <f ca="1">Результаты_УК!$B$169</f>
        <v>2.96727905233788E-2</v>
      </c>
      <c r="C16" s="829" t="str">
        <f>Результаты_УК!$C$169</f>
        <v>%</v>
      </c>
      <c r="D16" s="865">
        <f ca="1">IFERROR(AVERAGE(Результаты_УК!$E$169:'Результаты_УК'!$H$169),"0")</f>
        <v>3.4655707896077498E-2</v>
      </c>
      <c r="E16" s="865">
        <f ca="1">IFERROR(AVERAGE(Результаты_УК!$I$169:'Результаты_УК'!$L$169),"0")</f>
        <v>0.11151904909446012</v>
      </c>
      <c r="F16" s="865">
        <f ca="1">IFERROR(AVERAGE(Результаты_УК!$M$169:'Результаты_УК'!$P$169),"0")</f>
        <v>9.0313082705349684E-2</v>
      </c>
      <c r="G16" s="865">
        <f ca="1">IFERROR(AVERAGE(Результаты_УК!$Q$169:'Результаты_УК'!$T$169),"0")</f>
        <v>7.8228795491594547E-2</v>
      </c>
      <c r="H16" s="865">
        <f ca="1">IFERROR(AVERAGE(Результаты_УК!$U$169:'Результаты_УК'!$X$169),"0")</f>
        <v>2.5706771136534457E-2</v>
      </c>
      <c r="I16" s="865">
        <f ca="1">IFERROR(AVERAGE(Результаты_УК!$Y$169:'Результаты_УК'!$AB$169),"0")</f>
        <v>2.6164033152205248E-2</v>
      </c>
      <c r="J16" s="865">
        <f ca="1">IFERROR(AVERAGE(Результаты_УК!$AC$169:'Результаты_УК'!$AF$169),"0")</f>
        <v>2.679140673018128E-2</v>
      </c>
      <c r="K16" s="865">
        <f ca="1">IFERROR(AVERAGE(Результаты_УК!$AG$169:'Результаты_УК'!$AJ$169),"0")</f>
        <v>2.7419797789018617E-2</v>
      </c>
      <c r="L16" s="865">
        <f ca="1">IFERROR(AVERAGE(Результаты_УК!$AK$169:'Результаты_УК'!$AN$169),"0")</f>
        <v>2.4753493504477822E-2</v>
      </c>
      <c r="M16" s="868">
        <f ca="1">IFERROR(AVERAGE(Результаты_УК!$AO$169:'Результаты_УК'!$AR$169),"0")</f>
        <v>4.720124082785538E-2</v>
      </c>
    </row>
    <row r="17" spans="1:13" ht="11.25" customHeight="1" x14ac:dyDescent="0.2">
      <c r="A17" s="636" t="str">
        <f>Результаты_УК!$A$170</f>
        <v>Амортизация</v>
      </c>
      <c r="B17" s="688">
        <f ca="1">Результаты_УК!$B$170</f>
        <v>0.25180496582698647</v>
      </c>
      <c r="C17" s="829" t="str">
        <f>Результаты_УК!$C$170</f>
        <v>%</v>
      </c>
      <c r="D17" s="865">
        <f ca="1">IFERROR(AVERAGE(Результаты_УК!$E$170:'Результаты_УК'!$H$170),"0")</f>
        <v>0.20581541420485056</v>
      </c>
      <c r="E17" s="865">
        <f ca="1">IFERROR(AVERAGE(Результаты_УК!$I$170:'Результаты_УК'!$L$170),"0")</f>
        <v>0.36065208620655026</v>
      </c>
      <c r="F17" s="865">
        <f ca="1">IFERROR(AVERAGE(Результаты_УК!$M$170:'Результаты_УК'!$P$170),"0")</f>
        <v>0.37900728650719595</v>
      </c>
      <c r="G17" s="865">
        <f ca="1">IFERROR(AVERAGE(Результаты_УК!$Q$170:'Результаты_УК'!$T$170),"0")</f>
        <v>0.39890797056705923</v>
      </c>
      <c r="H17" s="865">
        <f ca="1">IFERROR(AVERAGE(Результаты_УК!$U$170:'Результаты_УК'!$X$170),"0")</f>
        <v>0.3088415533845501</v>
      </c>
      <c r="I17" s="865">
        <f ca="1">IFERROR(AVERAGE(Результаты_УК!$Y$170:'Результаты_УК'!$AB$170),"0")</f>
        <v>0.29392476724271666</v>
      </c>
      <c r="J17" s="865">
        <f ca="1">IFERROR(AVERAGE(Результаты_УК!$AC$170:'Результаты_УК'!$AF$170),"0")</f>
        <v>0.28168889782740236</v>
      </c>
      <c r="K17" s="865">
        <f ca="1">IFERROR(AVERAGE(Результаты_УК!$AG$170:'Результаты_УК'!$AJ$170),"0")</f>
        <v>0.26995919223989384</v>
      </c>
      <c r="L17" s="865">
        <f ca="1">IFERROR(AVERAGE(Результаты_УК!$AK$170:'Результаты_УК'!$AN$170),"0")</f>
        <v>0.2158926915882346</v>
      </c>
      <c r="M17" s="868">
        <f ca="1">IFERROR(AVERAGE(Результаты_УК!$AO$170:'Результаты_УК'!$AR$170),"0")</f>
        <v>0.14052269267912099</v>
      </c>
    </row>
    <row r="18" spans="1:13" ht="11.25" customHeight="1" x14ac:dyDescent="0.2">
      <c r="A18" s="636" t="str">
        <f>Результаты_УК!$A$171</f>
        <v>Лизинговые платежи</v>
      </c>
      <c r="B18" s="688">
        <f ca="1">Результаты_УК!$B$171</f>
        <v>0</v>
      </c>
      <c r="C18" s="829" t="str">
        <f>Результаты_УК!$C$171</f>
        <v>%</v>
      </c>
      <c r="D18" s="865">
        <f ca="1">IFERROR(AVERAGE(Результаты_УК!$E$171:'Результаты_УК'!$H$171),"0")</f>
        <v>0</v>
      </c>
      <c r="E18" s="865">
        <f ca="1">IFERROR(AVERAGE(Результаты_УК!$I$171:'Результаты_УК'!$L$171),"0")</f>
        <v>0</v>
      </c>
      <c r="F18" s="865">
        <f ca="1">IFERROR(AVERAGE(Результаты_УК!$M$171:'Результаты_УК'!$P$171),"0")</f>
        <v>0</v>
      </c>
      <c r="G18" s="865">
        <f ca="1">IFERROR(AVERAGE(Результаты_УК!$Q$171:'Результаты_УК'!$T$171),"0")</f>
        <v>0</v>
      </c>
      <c r="H18" s="865">
        <f ca="1">IFERROR(AVERAGE(Результаты_УК!$U$171:'Результаты_УК'!$X$171),"0")</f>
        <v>0</v>
      </c>
      <c r="I18" s="865">
        <f ca="1">IFERROR(AVERAGE(Результаты_УК!$Y$171:'Результаты_УК'!$AB$171),"0")</f>
        <v>0</v>
      </c>
      <c r="J18" s="865">
        <f ca="1">IFERROR(AVERAGE(Результаты_УК!$AC$171:'Результаты_УК'!$AF$171),"0")</f>
        <v>0</v>
      </c>
      <c r="K18" s="865">
        <f ca="1">IFERROR(AVERAGE(Результаты_УК!$AG$171:'Результаты_УК'!$AJ$171),"0")</f>
        <v>0</v>
      </c>
      <c r="L18" s="865">
        <f ca="1">IFERROR(AVERAGE(Результаты_УК!$AK$171:'Результаты_УК'!$AN$171),"0")</f>
        <v>0</v>
      </c>
      <c r="M18" s="868">
        <f ca="1">IFERROR(AVERAGE(Результаты_УК!$AO$171:'Результаты_УК'!$AR$171),"0")</f>
        <v>0</v>
      </c>
    </row>
    <row r="19" spans="1:13" ht="11.25" customHeight="1" x14ac:dyDescent="0.2">
      <c r="A19" s="636" t="str">
        <f>Результаты_УК!$A$172</f>
        <v>Проценты к уплате</v>
      </c>
      <c r="B19" s="688">
        <f ca="1">Результаты_УК!$B$172</f>
        <v>0.15428858566371115</v>
      </c>
      <c r="C19" s="829" t="str">
        <f>Результаты_УК!$C$172</f>
        <v>%</v>
      </c>
      <c r="D19" s="865">
        <f ca="1">IFERROR(AVERAGE(Результаты_УК!$E$172:'Результаты_УК'!$H$172),"0")</f>
        <v>0.43223465975891856</v>
      </c>
      <c r="E19" s="865">
        <f ca="1">IFERROR(AVERAGE(Результаты_УК!$I$172:'Результаты_УК'!$L$172),"0")</f>
        <v>0.85895020489994656</v>
      </c>
      <c r="F19" s="865">
        <f ca="1">IFERROR(AVERAGE(Результаты_УК!$M$172:'Результаты_УК'!$P$172),"0")</f>
        <v>0.86380267573961866</v>
      </c>
      <c r="G19" s="865">
        <f ca="1">IFERROR(AVERAGE(Результаты_УК!$Q$172:'Результаты_УК'!$T$172),"0")</f>
        <v>1.1241561725724605</v>
      </c>
      <c r="H19" s="865">
        <f ca="1">IFERROR(AVERAGE(Результаты_УК!$U$172:'Результаты_УК'!$X$172),"0")</f>
        <v>0.35594147812178339</v>
      </c>
      <c r="I19" s="865">
        <f ca="1">IFERROR(AVERAGE(Результаты_УК!$Y$172:'Результаты_УК'!$AB$172),"0")</f>
        <v>0.27052476342613019</v>
      </c>
      <c r="J19" s="865">
        <f ca="1">IFERROR(AVERAGE(Результаты_УК!$AC$172:'Результаты_УК'!$AF$172),"0")</f>
        <v>0.18643067011981579</v>
      </c>
      <c r="K19" s="865">
        <f ca="1">IFERROR(AVERAGE(Результаты_УК!$AG$172:'Результаты_УК'!$AJ$172),"0")</f>
        <v>9.5993570816374163E-2</v>
      </c>
      <c r="L19" s="865">
        <f ca="1">IFERROR(AVERAGE(Результаты_УК!$AK$172:'Результаты_УК'!$AN$172),"0")</f>
        <v>1.6841031498163267E-2</v>
      </c>
      <c r="M19" s="868">
        <f ca="1">IFERROR(AVERAGE(Результаты_УК!$AO$172:'Результаты_УК'!$AR$172),"0")</f>
        <v>3.715719091084941E-18</v>
      </c>
    </row>
    <row r="20" spans="1:13" ht="11.25" customHeight="1" x14ac:dyDescent="0.2">
      <c r="A20" s="636" t="str">
        <f>Результаты_УК!$A$173</f>
        <v>Прочие расходы</v>
      </c>
      <c r="B20" s="688">
        <f ca="1">Результаты_УК!$B$173</f>
        <v>0</v>
      </c>
      <c r="C20" s="829" t="str">
        <f>Результаты_УК!$C$173</f>
        <v>%</v>
      </c>
      <c r="D20" s="865">
        <f ca="1">IFERROR(AVERAGE(Результаты_УК!$E$173:'Результаты_УК'!$H$173),"0")</f>
        <v>0</v>
      </c>
      <c r="E20" s="865">
        <f ca="1">IFERROR(AVERAGE(Результаты_УК!$I$173:'Результаты_УК'!$L$173),"0")</f>
        <v>0</v>
      </c>
      <c r="F20" s="865">
        <f ca="1">IFERROR(AVERAGE(Результаты_УК!$M$173:'Результаты_УК'!$P$173),"0")</f>
        <v>0</v>
      </c>
      <c r="G20" s="865">
        <f ca="1">IFERROR(AVERAGE(Результаты_УК!$Q$173:'Результаты_УК'!$T$173),"0")</f>
        <v>0</v>
      </c>
      <c r="H20" s="865">
        <f ca="1">IFERROR(AVERAGE(Результаты_УК!$U$173:'Результаты_УК'!$X$173),"0")</f>
        <v>0</v>
      </c>
      <c r="I20" s="865">
        <f ca="1">IFERROR(AVERAGE(Результаты_УК!$Y$173:'Результаты_УК'!$AB$173),"0")</f>
        <v>0</v>
      </c>
      <c r="J20" s="865">
        <f ca="1">IFERROR(AVERAGE(Результаты_УК!$AC$173:'Результаты_УК'!$AF$173),"0")</f>
        <v>0</v>
      </c>
      <c r="K20" s="865">
        <f ca="1">IFERROR(AVERAGE(Результаты_УК!$AG$173:'Результаты_УК'!$AJ$173),"0")</f>
        <v>0</v>
      </c>
      <c r="L20" s="865">
        <f ca="1">IFERROR(AVERAGE(Результаты_УК!$AK$173:'Результаты_УК'!$AN$173),"0")</f>
        <v>0</v>
      </c>
      <c r="M20" s="868">
        <f ca="1">IFERROR(AVERAGE(Результаты_УК!$AO$173:'Результаты_УК'!$AR$173),"0")</f>
        <v>0</v>
      </c>
    </row>
    <row r="21" spans="1:13" ht="11.25" customHeight="1" x14ac:dyDescent="0.2">
      <c r="A21" s="636" t="str">
        <f>Результаты_УК!$A$174</f>
        <v>Налоги</v>
      </c>
      <c r="B21" s="688">
        <f ca="1">Результаты_УК!$B$174</f>
        <v>9.7779797972090174E-2</v>
      </c>
      <c r="C21" s="829" t="str">
        <f>Результаты_УК!$C$174</f>
        <v>%</v>
      </c>
      <c r="D21" s="865">
        <f ca="1">IFERROR(AVERAGE(Результаты_УК!$E$174:'Результаты_УК'!$H$174),"0")</f>
        <v>8.5617818040416405E-2</v>
      </c>
      <c r="E21" s="865">
        <f ca="1">IFERROR(AVERAGE(Результаты_УК!$I$174:'Результаты_УК'!$L$174),"0")</f>
        <v>3.6990312271689106E-2</v>
      </c>
      <c r="F21" s="865">
        <f ca="1">IFERROR(AVERAGE(Результаты_УК!$M$174:'Результаты_УК'!$P$174),"0")</f>
        <v>2.2762501443450774E-2</v>
      </c>
      <c r="G21" s="865">
        <f ca="1">IFERROR(AVERAGE(Результаты_УК!$Q$174:'Результаты_УК'!$T$174),"0")</f>
        <v>1.8446479298612227E-2</v>
      </c>
      <c r="H21" s="865">
        <f ca="1">IFERROR(AVERAGE(Результаты_УК!$U$174:'Результаты_УК'!$X$174),"0")</f>
        <v>5.6724933962721E-3</v>
      </c>
      <c r="I21" s="865">
        <f ca="1">IFERROR(AVERAGE(Результаты_УК!$Y$174:'Результаты_УК'!$AB$174),"0")</f>
        <v>5.3985167569375759E-3</v>
      </c>
      <c r="J21" s="865">
        <f ca="1">IFERROR(AVERAGE(Результаты_УК!$AC$174:'Результаты_УК'!$AF$174),"0")</f>
        <v>6.0531249798167597E-2</v>
      </c>
      <c r="K21" s="865">
        <f ca="1">IFERROR(AVERAGE(Результаты_УК!$AG$174:'Результаты_УК'!$AJ$174),"0")</f>
        <v>0.17784049228300855</v>
      </c>
      <c r="L21" s="865">
        <f ca="1">IFERROR(AVERAGE(Результаты_УК!$AK$174:'Результаты_УК'!$AN$174),"0")</f>
        <v>0.17254116189621654</v>
      </c>
      <c r="M21" s="868">
        <f ca="1">IFERROR(AVERAGE(Результаты_УК!$AO$174:'Результаты_УК'!$AR$174),"0")</f>
        <v>0.16469487370193861</v>
      </c>
    </row>
    <row r="22" spans="1:13" ht="11.25" customHeight="1" x14ac:dyDescent="0.2">
      <c r="A22" s="633" t="str">
        <f>Результаты_УК!$A$175</f>
        <v>Итого затраты, % от выручки</v>
      </c>
      <c r="B22" s="689">
        <f ca="1">Результаты_УК!$B$175</f>
        <v>0.6384876017726101</v>
      </c>
      <c r="C22" s="832" t="str">
        <f>Результаты_УК!$C$175</f>
        <v>%</v>
      </c>
      <c r="D22" s="869">
        <f ca="1">IFERROR(AVERAGE(Результаты_УК!$E$175:'Результаты_УК'!$H$175),"0")</f>
        <v>0.8433631058859905</v>
      </c>
      <c r="E22" s="869">
        <f ca="1">IFERROR(AVERAGE(Результаты_УК!$I$175:'Результаты_УК'!$L$175),"0")</f>
        <v>1.537886186611686</v>
      </c>
      <c r="F22" s="869">
        <f ca="1">IFERROR(AVERAGE(Результаты_УК!$M$175:'Результаты_УК'!$P$175),"0")</f>
        <v>1.5168347218432161</v>
      </c>
      <c r="G22" s="869">
        <f ca="1">IFERROR(AVERAGE(Результаты_УК!$Q$175:'Результаты_УК'!$T$175),"0")</f>
        <v>1.7818076389740698</v>
      </c>
      <c r="H22" s="869">
        <f ca="1">IFERROR(AVERAGE(Результаты_УК!$U$175:'Результаты_УК'!$X$175),"0")</f>
        <v>0.80308528923645139</v>
      </c>
      <c r="I22" s="869">
        <f ca="1">IFERROR(AVERAGE(Результаты_УК!$Y$175:'Результаты_УК'!$AB$175),"0")</f>
        <v>0.70226977454982964</v>
      </c>
      <c r="J22" s="869">
        <f ca="1">IFERROR(AVERAGE(Результаты_УК!$AC$175:'Результаты_УК'!$AF$175),"0")</f>
        <v>0.66175087103799102</v>
      </c>
      <c r="K22" s="869">
        <f ca="1">IFERROR(AVERAGE(Результаты_УК!$AG$175:'Результаты_УК'!$AJ$175),"0")</f>
        <v>0.67756657559093814</v>
      </c>
      <c r="L22" s="869">
        <f ca="1">IFERROR(AVERAGE(Результаты_УК!$AK$175:'Результаты_УК'!$AN$175),"0")</f>
        <v>0.52153981302985097</v>
      </c>
      <c r="M22" s="870">
        <f ca="1">IFERROR(AVERAGE(Результаты_УК!$AO$175:'Результаты_УК'!$AR$175),"0")</f>
        <v>0.46471328719060001</v>
      </c>
    </row>
    <row r="23" spans="1:13" ht="11.25" customHeight="1" x14ac:dyDescent="0.2">
      <c r="A23" s="398"/>
      <c r="B23" s="603"/>
      <c r="C23" s="607"/>
      <c r="D23" s="599"/>
      <c r="E23" s="599"/>
      <c r="F23" s="599"/>
      <c r="G23" s="599"/>
      <c r="H23" s="599"/>
      <c r="I23" s="599"/>
      <c r="J23" s="599"/>
      <c r="K23" s="599"/>
      <c r="L23" s="599"/>
      <c r="M23" s="599"/>
    </row>
    <row r="24" spans="1:13" ht="11.25" customHeight="1" x14ac:dyDescent="0.2">
      <c r="A24" s="665" t="str">
        <f>Результаты_УК!$A$177</f>
        <v>Эффективная ставка налога на прибыль</v>
      </c>
      <c r="B24" s="688">
        <f ca="1">Результаты_УК!$B$177</f>
        <v>0.12320712298459867</v>
      </c>
      <c r="C24" s="829" t="str">
        <f>Результаты_УК!$C$177</f>
        <v>%</v>
      </c>
      <c r="D24" s="640">
        <f ca="1">IFERROR(AVERAGE(Результаты_УК!$E$177:'Результаты_УК'!$H$177),"0")</f>
        <v>0</v>
      </c>
      <c r="E24" s="640">
        <f ca="1">IFERROR(AVERAGE(Результаты_УК!$I$177:'Результаты_УК'!$L$177),"0")</f>
        <v>0</v>
      </c>
      <c r="F24" s="640">
        <f ca="1">IFERROR(AVERAGE(Результаты_УК!$M$177:'Результаты_УК'!$P$177),"0")</f>
        <v>0</v>
      </c>
      <c r="G24" s="640">
        <f ca="1">IFERROR(AVERAGE(Результаты_УК!$Q$177:'Результаты_УК'!$T$177),"0")</f>
        <v>0</v>
      </c>
      <c r="H24" s="640">
        <f ca="1">IFERROR(AVERAGE(Результаты_УК!$U$177:'Результаты_УК'!$X$177),"0")</f>
        <v>0</v>
      </c>
      <c r="I24" s="640">
        <f ca="1">IFERROR(AVERAGE(Результаты_УК!$Y$177:'Результаты_УК'!$AB$177),"0")</f>
        <v>0</v>
      </c>
      <c r="J24" s="640">
        <f ca="1">IFERROR(AVERAGE(Результаты_УК!$AC$177:'Результаты_УК'!$AF$177),"0")</f>
        <v>0.13924273790759184</v>
      </c>
      <c r="K24" s="640">
        <f ca="1">IFERROR(AVERAGE(Результаты_УК!$AG$177:'Результаты_УК'!$AJ$177),"0")</f>
        <v>0.19999999999999998</v>
      </c>
      <c r="L24" s="640">
        <f ca="1">IFERROR(AVERAGE(Результаты_УК!$AK$177:'Результаты_УК'!$AN$177),"0")</f>
        <v>0.19999999999999998</v>
      </c>
      <c r="M24" s="645">
        <f ca="1">IFERROR(AVERAGE(Результаты_УК!$AO$177:'Результаты_УК'!$AR$177),"0")</f>
        <v>0.19999999999999998</v>
      </c>
    </row>
    <row r="25" spans="1:13" ht="11.25" customHeight="1" x14ac:dyDescent="0.2">
      <c r="A25" s="665" t="str">
        <f>Результаты_УК!$A$178</f>
        <v>Доля постоянных затрат</v>
      </c>
      <c r="B25" s="688">
        <f ca="1">Результаты_УК!$B$178</f>
        <v>0.47787576663957082</v>
      </c>
      <c r="C25" s="829" t="str">
        <f>Результаты_УК!$C$178</f>
        <v>%</v>
      </c>
      <c r="D25" s="640">
        <f ca="1">IFERROR(AVERAGE(Результаты_УК!$E$178:'Результаты_УК'!$H$178),"0")</f>
        <v>1</v>
      </c>
      <c r="E25" s="640">
        <f ca="1">IFERROR(AVERAGE(Результаты_УК!$I$178:'Результаты_УК'!$L$178),"0")</f>
        <v>1</v>
      </c>
      <c r="F25" s="640">
        <f ca="1">IFERROR(AVERAGE(Результаты_УК!$M$178:'Результаты_УК'!$P$178),"0")</f>
        <v>1</v>
      </c>
      <c r="G25" s="640">
        <f ca="1">IFERROR(AVERAGE(Результаты_УК!$Q$178:'Результаты_УК'!$T$178),"0")</f>
        <v>1</v>
      </c>
      <c r="H25" s="640">
        <f ca="1">IFERROR(AVERAGE(Результаты_УК!$U$178:'Результаты_УК'!$X$178),"0")</f>
        <v>1</v>
      </c>
      <c r="I25" s="640">
        <f ca="1">IFERROR(AVERAGE(Результаты_УК!$Y$178:'Результаты_УК'!$AB$178),"0")</f>
        <v>1</v>
      </c>
      <c r="J25" s="640">
        <f ca="1">IFERROR(AVERAGE(Результаты_УК!$AC$178:'Результаты_УК'!$AF$178),"0")</f>
        <v>1</v>
      </c>
      <c r="K25" s="640">
        <f ca="1">IFERROR(AVERAGE(Результаты_УК!$AG$178:'Результаты_УК'!$AJ$178),"0")</f>
        <v>1</v>
      </c>
      <c r="L25" s="640">
        <f ca="1">IFERROR(AVERAGE(Результаты_УК!$AK$178:'Результаты_УК'!$AN$178),"0")</f>
        <v>0.83091961962222338</v>
      </c>
      <c r="M25" s="645">
        <f ca="1">IFERROR(AVERAGE(Результаты_УК!$AO$178:'Результаты_УК'!$AR$178),"0")</f>
        <v>0.7555620462895094</v>
      </c>
    </row>
    <row r="26" spans="1:13" ht="11.25" customHeight="1" x14ac:dyDescent="0.2">
      <c r="A26" s="665" t="str">
        <f>Результаты_УК!$A$179</f>
        <v>Точка безубыточности, без НДС за период</v>
      </c>
      <c r="B26" s="818">
        <f ca="1">Результаты_УК!$B$179</f>
        <v>512948.45355894382</v>
      </c>
      <c r="C26" s="829" t="str">
        <f>Результаты_УК!$C$179</f>
        <v>тыс. руб.</v>
      </c>
      <c r="D26" s="871">
        <f ca="1">SUM(Результаты_УК!$E$179:'Результаты_УК'!$H$179)</f>
        <v>0</v>
      </c>
      <c r="E26" s="871">
        <f ca="1">SUM(Результаты_УК!$I$179:'Результаты_УК'!$L$179)</f>
        <v>0</v>
      </c>
      <c r="F26" s="871">
        <f ca="1">SUM(Результаты_УК!$M$179:'Результаты_УК'!$P$179)</f>
        <v>0</v>
      </c>
      <c r="G26" s="871">
        <f ca="1">SUM(Результаты_УК!$Q$179:'Результаты_УК'!$T$179)</f>
        <v>0</v>
      </c>
      <c r="H26" s="871">
        <f ca="1">SUM(Результаты_УК!$U$179:'Результаты_УК'!$X$179)</f>
        <v>0</v>
      </c>
      <c r="I26" s="871">
        <f ca="1">SUM(Результаты_УК!$Y$179:'Результаты_УК'!$AB$179)</f>
        <v>0</v>
      </c>
      <c r="J26" s="871">
        <f ca="1">SUM(Результаты_УК!$AC$179:'Результаты_УК'!$AF$179)</f>
        <v>0</v>
      </c>
      <c r="K26" s="871">
        <f ca="1">SUM(Результаты_УК!$AG$179:'Результаты_УК'!$AJ$179)</f>
        <v>0</v>
      </c>
      <c r="L26" s="871">
        <f ca="1">SUM(Результаты_УК!$AK$179:'Результаты_УК'!$AN$179)</f>
        <v>170520.77927902693</v>
      </c>
      <c r="M26" s="872">
        <f ca="1">SUM(Результаты_УК!$AO$179:'Результаты_УК'!$AR$179)</f>
        <v>81455.115328399203</v>
      </c>
    </row>
    <row r="27" spans="1:13" ht="22.5" x14ac:dyDescent="0.2">
      <c r="A27" s="796" t="str">
        <f>Результаты_УК!$A$180</f>
        <v>Точка безубыточности, % от объема реализации за период</v>
      </c>
      <c r="B27" s="689">
        <f ca="1">Результаты_УК!$B$180</f>
        <v>0.24941824840133869</v>
      </c>
      <c r="C27" s="828" t="str">
        <f>Результаты_УК!$C$180</f>
        <v>%</v>
      </c>
      <c r="D27" s="866">
        <f ca="1">IFERROR(AVERAGE(Результаты_УК!$E$180:'Результаты_УК'!$H$180),"0")</f>
        <v>0</v>
      </c>
      <c r="E27" s="866">
        <f ca="1">IFERROR(AVERAGE(Результаты_УК!$I$180:'Результаты_УК'!$L$180),"0")</f>
        <v>0</v>
      </c>
      <c r="F27" s="866">
        <f ca="1">IFERROR(AVERAGE(Результаты_УК!$M$180:'Результаты_УК'!$P$180),"0")</f>
        <v>0</v>
      </c>
      <c r="G27" s="866">
        <f ca="1">IFERROR(AVERAGE(Результаты_УК!$Q$180:'Результаты_УК'!$T$180),"0")</f>
        <v>0</v>
      </c>
      <c r="H27" s="866">
        <f ca="1">IFERROR(AVERAGE(Результаты_УК!$U$180:'Результаты_УК'!$X$180),"0")</f>
        <v>0</v>
      </c>
      <c r="I27" s="866">
        <f ca="1">IFERROR(AVERAGE(Результаты_УК!$Y$180:'Результаты_УК'!$AB$180),"0")</f>
        <v>0</v>
      </c>
      <c r="J27" s="866">
        <f ca="1">IFERROR(AVERAGE(Результаты_УК!$AC$180:'Результаты_УК'!$AF$180),"0")</f>
        <v>0</v>
      </c>
      <c r="K27" s="866">
        <f ca="1">IFERROR(AVERAGE(Результаты_УК!$AG$180:'Результаты_УК'!$AJ$180),"0")</f>
        <v>0</v>
      </c>
      <c r="L27" s="866">
        <f ca="1">IFERROR(AVERAGE(Результаты_УК!$AK$180:'Результаты_УК'!$AN$180),"0")</f>
        <v>6.3603796180943223E-2</v>
      </c>
      <c r="M27" s="867">
        <f ca="1">IFERROR(AVERAGE(Результаты_УК!$AO$180:'Результаты_УК'!$AR$180),"0")</f>
        <v>3.1316791228745405E-3</v>
      </c>
    </row>
    <row r="28" spans="1:13" ht="11.25" customHeight="1" x14ac:dyDescent="0.2">
      <c r="A28" s="398"/>
      <c r="B28" s="603"/>
      <c r="C28" s="607"/>
      <c r="D28" s="599"/>
      <c r="E28" s="599"/>
      <c r="F28" s="599"/>
      <c r="G28" s="599"/>
      <c r="H28" s="599"/>
      <c r="I28" s="599"/>
      <c r="J28" s="599"/>
      <c r="K28" s="599"/>
      <c r="L28" s="599"/>
      <c r="M28" s="599"/>
    </row>
    <row r="29" spans="1:13" ht="11.25" customHeight="1" x14ac:dyDescent="0.2">
      <c r="A29" s="665" t="str">
        <f>Результаты_УК!$A$182</f>
        <v>Рентабельность продаж по чистой прибыли, NPM</v>
      </c>
      <c r="B29" s="688">
        <f ca="1">Результаты_УК!$B$182</f>
        <v>0.42264353272234334</v>
      </c>
      <c r="C29" s="829" t="str">
        <f>Результаты_УК!$C$182</f>
        <v>%</v>
      </c>
      <c r="D29" s="865">
        <f ca="1">IFERROR(AVERAGE(Результаты_УК!$E$182:'Результаты_УК'!$H$182),"0")</f>
        <v>-0.34336310588599062</v>
      </c>
      <c r="E29" s="865">
        <f ca="1">IFERROR(AVERAGE(Результаты_УК!$I$182:'Результаты_УК'!$L$182),"0")</f>
        <v>-0.53788618661168619</v>
      </c>
      <c r="F29" s="865">
        <f ca="1">IFERROR(AVERAGE(Результаты_УК!$M$182:'Результаты_УК'!$P$182),"0")</f>
        <v>-0.51683472184321722</v>
      </c>
      <c r="G29" s="865">
        <f ca="1">IFERROR(AVERAGE(Результаты_УК!$Q$182:'Результаты_УК'!$T$182),"0")</f>
        <v>-0.78180763897407268</v>
      </c>
      <c r="H29" s="865">
        <f ca="1">IFERROR(AVERAGE(Результаты_УК!$U$182:'Результаты_УК'!$X$182),"0")</f>
        <v>0.19691471076354891</v>
      </c>
      <c r="I29" s="865">
        <f ca="1">IFERROR(AVERAGE(Результаты_УК!$Y$182:'Результаты_УК'!$AB$182),"0")</f>
        <v>0.29773022545016992</v>
      </c>
      <c r="J29" s="865">
        <f ca="1">IFERROR(AVERAGE(Результаты_УК!$AC$182:'Результаты_УК'!$AF$182),"0")</f>
        <v>0.33824912896200909</v>
      </c>
      <c r="K29" s="865">
        <f ca="1">IFERROR(AVERAGE(Результаты_УК!$AG$182:'Результаты_УК'!$AJ$182),"0")</f>
        <v>0.32243342440906098</v>
      </c>
      <c r="L29" s="865">
        <f ca="1">IFERROR(AVERAGE(Результаты_УК!$AK$182:'Результаты_УК'!$AN$182),"0")</f>
        <v>0.39777580601696699</v>
      </c>
      <c r="M29" s="868">
        <f ca="1">IFERROR(AVERAGE(Результаты_УК!$AO$182:'Результаты_УК'!$AR$182),"0")</f>
        <v>0.44711923972336243</v>
      </c>
    </row>
    <row r="30" spans="1:13" ht="11.25" customHeight="1" x14ac:dyDescent="0.2">
      <c r="A30" s="665" t="str">
        <f>Результаты_УК!$A$183</f>
        <v>Рентабельность продаж по валовой прибыли, ROS</v>
      </c>
      <c r="B30" s="688">
        <f ca="1">Результаты_УК!$B$183</f>
        <v>0.74765394418832898</v>
      </c>
      <c r="C30" s="829" t="str">
        <f>Результаты_УК!$C$183</f>
        <v>%</v>
      </c>
      <c r="D30" s="865">
        <f ca="1">IFERROR(AVERAGE(Результаты_УК!$E$183:'Результаты_УК'!$H$183),"0")</f>
        <v>0.42602454364486614</v>
      </c>
      <c r="E30" s="865">
        <f ca="1">IFERROR(AVERAGE(Результаты_УК!$I$183:'Результаты_УК'!$L$183),"0")</f>
        <v>0.84872225639089272</v>
      </c>
      <c r="F30" s="865">
        <f ca="1">IFERROR(AVERAGE(Результаты_УК!$M$183:'Результаты_УК'!$P$183),"0")</f>
        <v>0.85088847137139201</v>
      </c>
      <c r="G30" s="865">
        <f ca="1">IFERROR(AVERAGE(Результаты_УК!$Q$183:'Результаты_УК'!$T$183),"0")</f>
        <v>0.84790778743005013</v>
      </c>
      <c r="H30" s="865">
        <f ca="1">IFERROR(AVERAGE(Результаты_УК!$U$183:'Результаты_УК'!$X$183),"0")</f>
        <v>0.89492906589871613</v>
      </c>
      <c r="I30" s="865">
        <f ca="1">IFERROR(AVERAGE(Результаты_УК!$Y$183:'Результаты_УК'!$AB$183),"0")</f>
        <v>0.89557541894379478</v>
      </c>
      <c r="J30" s="865">
        <f ca="1">IFERROR(AVERAGE(Результаты_УК!$AC$183:'Результаты_УК'!$AF$183),"0")</f>
        <v>0.89551825356600212</v>
      </c>
      <c r="K30" s="865">
        <f ca="1">IFERROR(AVERAGE(Результаты_УК!$AG$183:'Результаты_УК'!$AJ$183),"0")</f>
        <v>0.89546703138923178</v>
      </c>
      <c r="L30" s="865">
        <f ca="1">IFERROR(AVERAGE(Результаты_УК!$AK$183:'Результаты_УК'!$AN$183),"0")</f>
        <v>0.82940205151780022</v>
      </c>
      <c r="M30" s="868">
        <f ca="1">IFERROR(AVERAGE(Результаты_УК!$AO$183:'Результаты_УК'!$AR$183),"0")</f>
        <v>0.8025030969411544</v>
      </c>
    </row>
    <row r="31" spans="1:13" ht="11.25" customHeight="1" x14ac:dyDescent="0.2">
      <c r="A31" s="665" t="str">
        <f>Результаты_УК!$A$184</f>
        <v>Рентабельность продаж по EBITDA</v>
      </c>
      <c r="B31" s="688">
        <f ca="1">Результаты_УК!$B$184</f>
        <v>0.71237076021490864</v>
      </c>
      <c r="C31" s="829" t="str">
        <f>Результаты_УК!$C$184</f>
        <v>%</v>
      </c>
      <c r="D31" s="865">
        <f ca="1">IFERROR(AVERAGE(Результаты_УК!$E$184:'Результаты_УК'!$H$184),"0")</f>
        <v>0.29468696807777861</v>
      </c>
      <c r="E31" s="865">
        <f ca="1">IFERROR(AVERAGE(Результаты_УК!$I$184:'Результаты_УК'!$L$184),"0")</f>
        <v>0.68171610449481057</v>
      </c>
      <c r="F31" s="865">
        <f ca="1">IFERROR(AVERAGE(Результаты_УК!$M$184:'Результаты_УК'!$P$184),"0")</f>
        <v>0.72597524040359851</v>
      </c>
      <c r="G31" s="865">
        <f ca="1">IFERROR(AVERAGE(Результаты_УК!$Q$184:'Результаты_УК'!$T$184),"0")</f>
        <v>0.74125650416545008</v>
      </c>
      <c r="H31" s="865">
        <f ca="1">IFERROR(AVERAGE(Результаты_УК!$U$184:'Результаты_УК'!$X$184),"0")</f>
        <v>0.86169774226988216</v>
      </c>
      <c r="I31" s="865">
        <f ca="1">IFERROR(AVERAGE(Результаты_УК!$Y$184:'Результаты_УК'!$AB$184),"0")</f>
        <v>0.8621797561190172</v>
      </c>
      <c r="J31" s="865">
        <f ca="1">IFERROR(AVERAGE(Результаты_УК!$AC$184:'Результаты_УК'!$AF$184),"0")</f>
        <v>0.86172616618719533</v>
      </c>
      <c r="K31" s="865">
        <f ca="1">IFERROR(AVERAGE(Результаты_УК!$AG$184:'Результаты_УК'!$AJ$184),"0")</f>
        <v>0.76899454356759511</v>
      </c>
      <c r="L31" s="865">
        <f ca="1">IFERROR(AVERAGE(Результаты_УК!$AK$184:'Результаты_УК'!$AN$184),"0")</f>
        <v>0.7299534806076069</v>
      </c>
      <c r="M31" s="868">
        <f ca="1">IFERROR(AVERAGE(Результаты_УК!$AO$184:'Результаты_УК'!$AR$184),"0")</f>
        <v>0.69942174233332399</v>
      </c>
    </row>
    <row r="32" spans="1:13" ht="11.25" customHeight="1" x14ac:dyDescent="0.2">
      <c r="A32" s="666" t="str">
        <f>Результаты_УК!$A$185</f>
        <v>Рентабельность продаж по EBIT</v>
      </c>
      <c r="B32" s="689">
        <f ca="1">Результаты_УК!$B$185</f>
        <v>0.58984215460808853</v>
      </c>
      <c r="C32" s="828" t="str">
        <f>Результаты_УК!$C$185</f>
        <v>%</v>
      </c>
      <c r="D32" s="866">
        <f ca="1">IFERROR(AVERAGE(Результаты_УК!$E$185:'Результаты_УК'!$H$185),"0")</f>
        <v>8.8871553872928027E-2</v>
      </c>
      <c r="E32" s="866">
        <f ca="1">IFERROR(AVERAGE(Результаты_УК!$I$185:'Результаты_УК'!$L$185),"0")</f>
        <v>0.32106401828826042</v>
      </c>
      <c r="F32" s="866">
        <f ca="1">IFERROR(AVERAGE(Результаты_УК!$M$185:'Результаты_УК'!$P$185),"0")</f>
        <v>0.34696795389640256</v>
      </c>
      <c r="G32" s="866">
        <f ca="1">IFERROR(AVERAGE(Результаты_УК!$Q$185:'Результаты_УК'!$T$185),"0")</f>
        <v>0.3423485335983909</v>
      </c>
      <c r="H32" s="866">
        <f ca="1">IFERROR(AVERAGE(Результаты_УК!$U$185:'Результаты_УК'!$X$185),"0")</f>
        <v>0.55285618888533206</v>
      </c>
      <c r="I32" s="866">
        <f ca="1">IFERROR(AVERAGE(Результаты_УК!$Y$185:'Результаты_УК'!$AB$185),"0")</f>
        <v>0.56825498887630066</v>
      </c>
      <c r="J32" s="866">
        <f ca="1">IFERROR(AVERAGE(Результаты_УК!$AC$185:'Результаты_УК'!$AF$185),"0")</f>
        <v>0.58003726835979308</v>
      </c>
      <c r="K32" s="866">
        <f ca="1">IFERROR(AVERAGE(Результаты_УК!$AG$185:'Результаты_УК'!$AJ$185),"0")</f>
        <v>0.49903535132770127</v>
      </c>
      <c r="L32" s="866">
        <f ca="1">IFERROR(AVERAGE(Результаты_УК!$AK$185:'Результаты_УК'!$AN$185),"0")</f>
        <v>0.51406078901937213</v>
      </c>
      <c r="M32" s="867">
        <f ca="1">IFERROR(AVERAGE(Результаты_УК!$AO$185:'Результаты_УК'!$AR$185),"0")</f>
        <v>0.55889904965420301</v>
      </c>
    </row>
    <row r="33" spans="1:13" ht="11.25" customHeight="1" x14ac:dyDescent="0.2">
      <c r="A33" s="398"/>
      <c r="B33" s="603"/>
      <c r="C33" s="607"/>
      <c r="D33" s="609"/>
      <c r="E33" s="609"/>
      <c r="F33" s="609"/>
      <c r="G33" s="609"/>
      <c r="H33" s="609"/>
      <c r="I33" s="609"/>
      <c r="J33" s="609"/>
      <c r="K33" s="609"/>
      <c r="L33" s="609"/>
      <c r="M33" s="609"/>
    </row>
    <row r="34" spans="1:13" ht="11.25" customHeight="1" x14ac:dyDescent="0.2">
      <c r="A34" s="665" t="str">
        <f>Результаты_УК!$A$187</f>
        <v>Рентабельность собственного капитала, ROE</v>
      </c>
      <c r="B34" s="688">
        <f ca="1">Результаты_УК!$B$187</f>
        <v>3.3130427214357723E-2</v>
      </c>
      <c r="C34" s="829" t="str">
        <f>Результаты_УК!$C$187</f>
        <v>% в год</v>
      </c>
      <c r="D34" s="865">
        <f ca="1">IFERROR(AVERAGE(Результаты_УК!$E$187:'Результаты_УК'!$H$187),"0")</f>
        <v>-0.39680019778897607</v>
      </c>
      <c r="E34" s="865">
        <f ca="1">IFERROR(AVERAGE(Результаты_УК!$I$187:'Результаты_УК'!$L$187),"0")</f>
        <v>-8.0491109664002553E-2</v>
      </c>
      <c r="F34" s="865">
        <f ca="1">IFERROR(AVERAGE(Результаты_УК!$M$187:'Результаты_УК'!$P$187),"0")</f>
        <v>-3.7622211597946431E-2</v>
      </c>
      <c r="G34" s="865">
        <f ca="1">IFERROR(AVERAGE(Результаты_УК!$Q$187:'Результаты_УК'!$T$187),"0")</f>
        <v>-2.8290985807936247E-2</v>
      </c>
      <c r="H34" s="865">
        <f ca="1">IFERROR(AVERAGE(Результаты_УК!$U$187:'Результаты_УК'!$X$187),"0")</f>
        <v>1.4292758956989846E-2</v>
      </c>
      <c r="I34" s="865">
        <f ca="1">IFERROR(AVERAGE(Результаты_УК!$Y$187:'Результаты_УК'!$AB$187),"0")</f>
        <v>1.8380020768114385E-2</v>
      </c>
      <c r="J34" s="865">
        <f ca="1">IFERROR(AVERAGE(Результаты_УК!$AC$187:'Результаты_УК'!$AF$187),"0")</f>
        <v>1.8581573686497349E-2</v>
      </c>
      <c r="K34" s="865">
        <f ca="1">IFERROR(AVERAGE(Результаты_УК!$AG$187:'Результаты_УК'!$AJ$187),"0")</f>
        <v>1.618939629148293E-2</v>
      </c>
      <c r="L34" s="865">
        <f ca="1">IFERROR(AVERAGE(Результаты_УК!$AK$187:'Результаты_УК'!$AN$187),"0")</f>
        <v>2.4012999967929646E-2</v>
      </c>
      <c r="M34" s="868">
        <f ca="1">IFERROR(AVERAGE(Результаты_УК!$AO$187:'Результаты_УК'!$AR$187),"0")</f>
        <v>0.10732581361513222</v>
      </c>
    </row>
    <row r="35" spans="1:13" ht="11.25" customHeight="1" x14ac:dyDescent="0.2">
      <c r="A35" s="665" t="str">
        <f>Результаты_УК!$A$188</f>
        <v>Рентабельность инвестированного капитала, ROIC</v>
      </c>
      <c r="B35" s="688">
        <f ca="1">Результаты_УК!$B$188</f>
        <v>3.4049086761567739E-2</v>
      </c>
      <c r="C35" s="829" t="str">
        <f>Результаты_УК!$C$188</f>
        <v>% в год</v>
      </c>
      <c r="D35" s="865">
        <f ca="1">IFERROR(AVERAGE(Результаты_УК!$E$188:'Результаты_УК'!$H$188),"0")</f>
        <v>-3.2638270937304409E-4</v>
      </c>
      <c r="E35" s="865">
        <f ca="1">IFERROR(AVERAGE(Результаты_УК!$I$188:'Результаты_УК'!$L$188),"0")</f>
        <v>6.9636517368041754E-3</v>
      </c>
      <c r="F35" s="865">
        <f ca="1">IFERROR(AVERAGE(Результаты_УК!$M$188:'Результаты_УК'!$P$188),"0")</f>
        <v>7.1137483106828818E-3</v>
      </c>
      <c r="G35" s="865">
        <f ca="1">IFERROR(AVERAGE(Результаты_УК!$Q$188:'Результаты_УК'!$T$188),"0")</f>
        <v>4.5329131808196158E-3</v>
      </c>
      <c r="H35" s="865">
        <f ca="1">IFERROR(AVERAGE(Результаты_УК!$U$188:'Результаты_УК'!$X$188),"0")</f>
        <v>1.8260092590823566E-2</v>
      </c>
      <c r="I35" s="865">
        <f ca="1">IFERROR(AVERAGE(Результаты_УК!$Y$188:'Результаты_УК'!$AB$188),"0")</f>
        <v>1.9681565205054166E-2</v>
      </c>
      <c r="J35" s="865">
        <f ca="1">IFERROR(AVERAGE(Результаты_УК!$AC$188:'Результаты_УК'!$AF$188),"0")</f>
        <v>1.9315435086707848E-2</v>
      </c>
      <c r="K35" s="865">
        <f ca="1">IFERROR(AVERAGE(Результаты_УК!$AG$188:'Результаты_УК'!$AJ$188),"0")</f>
        <v>1.665719802981621E-2</v>
      </c>
      <c r="L35" s="865">
        <f ca="1">IFERROR(AVERAGE(Результаты_УК!$AK$188:'Результаты_УК'!$AN$188),"0")</f>
        <v>2.3054416041872448E-2</v>
      </c>
      <c r="M35" s="868">
        <f ca="1">IFERROR(AVERAGE(Результаты_УК!$AO$188:'Результаты_УК'!$AR$188),"0")</f>
        <v>0.10732581361513222</v>
      </c>
    </row>
    <row r="36" spans="1:13" ht="11.25" customHeight="1" x14ac:dyDescent="0.2">
      <c r="A36" s="665" t="str">
        <f>Результаты_УК!$A$189</f>
        <v>Рентабельность задействованного капитала, ROCE</v>
      </c>
      <c r="B36" s="688">
        <f ca="1">Результаты_УК!$B$189</f>
        <v>4.0317169539730399E-2</v>
      </c>
      <c r="C36" s="829" t="str">
        <f>Результаты_УК!$C$189</f>
        <v>% в год</v>
      </c>
      <c r="D36" s="865">
        <f ca="1">IFERROR(AVERAGE(Результаты_УК!$E$189:'Результаты_УК'!$H$189),"0")</f>
        <v>-3.2638270937304149E-4</v>
      </c>
      <c r="E36" s="865">
        <f ca="1">IFERROR(AVERAGE(Результаты_УК!$I$189:'Результаты_УК'!$L$189),"0")</f>
        <v>6.963651736804178E-3</v>
      </c>
      <c r="F36" s="865">
        <f ca="1">IFERROR(AVERAGE(Результаты_УК!$M$189:'Результаты_УК'!$P$189),"0")</f>
        <v>7.1137483106828957E-3</v>
      </c>
      <c r="G36" s="865">
        <f ca="1">IFERROR(AVERAGE(Результаты_УК!$Q$189:'Результаты_УК'!$T$189),"0")</f>
        <v>4.5329131808196522E-3</v>
      </c>
      <c r="H36" s="865">
        <f ca="1">IFERROR(AVERAGE(Результаты_УК!$U$189:'Результаты_УК'!$X$189),"0")</f>
        <v>1.8260092590823555E-2</v>
      </c>
      <c r="I36" s="865">
        <f ca="1">IFERROR(AVERAGE(Результаты_УК!$Y$189:'Результаты_УК'!$AB$189),"0")</f>
        <v>1.968156520505418E-2</v>
      </c>
      <c r="J36" s="865">
        <f ca="1">IFERROR(AVERAGE(Результаты_УК!$AC$189:'Результаты_УК'!$AF$189),"0")</f>
        <v>2.1362474485706759E-2</v>
      </c>
      <c r="K36" s="865">
        <f ca="1">IFERROR(AVERAGE(Результаты_УК!$AG$189:'Результаты_УК'!$AJ$189),"0")</f>
        <v>1.987107788290552E-2</v>
      </c>
      <c r="L36" s="865">
        <f ca="1">IFERROR(AVERAGE(Результаты_УК!$AK$189:'Результаты_УК'!$AN$189),"0")</f>
        <v>2.8570540054977105E-2</v>
      </c>
      <c r="M36" s="868">
        <f ca="1">IFERROR(AVERAGE(Результаты_УК!$AO$189:'Результаты_УК'!$AR$189),"0")</f>
        <v>0.13415726701891528</v>
      </c>
    </row>
    <row r="37" spans="1:13" ht="11.25" customHeight="1" x14ac:dyDescent="0.2">
      <c r="A37" s="665" t="str">
        <f>Результаты_УК!$A$190</f>
        <v>Рентабельность суммарных активов, ROTA</v>
      </c>
      <c r="B37" s="688">
        <f ca="1">Результаты_УК!$B$190</f>
        <v>3.7650611013197742E-2</v>
      </c>
      <c r="C37" s="829" t="str">
        <f>Результаты_УК!$C$190</f>
        <v>% в год</v>
      </c>
      <c r="D37" s="865">
        <f ca="1">IFERROR(AVERAGE(Результаты_УК!$E$190:'Результаты_УК'!$H$190),"0")</f>
        <v>-3.3119213141699546E-4</v>
      </c>
      <c r="E37" s="865">
        <f ca="1">IFERROR(AVERAGE(Результаты_УК!$I$190:'Результаты_УК'!$L$190),"0")</f>
        <v>6.9503688497656538E-3</v>
      </c>
      <c r="F37" s="865">
        <f ca="1">IFERROR(AVERAGE(Результаты_УК!$M$190:'Результаты_УК'!$P$190),"0")</f>
        <v>7.1064137228324317E-3</v>
      </c>
      <c r="G37" s="865">
        <f ca="1">IFERROR(AVERAGE(Результаты_УК!$Q$190:'Результаты_УК'!$T$190),"0")</f>
        <v>4.5302316743808272E-3</v>
      </c>
      <c r="H37" s="865">
        <f ca="1">IFERROR(AVERAGE(Результаты_УК!$U$190:'Результаты_УК'!$X$190),"0")</f>
        <v>1.825169801250168E-2</v>
      </c>
      <c r="I37" s="865">
        <f ca="1">IFERROR(AVERAGE(Результаты_УК!$Y$190:'Результаты_УК'!$AB$190),"0")</f>
        <v>1.9672160412273744E-2</v>
      </c>
      <c r="J37" s="865">
        <f ca="1">IFERROR(AVERAGE(Результаты_УК!$AC$190:'Результаты_УК'!$AF$190),"0")</f>
        <v>2.1314247697601242E-2</v>
      </c>
      <c r="K37" s="865">
        <f ca="1">IFERROR(AVERAGE(Результаты_УК!$AG$190:'Результаты_УК'!$AJ$190),"0")</f>
        <v>1.9734879271351563E-2</v>
      </c>
      <c r="L37" s="865">
        <f ca="1">IFERROR(AVERAGE(Результаты_УК!$AK$190:'Результаты_УК'!$AN$190),"0")</f>
        <v>2.8295668588186839E-2</v>
      </c>
      <c r="M37" s="868">
        <f ca="1">IFERROR(AVERAGE(Результаты_УК!$AO$190:'Результаты_УК'!$AR$190),"0")</f>
        <v>0.11863501209727144</v>
      </c>
    </row>
    <row r="38" spans="1:13" ht="11.25" customHeight="1" x14ac:dyDescent="0.2">
      <c r="A38" s="666" t="str">
        <f>Результаты_УК!$A$191</f>
        <v>Рентабельность внеоборотных активов, ROFA</v>
      </c>
      <c r="B38" s="689">
        <f ca="1">Результаты_УК!$B$191</f>
        <v>9.6453484570191914E-2</v>
      </c>
      <c r="C38" s="828" t="str">
        <f>Результаты_УК!$C$191</f>
        <v>% в год</v>
      </c>
      <c r="D38" s="866">
        <f ca="1">IFERROR(AVERAGE(Результаты_УК!$E$191:'Результаты_УК'!$H$191),"0")</f>
        <v>-3.4563738103073386E-4</v>
      </c>
      <c r="E38" s="866">
        <f ca="1">IFERROR(AVERAGE(Результаты_УК!$I$191:'Результаты_УК'!$L$191),"0")</f>
        <v>8.6248069312143422E-3</v>
      </c>
      <c r="F38" s="866">
        <f ca="1">IFERROR(AVERAGE(Результаты_УК!$M$191:'Результаты_УК'!$P$191),"0")</f>
        <v>8.9446230235296405E-3</v>
      </c>
      <c r="G38" s="866">
        <f ca="1">IFERROR(AVERAGE(Результаты_УК!$Q$191:'Результаты_УК'!$T$191),"0")</f>
        <v>5.7599396715418191E-3</v>
      </c>
      <c r="H38" s="866">
        <f ca="1">IFERROR(AVERAGE(Результаты_УК!$U$191:'Результаты_УК'!$X$191),"0")</f>
        <v>2.3989876010826468E-2</v>
      </c>
      <c r="I38" s="866">
        <f ca="1">IFERROR(AVERAGE(Результаты_УК!$Y$191:'Результаты_УК'!$AB$191),"0")</f>
        <v>2.7353462453295823E-2</v>
      </c>
      <c r="J38" s="866">
        <f ca="1">IFERROR(AVERAGE(Результаты_УК!$AC$191:'Результаты_УК'!$AF$191),"0")</f>
        <v>3.0880876123288079E-2</v>
      </c>
      <c r="K38" s="866">
        <f ca="1">IFERROR(AVERAGE(Результаты_УК!$AG$191:'Результаты_УК'!$AJ$191),"0")</f>
        <v>2.9497446802127007E-2</v>
      </c>
      <c r="L38" s="866">
        <f ca="1">IFERROR(AVERAGE(Результаты_УК!$AK$191:'Результаты_УК'!$AN$191),"0")</f>
        <v>4.5980224756848521E-2</v>
      </c>
      <c r="M38" s="867">
        <f ca="1">IFERROR(AVERAGE(Результаты_УК!$AO$191:'Результаты_УК'!$AR$191),"0")</f>
        <v>0.42101902127476554</v>
      </c>
    </row>
    <row r="39" spans="1:13" ht="11.25" customHeight="1" x14ac:dyDescent="0.2">
      <c r="A39" s="398"/>
      <c r="B39" s="603"/>
      <c r="C39" s="607"/>
      <c r="D39" s="863"/>
      <c r="E39" s="863"/>
      <c r="F39" s="863"/>
      <c r="G39" s="863"/>
      <c r="H39" s="863"/>
      <c r="I39" s="863"/>
      <c r="J39" s="863"/>
      <c r="K39" s="863"/>
      <c r="L39" s="863"/>
      <c r="M39" s="863"/>
    </row>
    <row r="40" spans="1:13" ht="11.25" customHeight="1" x14ac:dyDescent="0.2">
      <c r="A40" s="665" t="str">
        <f>Результаты_УК!$A$193</f>
        <v>Коэффициент текущей ликвидности</v>
      </c>
      <c r="B40" s="873">
        <f ca="1">Результаты_УК!$B$193</f>
        <v>244.2861687159743</v>
      </c>
      <c r="C40" s="829" t="str">
        <f>Результаты_УК!$C$193</f>
        <v>раз</v>
      </c>
      <c r="D40" s="875">
        <f ca="1">IFERROR(AVERAGE(Результаты_УК!$E$193:'Результаты_УК'!$H$193),"0")</f>
        <v>80.619163118998188</v>
      </c>
      <c r="E40" s="875">
        <f ca="1">IFERROR(AVERAGE(Результаты_УК!$I$193:'Результаты_УК'!$L$193),"0")</f>
        <v>153.92226049102055</v>
      </c>
      <c r="F40" s="875">
        <f ca="1">IFERROR(AVERAGE(Результаты_УК!$M$193:'Результаты_УК'!$P$193),"0")</f>
        <v>231.63230861709033</v>
      </c>
      <c r="G40" s="875">
        <f ca="1">IFERROR(AVERAGE(Результаты_УК!$Q$193:'Результаты_УК'!$T$193),"0")</f>
        <v>407.4106809786158</v>
      </c>
      <c r="H40" s="875">
        <f ca="1">IFERROR(AVERAGE(Результаты_УК!$U$193:'Результаты_УК'!$X$193),"0")</f>
        <v>527.25636051492415</v>
      </c>
      <c r="I40" s="875">
        <f ca="1">IFERROR(AVERAGE(Результаты_УК!$Y$193:'Результаты_УК'!$AB$193),"0")</f>
        <v>593.13382511240081</v>
      </c>
      <c r="J40" s="875">
        <f ca="1">IFERROR(AVERAGE(Результаты_УК!$AC$193:'Результаты_УК'!$AF$193),"0")</f>
        <v>128.28119698213911</v>
      </c>
      <c r="K40" s="875">
        <f ca="1">IFERROR(AVERAGE(Результаты_УК!$AG$193:'Результаты_УК'!$AJ$193),"0")</f>
        <v>44.928804215752706</v>
      </c>
      <c r="L40" s="875">
        <f ca="1">IFERROR(AVERAGE(Результаты_УК!$AK$193:'Результаты_УК'!$AN$193),"0")</f>
        <v>44.624477644480237</v>
      </c>
      <c r="M40" s="878">
        <f ca="1">IFERROR(AVERAGE(Результаты_УК!$AO$193:'Результаты_УК'!$AR$193),"0")</f>
        <v>127.49234782614863</v>
      </c>
    </row>
    <row r="41" spans="1:13" ht="11.25" customHeight="1" x14ac:dyDescent="0.2">
      <c r="A41" s="666" t="str">
        <f>Результаты_УК!$A$194</f>
        <v>Коэффициент быстрой ликвидности</v>
      </c>
      <c r="B41" s="874">
        <f ca="1">Результаты_УК!$B$194</f>
        <v>153.35403273364167</v>
      </c>
      <c r="C41" s="828" t="str">
        <f>Результаты_УК!$C$194</f>
        <v>раз</v>
      </c>
      <c r="D41" s="876">
        <f ca="1">IFERROR(AVERAGE(Результаты_УК!$E$194:'Результаты_УК'!$H$194),"0")</f>
        <v>5.9751874829115605</v>
      </c>
      <c r="E41" s="876">
        <f ca="1">IFERROR(AVERAGE(Результаты_УК!$I$194:'Результаты_УК'!$L$194),"0")</f>
        <v>38.709233892098865</v>
      </c>
      <c r="F41" s="876">
        <f ca="1">IFERROR(AVERAGE(Результаты_УК!$M$194:'Результаты_УК'!$P$194),"0")</f>
        <v>66.712918753976965</v>
      </c>
      <c r="G41" s="876">
        <f ca="1">IFERROR(AVERAGE(Результаты_УК!$Q$194:'Результаты_УК'!$T$194),"0")</f>
        <v>133.51610945809193</v>
      </c>
      <c r="H41" s="876">
        <f ca="1">IFERROR(AVERAGE(Результаты_УК!$U$194:'Результаты_УК'!$X$194),"0")</f>
        <v>244.64087260945945</v>
      </c>
      <c r="I41" s="876">
        <f ca="1">IFERROR(AVERAGE(Результаты_УК!$Y$194:'Результаты_УК'!$AB$194),"0")</f>
        <v>373.27074889569121</v>
      </c>
      <c r="J41" s="876">
        <f ca="1">IFERROR(AVERAGE(Результаты_УК!$AC$194:'Результаты_УК'!$AF$194),"0")</f>
        <v>94.169466665122116</v>
      </c>
      <c r="K41" s="876">
        <f ca="1">IFERROR(AVERAGE(Результаты_УК!$AG$194:'Результаты_УК'!$AJ$194),"0")</f>
        <v>37.416369205105809</v>
      </c>
      <c r="L41" s="876">
        <f ca="1">IFERROR(AVERAGE(Результаты_УК!$AK$194:'Результаты_УК'!$AN$194),"0")</f>
        <v>43.134391200322931</v>
      </c>
      <c r="M41" s="877">
        <f ca="1">IFERROR(AVERAGE(Результаты_УК!$AO$194:'Результаты_УК'!$AR$194),"0")</f>
        <v>127.49234782614863</v>
      </c>
    </row>
    <row r="42" spans="1:13" ht="11.25" customHeight="1" x14ac:dyDescent="0.2">
      <c r="A42" s="398"/>
      <c r="B42" s="864"/>
      <c r="C42" s="607"/>
      <c r="D42" s="599"/>
      <c r="E42" s="599"/>
      <c r="F42" s="599"/>
      <c r="G42" s="599"/>
      <c r="H42" s="599"/>
      <c r="I42" s="599"/>
      <c r="J42" s="599"/>
      <c r="K42" s="599"/>
      <c r="L42" s="599"/>
      <c r="M42" s="599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15&amp;R&amp;"Arial,полужирный"&amp;10Проект создания ИП «Бугры» на территории Ленинградской области. Управляющая компания.
&amp;C&amp;"Arial,полужирный"&amp;13
РЕНТАБЕЛЬНОСТЬ И ОБОРАЧИВАЕМОСТЬ</oddHeader>
    <oddFooter>&amp;R&amp;P</oddFooter>
  </headerFooter>
  <rowBreaks count="1" manualBreakCount="1">
    <brk id="2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41"/>
  <dimension ref="A1:N31"/>
  <sheetViews>
    <sheetView workbookViewId="0"/>
  </sheetViews>
  <sheetFormatPr defaultRowHeight="12.75" x14ac:dyDescent="0.2"/>
  <cols>
    <col min="1" max="1" width="37.140625" customWidth="1"/>
    <col min="2" max="2" width="10.85546875" customWidth="1"/>
    <col min="3" max="3" width="9" customWidth="1"/>
    <col min="4" max="13" width="7.5703125" customWidth="1"/>
    <col min="14" max="14" width="9" customWidth="1"/>
  </cols>
  <sheetData>
    <row r="1" spans="1:14" s="301" customFormat="1" ht="26.1" customHeight="1" x14ac:dyDescent="0.2">
      <c r="A1" s="613" t="str">
        <f>Результаты_УК!$A$207</f>
        <v>НАЛОГИ И ДОХОДЫ БЮДЖЕТОВ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Результаты_УК!$AT$207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1.25" customHeight="1" x14ac:dyDescent="0.2">
      <c r="A3" s="666" t="str">
        <f>Результаты_УК!$A$209</f>
        <v>Ставка дисконтирования, годовая (WACC)</v>
      </c>
      <c r="B3" s="880">
        <f ca="1">Результаты_УК!$B$209</f>
        <v>0.10128364613285909</v>
      </c>
      <c r="C3" s="828" t="str">
        <f>Результаты_УК!$C$209</f>
        <v>%</v>
      </c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37" t="str">
        <f>Результаты_УК!$A$211</f>
        <v>коэффициент дисконта</v>
      </c>
      <c r="B4" s="685"/>
      <c r="C4" s="828" t="str">
        <f>Результаты_УК!$C$211</f>
        <v>раз</v>
      </c>
      <c r="D4" s="647">
        <f ca="1">Результаты_УК!$H$211</f>
        <v>1.0750394277212749</v>
      </c>
      <c r="E4" s="647">
        <f ca="1">Результаты_УК!$L$211</f>
        <v>1.1839233406974679</v>
      </c>
      <c r="F4" s="647">
        <f ca="1">Результаты_УК!$P$211</f>
        <v>1.3038354133851024</v>
      </c>
      <c r="G4" s="647">
        <f ca="1">Результаты_УК!$T$211</f>
        <v>1.4358926180098894</v>
      </c>
      <c r="H4" s="647">
        <f ca="1">Результаты_УК!$X$211</f>
        <v>1.5813250578171876</v>
      </c>
      <c r="I4" s="647">
        <f ca="1">Результаты_УК!$AB$211</f>
        <v>1.7414874253941668</v>
      </c>
      <c r="J4" s="647">
        <f ca="1">Результаты_УК!$AF$211</f>
        <v>1.9178716215326135</v>
      </c>
      <c r="K4" s="647">
        <f ca="1">Результаты_УК!$AJ$211</f>
        <v>2.1121206521761753</v>
      </c>
      <c r="L4" s="647">
        <f ca="1">Результаты_УК!$AN$211</f>
        <v>2.3260439329010905</v>
      </c>
      <c r="M4" s="648">
        <f ca="1">Результаты_УК!$AR$211</f>
        <v>2.5616341434905285</v>
      </c>
      <c r="N4" s="599"/>
    </row>
    <row r="5" spans="1:14" ht="11.25" customHeight="1" x14ac:dyDescent="0.2">
      <c r="A5" s="398"/>
      <c r="B5" s="681"/>
      <c r="C5" s="607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</row>
    <row r="6" spans="1:14" ht="19.5" customHeight="1" x14ac:dyDescent="0.2">
      <c r="A6" s="633" t="str">
        <f>Результаты_УК!$A$213</f>
        <v>Доходы бюджетов</v>
      </c>
      <c r="B6" s="826" t="str">
        <f>Результаты_УК!$B$213</f>
        <v>Среднегодовые
2024 - 2029</v>
      </c>
      <c r="C6" s="879"/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651"/>
    </row>
    <row r="7" spans="1:14" ht="11.25" customHeight="1" x14ac:dyDescent="0.2">
      <c r="A7" s="636" t="str">
        <f>Результаты_УК!$A$214</f>
        <v>Налог на добавленную стоимость</v>
      </c>
      <c r="B7" s="810">
        <f ca="1">Результаты_УК!$B$214</f>
        <v>220390.16897623631</v>
      </c>
      <c r="C7" s="829" t="str">
        <f>Результаты_УК!$C$214</f>
        <v>тыс. руб.</v>
      </c>
      <c r="D7" s="712">
        <f ca="1">SUM(Результаты_УК!$E$214:'Результаты_УК'!$H$214)</f>
        <v>0</v>
      </c>
      <c r="E7" s="712">
        <f ca="1">SUM(Результаты_УК!$I$214:'Результаты_УК'!$L$214)</f>
        <v>0</v>
      </c>
      <c r="F7" s="712">
        <f ca="1">SUM(Результаты_УК!$M$214:'Результаты_УК'!$P$214)</f>
        <v>0</v>
      </c>
      <c r="G7" s="712">
        <f ca="1">SUM(Результаты_УК!$Q$214:'Результаты_УК'!$T$214)</f>
        <v>0</v>
      </c>
      <c r="H7" s="712">
        <f ca="1">SUM(Результаты_УК!$U$214:'Результаты_УК'!$X$214)</f>
        <v>0</v>
      </c>
      <c r="I7" s="712">
        <f ca="1">SUM(Результаты_УК!$Y$214:'Результаты_УК'!$AB$214)</f>
        <v>0</v>
      </c>
      <c r="J7" s="712">
        <f ca="1">SUM(Результаты_УК!$AC$214:'Результаты_УК'!$AF$214)</f>
        <v>0</v>
      </c>
      <c r="K7" s="712">
        <f ca="1">SUM(Результаты_УК!$AG$214:'Результаты_УК'!$AJ$214)</f>
        <v>0</v>
      </c>
      <c r="L7" s="712">
        <f ca="1">SUM(Результаты_УК!$AK$214:'Результаты_УК'!$AN$214)</f>
        <v>0</v>
      </c>
      <c r="M7" s="712">
        <f ca="1">SUM(Результаты_УК!$AO$214:'Результаты_УК'!$AR$214)</f>
        <v>1322341.0138574177</v>
      </c>
      <c r="N7" s="801">
        <f ca="1">Результаты_УК!$AT$214</f>
        <v>1322341.0138574177</v>
      </c>
    </row>
    <row r="8" spans="1:14" ht="11.25" customHeight="1" x14ac:dyDescent="0.2">
      <c r="A8" s="636" t="str">
        <f>Результаты_УК!$A$215</f>
        <v>Налог на прибыль</v>
      </c>
      <c r="B8" s="810">
        <f ca="1">Результаты_УК!$B$215</f>
        <v>190219.59264313793</v>
      </c>
      <c r="C8" s="829" t="str">
        <f>Результаты_УК!$C$215</f>
        <v>тыс. руб.</v>
      </c>
      <c r="D8" s="712">
        <f ca="1">SUM(Результаты_УК!$E$215:'Результаты_УК'!$H$215)</f>
        <v>0</v>
      </c>
      <c r="E8" s="712">
        <f ca="1">SUM(Результаты_УК!$I$215:'Результаты_УК'!$L$215)</f>
        <v>0</v>
      </c>
      <c r="F8" s="712">
        <f ca="1">SUM(Результаты_УК!$M$215:'Результаты_УК'!$P$215)</f>
        <v>0</v>
      </c>
      <c r="G8" s="712">
        <f ca="1">SUM(Результаты_УК!$Q$215:'Результаты_УК'!$T$215)</f>
        <v>0</v>
      </c>
      <c r="H8" s="712">
        <f ca="1">SUM(Результаты_УК!$U$215:'Результаты_УК'!$X$215)</f>
        <v>0</v>
      </c>
      <c r="I8" s="712">
        <f ca="1">SUM(Результаты_УК!$Y$215:'Результаты_УК'!$AB$215)</f>
        <v>0</v>
      </c>
      <c r="J8" s="712">
        <f ca="1">SUM(Результаты_УК!$AC$215:'Результаты_УК'!$AF$215)</f>
        <v>39144.613637677481</v>
      </c>
      <c r="K8" s="712">
        <f ca="1">SUM(Результаты_УК!$AG$215:'Результаты_УК'!$AJ$215)</f>
        <v>78827.306329514468</v>
      </c>
      <c r="L8" s="712">
        <f ca="1">SUM(Результаты_УК!$AK$215:'Результаты_УК'!$AN$215)</f>
        <v>138888.68217588548</v>
      </c>
      <c r="M8" s="712">
        <f ca="1">SUM(Результаты_УК!$AO$215:'Результаты_УК'!$AR$215)</f>
        <v>884456.9537157506</v>
      </c>
      <c r="N8" s="801">
        <f ca="1">Результаты_УК!$AT$215</f>
        <v>1141317.5558588277</v>
      </c>
    </row>
    <row r="9" spans="1:14" ht="11.25" customHeight="1" x14ac:dyDescent="0.2">
      <c r="A9" s="636" t="str">
        <f>Результаты_УК!$A$216</f>
        <v>Налог на имущество</v>
      </c>
      <c r="B9" s="810">
        <f ca="1">Результаты_УК!$B$216</f>
        <v>35902.820518638298</v>
      </c>
      <c r="C9" s="829" t="str">
        <f>Результаты_УК!$C$216</f>
        <v>тыс. руб.</v>
      </c>
      <c r="D9" s="712">
        <f ca="1">SUM(Результаты_УК!$E$216:'Результаты_УК'!$H$216)</f>
        <v>2610.0211328124997</v>
      </c>
      <c r="E9" s="712">
        <f ca="1">SUM(Результаты_УК!$I$216:'Результаты_УК'!$L$216)</f>
        <v>5187.0040234375001</v>
      </c>
      <c r="F9" s="712">
        <f ca="1">SUM(Результаты_УК!$M$216:'Результаты_УК'!$P$216)</f>
        <v>0</v>
      </c>
      <c r="G9" s="712">
        <f ca="1">SUM(Результаты_УК!$Q$216:'Результаты_УК'!$T$216)</f>
        <v>0</v>
      </c>
      <c r="H9" s="712">
        <f ca="1">SUM(Результаты_УК!$U$216:'Результаты_УК'!$X$216)</f>
        <v>0</v>
      </c>
      <c r="I9" s="712">
        <f ca="1">SUM(Результаты_УК!$Y$216:'Результаты_УК'!$AB$216)</f>
        <v>0</v>
      </c>
      <c r="J9" s="712">
        <f ca="1">SUM(Результаты_УК!$AC$216:'Результаты_УК'!$AF$216)</f>
        <v>0</v>
      </c>
      <c r="K9" s="712">
        <f ca="1">SUM(Результаты_УК!$AG$216:'Результаты_УК'!$AJ$216)</f>
        <v>73746.647023592363</v>
      </c>
      <c r="L9" s="712">
        <f ca="1">SUM(Результаты_УК!$AK$216:'Результаты_УК'!$AN$216)</f>
        <v>89948.423752989373</v>
      </c>
      <c r="M9" s="712">
        <f ca="1">SUM(Результаты_УК!$AO$216:'Результаты_УК'!$AR$216)</f>
        <v>51721.852335248019</v>
      </c>
      <c r="N9" s="801">
        <f ca="1">Результаты_УК!$AT$216</f>
        <v>223213.94826807978</v>
      </c>
    </row>
    <row r="10" spans="1:14" ht="11.25" customHeight="1" x14ac:dyDescent="0.2">
      <c r="A10" s="637" t="str">
        <f>Результаты_УК!$A$217</f>
        <v>Социальные взносы</v>
      </c>
      <c r="B10" s="811">
        <f ca="1">Результаты_УК!$B$217</f>
        <v>10352.001833561795</v>
      </c>
      <c r="C10" s="828" t="str">
        <f>Результаты_УК!$C$217</f>
        <v>тыс. руб.</v>
      </c>
      <c r="D10" s="713">
        <f ca="1">SUM(Результаты_УК!$E$217:'Результаты_УК'!$H$217)</f>
        <v>1416.09456</v>
      </c>
      <c r="E10" s="713">
        <f ca="1">SUM(Результаты_УК!$I$217:'Результаты_УК'!$L$217)</f>
        <v>4291.9476858184607</v>
      </c>
      <c r="F10" s="713">
        <f ca="1">SUM(Результаты_УК!$M$217:'Результаты_УК'!$P$217)</f>
        <v>6863.7626094684329</v>
      </c>
      <c r="G10" s="713">
        <f ca="1">SUM(Результаты_УК!$Q$217:'Результаты_УК'!$T$217)</f>
        <v>8157.4541783597942</v>
      </c>
      <c r="H10" s="713">
        <f ca="1">SUM(Результаты_УК!$U$217:'Результаты_УК'!$X$217)</f>
        <v>8717.9455395153855</v>
      </c>
      <c r="I10" s="713">
        <f ca="1">SUM(Результаты_УК!$Y$217:'Результаты_УК'!$AB$217)</f>
        <v>9322.0006227277136</v>
      </c>
      <c r="J10" s="713">
        <f ca="1">SUM(Результаты_УК!$AC$217:'Результаты_УК'!$AF$217)</f>
        <v>9960.7076379240425</v>
      </c>
      <c r="K10" s="713">
        <f ca="1">SUM(Результаты_УК!$AG$217:'Результаты_УК'!$AJ$217)</f>
        <v>10637.577178827631</v>
      </c>
      <c r="L10" s="713">
        <f ca="1">SUM(Результаты_УК!$AK$217:'Результаты_УК'!$AN$217)</f>
        <v>11356.389000622452</v>
      </c>
      <c r="M10" s="713">
        <f ca="1">SUM(Результаты_УК!$AO$217:'Результаты_УК'!$AR$217)</f>
        <v>12117.391021753545</v>
      </c>
      <c r="N10" s="782">
        <f ca="1">Результаты_УК!$AT$217</f>
        <v>82841.270035017471</v>
      </c>
    </row>
    <row r="11" spans="1:14" ht="11.25" customHeight="1" x14ac:dyDescent="0.2">
      <c r="A11" s="637" t="str">
        <f>Результаты_УК!$A$218</f>
        <v>Земельный налог</v>
      </c>
      <c r="B11" s="811">
        <f ca="1">Результаты_УК!$B$218</f>
        <v>5242.6512819662321</v>
      </c>
      <c r="C11" s="828" t="str">
        <f>Результаты_УК!$C$218</f>
        <v>тыс. руб.</v>
      </c>
      <c r="D11" s="713">
        <f>SUM(Результаты_УК!$E$218:'Результаты_УК'!$H$218)</f>
        <v>3931.9884614746761</v>
      </c>
      <c r="E11" s="713">
        <f>SUM(Результаты_УК!$I$218:'Результаты_УК'!$L$218)</f>
        <v>5242.6512819662348</v>
      </c>
      <c r="F11" s="713">
        <f>SUM(Результаты_УК!$M$218:'Результаты_УК'!$P$218)</f>
        <v>5242.6512819662348</v>
      </c>
      <c r="G11" s="713">
        <f>SUM(Результаты_УК!$Q$218:'Результаты_УК'!$T$218)</f>
        <v>5242.6512819662348</v>
      </c>
      <c r="H11" s="713">
        <f>SUM(Результаты_УК!$U$218:'Результаты_УК'!$X$218)</f>
        <v>5242.6512819662348</v>
      </c>
      <c r="I11" s="713">
        <f>SUM(Результаты_УК!$Y$218:'Результаты_УК'!$AB$218)</f>
        <v>5242.6512819662348</v>
      </c>
      <c r="J11" s="713">
        <f>SUM(Результаты_УК!$AC$218:'Результаты_УК'!$AF$218)</f>
        <v>5242.6512819662348</v>
      </c>
      <c r="K11" s="713">
        <f>SUM(Результаты_УК!$AG$218:'Результаты_УК'!$AJ$218)</f>
        <v>5242.6512819662348</v>
      </c>
      <c r="L11" s="713">
        <f>SUM(Результаты_УК!$AK$218:'Результаты_УК'!$AN$218)</f>
        <v>5242.6512819662348</v>
      </c>
      <c r="M11" s="713">
        <f>SUM(Результаты_УК!$AO$218:'Результаты_УК'!$AR$218)</f>
        <v>5242.6512819662348</v>
      </c>
      <c r="N11" s="782">
        <f>Результаты_УК!$AT$218</f>
        <v>51115.849999170809</v>
      </c>
    </row>
    <row r="12" spans="1:14" ht="11.25" customHeight="1" x14ac:dyDescent="0.2">
      <c r="A12" s="636" t="str">
        <f>Результаты_УК!$A$219</f>
        <v>НДФЛ</v>
      </c>
      <c r="B12" s="810">
        <f ca="1">Результаты_УК!$B$219</f>
        <v>4421.9366782985007</v>
      </c>
      <c r="C12" s="829" t="str">
        <f>Результаты_УК!$C$219</f>
        <v>тыс. руб.</v>
      </c>
      <c r="D12" s="712">
        <f ca="1">SUM(Результаты_УК!$E$219:'Результаты_УК'!$H$219)</f>
        <v>699.37022999999999</v>
      </c>
      <c r="E12" s="712">
        <f ca="1">SUM(Результаты_УК!$I$219:'Результаты_УК'!$L$219)</f>
        <v>1954.6514429670631</v>
      </c>
      <c r="F12" s="712">
        <f ca="1">SUM(Результаты_УК!$M$219:'Результаты_УК'!$P$219)</f>
        <v>2965.4821007689457</v>
      </c>
      <c r="G12" s="712">
        <f ca="1">SUM(Результаты_УК!$Q$219:'Результаты_УК'!$T$219)</f>
        <v>3484.6634871950396</v>
      </c>
      <c r="H12" s="712">
        <f ca="1">SUM(Результаты_УК!$U$219:'Результаты_УК'!$X$219)</f>
        <v>3724.3163608000154</v>
      </c>
      <c r="I12" s="712">
        <f ca="1">SUM(Результаты_УК!$Y$219:'Результаты_УК'!$AB$219)</f>
        <v>3982.2649822845196</v>
      </c>
      <c r="J12" s="712">
        <f ca="1">SUM(Результаты_УК!$AC$219:'Результаты_УК'!$AF$219)</f>
        <v>4254.873104058388</v>
      </c>
      <c r="K12" s="712">
        <f ca="1">SUM(Результаты_УК!$AG$219:'Результаты_УК'!$AJ$219)</f>
        <v>4543.8759421752893</v>
      </c>
      <c r="L12" s="712">
        <f ca="1">SUM(Результаты_УК!$AK$219:'Результаты_УК'!$AN$219)</f>
        <v>4850.7302089173536</v>
      </c>
      <c r="M12" s="712">
        <f ca="1">SUM(Результаты_УК!$AO$219:'Результаты_УК'!$AR$219)</f>
        <v>5175.559471555438</v>
      </c>
      <c r="N12" s="801">
        <f ca="1">Результаты_УК!$AT$219</f>
        <v>35635.787330722051</v>
      </c>
    </row>
    <row r="13" spans="1:14" ht="11.25" customHeight="1" x14ac:dyDescent="0.2">
      <c r="A13" s="633" t="str">
        <f>Результаты_УК!$A$220</f>
        <v>Суммарные доходы бюджетов всех уровней</v>
      </c>
      <c r="B13" s="831">
        <f ca="1">Результаты_УК!$B$220</f>
        <v>466529.17193183908</v>
      </c>
      <c r="C13" s="832" t="str">
        <f>Результаты_УК!$C$220</f>
        <v>тыс. руб.</v>
      </c>
      <c r="D13" s="780">
        <f ca="1">SUM(Результаты_УК!$E$220:'Результаты_УК'!$H$220)</f>
        <v>8657.4743842871758</v>
      </c>
      <c r="E13" s="780">
        <f ca="1">SUM(Результаты_УК!$I$220:'Результаты_УК'!$L$220)</f>
        <v>16676.254434189257</v>
      </c>
      <c r="F13" s="780">
        <f ca="1">SUM(Результаты_УК!$M$220:'Результаты_УК'!$P$220)</f>
        <v>15071.895992203614</v>
      </c>
      <c r="G13" s="780">
        <f ca="1">SUM(Результаты_УК!$Q$220:'Результаты_УК'!$T$220)</f>
        <v>16884.768947521068</v>
      </c>
      <c r="H13" s="780">
        <f ca="1">SUM(Результаты_УК!$U$220:'Результаты_УК'!$X$220)</f>
        <v>17684.913182281634</v>
      </c>
      <c r="I13" s="780">
        <f ca="1">SUM(Результаты_УК!$Y$220:'Результаты_УК'!$AB$220)</f>
        <v>18546.91688697847</v>
      </c>
      <c r="J13" s="780">
        <f ca="1">SUM(Результаты_УК!$AC$220:'Результаты_УК'!$AF$220)</f>
        <v>58602.845661626139</v>
      </c>
      <c r="K13" s="780">
        <f ca="1">SUM(Результаты_УК!$AG$220:'Результаты_УК'!$AJ$220)</f>
        <v>172998.05775607598</v>
      </c>
      <c r="L13" s="780">
        <f ca="1">SUM(Результаты_УК!$AK$220:'Результаты_УК'!$AN$220)</f>
        <v>250286.87642038093</v>
      </c>
      <c r="M13" s="780">
        <f ca="1">SUM(Результаты_УК!$AO$220:'Результаты_УК'!$AR$220)</f>
        <v>2281055.4216836914</v>
      </c>
      <c r="N13" s="782">
        <f ca="1">Результаты_УК!$AT$220</f>
        <v>2856465.4253492355</v>
      </c>
    </row>
    <row r="14" spans="1:14" ht="11.25" customHeight="1" x14ac:dyDescent="0.2">
      <c r="A14" s="398"/>
      <c r="B14" s="236"/>
      <c r="C14" s="607"/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651"/>
    </row>
    <row r="15" spans="1:14" ht="11.25" customHeight="1" x14ac:dyDescent="0.2">
      <c r="A15" s="633" t="str">
        <f>Результаты_УК!$A$222</f>
        <v>Доходы федерального бюджета</v>
      </c>
      <c r="B15" s="831">
        <f ca="1">Результаты_УК!$B$222</f>
        <v>239601.53766137754</v>
      </c>
      <c r="C15" s="832" t="str">
        <f>Результаты_УК!$C$222</f>
        <v>тыс. руб.</v>
      </c>
      <c r="D15" s="780">
        <f ca="1">SUM(Результаты_УК!$E$222:'Результаты_УК'!$H$222)</f>
        <v>0</v>
      </c>
      <c r="E15" s="780">
        <f ca="1">SUM(Результаты_УК!$I$222:'Результаты_УК'!$L$222)</f>
        <v>0</v>
      </c>
      <c r="F15" s="780">
        <f ca="1">SUM(Результаты_УК!$M$222:'Результаты_УК'!$P$222)</f>
        <v>0</v>
      </c>
      <c r="G15" s="780">
        <f ca="1">SUM(Результаты_УК!$Q$222:'Результаты_УК'!$T$222)</f>
        <v>0</v>
      </c>
      <c r="H15" s="780">
        <f ca="1">SUM(Результаты_УК!$U$222:'Результаты_УК'!$X$222)</f>
        <v>0</v>
      </c>
      <c r="I15" s="780">
        <f ca="1">SUM(Результаты_УК!$Y$222:'Результаты_УК'!$AB$222)</f>
        <v>0</v>
      </c>
      <c r="J15" s="780">
        <f ca="1">SUM(Результаты_УК!$AC$222:'Результаты_УК'!$AF$222)</f>
        <v>5050.9178887325779</v>
      </c>
      <c r="K15" s="780">
        <f ca="1">SUM(Результаты_УК!$AG$222:'Результаты_УК'!$AJ$222)</f>
        <v>7882.7306329514468</v>
      </c>
      <c r="L15" s="780">
        <f ca="1">SUM(Результаты_УК!$AK$222:'Результаты_УК'!$AN$222)</f>
        <v>13888.868217588546</v>
      </c>
      <c r="M15" s="780">
        <f ca="1">SUM(Результаты_УК!$AO$222:'Результаты_УК'!$AR$222)</f>
        <v>1410786.7092289925</v>
      </c>
      <c r="N15" s="782">
        <f ca="1">Результаты_УК!$AT$222</f>
        <v>1437609.2259682652</v>
      </c>
    </row>
    <row r="16" spans="1:14" ht="11.25" customHeight="1" x14ac:dyDescent="0.2">
      <c r="A16" s="620" t="str">
        <f>Результаты_УК!$A$223</f>
        <v>Налог на добавленную стоимость</v>
      </c>
      <c r="B16" s="810">
        <f ca="1">Результаты_УК!$B$223</f>
        <v>220390.16897623631</v>
      </c>
      <c r="C16" s="882" t="str">
        <f>Результаты_УК!$C$223</f>
        <v>тыс. руб.</v>
      </c>
      <c r="D16" s="749">
        <f ca="1">SUM(Результаты_УК!$E$223:'Результаты_УК'!$H$223)</f>
        <v>0</v>
      </c>
      <c r="E16" s="749">
        <f ca="1">SUM(Результаты_УК!$I$223:'Результаты_УК'!$L$223)</f>
        <v>0</v>
      </c>
      <c r="F16" s="749">
        <f ca="1">SUM(Результаты_УК!$M$223:'Результаты_УК'!$P$223)</f>
        <v>0</v>
      </c>
      <c r="G16" s="749">
        <f ca="1">SUM(Результаты_УК!$Q$223:'Результаты_УК'!$T$223)</f>
        <v>0</v>
      </c>
      <c r="H16" s="749">
        <f ca="1">SUM(Результаты_УК!$U$223:'Результаты_УК'!$X$223)</f>
        <v>0</v>
      </c>
      <c r="I16" s="749">
        <f ca="1">SUM(Результаты_УК!$Y$223:'Результаты_УК'!$AB$223)</f>
        <v>0</v>
      </c>
      <c r="J16" s="749">
        <f ca="1">SUM(Результаты_УК!$AC$223:'Результаты_УК'!$AF$223)</f>
        <v>0</v>
      </c>
      <c r="K16" s="749">
        <f ca="1">SUM(Результаты_УК!$AG$223:'Результаты_УК'!$AJ$223)</f>
        <v>0</v>
      </c>
      <c r="L16" s="749">
        <f ca="1">SUM(Результаты_УК!$AK$223:'Результаты_УК'!$AN$223)</f>
        <v>0</v>
      </c>
      <c r="M16" s="749">
        <f ca="1">SUM(Результаты_УК!$AO$223:'Результаты_УК'!$AR$223)</f>
        <v>1322341.0138574177</v>
      </c>
      <c r="N16" s="883">
        <f ca="1">Результаты_УК!$AT$223</f>
        <v>1322341.0138574177</v>
      </c>
    </row>
    <row r="17" spans="1:14" ht="11.25" customHeight="1" x14ac:dyDescent="0.2">
      <c r="A17" s="621" t="str">
        <f>Результаты_УК!$A$224</f>
        <v>Налог на прибыль</v>
      </c>
      <c r="B17" s="811">
        <f ca="1">Результаты_УК!$B$224</f>
        <v>19211.368685141275</v>
      </c>
      <c r="C17" s="835" t="str">
        <f>Результаты_УК!$C$224</f>
        <v>тыс. руб.</v>
      </c>
      <c r="D17" s="750">
        <f ca="1">SUM(Результаты_УК!$E$224:'Результаты_УК'!$H$224)</f>
        <v>0</v>
      </c>
      <c r="E17" s="750">
        <f ca="1">SUM(Результаты_УК!$I$224:'Результаты_УК'!$L$224)</f>
        <v>0</v>
      </c>
      <c r="F17" s="750">
        <f ca="1">SUM(Результаты_УК!$M$224:'Результаты_УК'!$P$224)</f>
        <v>0</v>
      </c>
      <c r="G17" s="750">
        <f ca="1">SUM(Результаты_УК!$Q$224:'Результаты_УК'!$T$224)</f>
        <v>0</v>
      </c>
      <c r="H17" s="750">
        <f ca="1">SUM(Результаты_УК!$U$224:'Результаты_УК'!$X$224)</f>
        <v>0</v>
      </c>
      <c r="I17" s="750">
        <f ca="1">SUM(Результаты_УК!$Y$224:'Результаты_УК'!$AB$224)</f>
        <v>0</v>
      </c>
      <c r="J17" s="750">
        <f ca="1">SUM(Результаты_УК!$AC$224:'Результаты_УК'!$AF$224)</f>
        <v>5050.9178887325779</v>
      </c>
      <c r="K17" s="750">
        <f ca="1">SUM(Результаты_УК!$AG$224:'Результаты_УК'!$AJ$224)</f>
        <v>7882.7306329514468</v>
      </c>
      <c r="L17" s="750">
        <f ca="1">SUM(Результаты_УК!$AK$224:'Результаты_УК'!$AN$224)</f>
        <v>13888.868217588546</v>
      </c>
      <c r="M17" s="750">
        <f ca="1">SUM(Результаты_УК!$AO$224:'Результаты_УК'!$AR$224)</f>
        <v>88445.695371575057</v>
      </c>
      <c r="N17" s="881">
        <f ca="1">Результаты_УК!$AT$224</f>
        <v>115268.21211084764</v>
      </c>
    </row>
    <row r="18" spans="1:14" ht="11.25" customHeight="1" x14ac:dyDescent="0.2">
      <c r="A18" s="632" t="str">
        <f>Результаты_УК!$A$225</f>
        <v>Доходы бюджета субъекта РФ</v>
      </c>
      <c r="B18" s="830">
        <f ca="1">Результаты_УК!$B$225</f>
        <v>210669.69065318874</v>
      </c>
      <c r="C18" s="884" t="str">
        <f>Результаты_УК!$C$225</f>
        <v>тыс. руб.</v>
      </c>
      <c r="D18" s="779">
        <f ca="1">SUM(Результаты_УК!$E$225:'Результаты_УК'!$H$225)</f>
        <v>3204.4858283124995</v>
      </c>
      <c r="E18" s="779">
        <f ca="1">SUM(Результаты_УК!$I$225:'Результаты_УК'!$L$225)</f>
        <v>6848.4577499595025</v>
      </c>
      <c r="F18" s="779">
        <f ca="1">SUM(Результаты_УК!$M$225:'Результаты_УК'!$P$225)</f>
        <v>2520.6597856536036</v>
      </c>
      <c r="G18" s="779">
        <f ca="1">SUM(Результаты_УК!$Q$225:'Результаты_УК'!$T$225)</f>
        <v>2961.9639641157837</v>
      </c>
      <c r="H18" s="779">
        <f ca="1">SUM(Результаты_УК!$U$225:'Результаты_УК'!$X$225)</f>
        <v>3165.6689066800127</v>
      </c>
      <c r="I18" s="779">
        <f ca="1">SUM(Результаты_УК!$Y$225:'Результаты_УК'!$AB$225)</f>
        <v>3384.9252349418416</v>
      </c>
      <c r="J18" s="779">
        <f ca="1">SUM(Результаты_УК!$AC$225:'Результаты_УК'!$AF$225)</f>
        <v>37710.337887394533</v>
      </c>
      <c r="K18" s="779">
        <f ca="1">SUM(Результаты_УК!$AG$225:'Результаты_УК'!$AJ$225)</f>
        <v>148553.51727100438</v>
      </c>
      <c r="L18" s="779">
        <f ca="1">SUM(Результаты_УК!$AK$225:'Результаты_УК'!$AN$225)</f>
        <v>219071.35838886604</v>
      </c>
      <c r="M18" s="779">
        <f ca="1">SUM(Результаты_УК!$AO$225:'Результаты_УК'!$AR$225)</f>
        <v>852132.33623024565</v>
      </c>
      <c r="N18" s="801">
        <f ca="1">Результаты_УК!$AT$225</f>
        <v>1279553.7112471738</v>
      </c>
    </row>
    <row r="19" spans="1:14" ht="11.25" customHeight="1" x14ac:dyDescent="0.2">
      <c r="A19" s="620" t="str">
        <f>Результаты_УК!$A$226</f>
        <v>Налог на прибыль</v>
      </c>
      <c r="B19" s="810">
        <f ca="1">Результаты_УК!$B$226</f>
        <v>171008.22395799673</v>
      </c>
      <c r="C19" s="882" t="str">
        <f>Результаты_УК!$C$226</f>
        <v>тыс. руб.</v>
      </c>
      <c r="D19" s="749">
        <f ca="1">SUM(Результаты_УК!$E$226:'Результаты_УК'!$H$226)</f>
        <v>0</v>
      </c>
      <c r="E19" s="749">
        <f ca="1">SUM(Результаты_УК!$I$226:'Результаты_УК'!$L$226)</f>
        <v>0</v>
      </c>
      <c r="F19" s="749">
        <f ca="1">SUM(Результаты_УК!$M$226:'Результаты_УК'!$P$226)</f>
        <v>0</v>
      </c>
      <c r="G19" s="749">
        <f ca="1">SUM(Результаты_УК!$Q$226:'Результаты_УК'!$T$226)</f>
        <v>0</v>
      </c>
      <c r="H19" s="749">
        <f ca="1">SUM(Результаты_УК!$U$226:'Результаты_УК'!$X$226)</f>
        <v>0</v>
      </c>
      <c r="I19" s="749">
        <f ca="1">SUM(Результаты_УК!$Y$226:'Результаты_УК'!$AB$226)</f>
        <v>0</v>
      </c>
      <c r="J19" s="749">
        <f ca="1">SUM(Результаты_УК!$AC$226:'Результаты_УК'!$AF$226)</f>
        <v>34093.695748944905</v>
      </c>
      <c r="K19" s="749">
        <f ca="1">SUM(Результаты_УК!$AG$226:'Результаты_УК'!$AJ$226)</f>
        <v>70944.575696563013</v>
      </c>
      <c r="L19" s="749">
        <f ca="1">SUM(Результаты_УК!$AK$226:'Результаты_УК'!$AN$226)</f>
        <v>124999.81395829693</v>
      </c>
      <c r="M19" s="749">
        <f ca="1">SUM(Результаты_УК!$AO$226:'Результаты_УК'!$AR$226)</f>
        <v>796011.25834417553</v>
      </c>
      <c r="N19" s="801">
        <f ca="1">Результаты_УК!$AT$226</f>
        <v>1026049.3437479804</v>
      </c>
    </row>
    <row r="20" spans="1:14" ht="11.25" customHeight="1" x14ac:dyDescent="0.2">
      <c r="A20" s="621" t="str">
        <f>Результаты_УК!$A$227</f>
        <v>Налог на имущество</v>
      </c>
      <c r="B20" s="811">
        <f ca="1">Результаты_УК!$B$227</f>
        <v>35902.820518638298</v>
      </c>
      <c r="C20" s="835" t="str">
        <f>Результаты_УК!$C$227</f>
        <v>тыс. руб.</v>
      </c>
      <c r="D20" s="750">
        <f ca="1">SUM(Результаты_УК!$E$227:'Результаты_УК'!$H$227)</f>
        <v>2610.0211328124997</v>
      </c>
      <c r="E20" s="750">
        <f ca="1">SUM(Результаты_УК!$I$227:'Результаты_УК'!$L$227)</f>
        <v>5187.0040234375001</v>
      </c>
      <c r="F20" s="750">
        <f ca="1">SUM(Результаты_УК!$M$227:'Результаты_УК'!$P$227)</f>
        <v>0</v>
      </c>
      <c r="G20" s="750">
        <f ca="1">SUM(Результаты_УК!$Q$227:'Результаты_УК'!$T$227)</f>
        <v>0</v>
      </c>
      <c r="H20" s="750">
        <f ca="1">SUM(Результаты_УК!$U$227:'Результаты_УК'!$X$227)</f>
        <v>0</v>
      </c>
      <c r="I20" s="750">
        <f ca="1">SUM(Результаты_УК!$Y$227:'Результаты_УК'!$AB$227)</f>
        <v>0</v>
      </c>
      <c r="J20" s="750">
        <f ca="1">SUM(Результаты_УК!$AC$227:'Результаты_УК'!$AF$227)</f>
        <v>0</v>
      </c>
      <c r="K20" s="750">
        <f ca="1">SUM(Результаты_УК!$AG$227:'Результаты_УК'!$AJ$227)</f>
        <v>73746.647023592363</v>
      </c>
      <c r="L20" s="750">
        <f ca="1">SUM(Результаты_УК!$AK$227:'Результаты_УК'!$AN$227)</f>
        <v>89948.423752989373</v>
      </c>
      <c r="M20" s="750">
        <f ca="1">SUM(Результаты_УК!$AO$227:'Результаты_УК'!$AR$227)</f>
        <v>51721.852335248019</v>
      </c>
      <c r="N20" s="782">
        <f ca="1">Результаты_УК!$AT$227</f>
        <v>223213.94826807978</v>
      </c>
    </row>
    <row r="21" spans="1:14" ht="11.25" customHeight="1" x14ac:dyDescent="0.2">
      <c r="A21" s="621" t="str">
        <f>Результаты_УК!$A$228</f>
        <v>НДФЛ</v>
      </c>
      <c r="B21" s="811">
        <f ca="1">Результаты_УК!$B$228</f>
        <v>3758.646176553726</v>
      </c>
      <c r="C21" s="835" t="str">
        <f>Результаты_УК!$C$228</f>
        <v>тыс. руб.</v>
      </c>
      <c r="D21" s="750">
        <f ca="1">SUM(Результаты_УК!$E$228:'Результаты_УК'!$H$228)</f>
        <v>594.46469550000006</v>
      </c>
      <c r="E21" s="750">
        <f ca="1">SUM(Результаты_УК!$I$228:'Результаты_УК'!$L$228)</f>
        <v>1661.4537265220035</v>
      </c>
      <c r="F21" s="750">
        <f ca="1">SUM(Результаты_УК!$M$228:'Результаты_УК'!$P$228)</f>
        <v>2520.6597856536036</v>
      </c>
      <c r="G21" s="750">
        <f ca="1">SUM(Результаты_УК!$Q$228:'Результаты_УК'!$T$228)</f>
        <v>2961.9639641157837</v>
      </c>
      <c r="H21" s="750">
        <f ca="1">SUM(Результаты_УК!$U$228:'Результаты_УК'!$X$228)</f>
        <v>3165.6689066800127</v>
      </c>
      <c r="I21" s="750">
        <f ca="1">SUM(Результаты_УК!$Y$228:'Результаты_УК'!$AB$228)</f>
        <v>3384.9252349418416</v>
      </c>
      <c r="J21" s="750">
        <f ca="1">SUM(Результаты_УК!$AC$228:'Результаты_УК'!$AF$228)</f>
        <v>3616.6421384496298</v>
      </c>
      <c r="K21" s="750">
        <f ca="1">SUM(Результаты_УК!$AG$228:'Результаты_УК'!$AJ$228)</f>
        <v>3862.2945508489956</v>
      </c>
      <c r="L21" s="750">
        <f ca="1">SUM(Результаты_УК!$AK$228:'Результаты_УК'!$AN$228)</f>
        <v>4123.1206775797509</v>
      </c>
      <c r="M21" s="750">
        <f ca="1">SUM(Результаты_УК!$AO$228:'Результаты_УК'!$AR$228)</f>
        <v>4399.2255508221233</v>
      </c>
      <c r="N21" s="782">
        <f ca="1">Результаты_УК!$AT$228</f>
        <v>30290.419231113741</v>
      </c>
    </row>
    <row r="22" spans="1:14" ht="11.25" customHeight="1" x14ac:dyDescent="0.2">
      <c r="A22" s="632" t="str">
        <f>Результаты_УК!$A$229</f>
        <v>Доходы местного бюджета</v>
      </c>
      <c r="B22" s="830">
        <f ca="1">Результаты_УК!$B$229</f>
        <v>5905.9417837110113</v>
      </c>
      <c r="C22" s="884" t="str">
        <f>Результаты_УК!$C$229</f>
        <v>тыс. руб.</v>
      </c>
      <c r="D22" s="779">
        <f ca="1">SUM(Результаты_УК!$E$229:'Результаты_УК'!$H$229)</f>
        <v>4036.8939959746758</v>
      </c>
      <c r="E22" s="779">
        <f ca="1">SUM(Результаты_УК!$I$229:'Результаты_УК'!$L$229)</f>
        <v>5535.8489984112939</v>
      </c>
      <c r="F22" s="779">
        <f ca="1">SUM(Результаты_УК!$M$229:'Результаты_УК'!$P$229)</f>
        <v>5687.4735970815764</v>
      </c>
      <c r="G22" s="779">
        <f ca="1">SUM(Результаты_УК!$Q$229:'Результаты_УК'!$T$229)</f>
        <v>5765.3508050454911</v>
      </c>
      <c r="H22" s="779">
        <f ca="1">SUM(Результаты_УК!$U$229:'Результаты_УК'!$X$229)</f>
        <v>5801.2987360862371</v>
      </c>
      <c r="I22" s="779">
        <f ca="1">SUM(Результаты_УК!$Y$229:'Результаты_УК'!$AB$229)</f>
        <v>5839.9910293089124</v>
      </c>
      <c r="J22" s="779">
        <f ca="1">SUM(Результаты_УК!$AC$229:'Результаты_УК'!$AF$229)</f>
        <v>5880.882247574993</v>
      </c>
      <c r="K22" s="779">
        <f ca="1">SUM(Результаты_УК!$AG$229:'Результаты_УК'!$AJ$229)</f>
        <v>5924.2326732925285</v>
      </c>
      <c r="L22" s="779">
        <f ca="1">SUM(Результаты_УК!$AK$229:'Результаты_УК'!$AN$229)</f>
        <v>5970.2608133038375</v>
      </c>
      <c r="M22" s="779">
        <f ca="1">SUM(Результаты_УК!$AO$229:'Результаты_УК'!$AR$229)</f>
        <v>6018.9852026995504</v>
      </c>
      <c r="N22" s="801">
        <f ca="1">Результаты_УК!$AT$229</f>
        <v>56461.218098779093</v>
      </c>
    </row>
    <row r="23" spans="1:14" ht="11.25" customHeight="1" x14ac:dyDescent="0.2">
      <c r="A23" s="621" t="str">
        <f>Результаты_УК!$A$230</f>
        <v>Земельный налог</v>
      </c>
      <c r="B23" s="811">
        <f ca="1">Результаты_УК!$B$230</f>
        <v>5242.6512819662321</v>
      </c>
      <c r="C23" s="835" t="str">
        <f>Результаты_УК!$C$230</f>
        <v>тыс. руб.</v>
      </c>
      <c r="D23" s="750">
        <f>SUM(Результаты_УК!$E$230:'Результаты_УК'!$H$230)</f>
        <v>3931.9884614746761</v>
      </c>
      <c r="E23" s="750">
        <f>SUM(Результаты_УК!$I$230:'Результаты_УК'!$L$230)</f>
        <v>5242.6512819662348</v>
      </c>
      <c r="F23" s="750">
        <f>SUM(Результаты_УК!$M$230:'Результаты_УК'!$P$230)</f>
        <v>5242.6512819662348</v>
      </c>
      <c r="G23" s="750">
        <f>SUM(Результаты_УК!$Q$230:'Результаты_УК'!$T$230)</f>
        <v>5242.6512819662348</v>
      </c>
      <c r="H23" s="750">
        <f>SUM(Результаты_УК!$U$230:'Результаты_УК'!$X$230)</f>
        <v>5242.6512819662348</v>
      </c>
      <c r="I23" s="750">
        <f>SUM(Результаты_УК!$Y$230:'Результаты_УК'!$AB$230)</f>
        <v>5242.6512819662348</v>
      </c>
      <c r="J23" s="750">
        <f>SUM(Результаты_УК!$AC$230:'Результаты_УК'!$AF$230)</f>
        <v>5242.6512819662348</v>
      </c>
      <c r="K23" s="750">
        <f>SUM(Результаты_УК!$AG$230:'Результаты_УК'!$AJ$230)</f>
        <v>5242.6512819662348</v>
      </c>
      <c r="L23" s="750">
        <f>SUM(Результаты_УК!$AK$230:'Результаты_УК'!$AN$230)</f>
        <v>5242.6512819662348</v>
      </c>
      <c r="M23" s="750">
        <f>SUM(Результаты_УК!$AO$230:'Результаты_УК'!$AR$230)</f>
        <v>5242.6512819662348</v>
      </c>
      <c r="N23" s="782">
        <f>Результаты_УК!$AT$230</f>
        <v>51115.849999170809</v>
      </c>
    </row>
    <row r="24" spans="1:14" ht="11.25" customHeight="1" x14ac:dyDescent="0.2">
      <c r="A24" s="620" t="str">
        <f>Результаты_УК!$A$231</f>
        <v>НДФЛ</v>
      </c>
      <c r="B24" s="810">
        <f ca="1">Результаты_УК!$B$231</f>
        <v>663.29050174477504</v>
      </c>
      <c r="C24" s="882" t="str">
        <f>Результаты_УК!$C$231</f>
        <v>тыс. руб.</v>
      </c>
      <c r="D24" s="749">
        <f ca="1">SUM(Результаты_УК!$E$231:'Результаты_УК'!$H$231)</f>
        <v>104.9055345</v>
      </c>
      <c r="E24" s="749">
        <f ca="1">SUM(Результаты_УК!$I$231:'Результаты_УК'!$L$231)</f>
        <v>293.19771644505943</v>
      </c>
      <c r="F24" s="749">
        <f ca="1">SUM(Результаты_УК!$M$231:'Результаты_УК'!$P$231)</f>
        <v>444.82231511534184</v>
      </c>
      <c r="G24" s="749">
        <f ca="1">SUM(Результаты_УК!$Q$231:'Результаты_УК'!$T$231)</f>
        <v>522.69952307925587</v>
      </c>
      <c r="H24" s="749">
        <f ca="1">SUM(Результаты_УК!$U$231:'Результаты_УК'!$X$231)</f>
        <v>558.64745412000229</v>
      </c>
      <c r="I24" s="749">
        <f ca="1">SUM(Результаты_УК!$Y$231:'Результаты_УК'!$AB$231)</f>
        <v>597.33974734267792</v>
      </c>
      <c r="J24" s="749">
        <f ca="1">SUM(Результаты_УК!$AC$231:'Результаты_УК'!$AF$231)</f>
        <v>638.2309656087582</v>
      </c>
      <c r="K24" s="749">
        <f ca="1">SUM(Результаты_УК!$AG$231:'Результаты_УК'!$AJ$231)</f>
        <v>681.58139132629344</v>
      </c>
      <c r="L24" s="749">
        <f ca="1">SUM(Результаты_УК!$AK$231:'Результаты_УК'!$AN$231)</f>
        <v>727.60953133760313</v>
      </c>
      <c r="M24" s="749">
        <f ca="1">SUM(Результаты_УК!$AO$231:'Результаты_УК'!$AR$231)</f>
        <v>776.33392073331584</v>
      </c>
      <c r="N24" s="801">
        <f ca="1">Результаты_УК!$AT$231</f>
        <v>5345.3680996083076</v>
      </c>
    </row>
    <row r="25" spans="1:14" ht="11.25" customHeight="1" x14ac:dyDescent="0.2">
      <c r="A25" s="632" t="str">
        <f>Результаты_УК!$A$232</f>
        <v>Доходы внебюджетных фондов</v>
      </c>
      <c r="B25" s="830">
        <f ca="1">Результаты_УК!$B$232</f>
        <v>10352.001833561795</v>
      </c>
      <c r="C25" s="884" t="str">
        <f>Результаты_УК!$C$232</f>
        <v>тыс. руб.</v>
      </c>
      <c r="D25" s="779">
        <f ca="1">SUM(Результаты_УК!$E$232:'Результаты_УК'!$H$232)</f>
        <v>1416.09456</v>
      </c>
      <c r="E25" s="779">
        <f ca="1">SUM(Результаты_УК!$I$232:'Результаты_УК'!$L$232)</f>
        <v>4291.9476858184607</v>
      </c>
      <c r="F25" s="779">
        <f ca="1">SUM(Результаты_УК!$M$232:'Результаты_УК'!$P$232)</f>
        <v>6863.7626094684329</v>
      </c>
      <c r="G25" s="779">
        <f ca="1">SUM(Результаты_УК!$Q$232:'Результаты_УК'!$T$232)</f>
        <v>8157.4541783597942</v>
      </c>
      <c r="H25" s="779">
        <f ca="1">SUM(Результаты_УК!$U$232:'Результаты_УК'!$X$232)</f>
        <v>8717.9455395153855</v>
      </c>
      <c r="I25" s="779">
        <f ca="1">SUM(Результаты_УК!$Y$232:'Результаты_УК'!$AB$232)</f>
        <v>9322.0006227277136</v>
      </c>
      <c r="J25" s="779">
        <f ca="1">SUM(Результаты_УК!$AC$232:'Результаты_УК'!$AF$232)</f>
        <v>9960.7076379240425</v>
      </c>
      <c r="K25" s="779">
        <f ca="1">SUM(Результаты_УК!$AG$232:'Результаты_УК'!$AJ$232)</f>
        <v>10637.577178827631</v>
      </c>
      <c r="L25" s="779">
        <f ca="1">SUM(Результаты_УК!$AK$232:'Результаты_УК'!$AN$232)</f>
        <v>11356.389000622452</v>
      </c>
      <c r="M25" s="779">
        <f ca="1">SUM(Результаты_УК!$AO$232:'Результаты_УК'!$AR$232)</f>
        <v>12117.391021753545</v>
      </c>
      <c r="N25" s="801">
        <f ca="1">Результаты_УК!$AT$232</f>
        <v>82841.270035017471</v>
      </c>
    </row>
    <row r="26" spans="1:14" ht="11.25" customHeight="1" x14ac:dyDescent="0.2">
      <c r="A26" s="620" t="str">
        <f>Результаты_УК!$A$233</f>
        <v>взносы в пенсионный фонд</v>
      </c>
      <c r="B26" s="810">
        <f ca="1">Результаты_УК!$B$233</f>
        <v>7442.6156973320094</v>
      </c>
      <c r="C26" s="882" t="str">
        <f>Результаты_УК!$C$233</f>
        <v>тыс. руб.</v>
      </c>
      <c r="D26" s="749">
        <f ca="1">SUM(Результаты_УК!$E$233:'Результаты_УК'!$H$233)</f>
        <v>1018.1071999999999</v>
      </c>
      <c r="E26" s="749">
        <f ca="1">SUM(Результаты_УК!$I$233:'Результаты_УК'!$L$233)</f>
        <v>3085.7140224838604</v>
      </c>
      <c r="F26" s="749">
        <f ca="1">SUM(Результаты_УК!$M$233:'Результаты_УК'!$P$233)</f>
        <v>4934.7312878531211</v>
      </c>
      <c r="G26" s="749">
        <f ca="1">SUM(Результаты_УК!$Q$233:'Результаты_УК'!$T$233)</f>
        <v>5864.8363373828579</v>
      </c>
      <c r="H26" s="749">
        <f ca="1">SUM(Результаты_УК!$U$233:'Результаты_УК'!$X$233)</f>
        <v>6267.8039826581189</v>
      </c>
      <c r="I26" s="749">
        <f ca="1">SUM(Результаты_УК!$Y$233:'Результаты_УК'!$AB$233)</f>
        <v>6702.09195098071</v>
      </c>
      <c r="J26" s="749">
        <f ca="1">SUM(Результаты_УК!$AC$233:'Результаты_УК'!$AF$233)</f>
        <v>7161.2930730172848</v>
      </c>
      <c r="K26" s="749">
        <f ca="1">SUM(Результаты_УК!$AG$233:'Результаты_УК'!$AJ$233)</f>
        <v>7647.9313050394721</v>
      </c>
      <c r="L26" s="749">
        <f ca="1">SUM(Результаты_УК!$AK$233:'Результаты_УК'!$AN$233)</f>
        <v>8164.724118094573</v>
      </c>
      <c r="M26" s="749">
        <f ca="1">SUM(Результаты_УК!$AO$233:'Результаты_УК'!$AR$233)</f>
        <v>8711.849754201894</v>
      </c>
      <c r="N26" s="801">
        <f ca="1">Результаты_УК!$AT$233</f>
        <v>59559.083031711889</v>
      </c>
    </row>
    <row r="27" spans="1:14" ht="11.25" customHeight="1" x14ac:dyDescent="0.2">
      <c r="A27" s="620" t="str">
        <f>Результаты_УК!$A$234</f>
        <v>взносы в фонд соцстрахования</v>
      </c>
      <c r="B27" s="810">
        <f ca="1">Результаты_УК!$B$234</f>
        <v>1184.0524973028198</v>
      </c>
      <c r="C27" s="882" t="str">
        <f>Результаты_УК!$C$234</f>
        <v>тыс. руб.</v>
      </c>
      <c r="D27" s="749">
        <f ca="1">SUM(Результаты_УК!$E$234:'Результаты_УК'!$H$234)</f>
        <v>161.97160000000002</v>
      </c>
      <c r="E27" s="749">
        <f ca="1">SUM(Результаты_УК!$I$234:'Результаты_УК'!$L$234)</f>
        <v>490.9090490315233</v>
      </c>
      <c r="F27" s="749">
        <f ca="1">SUM(Результаты_УК!$M$234:'Результаты_УК'!$P$234)</f>
        <v>785.07088670390567</v>
      </c>
      <c r="G27" s="749">
        <f ca="1">SUM(Результаты_УК!$Q$234:'Результаты_УК'!$T$234)</f>
        <v>933.04214458363674</v>
      </c>
      <c r="H27" s="749">
        <f ca="1">SUM(Результаты_УК!$U$234:'Результаты_УК'!$X$234)</f>
        <v>997.15063360470083</v>
      </c>
      <c r="I27" s="749">
        <f ca="1">SUM(Результаты_УК!$Y$234:'Результаты_УК'!$AB$234)</f>
        <v>1066.2419012923858</v>
      </c>
      <c r="J27" s="749">
        <f ca="1">SUM(Результаты_УК!$AC$234:'Результаты_УК'!$AF$234)</f>
        <v>1139.2966252527501</v>
      </c>
      <c r="K27" s="749">
        <f ca="1">SUM(Результаты_УК!$AG$234:'Результаты_УК'!$AJ$234)</f>
        <v>1216.7163439835524</v>
      </c>
      <c r="L27" s="749">
        <f ca="1">SUM(Результаты_УК!$AK$234:'Результаты_УК'!$AN$234)</f>
        <v>1298.9333824241367</v>
      </c>
      <c r="M27" s="749">
        <f ca="1">SUM(Результаты_УК!$AO$234:'Результаты_УК'!$AR$234)</f>
        <v>1385.9760972593926</v>
      </c>
      <c r="N27" s="801">
        <f ca="1">Результаты_УК!$AT$234</f>
        <v>9475.3086641359878</v>
      </c>
    </row>
    <row r="28" spans="1:14" ht="11.25" customHeight="1" x14ac:dyDescent="0.2">
      <c r="A28" s="620" t="str">
        <f>Результаты_УК!$A$235</f>
        <v>взносы в фонд медстрахования</v>
      </c>
      <c r="B28" s="810">
        <f ca="1">Результаты_УК!$B$235</f>
        <v>1725.3336389269655</v>
      </c>
      <c r="C28" s="882" t="str">
        <f>Результаты_УК!$C$235</f>
        <v>тыс. руб.</v>
      </c>
      <c r="D28" s="749">
        <f ca="1">SUM(Результаты_УК!$E$235:'Результаты_УК'!$H$235)</f>
        <v>236.01576</v>
      </c>
      <c r="E28" s="749">
        <f ca="1">SUM(Результаты_УК!$I$235:'Результаты_УК'!$L$235)</f>
        <v>715.32461430307671</v>
      </c>
      <c r="F28" s="749">
        <f ca="1">SUM(Результаты_УК!$M$235:'Результаты_УК'!$P$235)</f>
        <v>1143.9604349114054</v>
      </c>
      <c r="G28" s="749">
        <f ca="1">SUM(Результаты_УК!$Q$235:'Результаты_УК'!$T$235)</f>
        <v>1359.5756963932988</v>
      </c>
      <c r="H28" s="749">
        <f ca="1">SUM(Результаты_УК!$U$235:'Результаты_УК'!$X$235)</f>
        <v>1452.9909232525638</v>
      </c>
      <c r="I28" s="749">
        <f ca="1">SUM(Результаты_УК!$Y$235:'Результаты_УК'!$AB$235)</f>
        <v>1553.6667704546189</v>
      </c>
      <c r="J28" s="749">
        <f ca="1">SUM(Результаты_УК!$AC$235:'Результаты_УК'!$AF$235)</f>
        <v>1660.1179396540069</v>
      </c>
      <c r="K28" s="749">
        <f ca="1">SUM(Результаты_УК!$AG$235:'Результаты_УК'!$AJ$235)</f>
        <v>1772.9295298046047</v>
      </c>
      <c r="L28" s="749">
        <f ca="1">SUM(Результаты_УК!$AK$235:'Результаты_УК'!$AN$235)</f>
        <v>1892.7315001037418</v>
      </c>
      <c r="M28" s="749">
        <f ca="1">SUM(Результаты_УК!$AO$235:'Результаты_УК'!$AR$235)</f>
        <v>2019.5651702922578</v>
      </c>
      <c r="N28" s="801">
        <f ca="1">Результаты_УК!$AT$235</f>
        <v>13806.878339169574</v>
      </c>
    </row>
    <row r="29" spans="1:14" ht="11.25" customHeight="1" x14ac:dyDescent="0.2">
      <c r="A29" s="621" t="str">
        <f>Результаты_УК!$A$236</f>
        <v>прочие социальные взносы</v>
      </c>
      <c r="B29" s="811">
        <f ca="1">Результаты_УК!$B$236</f>
        <v>0</v>
      </c>
      <c r="C29" s="835" t="str">
        <f>Результаты_УК!$C$236</f>
        <v>тыс. руб.</v>
      </c>
      <c r="D29" s="750">
        <f ca="1">SUM(Результаты_УК!$E$236:'Результаты_УК'!$H$236)</f>
        <v>0</v>
      </c>
      <c r="E29" s="750">
        <f ca="1">SUM(Результаты_УК!$I$236:'Результаты_УК'!$L$236)</f>
        <v>0</v>
      </c>
      <c r="F29" s="750">
        <f ca="1">SUM(Результаты_УК!$M$236:'Результаты_УК'!$P$236)</f>
        <v>0</v>
      </c>
      <c r="G29" s="750">
        <f ca="1">SUM(Результаты_УК!$Q$236:'Результаты_УК'!$T$236)</f>
        <v>0</v>
      </c>
      <c r="H29" s="750">
        <f ca="1">SUM(Результаты_УК!$U$236:'Результаты_УК'!$X$236)</f>
        <v>0</v>
      </c>
      <c r="I29" s="750">
        <f ca="1">SUM(Результаты_УК!$Y$236:'Результаты_УК'!$AB$236)</f>
        <v>0</v>
      </c>
      <c r="J29" s="750">
        <f ca="1">SUM(Результаты_УК!$AC$236:'Результаты_УК'!$AF$236)</f>
        <v>0</v>
      </c>
      <c r="K29" s="750">
        <f ca="1">SUM(Результаты_УК!$AG$236:'Результаты_УК'!$AJ$236)</f>
        <v>0</v>
      </c>
      <c r="L29" s="750">
        <f ca="1">SUM(Результаты_УК!$AK$236:'Результаты_УК'!$AN$236)</f>
        <v>0</v>
      </c>
      <c r="M29" s="750">
        <f ca="1">SUM(Результаты_УК!$AO$236:'Результаты_УК'!$AR$236)</f>
        <v>0</v>
      </c>
      <c r="N29" s="782">
        <f ca="1">Результаты_УК!$AT$236</f>
        <v>0</v>
      </c>
    </row>
    <row r="30" spans="1:14" ht="11.25" customHeight="1" x14ac:dyDescent="0.2">
      <c r="A30" s="398"/>
      <c r="B30" s="681"/>
      <c r="C30" s="607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51"/>
    </row>
    <row r="31" spans="1:14" ht="11.25" customHeight="1" x14ac:dyDescent="0.2">
      <c r="A31" s="398"/>
      <c r="B31" s="681"/>
      <c r="C31" s="607"/>
      <c r="D31" s="651"/>
      <c r="E31" s="651"/>
      <c r="F31" s="651"/>
      <c r="G31" s="651"/>
      <c r="H31" s="651"/>
      <c r="I31" s="651"/>
      <c r="J31" s="651"/>
      <c r="K31" s="651"/>
      <c r="L31" s="651"/>
      <c r="M31" s="651"/>
      <c r="N31" s="651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16&amp;R&amp;"Arial,полужирный"&amp;10Проект создания ИП «Бугры» на территории Ленинградской области. Управляющая компания.
&amp;C&amp;"Arial,полужирный"&amp;13
НАЛОГИ И ДОХОДЫ БЮДЖЕТОВ</oddHead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42"/>
  <dimension ref="A1:N25"/>
  <sheetViews>
    <sheetView workbookViewId="0"/>
  </sheetViews>
  <sheetFormatPr defaultRowHeight="12.75" x14ac:dyDescent="0.2"/>
  <cols>
    <col min="1" max="1" width="38.140625" customWidth="1"/>
    <col min="2" max="2" width="7.85546875" customWidth="1"/>
    <col min="3" max="3" width="7.42578125" customWidth="1"/>
    <col min="4" max="14" width="8" customWidth="1"/>
  </cols>
  <sheetData>
    <row r="1" spans="1:14" s="301" customFormat="1" ht="26.1" customHeight="1" x14ac:dyDescent="0.2">
      <c r="A1" s="613" t="str">
        <f>Результаты_УК!$A$267</f>
        <v>ЭФФЕКТИВНОСТЬ ПРОЕКТА ДЛЯ  УПРАВЛЯЮЩЕЙ КОМПАНИИ (FCFF)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Результаты_УК!$AT$267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1.25" customHeight="1" x14ac:dyDescent="0.2">
      <c r="A3" s="666" t="str">
        <f>Результаты_УК!$A$269</f>
        <v>Ставка дисконтирования, годовая (WACC)</v>
      </c>
      <c r="B3" s="886">
        <f ca="1">Результаты_УК!$B$269</f>
        <v>0.10128364613285909</v>
      </c>
      <c r="C3" s="828" t="str">
        <f>Результаты_УК!$C$269</f>
        <v>%</v>
      </c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36" t="str">
        <f>Результаты_УК!$A$271</f>
        <v>коэффициент дисконта</v>
      </c>
      <c r="B4" s="685"/>
      <c r="C4" s="829" t="str">
        <f>Результаты_УК!$C$271</f>
        <v>раз</v>
      </c>
      <c r="D4" s="892">
        <f>Результаты_УК!$H$271</f>
        <v>1</v>
      </c>
      <c r="E4" s="892">
        <f ca="1">Результаты_УК!$L$271</f>
        <v>1.101283646132859</v>
      </c>
      <c r="F4" s="892">
        <f ca="1">Результаты_УК!$P$271</f>
        <v>1.2128256692396844</v>
      </c>
      <c r="G4" s="892">
        <f ca="1">Результаты_УК!$T$271</f>
        <v>1.3356650751438044</v>
      </c>
      <c r="H4" s="892">
        <f ca="1">Результаты_УК!$X$271</f>
        <v>1.4709461039666882</v>
      </c>
      <c r="I4" s="892">
        <f ca="1">Результаты_УК!$AB$271</f>
        <v>1.6199288886413581</v>
      </c>
      <c r="J4" s="892">
        <f ca="1">Результаты_УК!$AF$271</f>
        <v>1.7840011929589052</v>
      </c>
      <c r="K4" s="892">
        <f ca="1">Результаты_УК!$AJ$271</f>
        <v>1.9646913384871536</v>
      </c>
      <c r="L4" s="892">
        <f ca="1">Результаты_УК!$AN$271</f>
        <v>2.1636824407747794</v>
      </c>
      <c r="M4" s="893">
        <f ca="1">Результаты_УК!$AR$271</f>
        <v>2.3828280874500933</v>
      </c>
      <c r="N4" s="894"/>
    </row>
    <row r="5" spans="1:14" ht="11.25" customHeight="1" x14ac:dyDescent="0.2">
      <c r="A5" s="632" t="str">
        <f>Результаты_УК!$A$272</f>
        <v>Свободный денежный поток компании, FCFF</v>
      </c>
      <c r="B5" s="646"/>
      <c r="C5" s="884" t="str">
        <f>Результаты_УК!$C$272</f>
        <v>тыс. руб.</v>
      </c>
      <c r="D5" s="895">
        <f ca="1">SUM(Результаты_УК!$E$272:'Результаты_УК'!$H$272)</f>
        <v>-739370.72469147237</v>
      </c>
      <c r="E5" s="895">
        <f ca="1">SUM(Результаты_УК!$I$272:'Результаты_УК'!$L$272)</f>
        <v>-567463.90845113236</v>
      </c>
      <c r="F5" s="895">
        <f ca="1">SUM(Результаты_УК!$M$272:'Результаты_УК'!$P$272)</f>
        <v>-1855902.9457269541</v>
      </c>
      <c r="G5" s="895">
        <f ca="1">SUM(Результаты_УК!$Q$272:'Результаты_УК'!$T$272)</f>
        <v>-2576315.7403602963</v>
      </c>
      <c r="H5" s="895">
        <f ca="1">SUM(Результаты_УК!$U$272:'Результаты_УК'!$X$272)</f>
        <v>1112459.0991014717</v>
      </c>
      <c r="I5" s="895">
        <f ca="1">SUM(Результаты_УК!$Y$272:'Результаты_УК'!$AB$272)</f>
        <v>1102317.4378971574</v>
      </c>
      <c r="J5" s="895">
        <f ca="1">SUM(Результаты_УК!$AC$272:'Результаты_УК'!$AF$272)</f>
        <v>980846.78270854137</v>
      </c>
      <c r="K5" s="895">
        <f ca="1">SUM(Результаты_УК!$AG$272:'Результаты_УК'!$AJ$272)</f>
        <v>930443.4779927351</v>
      </c>
      <c r="L5" s="895">
        <f ca="1">SUM(Результаты_УК!$AK$272:'Результаты_УК'!$AN$272)</f>
        <v>1360474.6244997121</v>
      </c>
      <c r="M5" s="895">
        <f ca="1">SUM(Результаты_УК!$AO$272:'Результаты_УК'!$AR$272)</f>
        <v>5895293.9138485333</v>
      </c>
      <c r="N5" s="896">
        <f ca="1">Результаты_УК!$AT$272</f>
        <v>5642782.0168182952</v>
      </c>
    </row>
    <row r="6" spans="1:14" ht="11.25" customHeight="1" x14ac:dyDescent="0.2">
      <c r="A6" s="636" t="str">
        <f>Результаты_УК!$A$273</f>
        <v>Денежные потоки от операционной деятельности</v>
      </c>
      <c r="B6" s="685"/>
      <c r="C6" s="829" t="str">
        <f>Результаты_УК!$C$273</f>
        <v>тыс. руб.</v>
      </c>
      <c r="D6" s="897">
        <f ca="1">SUM(Результаты_УК!$E$273:'Результаты_УК'!$H$273)</f>
        <v>-49337.686827010475</v>
      </c>
      <c r="E6" s="897">
        <f ca="1">SUM(Результаты_УК!$I$273:'Результаты_УК'!$L$273)</f>
        <v>-5391.38902093039</v>
      </c>
      <c r="F6" s="897">
        <f ca="1">SUM(Результаты_УК!$M$273:'Результаты_УК'!$P$273)</f>
        <v>8465.4060786581613</v>
      </c>
      <c r="G6" s="897">
        <f ca="1">SUM(Результаты_УК!$Q$273:'Результаты_УК'!$T$273)</f>
        <v>-59021.193436346424</v>
      </c>
      <c r="H6" s="897">
        <f ca="1">SUM(Результаты_УК!$U$273:'Результаты_УК'!$X$273)</f>
        <v>636221.63384323823</v>
      </c>
      <c r="I6" s="897">
        <f ca="1">SUM(Результаты_УК!$Y$273:'Результаты_УК'!$AB$273)</f>
        <v>751585.23954864556</v>
      </c>
      <c r="J6" s="897">
        <f ca="1">SUM(Результаты_УК!$AC$273:'Результаты_УК'!$AF$273)</f>
        <v>829915.39728525712</v>
      </c>
      <c r="K6" s="897">
        <f ca="1">SUM(Результаты_УК!$AG$273:'Результаты_УК'!$AJ$273)</f>
        <v>849444.30990244867</v>
      </c>
      <c r="L6" s="897">
        <f ca="1">SUM(Результаты_УК!$AK$273:'Результаты_УК'!$AN$273)</f>
        <v>848436.07295074326</v>
      </c>
      <c r="M6" s="897">
        <f ca="1">SUM(Результаты_УК!$AO$273:'Результаты_УК'!$AR$273)</f>
        <v>-1756747.235112126</v>
      </c>
      <c r="N6" s="898">
        <f ca="1">Результаты_УК!$AT$273</f>
        <v>2053570.5552125778</v>
      </c>
    </row>
    <row r="7" spans="1:14" ht="11.25" customHeight="1" x14ac:dyDescent="0.2">
      <c r="A7" s="636" t="str">
        <f>Результаты_УК!$A$274</f>
        <v>Скорректированные проценты по кредитам, * (1 - налог)</v>
      </c>
      <c r="B7" s="685"/>
      <c r="C7" s="829" t="str">
        <f>Результаты_УК!$C$274</f>
        <v>тыс. руб.</v>
      </c>
      <c r="D7" s="897">
        <f ca="1">SUM(Результаты_УК!$E$274:'Результаты_УК'!$H$274)</f>
        <v>73806.462135538008</v>
      </c>
      <c r="E7" s="897">
        <f ca="1">SUM(Результаты_УК!$I$274:'Результаты_УК'!$L$274)</f>
        <v>97488.391716477505</v>
      </c>
      <c r="F7" s="897">
        <f ca="1">SUM(Результаты_УК!$M$274:'Результаты_УК'!$P$274)</f>
        <v>159614.25725402619</v>
      </c>
      <c r="G7" s="897">
        <f ca="1">SUM(Результаты_УК!$Q$274:'Результаты_УК'!$T$274)</f>
        <v>256029.86132342659</v>
      </c>
      <c r="H7" s="897">
        <f ca="1">SUM(Результаты_УК!$U$274:'Результаты_УК'!$X$274)</f>
        <v>262883.07836526341</v>
      </c>
      <c r="I7" s="897">
        <f ca="1">SUM(Результаты_УК!$Y$274:'Результаты_УК'!$AB$274)</f>
        <v>209988.02393367188</v>
      </c>
      <c r="J7" s="897">
        <f ca="1">SUM(Результаты_УК!$AC$274:'Результаты_УК'!$AF$274)</f>
        <v>150931.38542328414</v>
      </c>
      <c r="K7" s="897">
        <f ca="1">SUM(Результаты_УК!$AG$274:'Результаты_УК'!$AJ$274)</f>
        <v>80999.168090286446</v>
      </c>
      <c r="L7" s="897">
        <f ca="1">SUM(Результаты_УК!$AK$274:'Результаты_УК'!$AN$274)</f>
        <v>20722.956903820701</v>
      </c>
      <c r="M7" s="897">
        <f ca="1">SUM(Результаты_УК!$AO$274:'Результаты_УК'!$AR$274)</f>
        <v>2.0954757928848265E-12</v>
      </c>
      <c r="N7" s="898">
        <f ca="1">Результаты_УК!$AT$274</f>
        <v>1312463.5851457948</v>
      </c>
    </row>
    <row r="8" spans="1:14" ht="11.25" customHeight="1" x14ac:dyDescent="0.2">
      <c r="A8" s="636" t="str">
        <f>Результаты_УК!$A$275</f>
        <v>Целевое (бюджетное) финансирование</v>
      </c>
      <c r="B8" s="685"/>
      <c r="C8" s="829" t="str">
        <f>Результаты_УК!$C$275</f>
        <v>тыс. руб.</v>
      </c>
      <c r="D8" s="897">
        <f ca="1">SUM(Результаты_УК!$E$275:'Результаты_УК'!$H$275)</f>
        <v>0</v>
      </c>
      <c r="E8" s="897">
        <f ca="1">SUM(Результаты_УК!$I$275:'Результаты_УК'!$L$275)</f>
        <v>3009.5055230634734</v>
      </c>
      <c r="F8" s="897">
        <f ca="1">SUM(Результаты_УК!$M$275:'Результаты_УК'!$P$275)</f>
        <v>13431.981935156522</v>
      </c>
      <c r="G8" s="897">
        <f ca="1">SUM(Результаты_УК!$Q$275:'Результаты_УК'!$T$275)</f>
        <v>36709.951233969747</v>
      </c>
      <c r="H8" s="897">
        <f ca="1">SUM(Результаты_УК!$U$275:'Результаты_УК'!$X$275)</f>
        <v>213354.3868929703</v>
      </c>
      <c r="I8" s="897">
        <f ca="1">SUM(Результаты_УК!$Y$275:'Результаты_УК'!$AB$275)</f>
        <v>140744.17441483997</v>
      </c>
      <c r="J8" s="897">
        <f ca="1">SUM(Результаты_УК!$AC$275:'Результаты_УК'!$AF$275)</f>
        <v>0</v>
      </c>
      <c r="K8" s="897">
        <f ca="1">SUM(Результаты_УК!$AG$275:'Результаты_УК'!$AJ$275)</f>
        <v>0</v>
      </c>
      <c r="L8" s="897">
        <f ca="1">SUM(Результаты_УК!$AK$275:'Результаты_УК'!$AN$275)</f>
        <v>0</v>
      </c>
      <c r="M8" s="897">
        <f ca="1">SUM(Результаты_УК!$AO$275:'Результаты_УК'!$AR$275)</f>
        <v>0</v>
      </c>
      <c r="N8" s="898">
        <f ca="1">Результаты_УК!$AT$275</f>
        <v>407250</v>
      </c>
    </row>
    <row r="9" spans="1:14" ht="11.25" customHeight="1" x14ac:dyDescent="0.2">
      <c r="A9" s="637" t="str">
        <f>Результаты_УК!$A$276</f>
        <v>Денежные потоки от инвестиционной деятельности</v>
      </c>
      <c r="B9" s="685"/>
      <c r="C9" s="828" t="str">
        <f>Результаты_УК!$C$276</f>
        <v>тыс. руб.</v>
      </c>
      <c r="D9" s="899">
        <f ca="1">SUM(Результаты_УК!$E$276:'Результаты_УК'!$H$276)</f>
        <v>-763839.5</v>
      </c>
      <c r="E9" s="899">
        <f ca="1">SUM(Результаты_УК!$I$276:'Результаты_УК'!$L$276)</f>
        <v>-662570.41666974302</v>
      </c>
      <c r="F9" s="899">
        <f ca="1">SUM(Результаты_УК!$M$276:'Результаты_УК'!$P$276)</f>
        <v>-2037414.5909947951</v>
      </c>
      <c r="G9" s="899">
        <f ca="1">SUM(Результаты_УК!$Q$276:'Результаты_УК'!$T$276)</f>
        <v>-2810034.3594813468</v>
      </c>
      <c r="H9" s="899">
        <f ca="1">SUM(Результаты_УК!$U$276:'Результаты_УК'!$X$276)</f>
        <v>0</v>
      </c>
      <c r="I9" s="899">
        <f ca="1">SUM(Результаты_УК!$Y$276:'Результаты_УК'!$AB$276)</f>
        <v>0</v>
      </c>
      <c r="J9" s="899">
        <f ca="1">SUM(Результаты_УК!$AC$276:'Результаты_УК'!$AF$276)</f>
        <v>0</v>
      </c>
      <c r="K9" s="899">
        <f ca="1">SUM(Результаты_УК!$AG$276:'Результаты_УК'!$AJ$276)</f>
        <v>0</v>
      </c>
      <c r="L9" s="899">
        <f ca="1">SUM(Результаты_УК!$AK$276:'Результаты_УК'!$AN$276)</f>
        <v>491315.59464514832</v>
      </c>
      <c r="M9" s="899">
        <f ca="1">SUM(Результаты_УК!$AO$276:'Результаты_УК'!$AR$276)</f>
        <v>7652041.1489606583</v>
      </c>
      <c r="N9" s="900">
        <f ca="1">Результаты_УК!$AT$276</f>
        <v>1869497.8764599217</v>
      </c>
    </row>
    <row r="10" spans="1:14" ht="11.25" customHeight="1" x14ac:dyDescent="0.2">
      <c r="A10" s="398"/>
      <c r="B10" s="722"/>
      <c r="C10" s="607"/>
      <c r="D10" s="901"/>
      <c r="E10" s="901"/>
      <c r="F10" s="901"/>
      <c r="G10" s="901"/>
      <c r="H10" s="901"/>
      <c r="I10" s="901"/>
      <c r="J10" s="901"/>
      <c r="K10" s="901"/>
      <c r="L10" s="901"/>
      <c r="M10" s="901"/>
      <c r="N10" s="894"/>
    </row>
    <row r="11" spans="1:14" ht="11.25" customHeight="1" x14ac:dyDescent="0.2">
      <c r="A11" s="665" t="str">
        <f>Результаты_УК!$A$284</f>
        <v>Денежный поток нарастающим итогом</v>
      </c>
      <c r="B11" s="887"/>
      <c r="C11" s="829" t="str">
        <f>Результаты_УК!$C$284</f>
        <v>тыс. руб.</v>
      </c>
      <c r="D11" s="897">
        <f ca="1">Результаты_УК!$H$284</f>
        <v>-1358774.2524204189</v>
      </c>
      <c r="E11" s="897">
        <f ca="1">Результаты_УК!$L$284</f>
        <v>-1926238.1608715511</v>
      </c>
      <c r="F11" s="897">
        <f ca="1">Результаты_УК!$P$284</f>
        <v>-3782141.1065985058</v>
      </c>
      <c r="G11" s="897">
        <f ca="1">Результаты_УК!$T$284</f>
        <v>-6358456.8469588021</v>
      </c>
      <c r="H11" s="897">
        <f ca="1">Результаты_УК!$X$284</f>
        <v>-5245997.7478573294</v>
      </c>
      <c r="I11" s="897">
        <f ca="1">Результаты_УК!$AB$284</f>
        <v>-4143680.3099601716</v>
      </c>
      <c r="J11" s="897">
        <f ca="1">Результаты_УК!$AF$284</f>
        <v>-3162833.5272516301</v>
      </c>
      <c r="K11" s="897">
        <f ca="1">Результаты_УК!$AJ$284</f>
        <v>-2232390.0492588948</v>
      </c>
      <c r="L11" s="897">
        <f ca="1">Результаты_УК!$AN$284</f>
        <v>-871915.4247591825</v>
      </c>
      <c r="M11" s="903">
        <f ca="1">Результаты_УК!$AR$284</f>
        <v>5023378.4890893502</v>
      </c>
      <c r="N11" s="902"/>
    </row>
    <row r="12" spans="1:14" ht="11.25" customHeight="1" x14ac:dyDescent="0.2">
      <c r="A12" s="665" t="str">
        <f>Результаты_УК!$A$285</f>
        <v>Дисконтированный денежный поток</v>
      </c>
      <c r="B12" s="764">
        <f ca="1">Результаты_УК!$B$285</f>
        <v>420654.86896252848</v>
      </c>
      <c r="C12" s="829" t="str">
        <f>Результаты_УК!$C$285</f>
        <v>тыс. руб.</v>
      </c>
      <c r="D12" s="897">
        <f ca="1">SUM(Результаты_УК!$E$285:'Результаты_УК'!$H$285)</f>
        <v>-1358774.2524204189</v>
      </c>
      <c r="E12" s="897">
        <f ca="1">SUM(Результаты_УК!$I$285:'Результаты_УК'!$L$285)</f>
        <v>-532412.58772162278</v>
      </c>
      <c r="F12" s="897">
        <f ca="1">SUM(Результаты_УК!$M$285:'Результаты_УК'!$P$285)</f>
        <v>-1579092.6188082346</v>
      </c>
      <c r="G12" s="897">
        <f ca="1">SUM(Результаты_УК!$Q$285:'Результаты_УК'!$T$285)</f>
        <v>-1997757.2680245622</v>
      </c>
      <c r="H12" s="897">
        <f ca="1">SUM(Результаты_УК!$U$285:'Результаты_УК'!$X$285)</f>
        <v>783148.12561873975</v>
      </c>
      <c r="I12" s="897">
        <f ca="1">SUM(Результаты_УК!$Y$285:'Результаты_УК'!$AB$285)</f>
        <v>706586.30499065318</v>
      </c>
      <c r="J12" s="897">
        <f ca="1">SUM(Результаты_УК!$AC$285:'Результаты_УК'!$AF$285)</f>
        <v>570387.95555519173</v>
      </c>
      <c r="K12" s="897">
        <f ca="1">SUM(Результаты_УК!$AG$285:'Результаты_УК'!$AJ$285)</f>
        <v>491531.43817249907</v>
      </c>
      <c r="L12" s="897">
        <f ca="1">SUM(Результаты_УК!$AK$285:'Результаты_УК'!$AN$285)</f>
        <v>660343.21186823817</v>
      </c>
      <c r="M12" s="897">
        <f ca="1">SUM(Результаты_УК!$AO$285:'Результаты_УК'!$AR$285)</f>
        <v>2676694.5597320478</v>
      </c>
      <c r="N12" s="900">
        <f ca="1">Результаты_УК!$AT$285</f>
        <v>420654.86896252848</v>
      </c>
    </row>
    <row r="13" spans="1:14" ht="11.25" customHeight="1" x14ac:dyDescent="0.2">
      <c r="A13" s="666" t="str">
        <f>Результаты_УК!$A$286</f>
        <v>Дисконтированный поток нарастающим итогом</v>
      </c>
      <c r="B13" s="764"/>
      <c r="C13" s="828" t="str">
        <f>Результаты_УК!$C$286</f>
        <v>тыс. руб.</v>
      </c>
      <c r="D13" s="899">
        <f ca="1">Результаты_УК!$H$286</f>
        <v>-1358774.2524204189</v>
      </c>
      <c r="E13" s="899">
        <f ca="1">Результаты_УК!$L$286</f>
        <v>-1891186.8401420417</v>
      </c>
      <c r="F13" s="899">
        <f ca="1">Результаты_УК!$P$286</f>
        <v>-3470279.4589502765</v>
      </c>
      <c r="G13" s="899">
        <f ca="1">Результаты_УК!$T$286</f>
        <v>-5468036.7269748393</v>
      </c>
      <c r="H13" s="899">
        <f ca="1">Результаты_УК!$X$286</f>
        <v>-4684888.6013561003</v>
      </c>
      <c r="I13" s="899">
        <f ca="1">Результаты_УК!$AB$286</f>
        <v>-3978302.2963654478</v>
      </c>
      <c r="J13" s="899">
        <f ca="1">Результаты_УК!$AF$286</f>
        <v>-3407914.3408102561</v>
      </c>
      <c r="K13" s="899">
        <f ca="1">Результаты_УК!$AJ$286</f>
        <v>-2916382.9026377569</v>
      </c>
      <c r="L13" s="899">
        <f ca="1">Результаты_УК!$AN$286</f>
        <v>-2256039.6907695192</v>
      </c>
      <c r="M13" s="904">
        <f ca="1">Результаты_УК!$AR$286</f>
        <v>420654.86896252848</v>
      </c>
      <c r="N13" s="894"/>
    </row>
    <row r="14" spans="1:14" ht="11.25" customHeight="1" x14ac:dyDescent="0.2">
      <c r="A14" s="398"/>
      <c r="B14" s="722"/>
      <c r="C14" s="607"/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599"/>
    </row>
    <row r="15" spans="1:14" ht="11.25" customHeight="1" x14ac:dyDescent="0.2">
      <c r="A15" s="633" t="str">
        <f>Результаты_УК!$A$288</f>
        <v>Чистая приведенная стоимость, NPV</v>
      </c>
      <c r="B15" s="888">
        <f ca="1">Результаты_УК!$B$288</f>
        <v>420654.86896252848</v>
      </c>
      <c r="C15" s="828" t="str">
        <f>Результаты_УК!$C$288</f>
        <v>тыс. руб.</v>
      </c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599"/>
    </row>
    <row r="16" spans="1:14" ht="11.25" customHeight="1" x14ac:dyDescent="0.2">
      <c r="A16" s="398"/>
      <c r="B16" s="681"/>
      <c r="C16" s="607"/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599"/>
    </row>
    <row r="17" spans="1:14" ht="11.25" customHeight="1" x14ac:dyDescent="0.2">
      <c r="A17" s="632" t="str">
        <f>Результаты_УК!$A$290</f>
        <v>Внутренняя норма рентабельности, IRR</v>
      </c>
      <c r="B17" s="885">
        <f ca="1">Результаты_УК!$B$290</f>
        <v>0.11330118433313929</v>
      </c>
      <c r="C17" s="829" t="str">
        <f>Результаты_УК!$C$290</f>
        <v>%</v>
      </c>
      <c r="D17" s="682"/>
      <c r="E17" s="599"/>
      <c r="F17" s="599"/>
      <c r="G17" s="599"/>
      <c r="H17" s="599"/>
      <c r="I17" s="599"/>
      <c r="J17" s="599"/>
      <c r="K17" s="599"/>
      <c r="L17" s="599"/>
      <c r="M17" s="599"/>
      <c r="N17" s="599"/>
    </row>
    <row r="18" spans="1:14" ht="11.25" customHeight="1" x14ac:dyDescent="0.2">
      <c r="A18" s="666" t="str">
        <f>Результаты_УК!$A$291</f>
        <v>Модифицированная IRR, MIRR</v>
      </c>
      <c r="B18" s="889">
        <f ca="1">Результаты_УК!$B$291</f>
        <v>0.3254697624843037</v>
      </c>
      <c r="C18" s="828" t="str">
        <f>Результаты_УК!$C$291</f>
        <v>%</v>
      </c>
      <c r="D18" s="599"/>
      <c r="E18" s="599"/>
      <c r="F18" s="599"/>
      <c r="G18" s="599"/>
      <c r="H18" s="599"/>
      <c r="I18" s="599"/>
      <c r="J18" s="599"/>
      <c r="K18" s="599"/>
      <c r="L18" s="599"/>
      <c r="M18" s="599"/>
      <c r="N18" s="599"/>
    </row>
    <row r="19" spans="1:14" ht="11.25" customHeight="1" x14ac:dyDescent="0.2">
      <c r="A19" s="398"/>
      <c r="B19" s="790"/>
      <c r="C19" s="607"/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</row>
    <row r="20" spans="1:14" ht="22.5" x14ac:dyDescent="0.2">
      <c r="A20" s="834" t="str">
        <f>Результаты_УК!$A$293</f>
        <v>Норма доходности дисконтированных затрат (PI)</v>
      </c>
      <c r="B20" s="890">
        <f ca="1">Результаты_УК!$B$293</f>
        <v>1.0662654382730803</v>
      </c>
      <c r="C20" s="828" t="str">
        <f>Результаты_УК!$C$293</f>
        <v>раз</v>
      </c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</row>
    <row r="21" spans="1:14" ht="11.25" customHeight="1" x14ac:dyDescent="0.2">
      <c r="A21" s="398"/>
      <c r="B21" s="681"/>
      <c r="C21" s="607"/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599"/>
    </row>
    <row r="22" spans="1:14" ht="11.25" customHeight="1" x14ac:dyDescent="0.2">
      <c r="A22" s="633" t="str">
        <f>Результаты_УК!$A$297</f>
        <v>Простой срок окупаемости (PBP)</v>
      </c>
      <c r="B22" s="891">
        <f ca="1">Результаты_УК!$B$297</f>
        <v>9.0282290867414048</v>
      </c>
      <c r="C22" s="828" t="str">
        <f>Результаты_УК!$C$297</f>
        <v>лет</v>
      </c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</row>
    <row r="23" spans="1:14" ht="11.25" customHeight="1" x14ac:dyDescent="0.2">
      <c r="A23" s="398"/>
      <c r="B23" s="681"/>
      <c r="C23" s="607"/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599"/>
    </row>
    <row r="24" spans="1:14" ht="11.25" customHeight="1" x14ac:dyDescent="0.2">
      <c r="A24" s="633" t="str">
        <f>Результаты_УК!$A$301</f>
        <v>Дисконтированный срок окупаемости (DPBP)</v>
      </c>
      <c r="B24" s="891">
        <f ca="1">Результаты_УК!$B$301</f>
        <v>9.1618965229894886</v>
      </c>
      <c r="C24" s="828" t="str">
        <f>Результаты_УК!$C$301</f>
        <v>лет</v>
      </c>
      <c r="D24" s="599"/>
      <c r="E24" s="599"/>
      <c r="F24" s="599"/>
      <c r="G24" s="599"/>
      <c r="H24" s="599"/>
      <c r="I24" s="599"/>
      <c r="J24" s="599"/>
      <c r="K24" s="599"/>
      <c r="L24" s="599"/>
      <c r="M24" s="599"/>
      <c r="N24" s="599"/>
    </row>
    <row r="25" spans="1:14" ht="11.25" customHeight="1" x14ac:dyDescent="0.2">
      <c r="A25" s="398"/>
      <c r="B25" s="681"/>
      <c r="C25" s="607"/>
      <c r="D25" s="599"/>
      <c r="E25" s="599"/>
      <c r="F25" s="599"/>
      <c r="G25" s="599"/>
      <c r="H25" s="599"/>
      <c r="I25" s="599"/>
      <c r="J25" s="599"/>
      <c r="K25" s="599"/>
      <c r="L25" s="599"/>
      <c r="M25" s="599"/>
      <c r="N25" s="599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17&amp;R&amp;"Arial,полужирный"&amp;10Проект создания ИП «Бугры» на территории Ленинградской области. Управляющая компания.
&amp;C&amp;"Arial,полужирный"&amp;13
ЭФФЕКТИВНОСТЬ ПРОЕКТА ДЛЯ  УПРАВЛЯЮЩЕЙ КОМПАНИИ (FCFF)</oddHead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43"/>
  <dimension ref="A1:N58"/>
  <sheetViews>
    <sheetView workbookViewId="0"/>
  </sheetViews>
  <sheetFormatPr defaultRowHeight="12.75" x14ac:dyDescent="0.2"/>
  <cols>
    <col min="1" max="1" width="60.5703125" customWidth="1"/>
    <col min="2" max="2" width="11.7109375" customWidth="1"/>
    <col min="3" max="3" width="10.42578125" customWidth="1"/>
    <col min="4" max="14" width="9.85546875" customWidth="1"/>
  </cols>
  <sheetData>
    <row r="1" spans="1:14" s="301" customFormat="1" ht="26.1" customHeight="1" x14ac:dyDescent="0.2">
      <c r="A1" s="613" t="str">
        <f>Резиденты!$A$6</f>
        <v>ОСНОВНЫЕ ПОКАЗАТЕЛИ ДЕЯТЕЛЬНОСТИ ПАРКА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Резиденты!$AT$6</f>
        <v>ИТОГО</v>
      </c>
    </row>
    <row r="2" spans="1:14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682"/>
    </row>
    <row r="3" spans="1:14" ht="22.5" customHeight="1" x14ac:dyDescent="0.2">
      <c r="A3" s="907" t="str">
        <f>Резиденты!$A$8</f>
        <v>Площади корпусов, занятые резидентами
(нарастающим итогом на конец периода)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682"/>
    </row>
    <row r="4" spans="1:14" ht="11.25" customHeight="1" x14ac:dyDescent="0.2">
      <c r="A4" s="674" t="str">
        <f>Резиденты!$A$9</f>
        <v>Корпус А4</v>
      </c>
      <c r="B4" s="711"/>
      <c r="C4" s="717" t="str">
        <f>Резиденты!$C$9</f>
        <v>кв.м.</v>
      </c>
      <c r="D4" s="712">
        <f>Резиденты!$H$9</f>
        <v>14500</v>
      </c>
      <c r="E4" s="712">
        <f>Резиденты!$L$9</f>
        <v>14500</v>
      </c>
      <c r="F4" s="712">
        <f>Резиденты!$P$9</f>
        <v>14500</v>
      </c>
      <c r="G4" s="712">
        <f>Резиденты!$T$9</f>
        <v>14500</v>
      </c>
      <c r="H4" s="712">
        <f>Резиденты!$X$9</f>
        <v>14500</v>
      </c>
      <c r="I4" s="712">
        <f>Резиденты!$AB$9</f>
        <v>14500</v>
      </c>
      <c r="J4" s="712">
        <f>Резиденты!$AF$9</f>
        <v>14500</v>
      </c>
      <c r="K4" s="712">
        <f>Резиденты!$AJ$9</f>
        <v>14500</v>
      </c>
      <c r="L4" s="712">
        <f>Резиденты!$AN$9</f>
        <v>14500</v>
      </c>
      <c r="M4" s="718">
        <f>Резиденты!$AR$9</f>
        <v>14500</v>
      </c>
      <c r="N4" s="708"/>
    </row>
    <row r="5" spans="1:14" ht="11.25" customHeight="1" x14ac:dyDescent="0.2">
      <c r="A5" s="674" t="str">
        <f>Резиденты!$A$10</f>
        <v>Корпус B2</v>
      </c>
      <c r="B5" s="711"/>
      <c r="C5" s="717" t="str">
        <f>Резиденты!$C$10</f>
        <v>кв.м.</v>
      </c>
      <c r="D5" s="712">
        <f>Резиденты!$H$10</f>
        <v>0</v>
      </c>
      <c r="E5" s="712">
        <f>Резиденты!$L$10</f>
        <v>0</v>
      </c>
      <c r="F5" s="712">
        <f>Резиденты!$P$10</f>
        <v>7220</v>
      </c>
      <c r="G5" s="712">
        <f>Резиденты!$T$10</f>
        <v>7220</v>
      </c>
      <c r="H5" s="712">
        <f>Резиденты!$X$10</f>
        <v>7220</v>
      </c>
      <c r="I5" s="712">
        <f>Резиденты!$AB$10</f>
        <v>7220</v>
      </c>
      <c r="J5" s="712">
        <f>Резиденты!$AF$10</f>
        <v>7220</v>
      </c>
      <c r="K5" s="712">
        <f>Резиденты!$AJ$10</f>
        <v>7220</v>
      </c>
      <c r="L5" s="712">
        <f>Резиденты!$AN$10</f>
        <v>7220</v>
      </c>
      <c r="M5" s="718">
        <f>Резиденты!$AR$10</f>
        <v>7220</v>
      </c>
      <c r="N5" s="682"/>
    </row>
    <row r="6" spans="1:14" ht="11.25" customHeight="1" x14ac:dyDescent="0.2">
      <c r="A6" s="674" t="str">
        <f>Резиденты!$A$11</f>
        <v>БП с ЦОД</v>
      </c>
      <c r="B6" s="711"/>
      <c r="C6" s="717" t="str">
        <f>Резиденты!$C$11</f>
        <v>кв.м.</v>
      </c>
      <c r="D6" s="712">
        <f>Резиденты!$H$11</f>
        <v>0</v>
      </c>
      <c r="E6" s="712">
        <f>Резиденты!$L$11</f>
        <v>0</v>
      </c>
      <c r="F6" s="712">
        <f>Резиденты!$P$11</f>
        <v>0</v>
      </c>
      <c r="G6" s="712">
        <f>Резиденты!$T$11</f>
        <v>0</v>
      </c>
      <c r="H6" s="712">
        <f>Резиденты!$X$11</f>
        <v>24365</v>
      </c>
      <c r="I6" s="712">
        <f>Резиденты!$AB$11</f>
        <v>24365</v>
      </c>
      <c r="J6" s="712">
        <f>Резиденты!$AF$11</f>
        <v>24365</v>
      </c>
      <c r="K6" s="712">
        <f>Резиденты!$AJ$11</f>
        <v>24365</v>
      </c>
      <c r="L6" s="712">
        <f>Резиденты!$AN$11</f>
        <v>24365</v>
      </c>
      <c r="M6" s="718">
        <f>Резиденты!$AR$11</f>
        <v>24365</v>
      </c>
      <c r="N6" s="682"/>
    </row>
    <row r="7" spans="1:14" ht="11.25" customHeight="1" x14ac:dyDescent="0.2">
      <c r="A7" s="674" t="str">
        <f>Резиденты!$A$12</f>
        <v>Корпус B1</v>
      </c>
      <c r="B7" s="711"/>
      <c r="C7" s="717" t="str">
        <f>Резиденты!$C$12</f>
        <v>кв.м.</v>
      </c>
      <c r="D7" s="712">
        <f>Резиденты!$H$12</f>
        <v>0</v>
      </c>
      <c r="E7" s="712">
        <f>Резиденты!$L$12</f>
        <v>0</v>
      </c>
      <c r="F7" s="712">
        <f>Резиденты!$P$12</f>
        <v>0</v>
      </c>
      <c r="G7" s="712">
        <f>Резиденты!$T$12</f>
        <v>3610</v>
      </c>
      <c r="H7" s="712">
        <f>Резиденты!$X$12</f>
        <v>3610</v>
      </c>
      <c r="I7" s="712">
        <f>Резиденты!$AB$12</f>
        <v>3610</v>
      </c>
      <c r="J7" s="712">
        <f>Резиденты!$AF$12</f>
        <v>3610</v>
      </c>
      <c r="K7" s="712">
        <f>Резиденты!$AJ$12</f>
        <v>3610</v>
      </c>
      <c r="L7" s="712">
        <f>Резиденты!$AN$12</f>
        <v>3610</v>
      </c>
      <c r="M7" s="718">
        <f>Резиденты!$AR$12</f>
        <v>3610</v>
      </c>
      <c r="N7" s="682"/>
    </row>
    <row r="8" spans="1:14" ht="11.25" customHeight="1" x14ac:dyDescent="0.2">
      <c r="A8" s="674" t="str">
        <f>Резиденты!$A$13</f>
        <v>Корпус B3</v>
      </c>
      <c r="B8" s="711"/>
      <c r="C8" s="717" t="str">
        <f>Резиденты!$C$13</f>
        <v>кв.м.</v>
      </c>
      <c r="D8" s="712">
        <f>Резиденты!$H$13</f>
        <v>0</v>
      </c>
      <c r="E8" s="712">
        <f>Резиденты!$L$13</f>
        <v>0</v>
      </c>
      <c r="F8" s="712">
        <f>Резиденты!$P$13</f>
        <v>0</v>
      </c>
      <c r="G8" s="712">
        <f>Резиденты!$T$13</f>
        <v>0</v>
      </c>
      <c r="H8" s="712">
        <f>Резиденты!$X$13</f>
        <v>8630</v>
      </c>
      <c r="I8" s="712">
        <f>Резиденты!$AB$13</f>
        <v>8630</v>
      </c>
      <c r="J8" s="712">
        <f>Резиденты!$AF$13</f>
        <v>8630</v>
      </c>
      <c r="K8" s="712">
        <f>Резиденты!$AJ$13</f>
        <v>8630</v>
      </c>
      <c r="L8" s="712">
        <f>Резиденты!$AN$13</f>
        <v>8630</v>
      </c>
      <c r="M8" s="718">
        <f>Резиденты!$AR$13</f>
        <v>8630</v>
      </c>
      <c r="N8" s="682"/>
    </row>
    <row r="9" spans="1:14" ht="11.25" customHeight="1" x14ac:dyDescent="0.2">
      <c r="A9" s="674" t="str">
        <f>Резиденты!$A$14</f>
        <v>Объект II очереди</v>
      </c>
      <c r="B9" s="711"/>
      <c r="C9" s="717" t="str">
        <f>Резиденты!$C$14</f>
        <v>кв.м.</v>
      </c>
      <c r="D9" s="712">
        <f>Резиденты!$H$14</f>
        <v>0</v>
      </c>
      <c r="E9" s="712">
        <f>Резиденты!$L$14</f>
        <v>0</v>
      </c>
      <c r="F9" s="712">
        <f>Резиденты!$P$14</f>
        <v>0</v>
      </c>
      <c r="G9" s="712">
        <f>Резиденты!$T$14</f>
        <v>0</v>
      </c>
      <c r="H9" s="712">
        <f>Резиденты!$X$14</f>
        <v>22255</v>
      </c>
      <c r="I9" s="712">
        <f>Резиденты!$AB$14</f>
        <v>22255</v>
      </c>
      <c r="J9" s="712">
        <f>Резиденты!$AF$14</f>
        <v>22255</v>
      </c>
      <c r="K9" s="712">
        <f>Резиденты!$AJ$14</f>
        <v>22255</v>
      </c>
      <c r="L9" s="712">
        <f>Резиденты!$AN$14</f>
        <v>22255</v>
      </c>
      <c r="M9" s="718">
        <f>Резиденты!$AR$14</f>
        <v>22255</v>
      </c>
      <c r="N9" s="682"/>
    </row>
    <row r="10" spans="1:14" ht="11.25" customHeight="1" x14ac:dyDescent="0.2">
      <c r="A10" s="908" t="str">
        <f>Резиденты!$A$15</f>
        <v>Итого</v>
      </c>
      <c r="B10" s="711"/>
      <c r="C10" s="778" t="str">
        <f>Резиденты!$C$15</f>
        <v>кв.м.</v>
      </c>
      <c r="D10" s="780">
        <f>Резиденты!$H$15</f>
        <v>14500</v>
      </c>
      <c r="E10" s="780">
        <f>Резиденты!$L$15</f>
        <v>14500</v>
      </c>
      <c r="F10" s="780">
        <f>Резиденты!$P$15</f>
        <v>21720</v>
      </c>
      <c r="G10" s="780">
        <f>Резиденты!$T$15</f>
        <v>25330</v>
      </c>
      <c r="H10" s="780">
        <f>Резиденты!$X$15</f>
        <v>80580</v>
      </c>
      <c r="I10" s="780">
        <f>Резиденты!$AB$15</f>
        <v>80580</v>
      </c>
      <c r="J10" s="780">
        <f>Резиденты!$AF$15</f>
        <v>80580</v>
      </c>
      <c r="K10" s="780">
        <f>Резиденты!$AJ$15</f>
        <v>80580</v>
      </c>
      <c r="L10" s="780">
        <f>Резиденты!$AN$15</f>
        <v>80580</v>
      </c>
      <c r="M10" s="781">
        <f>Резиденты!$AR$15</f>
        <v>80580</v>
      </c>
      <c r="N10" s="682"/>
    </row>
    <row r="11" spans="1:14" ht="11.25" customHeight="1" x14ac:dyDescent="0.2">
      <c r="A11" s="599"/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682"/>
    </row>
    <row r="12" spans="1:14" ht="11.25" customHeight="1" x14ac:dyDescent="0.2">
      <c r="A12" s="908" t="str">
        <f>Резиденты!$A$17</f>
        <v>Заполнение плоащадей парка резидентами</v>
      </c>
      <c r="B12" s="677"/>
      <c r="C12" s="778" t="str">
        <f>Резиденты!$C$17</f>
        <v>%</v>
      </c>
      <c r="D12" s="910">
        <f>Резиденты!$H$17</f>
        <v>0.17994539587987093</v>
      </c>
      <c r="E12" s="910">
        <f>Резиденты!$L$17</f>
        <v>0.17994539587987093</v>
      </c>
      <c r="F12" s="910">
        <f>Резиденты!$P$17</f>
        <v>0.2695457930007446</v>
      </c>
      <c r="G12" s="910">
        <f>Резиденты!$T$17</f>
        <v>0.31434599156118143</v>
      </c>
      <c r="H12" s="910">
        <f>Резиденты!$X$17</f>
        <v>1</v>
      </c>
      <c r="I12" s="910">
        <f>Резиденты!$AB$17</f>
        <v>1</v>
      </c>
      <c r="J12" s="910">
        <f>Резиденты!$AF$17</f>
        <v>1</v>
      </c>
      <c r="K12" s="910">
        <f>Резиденты!$AJ$17</f>
        <v>1</v>
      </c>
      <c r="L12" s="910">
        <f>Резиденты!$AN$17</f>
        <v>1</v>
      </c>
      <c r="M12" s="911">
        <f>Резиденты!$AR$17</f>
        <v>1</v>
      </c>
      <c r="N12" s="728"/>
    </row>
    <row r="13" spans="1:14" ht="11.25" customHeight="1" x14ac:dyDescent="0.2">
      <c r="A13" s="599"/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682"/>
    </row>
    <row r="14" spans="1:14" ht="22.5" customHeight="1" x14ac:dyDescent="0.2">
      <c r="A14" s="906" t="str">
        <f>Резиденты!$A$19</f>
        <v>Пощади территорий, арендованных резидентами
(нарастающим итогом)</v>
      </c>
      <c r="B14" s="677"/>
      <c r="C14" s="778" t="str">
        <f>Резиденты!$C$19</f>
        <v>га</v>
      </c>
      <c r="D14" s="912">
        <f>Резиденты!$H$19</f>
        <v>2.5732191610821546</v>
      </c>
      <c r="E14" s="912">
        <f>Резиденты!$L$19</f>
        <v>2.5732191610821546</v>
      </c>
      <c r="F14" s="912">
        <f>Резиденты!$P$19</f>
        <v>3.8545048399106481</v>
      </c>
      <c r="G14" s="912">
        <f>Резиденты!$T$19</f>
        <v>4.4951476793248943</v>
      </c>
      <c r="H14" s="912">
        <f>Резиденты!$X$19</f>
        <v>14.3</v>
      </c>
      <c r="I14" s="912">
        <f>Резиденты!$AB$19</f>
        <v>14.3</v>
      </c>
      <c r="J14" s="912">
        <f>Резиденты!$AF$19</f>
        <v>14.3</v>
      </c>
      <c r="K14" s="912">
        <f>Резиденты!$AJ$19</f>
        <v>14.3</v>
      </c>
      <c r="L14" s="912">
        <f>Резиденты!$AN$19</f>
        <v>14.3</v>
      </c>
      <c r="M14" s="913">
        <f>Резиденты!$AR$19</f>
        <v>14.3</v>
      </c>
      <c r="N14" s="728"/>
    </row>
    <row r="15" spans="1:14" ht="11.25" customHeight="1" x14ac:dyDescent="0.2">
      <c r="A15" s="705"/>
      <c r="B15" s="654"/>
      <c r="C15" s="608"/>
      <c r="D15" s="905"/>
      <c r="E15" s="905"/>
      <c r="F15" s="905"/>
      <c r="G15" s="905"/>
      <c r="H15" s="905"/>
      <c r="I15" s="905"/>
      <c r="J15" s="905"/>
      <c r="K15" s="905"/>
      <c r="L15" s="905"/>
      <c r="M15" s="905"/>
      <c r="N15" s="728"/>
    </row>
    <row r="16" spans="1:14" ht="11.25" customHeight="1" x14ac:dyDescent="0.2">
      <c r="A16" s="906" t="str">
        <f>Резиденты!$A$21</f>
        <v>Численность резидентов</v>
      </c>
      <c r="B16" s="677"/>
      <c r="C16" s="778" t="str">
        <f>Резиденты!$C$21</f>
        <v>единиц</v>
      </c>
      <c r="D16" s="914">
        <f>Резиденты!$H$21</f>
        <v>1</v>
      </c>
      <c r="E16" s="914">
        <f>Резиденты!$L$21</f>
        <v>1</v>
      </c>
      <c r="F16" s="914">
        <f>Резиденты!$P$21</f>
        <v>2</v>
      </c>
      <c r="G16" s="914">
        <f>Резиденты!$T$21</f>
        <v>3</v>
      </c>
      <c r="H16" s="914">
        <f>Резиденты!$X$21</f>
        <v>7</v>
      </c>
      <c r="I16" s="914">
        <f>Резиденты!$AB$21</f>
        <v>7</v>
      </c>
      <c r="J16" s="914">
        <f>Резиденты!$AF$21</f>
        <v>7</v>
      </c>
      <c r="K16" s="914">
        <f>Резиденты!$AJ$21</f>
        <v>7</v>
      </c>
      <c r="L16" s="914">
        <f>Резиденты!$AN$21</f>
        <v>7</v>
      </c>
      <c r="M16" s="915">
        <f>Резиденты!$AR$21</f>
        <v>7</v>
      </c>
      <c r="N16" s="728"/>
    </row>
    <row r="17" spans="1:14" ht="11.25" customHeight="1" x14ac:dyDescent="0.2">
      <c r="A17" s="599"/>
      <c r="B17" s="599"/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682"/>
    </row>
    <row r="18" spans="1:14" ht="11.25" customHeight="1" x14ac:dyDescent="0.2">
      <c r="A18" s="680" t="str">
        <f>Резиденты!$A$23</f>
        <v>Инвестиции</v>
      </c>
      <c r="B18" s="599"/>
      <c r="C18" s="599"/>
      <c r="D18" s="599"/>
      <c r="E18" s="599"/>
      <c r="F18" s="599"/>
      <c r="G18" s="599"/>
      <c r="H18" s="599"/>
      <c r="I18" s="599"/>
      <c r="J18" s="599"/>
      <c r="K18" s="599"/>
      <c r="L18" s="599"/>
      <c r="M18" s="599"/>
      <c r="N18" s="682"/>
    </row>
    <row r="19" spans="1:14" ht="11.25" customHeight="1" x14ac:dyDescent="0.2">
      <c r="A19" s="917" t="str">
        <f>Резиденты!$A$24</f>
        <v>Инвестиции резидентов в оборудование</v>
      </c>
      <c r="B19" s="599"/>
      <c r="C19" s="599"/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682"/>
    </row>
    <row r="20" spans="1:14" ht="11.25" customHeight="1" x14ac:dyDescent="0.2">
      <c r="A20" s="793" t="str">
        <f>Резиденты!$A$25</f>
        <v>Инвестиции резидентов в оборудование за период</v>
      </c>
      <c r="B20" s="711"/>
      <c r="C20" s="717" t="str">
        <f>Резиденты!$C$25</f>
        <v>тыс. руб.</v>
      </c>
      <c r="D20" s="712">
        <f ca="1">SUM(Резиденты!$E$25:'Резиденты'!$H$25)</f>
        <v>1770457.5577066271</v>
      </c>
      <c r="E20" s="712">
        <f ca="1">SUM(Резиденты!$I$25:'Резиденты'!$L$25)</f>
        <v>0</v>
      </c>
      <c r="F20" s="712">
        <f ca="1">SUM(Резиденты!$M$25:'Резиденты'!$P$25)</f>
        <v>918923.97855491226</v>
      </c>
      <c r="G20" s="712">
        <f ca="1">SUM(Резиденты!$Q$25:'Резиденты'!$T$25)</f>
        <v>479311.000629218</v>
      </c>
      <c r="H20" s="712">
        <f ca="1">SUM(Резиденты!$U$25:'Резиденты'!$X$25)</f>
        <v>7657760.1236832738</v>
      </c>
      <c r="I20" s="712">
        <f ca="1">SUM(Резиденты!$Y$25:'Резиденты'!$AB$25)</f>
        <v>0</v>
      </c>
      <c r="J20" s="712">
        <f ca="1">SUM(Резиденты!$AC$25:'Резиденты'!$AF$25)</f>
        <v>0</v>
      </c>
      <c r="K20" s="712">
        <f ca="1">SUM(Резиденты!$AG$25:'Резиденты'!$AJ$25)</f>
        <v>0</v>
      </c>
      <c r="L20" s="712">
        <f ca="1">SUM(Резиденты!$AK$25:'Резиденты'!$AN$25)</f>
        <v>0</v>
      </c>
      <c r="M20" s="712">
        <f ca="1">SUM(Резиденты!$AO$25:'Резиденты'!$AR$25)</f>
        <v>0</v>
      </c>
      <c r="N20" s="744">
        <f ca="1">Резиденты!$AT$25</f>
        <v>10826452.66057403</v>
      </c>
    </row>
    <row r="21" spans="1:14" ht="11.25" customHeight="1" x14ac:dyDescent="0.2">
      <c r="A21" s="793" t="str">
        <f>Резиденты!$A$26</f>
        <v>Инвестиции в оборудование нарастающим итогом</v>
      </c>
      <c r="B21" s="711"/>
      <c r="C21" s="717" t="str">
        <f>Резиденты!$C$26</f>
        <v>тыс. руб.</v>
      </c>
      <c r="D21" s="712">
        <f ca="1">Резиденты!$H$26</f>
        <v>1770457.5577066271</v>
      </c>
      <c r="E21" s="712">
        <f ca="1">Резиденты!$L$26</f>
        <v>1770457.5577066271</v>
      </c>
      <c r="F21" s="712">
        <f ca="1">Резиденты!$P$26</f>
        <v>2689381.5362615394</v>
      </c>
      <c r="G21" s="712">
        <f ca="1">Резиденты!$T$26</f>
        <v>3168692.5368907573</v>
      </c>
      <c r="H21" s="712">
        <f ca="1">Резиденты!$X$26</f>
        <v>10826452.66057403</v>
      </c>
      <c r="I21" s="712">
        <f ca="1">Резиденты!$AB$26</f>
        <v>10826452.66057403</v>
      </c>
      <c r="J21" s="712">
        <f ca="1">Резиденты!$AF$26</f>
        <v>10826452.66057403</v>
      </c>
      <c r="K21" s="712">
        <f ca="1">Резиденты!$AJ$26</f>
        <v>10826452.66057403</v>
      </c>
      <c r="L21" s="712">
        <f ca="1">Резиденты!$AN$26</f>
        <v>10826452.66057403</v>
      </c>
      <c r="M21" s="718">
        <f ca="1">Резиденты!$AR$26</f>
        <v>10826452.66057403</v>
      </c>
      <c r="N21" s="682"/>
    </row>
    <row r="22" spans="1:14" ht="11.25" customHeight="1" x14ac:dyDescent="0.2">
      <c r="A22" s="918" t="str">
        <f>Резиденты!$A$27</f>
        <v>Изменение стоимости инвестиций в основной капитал</v>
      </c>
      <c r="B22" s="756"/>
      <c r="C22" s="617" t="str">
        <f>Резиденты!$C$27</f>
        <v>% в год</v>
      </c>
      <c r="D22" s="670">
        <f>IFERROR(AVERAGE(Резиденты!$E$27:'Резиденты'!$H$27),"0")</f>
        <v>0</v>
      </c>
      <c r="E22" s="670">
        <f>IFERROR(AVERAGE(Резиденты!$I$27:'Резиденты'!$L$27),"0")</f>
        <v>4.2377116826678662E-2</v>
      </c>
      <c r="F22" s="670">
        <f>IFERROR(AVERAGE(Резиденты!$M$27:'Резиденты'!$P$27),"0")</f>
        <v>4.3200551547204036E-2</v>
      </c>
      <c r="G22" s="670">
        <f>IFERROR(AVERAGE(Резиденты!$Q$27:'Резиденты'!$T$27),"0")</f>
        <v>4.3900921854207908E-2</v>
      </c>
      <c r="H22" s="670">
        <f>IFERROR(AVERAGE(Резиденты!$U$27:'Резиденты'!$X$27),"0")</f>
        <v>4.4300646272306343E-2</v>
      </c>
      <c r="I22" s="670">
        <f>IFERROR(AVERAGE(Резиденты!$Y$27:'Резиденты'!$AB$27),"0")</f>
        <v>4.3300646272306453E-2</v>
      </c>
      <c r="J22" s="670">
        <f>IFERROR(AVERAGE(Резиденты!$AC$27:'Резиденты'!$AF$27),"0")</f>
        <v>4.2300646272306563E-2</v>
      </c>
      <c r="K22" s="670">
        <f>IFERROR(AVERAGE(Резиденты!$AG$27:'Резиденты'!$AJ$27),"0")</f>
        <v>4.1300646272306452E-2</v>
      </c>
      <c r="L22" s="670">
        <f>IFERROR(AVERAGE(Резиденты!$AK$27:'Резиденты'!$AN$27),"0")</f>
        <v>4.0300646272306562E-2</v>
      </c>
      <c r="M22" s="671">
        <f>IFERROR(AVERAGE(Резиденты!$AO$27:'Резиденты'!$AR$27),"0")</f>
        <v>4.0300646272306562E-2</v>
      </c>
      <c r="N22" s="721"/>
    </row>
    <row r="23" spans="1:14" ht="11.25" customHeight="1" x14ac:dyDescent="0.2">
      <c r="A23" s="917" t="str">
        <f>Резиденты!$A$30</f>
        <v>Инвестиции резидентов в недвижимость</v>
      </c>
      <c r="B23" s="599"/>
      <c r="C23" s="599"/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682"/>
    </row>
    <row r="24" spans="1:14" ht="11.25" customHeight="1" x14ac:dyDescent="0.2">
      <c r="A24" s="793" t="str">
        <f>Резиденты!$A$31</f>
        <v>Инвестиции резидентов в недвижимость за период</v>
      </c>
      <c r="B24" s="711"/>
      <c r="C24" s="717" t="str">
        <f>Резиденты!$C$31</f>
        <v>тыс. руб.</v>
      </c>
      <c r="D24" s="712">
        <f ca="1">SUM(Резиденты!$E$31:'Резиденты'!$H$31)</f>
        <v>0</v>
      </c>
      <c r="E24" s="712">
        <f ca="1">SUM(Резиденты!$I$31:'Резиденты'!$L$31)</f>
        <v>0</v>
      </c>
      <c r="F24" s="712">
        <f ca="1">SUM(Резиденты!$M$31:'Резиденты'!$P$31)</f>
        <v>0</v>
      </c>
      <c r="G24" s="712">
        <f ca="1">SUM(Резиденты!$Q$31:'Резиденты'!$T$31)</f>
        <v>0</v>
      </c>
      <c r="H24" s="712">
        <f ca="1">SUM(Резиденты!$U$31:'Резиденты'!$X$31)</f>
        <v>0</v>
      </c>
      <c r="I24" s="712">
        <f ca="1">SUM(Резиденты!$Y$31:'Резиденты'!$AB$31)</f>
        <v>0</v>
      </c>
      <c r="J24" s="712">
        <f ca="1">SUM(Резиденты!$AC$31:'Резиденты'!$AF$31)</f>
        <v>0</v>
      </c>
      <c r="K24" s="712">
        <f ca="1">SUM(Резиденты!$AG$31:'Резиденты'!$AJ$31)</f>
        <v>0</v>
      </c>
      <c r="L24" s="712">
        <f ca="1">SUM(Резиденты!$AK$31:'Резиденты'!$AN$31)</f>
        <v>491315.59464514832</v>
      </c>
      <c r="M24" s="712">
        <f ca="1">SUM(Резиденты!$AO$31:'Резиденты'!$AR$31)</f>
        <v>7652041.1489606574</v>
      </c>
      <c r="N24" s="744">
        <f ca="1">Резиденты!$AT$31</f>
        <v>8143356.7436058056</v>
      </c>
    </row>
    <row r="25" spans="1:14" ht="11.25" customHeight="1" x14ac:dyDescent="0.2">
      <c r="A25" s="793" t="str">
        <f>Резиденты!$A$32</f>
        <v>Инвестиции в недвижимость нарастающим итогом</v>
      </c>
      <c r="B25" s="711"/>
      <c r="C25" s="717" t="str">
        <f>Резиденты!$C$32</f>
        <v>тыс. руб.</v>
      </c>
      <c r="D25" s="712">
        <f ca="1">Резиденты!$H$32</f>
        <v>0</v>
      </c>
      <c r="E25" s="712">
        <f ca="1">Резиденты!$L$32</f>
        <v>0</v>
      </c>
      <c r="F25" s="712">
        <f ca="1">Резиденты!$P$32</f>
        <v>0</v>
      </c>
      <c r="G25" s="712">
        <f ca="1">Резиденты!$T$32</f>
        <v>0</v>
      </c>
      <c r="H25" s="712">
        <f ca="1">Резиденты!$X$32</f>
        <v>0</v>
      </c>
      <c r="I25" s="712">
        <f ca="1">Резиденты!$AB$32</f>
        <v>0</v>
      </c>
      <c r="J25" s="712">
        <f ca="1">Резиденты!$AF$32</f>
        <v>0</v>
      </c>
      <c r="K25" s="712">
        <f ca="1">Резиденты!$AJ$32</f>
        <v>0</v>
      </c>
      <c r="L25" s="712">
        <f ca="1">Резиденты!$AN$32</f>
        <v>491315.59464514832</v>
      </c>
      <c r="M25" s="718">
        <f ca="1">Резиденты!$AR$32</f>
        <v>8143356.7436058056</v>
      </c>
      <c r="N25" s="682"/>
    </row>
    <row r="26" spans="1:14" ht="11.25" customHeight="1" x14ac:dyDescent="0.2">
      <c r="A26" s="918" t="str">
        <f>Резиденты!$A$33</f>
        <v>Изменение цен в строительстве</v>
      </c>
      <c r="B26" s="756"/>
      <c r="C26" s="617" t="str">
        <f>Резиденты!$C$33</f>
        <v>% в год</v>
      </c>
      <c r="D26" s="670">
        <f>IFERROR(AVERAGE(Резиденты!$E$33:'Резиденты'!$H$33),"0")</f>
        <v>0</v>
      </c>
      <c r="E26" s="670">
        <f>IFERROR(AVERAGE(Резиденты!$I$33:'Резиденты'!$L$33),"0")</f>
        <v>5.1271423484030576E-2</v>
      </c>
      <c r="F26" s="670">
        <f>IFERROR(AVERAGE(Резиденты!$M$33:'Резиденты'!$P$33),"0")</f>
        <v>5.0363387780470337E-2</v>
      </c>
      <c r="G26" s="670">
        <f>IFERROR(AVERAGE(Резиденты!$Q$33:'Резиденты'!$T$33),"0")</f>
        <v>4.9267330074872273E-2</v>
      </c>
      <c r="H26" s="670">
        <f>IFERROR(AVERAGE(Резиденты!$U$33:'Резиденты'!$X$33),"0")</f>
        <v>4.7273106547426114E-2</v>
      </c>
      <c r="I26" s="670">
        <f>IFERROR(AVERAGE(Резиденты!$Y$33:'Резиденты'!$AB$33),"0")</f>
        <v>4.5942308087647987E-2</v>
      </c>
      <c r="J26" s="670">
        <f>IFERROR(AVERAGE(Резиденты!$AC$33:'Резиденты'!$AF$33),"0")</f>
        <v>4.6084178846717894E-2</v>
      </c>
      <c r="K26" s="670">
        <f>IFERROR(AVERAGE(Резиденты!$AG$33:'Резиденты'!$AJ$33),"0")</f>
        <v>4.6049823800539347E-2</v>
      </c>
      <c r="L26" s="670">
        <f>IFERROR(AVERAGE(Резиденты!$AK$33:'Резиденты'!$AN$33),"0")</f>
        <v>4.6154378696228848E-2</v>
      </c>
      <c r="M26" s="671">
        <f>IFERROR(AVERAGE(Резиденты!$AO$33:'Резиденты'!$AR$33),"0")</f>
        <v>4.601469397743041E-2</v>
      </c>
      <c r="N26" s="721"/>
    </row>
    <row r="27" spans="1:14" ht="11.25" customHeight="1" x14ac:dyDescent="0.2">
      <c r="A27" s="917" t="str">
        <f>Резиденты!$A$36</f>
        <v>Инвестиции Управляющей компании*</v>
      </c>
      <c r="B27" s="599"/>
      <c r="C27" s="599"/>
      <c r="D27" s="599"/>
      <c r="E27" s="599"/>
      <c r="F27" s="599"/>
      <c r="G27" s="599"/>
      <c r="H27" s="599"/>
      <c r="I27" s="599"/>
      <c r="J27" s="599"/>
      <c r="K27" s="599"/>
      <c r="L27" s="599"/>
      <c r="M27" s="599"/>
      <c r="N27" s="682"/>
    </row>
    <row r="28" spans="1:14" ht="11.25" customHeight="1" x14ac:dyDescent="0.2">
      <c r="A28" s="793" t="str">
        <f>Резиденты!$A$37</f>
        <v>Инвестиции Управляющей компании за период</v>
      </c>
      <c r="B28" s="711"/>
      <c r="C28" s="717" t="str">
        <f>Резиденты!$C$37</f>
        <v>тыс. руб.</v>
      </c>
      <c r="D28" s="712">
        <f ca="1">SUM(Резиденты!$E$37:'Резиденты'!$H$37)</f>
        <v>763839.5</v>
      </c>
      <c r="E28" s="712">
        <f ca="1">SUM(Резиденты!$I$37:'Резиденты'!$L$37)</f>
        <v>662570.41666974302</v>
      </c>
      <c r="F28" s="712">
        <f ca="1">SUM(Резиденты!$M$37:'Резиденты'!$P$37)</f>
        <v>374351.23421984661</v>
      </c>
      <c r="G28" s="712">
        <f ca="1">SUM(Резиденты!$Q$37:'Резиденты'!$T$37)</f>
        <v>0</v>
      </c>
      <c r="H28" s="712">
        <f ca="1">SUM(Резиденты!$U$37:'Резиденты'!$X$37)</f>
        <v>0</v>
      </c>
      <c r="I28" s="712">
        <f ca="1">SUM(Резиденты!$Y$37:'Резиденты'!$AB$37)</f>
        <v>0</v>
      </c>
      <c r="J28" s="712">
        <f ca="1">SUM(Резиденты!$AC$37:'Резиденты'!$AF$37)</f>
        <v>0</v>
      </c>
      <c r="K28" s="712">
        <f ca="1">SUM(Резиденты!$AG$37:'Резиденты'!$AJ$37)</f>
        <v>0</v>
      </c>
      <c r="L28" s="712">
        <f ca="1">SUM(Резиденты!$AK$37:'Резиденты'!$AN$37)</f>
        <v>0</v>
      </c>
      <c r="M28" s="712">
        <f ca="1">SUM(Резиденты!$AO$37:'Резиденты'!$AR$37)</f>
        <v>0</v>
      </c>
      <c r="N28" s="744">
        <f ca="1">Резиденты!$AT$37</f>
        <v>1800761.1508895899</v>
      </c>
    </row>
    <row r="29" spans="1:14" ht="11.25" customHeight="1" x14ac:dyDescent="0.2">
      <c r="A29" s="793" t="str">
        <f>Резиденты!$A$38</f>
        <v>Инвестиции Управляющей компании нарастающим итогом</v>
      </c>
      <c r="B29" s="711"/>
      <c r="C29" s="664" t="str">
        <f>Резиденты!$C$38</f>
        <v>тыс. руб.</v>
      </c>
      <c r="D29" s="713">
        <f ca="1">Резиденты!$H$38</f>
        <v>763839.5</v>
      </c>
      <c r="E29" s="713">
        <f ca="1">Резиденты!$L$38</f>
        <v>1426409.9166697431</v>
      </c>
      <c r="F29" s="713">
        <f ca="1">Резиденты!$P$38</f>
        <v>1800761.1508895899</v>
      </c>
      <c r="G29" s="713">
        <f ca="1">Резиденты!$T$38</f>
        <v>1800761.1508895899</v>
      </c>
      <c r="H29" s="713">
        <f ca="1">Резиденты!$X$38</f>
        <v>1800761.1508895899</v>
      </c>
      <c r="I29" s="713">
        <f ca="1">Резиденты!$AB$38</f>
        <v>1800761.1508895899</v>
      </c>
      <c r="J29" s="713">
        <f ca="1">Резиденты!$AF$38</f>
        <v>1800761.1508895899</v>
      </c>
      <c r="K29" s="713">
        <f ca="1">Резиденты!$AJ$38</f>
        <v>1800761.1508895899</v>
      </c>
      <c r="L29" s="713">
        <f ca="1">Резиденты!$AN$38</f>
        <v>1800761.1508895899</v>
      </c>
      <c r="M29" s="714">
        <f ca="1">Резиденты!$AR$38</f>
        <v>1800761.1508895899</v>
      </c>
      <c r="N29" s="682"/>
    </row>
    <row r="30" spans="1:14" ht="22.5" x14ac:dyDescent="0.2">
      <c r="A30" s="704" t="str">
        <f>Резиденты!A39</f>
        <v>* - инвестиции в здания, подлежащие продаже резидентам, учитываются в составе инвестиций резидентов</v>
      </c>
      <c r="B30" s="599"/>
      <c r="C30" s="399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82"/>
    </row>
    <row r="31" spans="1:14" ht="11.25" customHeight="1" x14ac:dyDescent="0.2">
      <c r="A31" s="599"/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682"/>
    </row>
    <row r="32" spans="1:14" ht="11.25" customHeight="1" x14ac:dyDescent="0.2">
      <c r="A32" s="632" t="str">
        <f>Резиденты!$A$41</f>
        <v>Итого внебюджетные инвестиции</v>
      </c>
      <c r="B32" s="711"/>
      <c r="C32" s="717" t="str">
        <f>Резиденты!$C$41</f>
        <v>тыс. руб.</v>
      </c>
      <c r="D32" s="712">
        <f ca="1">SUM(Резиденты!$E$41:'Резиденты'!$H$41)</f>
        <v>2534297.0577066271</v>
      </c>
      <c r="E32" s="712">
        <f ca="1">SUM(Резиденты!$I$41:'Резиденты'!$L$41)</f>
        <v>662570.41666974302</v>
      </c>
      <c r="F32" s="712">
        <f ca="1">SUM(Резиденты!$M$41:'Резиденты'!$P$41)</f>
        <v>1293275.2127747587</v>
      </c>
      <c r="G32" s="712">
        <f ca="1">SUM(Резиденты!$Q$41:'Резиденты'!$T$41)</f>
        <v>479311.000629218</v>
      </c>
      <c r="H32" s="712">
        <f ca="1">SUM(Резиденты!$U$41:'Резиденты'!$X$41)</f>
        <v>7657760.1236832738</v>
      </c>
      <c r="I32" s="712">
        <f ca="1">SUM(Резиденты!$Y$41:'Резиденты'!$AB$41)</f>
        <v>0</v>
      </c>
      <c r="J32" s="712">
        <f ca="1">SUM(Резиденты!$AC$41:'Резиденты'!$AF$41)</f>
        <v>0</v>
      </c>
      <c r="K32" s="712">
        <f ca="1">SUM(Резиденты!$AG$41:'Резиденты'!$AJ$41)</f>
        <v>0</v>
      </c>
      <c r="L32" s="712">
        <f ca="1">SUM(Резиденты!$AK$41:'Резиденты'!$AN$41)</f>
        <v>491315.59464514832</v>
      </c>
      <c r="M32" s="712">
        <f ca="1">SUM(Резиденты!$AO$41:'Резиденты'!$AR$41)</f>
        <v>7652041.1489606574</v>
      </c>
      <c r="N32" s="744">
        <f ca="1">Резиденты!$AT$41</f>
        <v>20770570.555069424</v>
      </c>
    </row>
    <row r="33" spans="1:14" ht="11.25" customHeight="1" x14ac:dyDescent="0.2">
      <c r="A33" s="632" t="str">
        <f>Резиденты!$A$42</f>
        <v>Итого внебюджетные инвестиции нарастающим итогом</v>
      </c>
      <c r="B33" s="711"/>
      <c r="C33" s="717" t="str">
        <f>Резиденты!$C$42</f>
        <v>тыс. руб.</v>
      </c>
      <c r="D33" s="712">
        <f ca="1">Резиденты!$H$42</f>
        <v>2534297.0577066271</v>
      </c>
      <c r="E33" s="712">
        <f ca="1">Резиденты!$L$42</f>
        <v>3196867.4743763702</v>
      </c>
      <c r="F33" s="712">
        <f ca="1">Резиденты!$P$42</f>
        <v>4490142.6871511294</v>
      </c>
      <c r="G33" s="712">
        <f ca="1">Резиденты!$T$42</f>
        <v>4969453.6877803467</v>
      </c>
      <c r="H33" s="712">
        <f ca="1">Резиденты!$X$42</f>
        <v>12627213.811463621</v>
      </c>
      <c r="I33" s="712">
        <f ca="1">Резиденты!$AB$42</f>
        <v>12627213.811463621</v>
      </c>
      <c r="J33" s="712">
        <f ca="1">Резиденты!$AF$42</f>
        <v>12627213.811463621</v>
      </c>
      <c r="K33" s="712">
        <f ca="1">Резиденты!$AJ$42</f>
        <v>12627213.811463621</v>
      </c>
      <c r="L33" s="712">
        <f ca="1">Резиденты!$AN$42</f>
        <v>12627213.811463621</v>
      </c>
      <c r="M33" s="718">
        <f ca="1">Резиденты!$AR$42</f>
        <v>12627213.811463621</v>
      </c>
      <c r="N33" s="682"/>
    </row>
    <row r="34" spans="1:14" x14ac:dyDescent="0.2">
      <c r="A34" s="674" t="str">
        <f>Резиденты!$A$43</f>
        <v>Внебюджетные инвестиции на 1 га площади парка нарастающим итогом</v>
      </c>
      <c r="B34" s="711"/>
      <c r="C34" s="717" t="str">
        <f>Резиденты!$C$43</f>
        <v>тыс. руб.</v>
      </c>
      <c r="D34" s="712">
        <f ca="1">Резиденты!$H$43</f>
        <v>93344.274685326964</v>
      </c>
      <c r="E34" s="712">
        <f ca="1">Резиденты!$L$43</f>
        <v>117748.34159765637</v>
      </c>
      <c r="F34" s="712">
        <f ca="1">Резиденты!$P$43</f>
        <v>165382.78774037311</v>
      </c>
      <c r="G34" s="712">
        <f ca="1">Резиденты!$T$43</f>
        <v>183036.96824237006</v>
      </c>
      <c r="H34" s="712">
        <f ca="1">Резиденты!$X$43</f>
        <v>465090.74812020705</v>
      </c>
      <c r="I34" s="712">
        <f ca="1">Резиденты!$AB$43</f>
        <v>465090.74812020705</v>
      </c>
      <c r="J34" s="712">
        <f ca="1">Резиденты!$AF$43</f>
        <v>465090.74812020705</v>
      </c>
      <c r="K34" s="712">
        <f ca="1">Резиденты!$AJ$43</f>
        <v>465090.74812020705</v>
      </c>
      <c r="L34" s="712">
        <f ca="1">Резиденты!$AN$43</f>
        <v>465090.74812020705</v>
      </c>
      <c r="M34" s="718">
        <f ca="1">Резиденты!$AR$43</f>
        <v>465090.74812020705</v>
      </c>
      <c r="N34" s="682"/>
    </row>
    <row r="35" spans="1:14" x14ac:dyDescent="0.2">
      <c r="A35" s="675" t="str">
        <f>Резиденты!$A$44</f>
        <v>Внебюджетные инвестиции на 1 рабочее место нарастающим итогом</v>
      </c>
      <c r="B35" s="711"/>
      <c r="C35" s="664" t="str">
        <f>Резиденты!$C$44</f>
        <v>тыс. руб.</v>
      </c>
      <c r="D35" s="713">
        <f ca="1">Резиденты!$H$44</f>
        <v>9249.2593346957201</v>
      </c>
      <c r="E35" s="713">
        <f ca="1">Резиденты!$L$44</f>
        <v>11667.399541519599</v>
      </c>
      <c r="F35" s="713">
        <f ca="1">Резиденты!$P$44</f>
        <v>10951.567529636901</v>
      </c>
      <c r="G35" s="713">
        <f ca="1">Резиденты!$T$44</f>
        <v>10396.346627155537</v>
      </c>
      <c r="H35" s="713">
        <f ca="1">Резиденты!$X$44</f>
        <v>8301.9157208833803</v>
      </c>
      <c r="I35" s="713">
        <f ca="1">Резиденты!$AB$44</f>
        <v>8301.9157208833803</v>
      </c>
      <c r="J35" s="713">
        <f ca="1">Резиденты!$AF$44</f>
        <v>8301.9157208833803</v>
      </c>
      <c r="K35" s="713">
        <f ca="1">Резиденты!$AJ$44</f>
        <v>8301.9157208833803</v>
      </c>
      <c r="L35" s="713">
        <f ca="1">Резиденты!$AN$44</f>
        <v>8301.9157208833803</v>
      </c>
      <c r="M35" s="714">
        <f ca="1">Резиденты!$AR$44</f>
        <v>8301.9157208833803</v>
      </c>
      <c r="N35" s="682"/>
    </row>
    <row r="36" spans="1:14" ht="11.25" customHeight="1" x14ac:dyDescent="0.2">
      <c r="A36" s="599"/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82"/>
    </row>
    <row r="37" spans="1:14" ht="11.25" customHeight="1" x14ac:dyDescent="0.2">
      <c r="A37" s="635" t="str">
        <f>Резиденты!$A$46</f>
        <v>Рабочие места</v>
      </c>
      <c r="B37" s="599"/>
      <c r="C37" s="599"/>
      <c r="D37" s="599"/>
      <c r="E37" s="599"/>
      <c r="F37" s="599"/>
      <c r="G37" s="599"/>
      <c r="H37" s="599"/>
      <c r="I37" s="599"/>
      <c r="J37" s="599"/>
      <c r="K37" s="599"/>
      <c r="L37" s="599"/>
      <c r="M37" s="599"/>
      <c r="N37" s="682"/>
    </row>
    <row r="38" spans="1:14" ht="11.25" customHeight="1" x14ac:dyDescent="0.2">
      <c r="A38" s="636" t="str">
        <f>Резиденты!$A$47</f>
        <v>Создано рабочих мест резидентами нарастающим итогом</v>
      </c>
      <c r="B38" s="711"/>
      <c r="C38" s="717" t="str">
        <f>Резиденты!$C$47</f>
        <v>единиц</v>
      </c>
      <c r="D38" s="712">
        <f ca="1">Резиденты!$H$47</f>
        <v>274</v>
      </c>
      <c r="E38" s="712">
        <f ca="1">Резиденты!$L$47</f>
        <v>274</v>
      </c>
      <c r="F38" s="712">
        <f ca="1">Резиденты!$P$47</f>
        <v>410</v>
      </c>
      <c r="G38" s="712">
        <f ca="1">Резиденты!$T$47</f>
        <v>478</v>
      </c>
      <c r="H38" s="712">
        <f ca="1">Резиденты!$X$47</f>
        <v>1521</v>
      </c>
      <c r="I38" s="712">
        <f ca="1">Резиденты!$AB$47</f>
        <v>1521</v>
      </c>
      <c r="J38" s="712">
        <f ca="1">Резиденты!$AF$47</f>
        <v>1521</v>
      </c>
      <c r="K38" s="712">
        <f ca="1">Резиденты!$AJ$47</f>
        <v>1521</v>
      </c>
      <c r="L38" s="712">
        <f ca="1">Резиденты!$AN$47</f>
        <v>1521</v>
      </c>
      <c r="M38" s="718">
        <f ca="1">Резиденты!$AR$47</f>
        <v>1521</v>
      </c>
      <c r="N38" s="682"/>
    </row>
    <row r="39" spans="1:14" ht="11.25" customHeight="1" x14ac:dyDescent="0.2">
      <c r="A39" s="636" t="str">
        <f>Резиденты!$A$48</f>
        <v xml:space="preserve">Среднее кол-во рабочих мест, созданных каждым резидентом </v>
      </c>
      <c r="B39" s="711"/>
      <c r="C39" s="717" t="str">
        <f>Резиденты!$C$48</f>
        <v>единиц</v>
      </c>
      <c r="D39" s="919">
        <f ca="1">Резиденты!$H$48</f>
        <v>274</v>
      </c>
      <c r="E39" s="919">
        <f ca="1">Резиденты!$L$48</f>
        <v>274</v>
      </c>
      <c r="F39" s="919">
        <f ca="1">Резиденты!$P$48</f>
        <v>205</v>
      </c>
      <c r="G39" s="919">
        <f ca="1">Резиденты!$T$48</f>
        <v>159.33333333333334</v>
      </c>
      <c r="H39" s="919">
        <f ca="1">Резиденты!$X$48</f>
        <v>217.28571428571428</v>
      </c>
      <c r="I39" s="919">
        <f ca="1">Резиденты!$AB$48</f>
        <v>217.28571428571428</v>
      </c>
      <c r="J39" s="919">
        <f ca="1">Резиденты!$AF$48</f>
        <v>217.28571428571428</v>
      </c>
      <c r="K39" s="919">
        <f ca="1">Резиденты!$AJ$48</f>
        <v>217.28571428571428</v>
      </c>
      <c r="L39" s="919">
        <f ca="1">Резиденты!$AN$48</f>
        <v>217.28571428571428</v>
      </c>
      <c r="M39" s="920">
        <f ca="1">Резиденты!$AR$48</f>
        <v>217.28571428571428</v>
      </c>
      <c r="N39" s="682"/>
    </row>
    <row r="40" spans="1:14" ht="11.25" customHeight="1" x14ac:dyDescent="0.2">
      <c r="A40" s="636" t="str">
        <f>Резиденты!$A$49</f>
        <v>Создано рабочих мест на 1 га общей парка</v>
      </c>
      <c r="B40" s="711"/>
      <c r="C40" s="717" t="str">
        <f>Резиденты!$C$49</f>
        <v>единиц</v>
      </c>
      <c r="D40" s="919">
        <f ca="1">Резиденты!$H$49</f>
        <v>10.092081031307551</v>
      </c>
      <c r="E40" s="919">
        <f ca="1">Резиденты!$L$49</f>
        <v>10.092081031307551</v>
      </c>
      <c r="F40" s="919">
        <f ca="1">Резиденты!$P$49</f>
        <v>15.101289134438307</v>
      </c>
      <c r="G40" s="919">
        <f ca="1">Резиденты!$T$49</f>
        <v>17.605893186003684</v>
      </c>
      <c r="H40" s="919">
        <f ca="1">Резиденты!$X$49</f>
        <v>56.022099447513817</v>
      </c>
      <c r="I40" s="919">
        <f ca="1">Резиденты!$AB$49</f>
        <v>56.022099447513817</v>
      </c>
      <c r="J40" s="919">
        <f ca="1">Резиденты!$AF$49</f>
        <v>56.022099447513817</v>
      </c>
      <c r="K40" s="919">
        <f ca="1">Резиденты!$AJ$49</f>
        <v>56.022099447513817</v>
      </c>
      <c r="L40" s="919">
        <f ca="1">Резиденты!$AN$49</f>
        <v>56.022099447513817</v>
      </c>
      <c r="M40" s="920">
        <f ca="1">Резиденты!$AR$49</f>
        <v>56.022099447513817</v>
      </c>
      <c r="N40" s="682"/>
    </row>
    <row r="41" spans="1:14" ht="11.25" customHeight="1" x14ac:dyDescent="0.2">
      <c r="A41" s="636" t="str">
        <f>Резиденты!$A$50</f>
        <v>Средняя заработная плата</v>
      </c>
      <c r="B41" s="711"/>
      <c r="C41" s="664" t="str">
        <f>Резиденты!$C$50</f>
        <v>тыс. руб.</v>
      </c>
      <c r="D41" s="921">
        <f ca="1">Резиденты!$H$50</f>
        <v>56.234999999999999</v>
      </c>
      <c r="E41" s="921">
        <f ca="1">Резиденты!$L$50</f>
        <v>58.981206192330752</v>
      </c>
      <c r="F41" s="921">
        <f ca="1">Резиденты!$P$50</f>
        <v>63.008521749596298</v>
      </c>
      <c r="G41" s="921">
        <f ca="1">Резиденты!$T$50</f>
        <v>67.324226648133035</v>
      </c>
      <c r="H41" s="921">
        <f ca="1">Резиденты!$X$50</f>
        <v>71.987304888057238</v>
      </c>
      <c r="I41" s="921">
        <f ca="1">Резиденты!$AB$50</f>
        <v>76.949864420166037</v>
      </c>
      <c r="J41" s="921">
        <f ca="1">Резиденты!$AF$50</f>
        <v>82.197900921311501</v>
      </c>
      <c r="K41" s="921">
        <f ca="1">Резиденты!$AJ$50</f>
        <v>87.772557010596771</v>
      </c>
      <c r="L41" s="921">
        <f ca="1">Резиденты!$AN$50</f>
        <v>93.681255191210482</v>
      </c>
      <c r="M41" s="922">
        <f ca="1">Резиденты!$AR$50</f>
        <v>99.935544574487821</v>
      </c>
      <c r="N41" s="682"/>
    </row>
    <row r="42" spans="1:14" ht="19.5" customHeight="1" x14ac:dyDescent="0.2">
      <c r="A42" s="632"/>
      <c r="B42" s="827" t="str">
        <f>Резиденты!B51</f>
        <v>Среднегодовые
2024 - 2029</v>
      </c>
      <c r="C42" s="599"/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682"/>
    </row>
    <row r="43" spans="1:14" x14ac:dyDescent="0.2">
      <c r="A43" s="632" t="str">
        <f>Резиденты!A52</f>
        <v>Вклад резидентов в ВРП</v>
      </c>
      <c r="B43" s="810">
        <f ca="1">Резиденты!B52</f>
        <v>4839604.833419336</v>
      </c>
      <c r="C43" s="717" t="str">
        <f>Резиденты!C52</f>
        <v>тыс. руб.</v>
      </c>
      <c r="D43" s="712">
        <f ca="1">SUM(Резиденты!E52:'Резиденты'!H52)</f>
        <v>167675.73384049823</v>
      </c>
      <c r="E43" s="712">
        <f ca="1">SUM(Резиденты!I52:'Резиденты'!L52)</f>
        <v>679559.04340203968</v>
      </c>
      <c r="F43" s="712">
        <f ca="1">SUM(Резиденты!M52:'Резиденты'!P52)</f>
        <v>974968.1324086698</v>
      </c>
      <c r="G43" s="712">
        <f ca="1">SUM(Резиденты!Q52:'Резиденты'!T52)</f>
        <v>1249065.70926885</v>
      </c>
      <c r="H43" s="712">
        <f ca="1">SUM(Резиденты!U52:'Резиденты'!X52)</f>
        <v>3692938.7624039622</v>
      </c>
      <c r="I43" s="712">
        <f ca="1">SUM(Резиденты!Y52:'Резиденты'!AB52)</f>
        <v>4640285.037839938</v>
      </c>
      <c r="J43" s="712">
        <f ca="1">SUM(Резиденты!AC52:'Резиденты'!AF52)</f>
        <v>4829547.1050999798</v>
      </c>
      <c r="K43" s="712">
        <f ca="1">SUM(Резиденты!AG52:'Резиденты'!AJ52)</f>
        <v>4966113.0548254736</v>
      </c>
      <c r="L43" s="712">
        <f ca="1">SUM(Резиденты!AK52:'Резиденты'!AN52)</f>
        <v>5030791.800058187</v>
      </c>
      <c r="M43" s="712">
        <f ca="1">SUM(Резиденты!AO52:'Резиденты'!AR52)</f>
        <v>5877953.2402884793</v>
      </c>
      <c r="N43" s="744">
        <f ca="1">Резиденты!AT52</f>
        <v>32108897.619436074</v>
      </c>
    </row>
    <row r="44" spans="1:14" ht="11.25" customHeight="1" x14ac:dyDescent="0.2">
      <c r="A44" s="632" t="s">
        <v>927</v>
      </c>
      <c r="B44" s="810">
        <f ca="1">Резиденты!$B$53</f>
        <v>4033004.0278494479</v>
      </c>
      <c r="C44" s="717" t="str">
        <f>Резиденты!$C$53</f>
        <v>тыс. руб.</v>
      </c>
      <c r="D44" s="712">
        <f ca="1">SUM(Резиденты!$E$53:'Резиденты'!$H$53)</f>
        <v>139729.7782004152</v>
      </c>
      <c r="E44" s="712">
        <f ca="1">SUM(Резиденты!$I$53:'Резиденты'!$L$53)</f>
        <v>566299.20283503307</v>
      </c>
      <c r="F44" s="712">
        <f ca="1">SUM(Резиденты!$M$53:'Резиденты'!$P$53)</f>
        <v>812473.44367389148</v>
      </c>
      <c r="G44" s="712">
        <f ca="1">SUM(Резиденты!$Q$53:'Резиденты'!$T$53)</f>
        <v>1040888.091057375</v>
      </c>
      <c r="H44" s="712">
        <f ca="1">SUM(Резиденты!$U$53:'Резиденты'!$X$53)</f>
        <v>3077448.9686699687</v>
      </c>
      <c r="I44" s="712">
        <f ca="1">SUM(Резиденты!$Y$53:'Резиденты'!$AB$53)</f>
        <v>3866904.1981999478</v>
      </c>
      <c r="J44" s="712">
        <f ca="1">SUM(Резиденты!$AC$53:'Резиденты'!$AF$53)</f>
        <v>4024622.5875833165</v>
      </c>
      <c r="K44" s="712">
        <f ca="1">SUM(Резиденты!$AG$53:'Резиденты'!$AJ$53)</f>
        <v>4138427.5456878943</v>
      </c>
      <c r="L44" s="712">
        <f ca="1">SUM(Резиденты!$AK$53:'Резиденты'!$AN$53)</f>
        <v>4192326.5000484893</v>
      </c>
      <c r="M44" s="712">
        <f ca="1">SUM(Резиденты!$AO$53:'Резиденты'!$AR$53)</f>
        <v>4898294.3669070657</v>
      </c>
      <c r="N44" s="746">
        <f ca="1">Резиденты!$AT$53</f>
        <v>26757414.682863399</v>
      </c>
    </row>
    <row r="45" spans="1:14" ht="11.25" customHeight="1" x14ac:dyDescent="0.2">
      <c r="A45" s="632" t="str">
        <f>Резиденты!A54</f>
        <v>Выручка резидентов</v>
      </c>
      <c r="B45" s="810">
        <f ca="1">Резиденты!B54</f>
        <v>11832607.402859734</v>
      </c>
      <c r="C45" s="717" t="str">
        <f>Резиденты!C54</f>
        <v>тыс. руб.</v>
      </c>
      <c r="D45" s="712">
        <f ca="1">SUM(Резиденты!E54:'Резиденты'!H54)</f>
        <v>373655.36559476668</v>
      </c>
      <c r="E45" s="712">
        <f ca="1">SUM(Резиденты!I54:'Резиденты'!L54)</f>
        <v>1515291.4219932421</v>
      </c>
      <c r="F45" s="712">
        <f ca="1">SUM(Резиденты!M54:'Резиденты'!P54)</f>
        <v>2186904.8156773783</v>
      </c>
      <c r="G45" s="712">
        <f ca="1">SUM(Резиденты!Q54:'Резиденты'!T54)</f>
        <v>2820806.206657771</v>
      </c>
      <c r="H45" s="712">
        <f ca="1">SUM(Резиденты!U54:'Резиденты'!X54)</f>
        <v>8539556.3233567923</v>
      </c>
      <c r="I45" s="712">
        <f ca="1">SUM(Резиденты!Y54:'Резиденты'!AB54)</f>
        <v>10784611.117392397</v>
      </c>
      <c r="J45" s="712">
        <f ca="1">SUM(Резиденты!AC54:'Резиденты'!AF54)</f>
        <v>11251298.95141805</v>
      </c>
      <c r="K45" s="712">
        <f ca="1">SUM(Резиденты!AG54:'Резиденты'!AJ54)</f>
        <v>11686457.805408036</v>
      </c>
      <c r="L45" s="712">
        <f ca="1">SUM(Резиденты!AK54:'Резиденты'!AN54)</f>
        <v>12261726.889814107</v>
      </c>
      <c r="M45" s="712">
        <f ca="1">SUM(Резиденты!AO54:'Резиденты'!AR54)</f>
        <v>16471993.329769026</v>
      </c>
      <c r="N45" s="744">
        <f ca="1">Резиденты!AT54</f>
        <v>77892302.227081567</v>
      </c>
    </row>
    <row r="46" spans="1:14" ht="22.5" customHeight="1" x14ac:dyDescent="0.2">
      <c r="A46" s="924" t="str">
        <f>Резиденты!$A$55</f>
        <v xml:space="preserve">Отношение капзатрат резидентов к капзатратам УК
(нарастающим итогом) </v>
      </c>
      <c r="B46" s="810"/>
      <c r="C46" s="717" t="str">
        <f>Резиденты!$C$55</f>
        <v>тыс. руб.</v>
      </c>
      <c r="D46" s="761">
        <f ca="1">Резиденты!$H$55</f>
        <v>2.3178397526006798</v>
      </c>
      <c r="E46" s="761">
        <f ca="1">Резиденты!$L$55</f>
        <v>1.2411982958167707</v>
      </c>
      <c r="F46" s="761">
        <f ca="1">Резиденты!$P$55</f>
        <v>1.4934693226433524</v>
      </c>
      <c r="G46" s="761">
        <f ca="1">Резиденты!$T$55</f>
        <v>1.7596406582435427</v>
      </c>
      <c r="H46" s="761">
        <f ca="1">Резиденты!$X$55</f>
        <v>6.0121536136125986</v>
      </c>
      <c r="I46" s="761">
        <f ca="1">Резиденты!$AB$55</f>
        <v>6.0121536136125986</v>
      </c>
      <c r="J46" s="761">
        <f ca="1">Резиденты!$AF$55</f>
        <v>6.0121536136125986</v>
      </c>
      <c r="K46" s="761">
        <f ca="1">Резиденты!$AJ$55</f>
        <v>6.0121536136125986</v>
      </c>
      <c r="L46" s="761">
        <f ca="1">Резиденты!$AN$55</f>
        <v>6.2849913491459501</v>
      </c>
      <c r="M46" s="763">
        <f ca="1">Резиденты!$AR$55</f>
        <v>10.534328439287243</v>
      </c>
      <c r="N46" s="652"/>
    </row>
    <row r="47" spans="1:14" x14ac:dyDescent="0.2">
      <c r="A47" s="924" t="str">
        <f>Резиденты!$A$56</f>
        <v>Производительность труда предприятий резидентов*</v>
      </c>
      <c r="B47" s="926"/>
      <c r="C47" s="717" t="str">
        <f>Резиденты!$C$56</f>
        <v>тыс. руб.</v>
      </c>
      <c r="D47" s="712">
        <f ca="1">SUM(Резиденты!E56:'Резиденты'!H56)</f>
        <v>0</v>
      </c>
      <c r="E47" s="712">
        <f ca="1">SUM(Резиденты!I56:'Резиденты'!L56)</f>
        <v>0</v>
      </c>
      <c r="F47" s="712">
        <f ca="1">SUM(Резиденты!M56:'Резиденты'!P56)</f>
        <v>0</v>
      </c>
      <c r="G47" s="712">
        <f ca="1">SUM(Резиденты!Q56:'Резиденты'!T56)</f>
        <v>2256.327435755336</v>
      </c>
      <c r="H47" s="712">
        <f ca="1">SUM(Резиденты!U56:'Резиденты'!X56)</f>
        <v>2420.2297980426183</v>
      </c>
      <c r="I47" s="712">
        <f ca="1">SUM(Резиденты!Y56:'Резиденты'!AB56)</f>
        <v>2542.3433255752452</v>
      </c>
      <c r="J47" s="712">
        <f ca="1">SUM(Резиденты!AC56:'Резиденты'!AF56)</f>
        <v>2646.0372041967894</v>
      </c>
      <c r="K47" s="712">
        <f ca="1">SUM(Резиденты!AG56:'Резиденты'!AJ56)</f>
        <v>2720.8596618592337</v>
      </c>
      <c r="L47" s="712">
        <f ca="1">SUM(Резиденты!AK56:'Резиденты'!AN56)</f>
        <v>2756.2961867511435</v>
      </c>
      <c r="M47" s="718">
        <f ca="1">SUM(Резиденты!AO56:'Резиденты'!AR56)</f>
        <v>3220.4433707475782</v>
      </c>
      <c r="N47" s="652"/>
    </row>
    <row r="48" spans="1:14" ht="22.5" customHeight="1" x14ac:dyDescent="0.2">
      <c r="A48" s="925" t="str">
        <f>Резиденты!$A$57</f>
        <v>Cреднегодовой коэффициент роста производительности труда предприятий резидентов*</v>
      </c>
      <c r="B48" s="942">
        <f t="array" aca="1" ref="B48" ca="1">PRODUCT(IF(D48:M48&gt;0,D48:M48))^(1/COUNTIF(D48:M48,"&gt;0"))</f>
        <v>1.0610900866143933</v>
      </c>
      <c r="C48" s="664" t="str">
        <f>Резиденты!$C$57</f>
        <v>раз</v>
      </c>
      <c r="D48" s="946">
        <v>0</v>
      </c>
      <c r="E48" s="946">
        <f t="shared" ref="E48:L48" ca="1" si="0">IFERROR(E47/D47,0)</f>
        <v>0</v>
      </c>
      <c r="F48" s="946">
        <f t="shared" ca="1" si="0"/>
        <v>0</v>
      </c>
      <c r="G48" s="946">
        <f t="shared" ca="1" si="0"/>
        <v>0</v>
      </c>
      <c r="H48" s="946">
        <f t="shared" ca="1" si="0"/>
        <v>1.0726412131900589</v>
      </c>
      <c r="I48" s="946">
        <f t="shared" ca="1" si="0"/>
        <v>1.0504553442121023</v>
      </c>
      <c r="J48" s="946">
        <f t="shared" ca="1" si="0"/>
        <v>1.0407867330814109</v>
      </c>
      <c r="K48" s="946">
        <f t="shared" ca="1" si="0"/>
        <v>1.0282771752202768</v>
      </c>
      <c r="L48" s="946">
        <f t="shared" ca="1" si="0"/>
        <v>1.0130240178825303</v>
      </c>
      <c r="M48" s="946">
        <f ca="1">IFERROR(M47/L47,0)</f>
        <v>1.1683952494755387</v>
      </c>
      <c r="N48" s="652"/>
    </row>
    <row r="49" spans="1:14" ht="11.25" customHeight="1" x14ac:dyDescent="0.2">
      <c r="A49" s="413"/>
      <c r="B49" s="706"/>
      <c r="C49" s="599"/>
      <c r="D49" s="599"/>
      <c r="E49" s="599"/>
      <c r="F49" s="599"/>
      <c r="G49" s="599"/>
      <c r="H49" s="599"/>
      <c r="I49" s="599"/>
      <c r="J49" s="599"/>
      <c r="K49" s="599"/>
      <c r="L49" s="599"/>
      <c r="M49" s="599"/>
      <c r="N49" s="682"/>
    </row>
    <row r="50" spans="1:14" ht="19.5" x14ac:dyDescent="0.2">
      <c r="A50" s="833" t="str">
        <f>Резиденты!$A$59</f>
        <v>Налоговые отчисления резидентов по уровням бюджетов</v>
      </c>
      <c r="B50" s="827" t="str">
        <f>Резиденты!B59</f>
        <v>Среднегодовые
2024 - 2029</v>
      </c>
      <c r="C50" s="599"/>
      <c r="D50" s="599"/>
      <c r="E50" s="599"/>
      <c r="F50" s="599"/>
      <c r="G50" s="599"/>
      <c r="H50" s="599"/>
      <c r="I50" s="599"/>
      <c r="J50" s="599"/>
      <c r="K50" s="599"/>
      <c r="L50" s="599"/>
      <c r="M50" s="599"/>
      <c r="N50" s="682"/>
    </row>
    <row r="51" spans="1:14" ht="11.25" customHeight="1" x14ac:dyDescent="0.2">
      <c r="A51" s="636" t="str">
        <f>Резиденты!$A$60</f>
        <v>Доходы федерального бюджета</v>
      </c>
      <c r="B51" s="927">
        <f ca="1">Резиденты!B60</f>
        <v>510412.66857261176</v>
      </c>
      <c r="C51" s="717" t="str">
        <f>Резиденты!$C$60</f>
        <v>тыс. руб.</v>
      </c>
      <c r="D51" s="712">
        <f ca="1">SUM(Резиденты!$E$60:'Резиденты'!$H$60)</f>
        <v>0</v>
      </c>
      <c r="E51" s="712">
        <f ca="1">SUM(Резиденты!$I$60:'Резиденты'!$L$60)</f>
        <v>4028.4456813671281</v>
      </c>
      <c r="F51" s="712">
        <f ca="1">SUM(Резиденты!$M$60:'Резиденты'!$P$60)</f>
        <v>22777.128699504297</v>
      </c>
      <c r="G51" s="712">
        <f ca="1">SUM(Резиденты!$Q$60:'Резиденты'!$T$60)</f>
        <v>72710.796838343202</v>
      </c>
      <c r="H51" s="712">
        <f ca="1">SUM(Резиденты!$U$60:'Резиденты'!$X$60)</f>
        <v>294107.29918684583</v>
      </c>
      <c r="I51" s="712">
        <f ca="1">SUM(Резиденты!$Y$60:'Резиденты'!$AB$60)</f>
        <v>229581.8899681475</v>
      </c>
      <c r="J51" s="712">
        <f ca="1">SUM(Резиденты!$AC$60:'Резиденты'!$AF$60)</f>
        <v>306851.26961944829</v>
      </c>
      <c r="K51" s="712">
        <f ca="1">SUM(Резиденты!$AG$60:'Резиденты'!$AJ$60)</f>
        <v>850993.73851475376</v>
      </c>
      <c r="L51" s="712">
        <f ca="1">SUM(Резиденты!$AK$60:'Резиденты'!$AN$60)</f>
        <v>766495.16831893404</v>
      </c>
      <c r="M51" s="712">
        <f ca="1">SUM(Резиденты!$AO$60:'Резиденты'!$AR$60)</f>
        <v>614446.64582754113</v>
      </c>
      <c r="N51" s="746">
        <f ca="1">Резиденты!$AT$60</f>
        <v>3161992.3826548848</v>
      </c>
    </row>
    <row r="52" spans="1:14" ht="11.25" customHeight="1" x14ac:dyDescent="0.2">
      <c r="A52" s="636" t="str">
        <f>Резиденты!$A$61</f>
        <v>Доходы бюджета субъекта РФ</v>
      </c>
      <c r="B52" s="927">
        <f ca="1">Резиденты!B61</f>
        <v>356700.58716500091</v>
      </c>
      <c r="C52" s="717" t="str">
        <f>Резиденты!$C$61</f>
        <v>тыс. руб.</v>
      </c>
      <c r="D52" s="712">
        <f ca="1">SUM(Резиденты!$E$61:'Резиденты'!$H$61)</f>
        <v>5107.8812850000004</v>
      </c>
      <c r="E52" s="712">
        <f ca="1">SUM(Резиденты!$I$61:'Резиденты'!$L$61)</f>
        <v>43755.622486209235</v>
      </c>
      <c r="F52" s="712">
        <f ca="1">SUM(Резиденты!$M$61:'Резиденты'!$P$61)</f>
        <v>60595.889624962307</v>
      </c>
      <c r="G52" s="712">
        <f ca="1">SUM(Резиденты!$Q$61:'Резиденты'!$T$61)</f>
        <v>81162.242758079286</v>
      </c>
      <c r="H52" s="712">
        <f ca="1">SUM(Резиденты!$U$61:'Резиденты'!$X$61)</f>
        <v>220900.90439092231</v>
      </c>
      <c r="I52" s="712">
        <f ca="1">SUM(Резиденты!$Y$61:'Резиденты'!$AB$61)</f>
        <v>324484.18871558609</v>
      </c>
      <c r="J52" s="712">
        <f ca="1">SUM(Резиденты!$AC$61:'Резиденты'!$AF$61)</f>
        <v>345124.04789546889</v>
      </c>
      <c r="K52" s="712">
        <f ca="1">SUM(Резиденты!$AG$61:'Резиденты'!$AJ$61)</f>
        <v>364263.11439121608</v>
      </c>
      <c r="L52" s="712">
        <f ca="1">SUM(Резиденты!$AK$61:'Резиденты'!$AN$61)</f>
        <v>389047.21612946439</v>
      </c>
      <c r="M52" s="712">
        <f ca="1">SUM(Резиденты!$AO$61:'Резиденты'!$AR$61)</f>
        <v>496384.05146734789</v>
      </c>
      <c r="N52" s="746">
        <f ca="1">Резиденты!$AT$61</f>
        <v>2330825.1591442563</v>
      </c>
    </row>
    <row r="53" spans="1:14" ht="11.25" customHeight="1" x14ac:dyDescent="0.2">
      <c r="A53" s="734" t="str">
        <f>Резиденты!$A$62</f>
        <v>Доходы муниципального бюджета</v>
      </c>
      <c r="B53" s="927">
        <f ca="1">Резиденты!B62</f>
        <v>28971.852934832157</v>
      </c>
      <c r="C53" s="717" t="str">
        <f>Резиденты!$C$62</f>
        <v>тыс. руб.</v>
      </c>
      <c r="D53" s="712">
        <f ca="1">SUM(Резиденты!$E$62:'Резиденты'!$H$62)</f>
        <v>901.39081499999998</v>
      </c>
      <c r="E53" s="712">
        <f ca="1">SUM(Резиденты!$I$62:'Резиденты'!$L$62)</f>
        <v>3693.1347573756771</v>
      </c>
      <c r="F53" s="712">
        <f ca="1">SUM(Резиденты!$M$62:'Резиденты'!$P$62)</f>
        <v>5419.5774644901812</v>
      </c>
      <c r="G53" s="712">
        <f ca="1">SUM(Резиденты!$Q$62:'Резиденты'!$T$62)</f>
        <v>7092.5252513733649</v>
      </c>
      <c r="H53" s="712">
        <f ca="1">SUM(Резиденты!$U$62:'Резиденты'!$X$62)</f>
        <v>20811.171127248337</v>
      </c>
      <c r="I53" s="712">
        <f ca="1">SUM(Резиденты!$Y$62:'Резиденты'!$AB$62)</f>
        <v>26718.019027610062</v>
      </c>
      <c r="J53" s="712">
        <f ca="1">SUM(Резиденты!$AC$62:'Резиденты'!$AF$62)</f>
        <v>28547.01559540171</v>
      </c>
      <c r="K53" s="712">
        <f ca="1">SUM(Резиденты!$AG$62:'Резиденты'!$AJ$62)</f>
        <v>30486.008445498548</v>
      </c>
      <c r="L53" s="712">
        <f ca="1">SUM(Резиденты!$AK$62:'Резиденты'!$AN$62)</f>
        <v>32544.771027594354</v>
      </c>
      <c r="M53" s="712">
        <f ca="1">SUM(Резиденты!$AO$62:'Резиденты'!$AR$62)</f>
        <v>34724.132385639925</v>
      </c>
      <c r="N53" s="746">
        <f ca="1">Резиденты!$AT$62</f>
        <v>190937.74589723215</v>
      </c>
    </row>
    <row r="54" spans="1:14" ht="11.25" customHeight="1" x14ac:dyDescent="0.2">
      <c r="A54" s="734" t="str">
        <f>Резиденты!$A$63</f>
        <v>Доходы внебюджетных фондов</v>
      </c>
      <c r="B54" s="927">
        <f ca="1">Резиденты!B63</f>
        <v>448524.36053871439</v>
      </c>
      <c r="C54" s="717" t="str">
        <f>Резиденты!$C$63</f>
        <v>тыс. руб.</v>
      </c>
      <c r="D54" s="712">
        <f ca="1">SUM(Резиденты!$E$63:'Резиденты'!$H$63)</f>
        <v>9429.9346800000003</v>
      </c>
      <c r="E54" s="712">
        <f ca="1">SUM(Резиденты!$I$63:'Резиденты'!$L$63)</f>
        <v>57723.554049905462</v>
      </c>
      <c r="F54" s="712">
        <f ca="1">SUM(Резиденты!$M$63:'Резиденты'!$P$63)</f>
        <v>82085.848248362134</v>
      </c>
      <c r="G54" s="712">
        <f ca="1">SUM(Резиденты!$Q$63:'Резиденты'!$T$63)</f>
        <v>109355.75771534804</v>
      </c>
      <c r="H54" s="712">
        <f ca="1">SUM(Резиденты!$U$63:'Резиденты'!$X$63)</f>
        <v>302917.91738459107</v>
      </c>
      <c r="I54" s="712">
        <f ca="1">SUM(Резиденты!$Y$63:'Резиденты'!$AB$63)</f>
        <v>416957.67127739743</v>
      </c>
      <c r="J54" s="712">
        <f ca="1">SUM(Резиденты!$AC$63:'Резиденты'!$AF$63)</f>
        <v>445525.97978356783</v>
      </c>
      <c r="K54" s="712">
        <f ca="1">SUM(Резиденты!$AG$63:'Резиденты'!$AJ$63)</f>
        <v>475801.23495204246</v>
      </c>
      <c r="L54" s="712">
        <f ca="1">SUM(Резиденты!$AK$63:'Резиденты'!$AN$63)</f>
        <v>507952.49898130109</v>
      </c>
      <c r="M54" s="712">
        <f ca="1">SUM(Резиденты!$AO$63:'Резиденты'!$AR$63)</f>
        <v>541990.86085338681</v>
      </c>
      <c r="N54" s="746">
        <f ca="1">Резиденты!$AT$63</f>
        <v>2949741.2579259025</v>
      </c>
    </row>
    <row r="55" spans="1:14" ht="11.25" customHeight="1" x14ac:dyDescent="0.2">
      <c r="A55" s="633" t="str">
        <f>Резиденты!$A$64</f>
        <v>Итого</v>
      </c>
      <c r="B55" s="928">
        <f ca="1">Резиденты!B64</f>
        <v>1344609.4692111595</v>
      </c>
      <c r="C55" s="778" t="str">
        <f>Резиденты!$C$64</f>
        <v>тыс. руб.</v>
      </c>
      <c r="D55" s="780">
        <f ca="1">SUM(Резиденты!$E$64:'Резиденты'!$H$64)</f>
        <v>15439.20678</v>
      </c>
      <c r="E55" s="780">
        <f ca="1">SUM(Резиденты!$I$64:'Резиденты'!$L$64)</f>
        <v>109200.7569748575</v>
      </c>
      <c r="F55" s="780">
        <f ca="1">SUM(Резиденты!$M$64:'Резиденты'!$P$64)</f>
        <v>170878.44403731893</v>
      </c>
      <c r="G55" s="780">
        <f ca="1">SUM(Резиденты!$Q$64:'Резиденты'!$T$64)</f>
        <v>270321.32256314385</v>
      </c>
      <c r="H55" s="780">
        <f ca="1">SUM(Резиденты!$U$64:'Резиденты'!$X$64)</f>
        <v>838737.29208960757</v>
      </c>
      <c r="I55" s="780">
        <f ca="1">SUM(Резиденты!$Y$64:'Резиденты'!$AB$64)</f>
        <v>997741.7689887411</v>
      </c>
      <c r="J55" s="780">
        <f ca="1">SUM(Резиденты!$AC$64:'Резиденты'!$AF$64)</f>
        <v>1126048.3128938866</v>
      </c>
      <c r="K55" s="780">
        <f ca="1">SUM(Резиденты!$AG$64:'Резиденты'!$AJ$64)</f>
        <v>1721544.0963035109</v>
      </c>
      <c r="L55" s="780">
        <f ca="1">SUM(Резиденты!$AK$64:'Резиденты'!$AN$64)</f>
        <v>1696039.6544572937</v>
      </c>
      <c r="M55" s="780">
        <f ca="1">SUM(Резиденты!$AO$64:'Резиденты'!$AR$64)</f>
        <v>1687545.690533916</v>
      </c>
      <c r="N55" s="782">
        <f ca="1">Резиденты!$AT$64</f>
        <v>8633496.5456222761</v>
      </c>
    </row>
    <row r="56" spans="1:14" ht="11.25" customHeight="1" x14ac:dyDescent="0.2">
      <c r="A56" s="599"/>
      <c r="B56" s="599"/>
      <c r="C56" s="599"/>
      <c r="D56" s="599"/>
      <c r="E56" s="599"/>
      <c r="F56" s="599"/>
      <c r="G56" s="599"/>
      <c r="H56" s="599"/>
      <c r="I56" s="599"/>
      <c r="J56" s="599"/>
      <c r="K56" s="599"/>
      <c r="L56" s="599"/>
      <c r="M56" s="599"/>
      <c r="N56" s="682"/>
    </row>
    <row r="57" spans="1:14" ht="11.25" customHeight="1" x14ac:dyDescent="0.2">
      <c r="A57" s="947" t="str">
        <f>Резиденты!$A$66</f>
        <v>* - расчет производительности труда согласно методике Постановления Правительства РФ №831</v>
      </c>
      <c r="B57" s="945"/>
      <c r="C57" s="599"/>
      <c r="D57" s="599"/>
      <c r="E57" s="599"/>
      <c r="F57" s="599"/>
      <c r="G57" s="599"/>
      <c r="H57" s="599"/>
      <c r="I57" s="599"/>
      <c r="J57" s="599"/>
      <c r="K57" s="599"/>
      <c r="L57" s="599"/>
      <c r="M57" s="599"/>
      <c r="N57" s="682"/>
    </row>
    <row r="58" spans="1:14" ht="22.5" x14ac:dyDescent="0.2">
      <c r="A58" s="948" t="str">
        <f>Резиденты!A67</f>
        <v>базовый год расчета производительности труда (год начисления резидентами первого НДС к уплате)</v>
      </c>
      <c r="B58" s="949">
        <f ca="1">Резиденты!B67</f>
        <v>2023</v>
      </c>
      <c r="C58" s="599"/>
      <c r="D58" s="599"/>
      <c r="E58" s="599"/>
      <c r="F58" s="599"/>
      <c r="G58" s="599"/>
      <c r="H58" s="599"/>
      <c r="I58" s="599"/>
      <c r="J58" s="599"/>
      <c r="K58" s="599"/>
      <c r="L58" s="599"/>
      <c r="M58" s="599"/>
      <c r="N58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18&amp;R&amp;"Arial,полужирный"&amp;10Проект создания ИП «Бугры» на территории Ленинградской области
&amp;C&amp;"Arial,полужирный"&amp;13
ОСНОВНЫЕ ПОКАЗАТЕЛИ ДЕЯТЕЛЬНОСТИ ПАРКА</oddHeader>
    <oddFooter>&amp;R&amp;P</oddFooter>
  </headerFooter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outlinePr summaryBelow="0" summaryRight="0"/>
  </sheetPr>
  <dimension ref="A1:AT255"/>
  <sheetViews>
    <sheetView workbookViewId="0">
      <selection sqref="A1:C2"/>
    </sheetView>
  </sheetViews>
  <sheetFormatPr defaultRowHeight="11.25" outlineLevelRow="1" x14ac:dyDescent="0.2"/>
  <cols>
    <col min="1" max="1" width="50.7109375" style="29" customWidth="1"/>
    <col min="2" max="3" width="12.7109375" style="29" customWidth="1"/>
    <col min="4" max="4" width="10.7109375" style="29" customWidth="1"/>
    <col min="5" max="44" width="8.7109375" style="29" customWidth="1"/>
    <col min="45" max="45" width="1.7109375" style="29" customWidth="1"/>
    <col min="46" max="16384" width="9.140625" style="29"/>
  </cols>
  <sheetData>
    <row r="1" spans="1:46" s="1" customFormat="1" ht="12.75" customHeight="1" x14ac:dyDescent="0.2">
      <c r="A1" s="1024" t="str">
        <f xml:space="preserve"> Параметры!$A$4</f>
        <v xml:space="preserve">Проект создания ИП «Бугры» на территории Ленинградской области
</v>
      </c>
      <c r="B1" s="1024"/>
      <c r="C1" s="1024"/>
      <c r="D1" s="16"/>
      <c r="E1" s="18" t="str">
        <f t="shared" ref="E1:AR1" si="0">E$53</f>
        <v>1 кв. 2020</v>
      </c>
      <c r="F1" s="18" t="str">
        <f t="shared" si="0"/>
        <v>2 кв. 2020</v>
      </c>
      <c r="G1" s="18" t="str">
        <f t="shared" si="0"/>
        <v>3 кв. 2020</v>
      </c>
      <c r="H1" s="18" t="str">
        <f t="shared" si="0"/>
        <v>4 кв. 2020</v>
      </c>
      <c r="I1" s="18" t="str">
        <f t="shared" si="0"/>
        <v>1 кв. 2021</v>
      </c>
      <c r="J1" s="18" t="str">
        <f t="shared" si="0"/>
        <v>2 кв. 2021</v>
      </c>
      <c r="K1" s="18" t="str">
        <f t="shared" si="0"/>
        <v>3 кв. 2021</v>
      </c>
      <c r="L1" s="18" t="str">
        <f t="shared" si="0"/>
        <v>4 кв. 2021</v>
      </c>
      <c r="M1" s="18" t="str">
        <f t="shared" si="0"/>
        <v>1 кв. 2022</v>
      </c>
      <c r="N1" s="18" t="str">
        <f t="shared" si="0"/>
        <v>2 кв. 2022</v>
      </c>
      <c r="O1" s="18" t="str">
        <f t="shared" si="0"/>
        <v>3 кв. 2022</v>
      </c>
      <c r="P1" s="18" t="str">
        <f t="shared" si="0"/>
        <v>4 кв. 2022</v>
      </c>
      <c r="Q1" s="18" t="str">
        <f t="shared" si="0"/>
        <v>1 кв. 2023</v>
      </c>
      <c r="R1" s="18" t="str">
        <f t="shared" si="0"/>
        <v>2 кв. 2023</v>
      </c>
      <c r="S1" s="18" t="str">
        <f t="shared" si="0"/>
        <v>3 кв. 2023</v>
      </c>
      <c r="T1" s="18" t="str">
        <f t="shared" si="0"/>
        <v>4 кв. 2023</v>
      </c>
      <c r="U1" s="18" t="str">
        <f t="shared" si="0"/>
        <v>1 кв. 2024</v>
      </c>
      <c r="V1" s="18" t="str">
        <f t="shared" si="0"/>
        <v>2 кв. 2024</v>
      </c>
      <c r="W1" s="18" t="str">
        <f t="shared" si="0"/>
        <v>3 кв. 2024</v>
      </c>
      <c r="X1" s="18" t="str">
        <f t="shared" si="0"/>
        <v>4 кв. 2024</v>
      </c>
      <c r="Y1" s="18" t="str">
        <f t="shared" si="0"/>
        <v>1 кв. 2025</v>
      </c>
      <c r="Z1" s="18" t="str">
        <f t="shared" si="0"/>
        <v>2 кв. 2025</v>
      </c>
      <c r="AA1" s="18" t="str">
        <f t="shared" si="0"/>
        <v>3 кв. 2025</v>
      </c>
      <c r="AB1" s="18" t="str">
        <f t="shared" si="0"/>
        <v>4 кв. 2025</v>
      </c>
      <c r="AC1" s="18" t="str">
        <f t="shared" si="0"/>
        <v>1 кв. 2026</v>
      </c>
      <c r="AD1" s="18" t="str">
        <f t="shared" si="0"/>
        <v>2 кв. 2026</v>
      </c>
      <c r="AE1" s="18" t="str">
        <f t="shared" si="0"/>
        <v>3 кв. 2026</v>
      </c>
      <c r="AF1" s="18" t="str">
        <f t="shared" si="0"/>
        <v>4 кв. 2026</v>
      </c>
      <c r="AG1" s="18" t="str">
        <f t="shared" si="0"/>
        <v>1 кв. 2027</v>
      </c>
      <c r="AH1" s="18" t="str">
        <f t="shared" si="0"/>
        <v>2 кв. 2027</v>
      </c>
      <c r="AI1" s="18" t="str">
        <f t="shared" si="0"/>
        <v>3 кв. 2027</v>
      </c>
      <c r="AJ1" s="18" t="str">
        <f t="shared" si="0"/>
        <v>4 кв. 2027</v>
      </c>
      <c r="AK1" s="18" t="str">
        <f t="shared" si="0"/>
        <v>1 кв. 2028</v>
      </c>
      <c r="AL1" s="18" t="str">
        <f t="shared" si="0"/>
        <v>2 кв. 2028</v>
      </c>
      <c r="AM1" s="18" t="str">
        <f t="shared" si="0"/>
        <v>3 кв. 2028</v>
      </c>
      <c r="AN1" s="18" t="str">
        <f t="shared" si="0"/>
        <v>4 кв. 2028</v>
      </c>
      <c r="AO1" s="18" t="str">
        <f t="shared" si="0"/>
        <v>1 кв. 2029</v>
      </c>
      <c r="AP1" s="18" t="str">
        <f t="shared" si="0"/>
        <v>2 кв. 2029</v>
      </c>
      <c r="AQ1" s="18" t="str">
        <f t="shared" si="0"/>
        <v>3 кв. 2029</v>
      </c>
      <c r="AR1" s="18" t="str">
        <f t="shared" si="0"/>
        <v>4 кв. 2029</v>
      </c>
    </row>
    <row r="2" spans="1:46" s="1" customFormat="1" ht="12.75" customHeight="1" x14ac:dyDescent="0.2">
      <c r="A2" s="1024"/>
      <c r="B2" s="1024"/>
      <c r="C2" s="1024"/>
      <c r="D2" s="15"/>
      <c r="E2" s="8">
        <f t="shared" ref="E2:I2" si="1">E36</f>
        <v>1</v>
      </c>
      <c r="F2" s="8">
        <f t="shared" si="1"/>
        <v>2</v>
      </c>
      <c r="G2" s="8">
        <f t="shared" si="1"/>
        <v>3</v>
      </c>
      <c r="H2" s="8">
        <f t="shared" si="1"/>
        <v>4</v>
      </c>
      <c r="I2" s="8">
        <f t="shared" si="1"/>
        <v>5</v>
      </c>
      <c r="J2" s="8">
        <f t="shared" ref="J2:K2" si="2">J36</f>
        <v>6</v>
      </c>
      <c r="K2" s="8">
        <f t="shared" si="2"/>
        <v>7</v>
      </c>
      <c r="L2" s="8">
        <f t="shared" ref="L2:M2" si="3">L36</f>
        <v>8</v>
      </c>
      <c r="M2" s="8">
        <f t="shared" si="3"/>
        <v>9</v>
      </c>
      <c r="N2" s="8">
        <f t="shared" ref="N2:O2" si="4">N36</f>
        <v>10</v>
      </c>
      <c r="O2" s="8">
        <f t="shared" si="4"/>
        <v>11</v>
      </c>
      <c r="P2" s="8">
        <f t="shared" ref="P2:Q2" si="5">P36</f>
        <v>12</v>
      </c>
      <c r="Q2" s="8">
        <f t="shared" si="5"/>
        <v>13</v>
      </c>
      <c r="R2" s="8">
        <f t="shared" ref="R2:S2" si="6">R36</f>
        <v>14</v>
      </c>
      <c r="S2" s="8">
        <f t="shared" si="6"/>
        <v>15</v>
      </c>
      <c r="T2" s="8">
        <f t="shared" ref="T2:U2" si="7">T36</f>
        <v>16</v>
      </c>
      <c r="U2" s="8">
        <f t="shared" si="7"/>
        <v>17</v>
      </c>
      <c r="V2" s="8">
        <f t="shared" ref="V2:W2" si="8">V36</f>
        <v>18</v>
      </c>
      <c r="W2" s="8">
        <f t="shared" si="8"/>
        <v>19</v>
      </c>
      <c r="X2" s="8">
        <f t="shared" ref="X2:Y2" si="9">X36</f>
        <v>20</v>
      </c>
      <c r="Y2" s="8">
        <f t="shared" si="9"/>
        <v>21</v>
      </c>
      <c r="Z2" s="8">
        <f t="shared" ref="Z2:AA2" si="10">Z36</f>
        <v>22</v>
      </c>
      <c r="AA2" s="8">
        <f t="shared" si="10"/>
        <v>23</v>
      </c>
      <c r="AB2" s="8">
        <f t="shared" ref="AB2:AC2" si="11">AB36</f>
        <v>24</v>
      </c>
      <c r="AC2" s="8">
        <f t="shared" si="11"/>
        <v>25</v>
      </c>
      <c r="AD2" s="8">
        <f t="shared" ref="AD2:AE2" si="12">AD36</f>
        <v>26</v>
      </c>
      <c r="AE2" s="8">
        <f t="shared" si="12"/>
        <v>27</v>
      </c>
      <c r="AF2" s="8">
        <f t="shared" ref="AF2:AG2" si="13">AF36</f>
        <v>28</v>
      </c>
      <c r="AG2" s="8">
        <f t="shared" si="13"/>
        <v>29</v>
      </c>
      <c r="AH2" s="8">
        <f t="shared" ref="AH2:AI2" si="14">AH36</f>
        <v>30</v>
      </c>
      <c r="AI2" s="8">
        <f t="shared" si="14"/>
        <v>31</v>
      </c>
      <c r="AJ2" s="8">
        <f t="shared" ref="AJ2:AK2" si="15">AJ36</f>
        <v>32</v>
      </c>
      <c r="AK2" s="8">
        <f t="shared" si="15"/>
        <v>33</v>
      </c>
      <c r="AL2" s="8">
        <f t="shared" ref="AL2:AM2" si="16">AL36</f>
        <v>34</v>
      </c>
      <c r="AM2" s="8">
        <f t="shared" si="16"/>
        <v>35</v>
      </c>
      <c r="AN2" s="8">
        <f t="shared" ref="AN2:AO2" si="17">AN36</f>
        <v>36</v>
      </c>
      <c r="AO2" s="8">
        <f t="shared" si="17"/>
        <v>37</v>
      </c>
      <c r="AP2" s="8">
        <f t="shared" ref="AP2:AQ2" si="18">AP36</f>
        <v>38</v>
      </c>
      <c r="AQ2" s="8">
        <f t="shared" si="18"/>
        <v>39</v>
      </c>
      <c r="AR2" s="8">
        <f t="shared" ref="AR2" si="19">AR36</f>
        <v>40</v>
      </c>
    </row>
    <row r="3" spans="1:46" x14ac:dyDescent="0.2">
      <c r="A3" s="60" t="s">
        <v>15</v>
      </c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</row>
    <row r="4" spans="1:46" x14ac:dyDescent="0.2">
      <c r="A4" s="537" t="s">
        <v>639</v>
      </c>
      <c r="B4" s="330"/>
      <c r="C4" s="330"/>
      <c r="D4" s="40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</row>
    <row r="5" spans="1:46" ht="12" thickBot="1" x14ac:dyDescent="0.25"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</row>
    <row r="6" spans="1:46" s="43" customFormat="1" ht="25.5" customHeight="1" thickBot="1" x14ac:dyDescent="0.25">
      <c r="A6" s="476" t="s">
        <v>371</v>
      </c>
      <c r="B6" s="477"/>
      <c r="C6" s="477"/>
      <c r="D6" s="478"/>
      <c r="E6" s="479" t="str">
        <f t="shared" ref="E6:AR6" si="20">CHOOSE($B$16,E$53,E$54)</f>
        <v>1 кв. 2020</v>
      </c>
      <c r="F6" s="479" t="str">
        <f t="shared" si="20"/>
        <v>2 кв. 2020</v>
      </c>
      <c r="G6" s="479" t="str">
        <f t="shared" si="20"/>
        <v>3 кв. 2020</v>
      </c>
      <c r="H6" s="479" t="str">
        <f t="shared" si="20"/>
        <v>4 кв. 2020</v>
      </c>
      <c r="I6" s="479" t="str">
        <f t="shared" si="20"/>
        <v>1 кв. 2021</v>
      </c>
      <c r="J6" s="479" t="str">
        <f t="shared" si="20"/>
        <v>2 кв. 2021</v>
      </c>
      <c r="K6" s="479" t="str">
        <f t="shared" si="20"/>
        <v>3 кв. 2021</v>
      </c>
      <c r="L6" s="479" t="str">
        <f t="shared" si="20"/>
        <v>4 кв. 2021</v>
      </c>
      <c r="M6" s="479" t="str">
        <f t="shared" si="20"/>
        <v>1 кв. 2022</v>
      </c>
      <c r="N6" s="479" t="str">
        <f t="shared" si="20"/>
        <v>2 кв. 2022</v>
      </c>
      <c r="O6" s="479" t="str">
        <f t="shared" si="20"/>
        <v>3 кв. 2022</v>
      </c>
      <c r="P6" s="479" t="str">
        <f t="shared" si="20"/>
        <v>4 кв. 2022</v>
      </c>
      <c r="Q6" s="479" t="str">
        <f t="shared" si="20"/>
        <v>1 кв. 2023</v>
      </c>
      <c r="R6" s="479" t="str">
        <f t="shared" si="20"/>
        <v>2 кв. 2023</v>
      </c>
      <c r="S6" s="479" t="str">
        <f t="shared" si="20"/>
        <v>3 кв. 2023</v>
      </c>
      <c r="T6" s="479" t="str">
        <f t="shared" si="20"/>
        <v>4 кв. 2023</v>
      </c>
      <c r="U6" s="479" t="str">
        <f t="shared" si="20"/>
        <v>1 кв. 2024</v>
      </c>
      <c r="V6" s="479" t="str">
        <f t="shared" si="20"/>
        <v>2 кв. 2024</v>
      </c>
      <c r="W6" s="479" t="str">
        <f t="shared" si="20"/>
        <v>3 кв. 2024</v>
      </c>
      <c r="X6" s="479" t="str">
        <f t="shared" si="20"/>
        <v>4 кв. 2024</v>
      </c>
      <c r="Y6" s="479" t="str">
        <f t="shared" si="20"/>
        <v>1 кв. 2025</v>
      </c>
      <c r="Z6" s="479" t="str">
        <f t="shared" si="20"/>
        <v>2 кв. 2025</v>
      </c>
      <c r="AA6" s="479" t="str">
        <f t="shared" si="20"/>
        <v>3 кв. 2025</v>
      </c>
      <c r="AB6" s="479" t="str">
        <f t="shared" si="20"/>
        <v>4 кв. 2025</v>
      </c>
      <c r="AC6" s="479" t="str">
        <f t="shared" si="20"/>
        <v>1 кв. 2026</v>
      </c>
      <c r="AD6" s="479" t="str">
        <f t="shared" si="20"/>
        <v>2 кв. 2026</v>
      </c>
      <c r="AE6" s="479" t="str">
        <f t="shared" si="20"/>
        <v>3 кв. 2026</v>
      </c>
      <c r="AF6" s="479" t="str">
        <f t="shared" si="20"/>
        <v>4 кв. 2026</v>
      </c>
      <c r="AG6" s="479" t="str">
        <f t="shared" si="20"/>
        <v>1 кв. 2027</v>
      </c>
      <c r="AH6" s="479" t="str">
        <f t="shared" si="20"/>
        <v>2 кв. 2027</v>
      </c>
      <c r="AI6" s="479" t="str">
        <f t="shared" si="20"/>
        <v>3 кв. 2027</v>
      </c>
      <c r="AJ6" s="479" t="str">
        <f t="shared" si="20"/>
        <v>4 кв. 2027</v>
      </c>
      <c r="AK6" s="479" t="str">
        <f t="shared" si="20"/>
        <v>1 кв. 2028</v>
      </c>
      <c r="AL6" s="479" t="str">
        <f t="shared" si="20"/>
        <v>2 кв. 2028</v>
      </c>
      <c r="AM6" s="479" t="str">
        <f t="shared" si="20"/>
        <v>3 кв. 2028</v>
      </c>
      <c r="AN6" s="479" t="str">
        <f t="shared" si="20"/>
        <v>4 кв. 2028</v>
      </c>
      <c r="AO6" s="479" t="str">
        <f t="shared" si="20"/>
        <v>1 кв. 2029</v>
      </c>
      <c r="AP6" s="479" t="str">
        <f t="shared" si="20"/>
        <v>2 кв. 2029</v>
      </c>
      <c r="AQ6" s="479" t="str">
        <f t="shared" si="20"/>
        <v>3 кв. 2029</v>
      </c>
      <c r="AR6" s="479" t="str">
        <f t="shared" si="20"/>
        <v>4 кв. 2029</v>
      </c>
      <c r="AS6" s="480"/>
      <c r="AT6" s="480"/>
    </row>
    <row r="7" spans="1:46" x14ac:dyDescent="0.2">
      <c r="A7" s="44"/>
      <c r="D7" s="40"/>
    </row>
    <row r="8" spans="1:46" x14ac:dyDescent="0.2">
      <c r="A8" s="63" t="s">
        <v>442</v>
      </c>
      <c r="B8" s="48">
        <f>DATE(Параметры!$B$14,Параметры!$B$15,1)</f>
        <v>43831</v>
      </c>
      <c r="D8" s="40"/>
    </row>
    <row r="9" spans="1:46" x14ac:dyDescent="0.2">
      <c r="A9" s="63" t="s">
        <v>4</v>
      </c>
      <c r="B9" s="6" t="s">
        <v>66</v>
      </c>
      <c r="D9" s="40"/>
    </row>
    <row r="10" spans="1:46" x14ac:dyDescent="0.2">
      <c r="A10" s="44"/>
      <c r="B10" s="6"/>
      <c r="D10" s="40"/>
    </row>
    <row r="11" spans="1:46" x14ac:dyDescent="0.2">
      <c r="A11" s="52" t="s">
        <v>337</v>
      </c>
      <c r="B11" s="6"/>
      <c r="D11" s="40"/>
    </row>
    <row r="12" spans="1:46" x14ac:dyDescent="0.2">
      <c r="A12" s="63" t="s">
        <v>5</v>
      </c>
      <c r="B12" s="6">
        <f>Параметры!$B$27*30</f>
        <v>90</v>
      </c>
      <c r="C12" s="266" t="s">
        <v>65</v>
      </c>
      <c r="D12" s="40"/>
    </row>
    <row r="13" spans="1:46" x14ac:dyDescent="0.2">
      <c r="A13" s="63" t="s">
        <v>311</v>
      </c>
      <c r="B13" s="6">
        <v>360</v>
      </c>
      <c r="C13" s="266" t="str">
        <f>C12</f>
        <v>дней</v>
      </c>
      <c r="D13" s="40"/>
    </row>
    <row r="14" spans="1:46" x14ac:dyDescent="0.2">
      <c r="A14" s="63" t="s">
        <v>9</v>
      </c>
      <c r="B14" s="6">
        <v>2020</v>
      </c>
      <c r="D14" s="40"/>
      <c r="H14" s="29" t="s">
        <v>460</v>
      </c>
    </row>
    <row r="15" spans="1:46" x14ac:dyDescent="0.2">
      <c r="A15" s="63" t="s">
        <v>10</v>
      </c>
      <c r="B15" s="6">
        <v>1</v>
      </c>
      <c r="C15" s="266" t="s">
        <v>34</v>
      </c>
      <c r="D15" s="40"/>
    </row>
    <row r="16" spans="1:46" x14ac:dyDescent="0.2">
      <c r="A16" s="63" t="s">
        <v>511</v>
      </c>
      <c r="B16" s="334">
        <v>1</v>
      </c>
      <c r="D16" s="40"/>
    </row>
    <row r="17" spans="1:44" x14ac:dyDescent="0.2">
      <c r="A17" s="44"/>
      <c r="B17" s="6"/>
      <c r="D17" s="40"/>
    </row>
    <row r="18" spans="1:44" x14ac:dyDescent="0.2">
      <c r="A18" s="52" t="s">
        <v>372</v>
      </c>
      <c r="B18" s="224" t="s">
        <v>390</v>
      </c>
      <c r="C18" s="224" t="s">
        <v>373</v>
      </c>
      <c r="D18" s="40"/>
    </row>
    <row r="19" spans="1:44" x14ac:dyDescent="0.2">
      <c r="A19" s="63" t="s">
        <v>6</v>
      </c>
      <c r="B19" s="6">
        <v>1</v>
      </c>
      <c r="C19" s="6" t="str">
        <f>Параметры!$B$64</f>
        <v>тыс. руб.</v>
      </c>
      <c r="D19" s="40"/>
    </row>
    <row r="20" spans="1:44" x14ac:dyDescent="0.2">
      <c r="A20" s="63" t="s">
        <v>7</v>
      </c>
      <c r="B20" s="6">
        <v>2</v>
      </c>
      <c r="C20" s="6" t="str">
        <f>Параметры!$B$108</f>
        <v>тыс. $</v>
      </c>
      <c r="D20" s="40"/>
    </row>
    <row r="21" spans="1:44" x14ac:dyDescent="0.2">
      <c r="A21" s="63" t="s">
        <v>8</v>
      </c>
      <c r="B21" s="3">
        <v>3</v>
      </c>
      <c r="C21" s="6" t="str">
        <f>Параметры!$B$117</f>
        <v>тыс. EUR</v>
      </c>
      <c r="D21" s="40"/>
    </row>
    <row r="22" spans="1:44" x14ac:dyDescent="0.2">
      <c r="A22" s="44"/>
      <c r="B22" s="6"/>
      <c r="D22" s="40"/>
    </row>
    <row r="23" spans="1:44" x14ac:dyDescent="0.2">
      <c r="A23" s="189" t="s">
        <v>336</v>
      </c>
      <c r="B23" s="6"/>
      <c r="D23" s="40"/>
    </row>
    <row r="24" spans="1:44" x14ac:dyDescent="0.2">
      <c r="A24" s="393" t="s">
        <v>333</v>
      </c>
      <c r="B24" s="2">
        <v>40</v>
      </c>
      <c r="C24" s="7" t="s">
        <v>31</v>
      </c>
      <c r="D24" s="40"/>
    </row>
    <row r="25" spans="1:44" x14ac:dyDescent="0.2">
      <c r="A25" s="393" t="s">
        <v>334</v>
      </c>
      <c r="B25" s="331">
        <v>0</v>
      </c>
      <c r="C25" s="7" t="s">
        <v>31</v>
      </c>
      <c r="D25" s="40"/>
    </row>
    <row r="26" spans="1:44" ht="22.5" x14ac:dyDescent="0.2">
      <c r="A26" s="424" t="s">
        <v>494</v>
      </c>
      <c r="B26" s="2">
        <v>2</v>
      </c>
      <c r="C26" s="7" t="s">
        <v>66</v>
      </c>
      <c r="D26" s="40"/>
    </row>
    <row r="27" spans="1:44" x14ac:dyDescent="0.2">
      <c r="A27" s="393" t="s">
        <v>335</v>
      </c>
      <c r="B27" s="2">
        <f>CHOOSE(Параметры!$B$26,1,3,12,6)</f>
        <v>3</v>
      </c>
      <c r="D27" s="40"/>
    </row>
    <row r="28" spans="1:44" x14ac:dyDescent="0.2">
      <c r="A28" s="393" t="s">
        <v>473</v>
      </c>
      <c r="B28" s="331">
        <f>Параметры!$B$27</f>
        <v>3</v>
      </c>
      <c r="D28" s="40"/>
    </row>
    <row r="29" spans="1:44" x14ac:dyDescent="0.2">
      <c r="A29" s="44"/>
      <c r="B29" s="6"/>
      <c r="D29" s="40"/>
      <c r="N29" s="82"/>
    </row>
    <row r="30" spans="1:44" x14ac:dyDescent="0.2">
      <c r="A30" s="45"/>
      <c r="B30" s="46"/>
      <c r="C30" s="46"/>
      <c r="D30" s="47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</row>
    <row r="31" spans="1:44" x14ac:dyDescent="0.2">
      <c r="A31" s="44"/>
      <c r="B31" s="266"/>
      <c r="D31" s="40"/>
      <c r="N31" s="82"/>
    </row>
    <row r="32" spans="1:44" x14ac:dyDescent="0.2">
      <c r="A32" s="44"/>
      <c r="B32" s="266"/>
      <c r="D32" s="40"/>
      <c r="N32" s="82"/>
    </row>
    <row r="33" spans="1:46" ht="12" thickBot="1" x14ac:dyDescent="0.25">
      <c r="A33" s="44"/>
      <c r="B33" s="266"/>
      <c r="D33" s="40"/>
      <c r="N33" s="82"/>
    </row>
    <row r="34" spans="1:46" s="43" customFormat="1" ht="25.5" customHeight="1" thickBot="1" x14ac:dyDescent="0.25">
      <c r="A34" s="476" t="s">
        <v>501</v>
      </c>
      <c r="B34" s="477"/>
      <c r="C34" s="477"/>
      <c r="D34" s="478"/>
      <c r="E34" s="479" t="str">
        <f t="shared" ref="E34:AR34" si="21">CHOOSE($B$16,E$53,E$54)</f>
        <v>1 кв. 2020</v>
      </c>
      <c r="F34" s="479" t="str">
        <f t="shared" si="21"/>
        <v>2 кв. 2020</v>
      </c>
      <c r="G34" s="479" t="str">
        <f t="shared" si="21"/>
        <v>3 кв. 2020</v>
      </c>
      <c r="H34" s="479" t="str">
        <f t="shared" si="21"/>
        <v>4 кв. 2020</v>
      </c>
      <c r="I34" s="479" t="str">
        <f t="shared" si="21"/>
        <v>1 кв. 2021</v>
      </c>
      <c r="J34" s="479" t="str">
        <f t="shared" si="21"/>
        <v>2 кв. 2021</v>
      </c>
      <c r="K34" s="479" t="str">
        <f t="shared" si="21"/>
        <v>3 кв. 2021</v>
      </c>
      <c r="L34" s="479" t="str">
        <f t="shared" si="21"/>
        <v>4 кв. 2021</v>
      </c>
      <c r="M34" s="479" t="str">
        <f t="shared" si="21"/>
        <v>1 кв. 2022</v>
      </c>
      <c r="N34" s="479" t="str">
        <f t="shared" si="21"/>
        <v>2 кв. 2022</v>
      </c>
      <c r="O34" s="479" t="str">
        <f t="shared" si="21"/>
        <v>3 кв. 2022</v>
      </c>
      <c r="P34" s="479" t="str">
        <f t="shared" si="21"/>
        <v>4 кв. 2022</v>
      </c>
      <c r="Q34" s="479" t="str">
        <f t="shared" si="21"/>
        <v>1 кв. 2023</v>
      </c>
      <c r="R34" s="479" t="str">
        <f t="shared" si="21"/>
        <v>2 кв. 2023</v>
      </c>
      <c r="S34" s="479" t="str">
        <f t="shared" si="21"/>
        <v>3 кв. 2023</v>
      </c>
      <c r="T34" s="479" t="str">
        <f t="shared" si="21"/>
        <v>4 кв. 2023</v>
      </c>
      <c r="U34" s="479" t="str">
        <f t="shared" si="21"/>
        <v>1 кв. 2024</v>
      </c>
      <c r="V34" s="479" t="str">
        <f t="shared" si="21"/>
        <v>2 кв. 2024</v>
      </c>
      <c r="W34" s="479" t="str">
        <f t="shared" si="21"/>
        <v>3 кв. 2024</v>
      </c>
      <c r="X34" s="479" t="str">
        <f t="shared" si="21"/>
        <v>4 кв. 2024</v>
      </c>
      <c r="Y34" s="479" t="str">
        <f t="shared" si="21"/>
        <v>1 кв. 2025</v>
      </c>
      <c r="Z34" s="479" t="str">
        <f t="shared" si="21"/>
        <v>2 кв. 2025</v>
      </c>
      <c r="AA34" s="479" t="str">
        <f t="shared" si="21"/>
        <v>3 кв. 2025</v>
      </c>
      <c r="AB34" s="479" t="str">
        <f t="shared" si="21"/>
        <v>4 кв. 2025</v>
      </c>
      <c r="AC34" s="479" t="str">
        <f t="shared" si="21"/>
        <v>1 кв. 2026</v>
      </c>
      <c r="AD34" s="479" t="str">
        <f t="shared" si="21"/>
        <v>2 кв. 2026</v>
      </c>
      <c r="AE34" s="479" t="str">
        <f t="shared" si="21"/>
        <v>3 кв. 2026</v>
      </c>
      <c r="AF34" s="479" t="str">
        <f t="shared" si="21"/>
        <v>4 кв. 2026</v>
      </c>
      <c r="AG34" s="479" t="str">
        <f t="shared" si="21"/>
        <v>1 кв. 2027</v>
      </c>
      <c r="AH34" s="479" t="str">
        <f t="shared" si="21"/>
        <v>2 кв. 2027</v>
      </c>
      <c r="AI34" s="479" t="str">
        <f t="shared" si="21"/>
        <v>3 кв. 2027</v>
      </c>
      <c r="AJ34" s="479" t="str">
        <f t="shared" si="21"/>
        <v>4 кв. 2027</v>
      </c>
      <c r="AK34" s="479" t="str">
        <f t="shared" si="21"/>
        <v>1 кв. 2028</v>
      </c>
      <c r="AL34" s="479" t="str">
        <f t="shared" si="21"/>
        <v>2 кв. 2028</v>
      </c>
      <c r="AM34" s="479" t="str">
        <f t="shared" si="21"/>
        <v>3 кв. 2028</v>
      </c>
      <c r="AN34" s="479" t="str">
        <f t="shared" si="21"/>
        <v>4 кв. 2028</v>
      </c>
      <c r="AO34" s="479" t="str">
        <f t="shared" si="21"/>
        <v>1 кв. 2029</v>
      </c>
      <c r="AP34" s="479" t="str">
        <f t="shared" si="21"/>
        <v>2 кв. 2029</v>
      </c>
      <c r="AQ34" s="479" t="str">
        <f t="shared" si="21"/>
        <v>3 кв. 2029</v>
      </c>
      <c r="AR34" s="479" t="str">
        <f t="shared" si="21"/>
        <v>4 кв. 2029</v>
      </c>
      <c r="AS34" s="480"/>
      <c r="AT34" s="480"/>
    </row>
    <row r="35" spans="1:46" x14ac:dyDescent="0.2">
      <c r="A35" s="44"/>
      <c r="B35" s="266"/>
      <c r="D35" s="40"/>
      <c r="N35" s="82"/>
    </row>
    <row r="36" spans="1:46" s="190" customFormat="1" x14ac:dyDescent="0.2">
      <c r="A36" s="218" t="s">
        <v>12</v>
      </c>
      <c r="E36" s="190">
        <v>1</v>
      </c>
      <c r="F36" s="190">
        <f t="shared" ref="F36:AR36" si="22">E36+1</f>
        <v>2</v>
      </c>
      <c r="G36" s="190">
        <f t="shared" si="22"/>
        <v>3</v>
      </c>
      <c r="H36" s="190">
        <f t="shared" si="22"/>
        <v>4</v>
      </c>
      <c r="I36" s="190">
        <f t="shared" si="22"/>
        <v>5</v>
      </c>
      <c r="J36" s="190">
        <f t="shared" si="22"/>
        <v>6</v>
      </c>
      <c r="K36" s="190">
        <f t="shared" si="22"/>
        <v>7</v>
      </c>
      <c r="L36" s="190">
        <f t="shared" si="22"/>
        <v>8</v>
      </c>
      <c r="M36" s="190">
        <f t="shared" si="22"/>
        <v>9</v>
      </c>
      <c r="N36" s="190">
        <f t="shared" si="22"/>
        <v>10</v>
      </c>
      <c r="O36" s="190">
        <f t="shared" si="22"/>
        <v>11</v>
      </c>
      <c r="P36" s="190">
        <f t="shared" si="22"/>
        <v>12</v>
      </c>
      <c r="Q36" s="190">
        <f t="shared" si="22"/>
        <v>13</v>
      </c>
      <c r="R36" s="190">
        <f t="shared" si="22"/>
        <v>14</v>
      </c>
      <c r="S36" s="190">
        <f t="shared" si="22"/>
        <v>15</v>
      </c>
      <c r="T36" s="190">
        <f t="shared" si="22"/>
        <v>16</v>
      </c>
      <c r="U36" s="190">
        <f t="shared" si="22"/>
        <v>17</v>
      </c>
      <c r="V36" s="190">
        <f t="shared" si="22"/>
        <v>18</v>
      </c>
      <c r="W36" s="190">
        <f t="shared" si="22"/>
        <v>19</v>
      </c>
      <c r="X36" s="190">
        <f t="shared" si="22"/>
        <v>20</v>
      </c>
      <c r="Y36" s="190">
        <f t="shared" si="22"/>
        <v>21</v>
      </c>
      <c r="Z36" s="190">
        <f t="shared" si="22"/>
        <v>22</v>
      </c>
      <c r="AA36" s="190">
        <f t="shared" si="22"/>
        <v>23</v>
      </c>
      <c r="AB36" s="190">
        <f t="shared" si="22"/>
        <v>24</v>
      </c>
      <c r="AC36" s="190">
        <f t="shared" si="22"/>
        <v>25</v>
      </c>
      <c r="AD36" s="190">
        <f t="shared" si="22"/>
        <v>26</v>
      </c>
      <c r="AE36" s="190">
        <f t="shared" si="22"/>
        <v>27</v>
      </c>
      <c r="AF36" s="190">
        <f t="shared" si="22"/>
        <v>28</v>
      </c>
      <c r="AG36" s="190">
        <f t="shared" si="22"/>
        <v>29</v>
      </c>
      <c r="AH36" s="190">
        <f t="shared" si="22"/>
        <v>30</v>
      </c>
      <c r="AI36" s="190">
        <f t="shared" si="22"/>
        <v>31</v>
      </c>
      <c r="AJ36" s="190">
        <f t="shared" si="22"/>
        <v>32</v>
      </c>
      <c r="AK36" s="190">
        <f t="shared" si="22"/>
        <v>33</v>
      </c>
      <c r="AL36" s="190">
        <f t="shared" si="22"/>
        <v>34</v>
      </c>
      <c r="AM36" s="190">
        <f t="shared" si="22"/>
        <v>35</v>
      </c>
      <c r="AN36" s="190">
        <f t="shared" si="22"/>
        <v>36</v>
      </c>
      <c r="AO36" s="190">
        <f t="shared" si="22"/>
        <v>37</v>
      </c>
      <c r="AP36" s="190">
        <f t="shared" si="22"/>
        <v>38</v>
      </c>
      <c r="AQ36" s="190">
        <f t="shared" si="22"/>
        <v>39</v>
      </c>
      <c r="AR36" s="190">
        <f t="shared" si="22"/>
        <v>40</v>
      </c>
    </row>
    <row r="37" spans="1:46" s="190" customFormat="1" x14ac:dyDescent="0.2">
      <c r="A37" s="218" t="s">
        <v>11</v>
      </c>
      <c r="E37" s="191">
        <f>Параметры!$B$8</f>
        <v>43831</v>
      </c>
      <c r="F37" s="191">
        <f t="shared" ref="F37:AR37" si="23">EDATE(E37,E40)</f>
        <v>43922</v>
      </c>
      <c r="G37" s="191">
        <f t="shared" si="23"/>
        <v>44013</v>
      </c>
      <c r="H37" s="191">
        <f t="shared" si="23"/>
        <v>44105</v>
      </c>
      <c r="I37" s="191">
        <f t="shared" si="23"/>
        <v>44197</v>
      </c>
      <c r="J37" s="191">
        <f t="shared" si="23"/>
        <v>44287</v>
      </c>
      <c r="K37" s="191">
        <f t="shared" si="23"/>
        <v>44378</v>
      </c>
      <c r="L37" s="191">
        <f t="shared" si="23"/>
        <v>44470</v>
      </c>
      <c r="M37" s="191">
        <f t="shared" si="23"/>
        <v>44562</v>
      </c>
      <c r="N37" s="191">
        <f t="shared" si="23"/>
        <v>44652</v>
      </c>
      <c r="O37" s="191">
        <f t="shared" si="23"/>
        <v>44743</v>
      </c>
      <c r="P37" s="191">
        <f t="shared" si="23"/>
        <v>44835</v>
      </c>
      <c r="Q37" s="191">
        <f t="shared" si="23"/>
        <v>44927</v>
      </c>
      <c r="R37" s="191">
        <f t="shared" si="23"/>
        <v>45017</v>
      </c>
      <c r="S37" s="191">
        <f t="shared" si="23"/>
        <v>45108</v>
      </c>
      <c r="T37" s="191">
        <f t="shared" si="23"/>
        <v>45200</v>
      </c>
      <c r="U37" s="191">
        <f t="shared" si="23"/>
        <v>45292</v>
      </c>
      <c r="V37" s="191">
        <f t="shared" si="23"/>
        <v>45383</v>
      </c>
      <c r="W37" s="191">
        <f t="shared" si="23"/>
        <v>45474</v>
      </c>
      <c r="X37" s="191">
        <f t="shared" si="23"/>
        <v>45566</v>
      </c>
      <c r="Y37" s="191">
        <f t="shared" si="23"/>
        <v>45658</v>
      </c>
      <c r="Z37" s="191">
        <f t="shared" si="23"/>
        <v>45748</v>
      </c>
      <c r="AA37" s="191">
        <f t="shared" si="23"/>
        <v>45839</v>
      </c>
      <c r="AB37" s="191">
        <f t="shared" si="23"/>
        <v>45931</v>
      </c>
      <c r="AC37" s="191">
        <f t="shared" si="23"/>
        <v>46023</v>
      </c>
      <c r="AD37" s="191">
        <f t="shared" si="23"/>
        <v>46113</v>
      </c>
      <c r="AE37" s="191">
        <f t="shared" si="23"/>
        <v>46204</v>
      </c>
      <c r="AF37" s="191">
        <f t="shared" si="23"/>
        <v>46296</v>
      </c>
      <c r="AG37" s="191">
        <f t="shared" si="23"/>
        <v>46388</v>
      </c>
      <c r="AH37" s="191">
        <f t="shared" si="23"/>
        <v>46478</v>
      </c>
      <c r="AI37" s="191">
        <f t="shared" si="23"/>
        <v>46569</v>
      </c>
      <c r="AJ37" s="191">
        <f t="shared" si="23"/>
        <v>46661</v>
      </c>
      <c r="AK37" s="191">
        <f t="shared" si="23"/>
        <v>46753</v>
      </c>
      <c r="AL37" s="191">
        <f t="shared" si="23"/>
        <v>46844</v>
      </c>
      <c r="AM37" s="191">
        <f t="shared" si="23"/>
        <v>46935</v>
      </c>
      <c r="AN37" s="191">
        <f t="shared" si="23"/>
        <v>47027</v>
      </c>
      <c r="AO37" s="191">
        <f t="shared" si="23"/>
        <v>47119</v>
      </c>
      <c r="AP37" s="191">
        <f t="shared" si="23"/>
        <v>47209</v>
      </c>
      <c r="AQ37" s="191">
        <f t="shared" si="23"/>
        <v>47300</v>
      </c>
      <c r="AR37" s="191">
        <f t="shared" si="23"/>
        <v>47392</v>
      </c>
    </row>
    <row r="38" spans="1:46" s="190" customFormat="1" x14ac:dyDescent="0.2">
      <c r="A38" s="218" t="s">
        <v>33</v>
      </c>
      <c r="E38" s="191">
        <f t="shared" ref="E38:AB38" si="24">EDATE(E37,E40)-1</f>
        <v>43921</v>
      </c>
      <c r="F38" s="191">
        <f t="shared" si="24"/>
        <v>44012</v>
      </c>
      <c r="G38" s="191">
        <f t="shared" si="24"/>
        <v>44104</v>
      </c>
      <c r="H38" s="191">
        <f t="shared" si="24"/>
        <v>44196</v>
      </c>
      <c r="I38" s="191">
        <f t="shared" si="24"/>
        <v>44286</v>
      </c>
      <c r="J38" s="191">
        <f t="shared" si="24"/>
        <v>44377</v>
      </c>
      <c r="K38" s="191">
        <f t="shared" si="24"/>
        <v>44469</v>
      </c>
      <c r="L38" s="191">
        <f t="shared" si="24"/>
        <v>44561</v>
      </c>
      <c r="M38" s="191">
        <f t="shared" si="24"/>
        <v>44651</v>
      </c>
      <c r="N38" s="191">
        <f t="shared" si="24"/>
        <v>44742</v>
      </c>
      <c r="O38" s="191">
        <f t="shared" si="24"/>
        <v>44834</v>
      </c>
      <c r="P38" s="191">
        <f t="shared" si="24"/>
        <v>44926</v>
      </c>
      <c r="Q38" s="191">
        <f t="shared" si="24"/>
        <v>45016</v>
      </c>
      <c r="R38" s="191">
        <f t="shared" si="24"/>
        <v>45107</v>
      </c>
      <c r="S38" s="191">
        <f t="shared" si="24"/>
        <v>45199</v>
      </c>
      <c r="T38" s="191">
        <f t="shared" si="24"/>
        <v>45291</v>
      </c>
      <c r="U38" s="191">
        <f t="shared" si="24"/>
        <v>45382</v>
      </c>
      <c r="V38" s="191">
        <f t="shared" si="24"/>
        <v>45473</v>
      </c>
      <c r="W38" s="191">
        <f t="shared" si="24"/>
        <v>45565</v>
      </c>
      <c r="X38" s="191">
        <f t="shared" si="24"/>
        <v>45657</v>
      </c>
      <c r="Y38" s="191">
        <f t="shared" si="24"/>
        <v>45747</v>
      </c>
      <c r="Z38" s="191">
        <f t="shared" si="24"/>
        <v>45838</v>
      </c>
      <c r="AA38" s="191">
        <f t="shared" si="24"/>
        <v>45930</v>
      </c>
      <c r="AB38" s="191">
        <f t="shared" si="24"/>
        <v>46022</v>
      </c>
      <c r="AC38" s="191">
        <f t="shared" ref="AC38:AD38" si="25">EDATE(AC37,AC40)-1</f>
        <v>46112</v>
      </c>
      <c r="AD38" s="191">
        <f t="shared" si="25"/>
        <v>46203</v>
      </c>
      <c r="AE38" s="191">
        <f t="shared" ref="AE38:AF38" si="26">EDATE(AE37,AE40)-1</f>
        <v>46295</v>
      </c>
      <c r="AF38" s="191">
        <f t="shared" si="26"/>
        <v>46387</v>
      </c>
      <c r="AG38" s="191">
        <f t="shared" ref="AG38:AH38" si="27">EDATE(AG37,AG40)-1</f>
        <v>46477</v>
      </c>
      <c r="AH38" s="191">
        <f t="shared" si="27"/>
        <v>46568</v>
      </c>
      <c r="AI38" s="191">
        <f t="shared" ref="AI38:AJ38" si="28">EDATE(AI37,AI40)-1</f>
        <v>46660</v>
      </c>
      <c r="AJ38" s="191">
        <f t="shared" si="28"/>
        <v>46752</v>
      </c>
      <c r="AK38" s="191">
        <f t="shared" ref="AK38:AL38" si="29">EDATE(AK37,AK40)-1</f>
        <v>46843</v>
      </c>
      <c r="AL38" s="191">
        <f t="shared" si="29"/>
        <v>46934</v>
      </c>
      <c r="AM38" s="191">
        <f t="shared" ref="AM38:AN38" si="30">EDATE(AM37,AM40)-1</f>
        <v>47026</v>
      </c>
      <c r="AN38" s="191">
        <f t="shared" si="30"/>
        <v>47118</v>
      </c>
      <c r="AO38" s="191">
        <f t="shared" ref="AO38:AP38" si="31">EDATE(AO37,AO40)-1</f>
        <v>47208</v>
      </c>
      <c r="AP38" s="191">
        <f t="shared" si="31"/>
        <v>47299</v>
      </c>
      <c r="AQ38" s="191">
        <f t="shared" ref="AQ38:AR38" si="32">EDATE(AQ37,AQ40)-1</f>
        <v>47391</v>
      </c>
      <c r="AR38" s="191">
        <f t="shared" si="32"/>
        <v>47483</v>
      </c>
    </row>
    <row r="39" spans="1:46" s="190" customFormat="1" x14ac:dyDescent="0.2">
      <c r="A39" s="218" t="s">
        <v>13</v>
      </c>
      <c r="E39" s="190">
        <f t="shared" ref="E39:AR39" si="33">E40*30</f>
        <v>90</v>
      </c>
      <c r="F39" s="190">
        <f t="shared" si="33"/>
        <v>90</v>
      </c>
      <c r="G39" s="190">
        <f t="shared" si="33"/>
        <v>90</v>
      </c>
      <c r="H39" s="190">
        <f t="shared" si="33"/>
        <v>90</v>
      </c>
      <c r="I39" s="190">
        <f t="shared" si="33"/>
        <v>90</v>
      </c>
      <c r="J39" s="190">
        <f t="shared" si="33"/>
        <v>90</v>
      </c>
      <c r="K39" s="190">
        <f t="shared" si="33"/>
        <v>90</v>
      </c>
      <c r="L39" s="190">
        <f t="shared" si="33"/>
        <v>90</v>
      </c>
      <c r="M39" s="190">
        <f t="shared" si="33"/>
        <v>90</v>
      </c>
      <c r="N39" s="190">
        <f t="shared" si="33"/>
        <v>90</v>
      </c>
      <c r="O39" s="190">
        <f t="shared" si="33"/>
        <v>90</v>
      </c>
      <c r="P39" s="190">
        <f t="shared" si="33"/>
        <v>90</v>
      </c>
      <c r="Q39" s="190">
        <f t="shared" si="33"/>
        <v>90</v>
      </c>
      <c r="R39" s="190">
        <f t="shared" si="33"/>
        <v>90</v>
      </c>
      <c r="S39" s="190">
        <f t="shared" si="33"/>
        <v>90</v>
      </c>
      <c r="T39" s="190">
        <f t="shared" si="33"/>
        <v>90</v>
      </c>
      <c r="U39" s="190">
        <f t="shared" si="33"/>
        <v>90</v>
      </c>
      <c r="V39" s="190">
        <f t="shared" si="33"/>
        <v>90</v>
      </c>
      <c r="W39" s="190">
        <f t="shared" si="33"/>
        <v>90</v>
      </c>
      <c r="X39" s="190">
        <f t="shared" si="33"/>
        <v>90</v>
      </c>
      <c r="Y39" s="190">
        <f t="shared" si="33"/>
        <v>90</v>
      </c>
      <c r="Z39" s="190">
        <f t="shared" si="33"/>
        <v>90</v>
      </c>
      <c r="AA39" s="190">
        <f t="shared" si="33"/>
        <v>90</v>
      </c>
      <c r="AB39" s="190">
        <f t="shared" si="33"/>
        <v>90</v>
      </c>
      <c r="AC39" s="190">
        <f t="shared" si="33"/>
        <v>90</v>
      </c>
      <c r="AD39" s="190">
        <f t="shared" si="33"/>
        <v>90</v>
      </c>
      <c r="AE39" s="190">
        <f t="shared" si="33"/>
        <v>90</v>
      </c>
      <c r="AF39" s="190">
        <f t="shared" si="33"/>
        <v>90</v>
      </c>
      <c r="AG39" s="190">
        <f t="shared" si="33"/>
        <v>90</v>
      </c>
      <c r="AH39" s="190">
        <f t="shared" si="33"/>
        <v>90</v>
      </c>
      <c r="AI39" s="190">
        <f t="shared" si="33"/>
        <v>90</v>
      </c>
      <c r="AJ39" s="190">
        <f t="shared" si="33"/>
        <v>90</v>
      </c>
      <c r="AK39" s="190">
        <f t="shared" si="33"/>
        <v>90</v>
      </c>
      <c r="AL39" s="190">
        <f t="shared" si="33"/>
        <v>90</v>
      </c>
      <c r="AM39" s="190">
        <f t="shared" si="33"/>
        <v>90</v>
      </c>
      <c r="AN39" s="190">
        <f t="shared" si="33"/>
        <v>90</v>
      </c>
      <c r="AO39" s="190">
        <f t="shared" si="33"/>
        <v>90</v>
      </c>
      <c r="AP39" s="190">
        <f t="shared" si="33"/>
        <v>90</v>
      </c>
      <c r="AQ39" s="190">
        <f t="shared" si="33"/>
        <v>90</v>
      </c>
      <c r="AR39" s="190">
        <f t="shared" si="33"/>
        <v>90</v>
      </c>
    </row>
    <row r="40" spans="1:46" s="190" customFormat="1" x14ac:dyDescent="0.2">
      <c r="A40" s="218" t="s">
        <v>32</v>
      </c>
      <c r="E40" s="190">
        <f>Параметры!$B$27-MOD(E43-1,Параметры!$B$27)</f>
        <v>3</v>
      </c>
      <c r="F40" s="190">
        <f>Параметры!$B$27</f>
        <v>3</v>
      </c>
      <c r="G40" s="190">
        <f>Параметры!$B$27</f>
        <v>3</v>
      </c>
      <c r="H40" s="190">
        <f>Параметры!$B$27</f>
        <v>3</v>
      </c>
      <c r="I40" s="190">
        <f>Параметры!$B$27</f>
        <v>3</v>
      </c>
      <c r="J40" s="190">
        <f>Параметры!$B$27</f>
        <v>3</v>
      </c>
      <c r="K40" s="190">
        <f>Параметры!$B$27</f>
        <v>3</v>
      </c>
      <c r="L40" s="190">
        <f>Параметры!$B$27</f>
        <v>3</v>
      </c>
      <c r="M40" s="190">
        <f>Параметры!$B$27</f>
        <v>3</v>
      </c>
      <c r="N40" s="190">
        <f>Параметры!$B$27</f>
        <v>3</v>
      </c>
      <c r="O40" s="190">
        <f>Параметры!$B$27</f>
        <v>3</v>
      </c>
      <c r="P40" s="190">
        <f>Параметры!$B$27</f>
        <v>3</v>
      </c>
      <c r="Q40" s="190">
        <f>Параметры!$B$27</f>
        <v>3</v>
      </c>
      <c r="R40" s="190">
        <f>Параметры!$B$27</f>
        <v>3</v>
      </c>
      <c r="S40" s="190">
        <f>Параметры!$B$27</f>
        <v>3</v>
      </c>
      <c r="T40" s="190">
        <f>Параметры!$B$27</f>
        <v>3</v>
      </c>
      <c r="U40" s="190">
        <f>Параметры!$B$27</f>
        <v>3</v>
      </c>
      <c r="V40" s="190">
        <f>Параметры!$B$27</f>
        <v>3</v>
      </c>
      <c r="W40" s="190">
        <f>Параметры!$B$27</f>
        <v>3</v>
      </c>
      <c r="X40" s="190">
        <f>Параметры!$B$27</f>
        <v>3</v>
      </c>
      <c r="Y40" s="190">
        <f>Параметры!$B$27</f>
        <v>3</v>
      </c>
      <c r="Z40" s="190">
        <f>Параметры!$B$27</f>
        <v>3</v>
      </c>
      <c r="AA40" s="190">
        <f>Параметры!$B$27</f>
        <v>3</v>
      </c>
      <c r="AB40" s="190">
        <f>Параметры!$B$27</f>
        <v>3</v>
      </c>
      <c r="AC40" s="190">
        <f>Параметры!$B$27</f>
        <v>3</v>
      </c>
      <c r="AD40" s="190">
        <f>Параметры!$B$27</f>
        <v>3</v>
      </c>
      <c r="AE40" s="190">
        <f>Параметры!$B$27</f>
        <v>3</v>
      </c>
      <c r="AF40" s="190">
        <f>Параметры!$B$27</f>
        <v>3</v>
      </c>
      <c r="AG40" s="190">
        <f>Параметры!$B$27</f>
        <v>3</v>
      </c>
      <c r="AH40" s="190">
        <f>Параметры!$B$27</f>
        <v>3</v>
      </c>
      <c r="AI40" s="190">
        <f>Параметры!$B$27</f>
        <v>3</v>
      </c>
      <c r="AJ40" s="190">
        <f>Параметры!$B$27</f>
        <v>3</v>
      </c>
      <c r="AK40" s="190">
        <f>Параметры!$B$27</f>
        <v>3</v>
      </c>
      <c r="AL40" s="190">
        <f>Параметры!$B$27</f>
        <v>3</v>
      </c>
      <c r="AM40" s="190">
        <f>Параметры!$B$27</f>
        <v>3</v>
      </c>
      <c r="AN40" s="190">
        <f>Параметры!$B$27</f>
        <v>3</v>
      </c>
      <c r="AO40" s="190">
        <f>Параметры!$B$27</f>
        <v>3</v>
      </c>
      <c r="AP40" s="190">
        <f>Параметры!$B$27</f>
        <v>3</v>
      </c>
      <c r="AQ40" s="190">
        <f>Параметры!$B$27</f>
        <v>3</v>
      </c>
      <c r="AR40" s="190">
        <f>Параметры!$B$27</f>
        <v>3</v>
      </c>
    </row>
    <row r="41" spans="1:46" s="190" customFormat="1" x14ac:dyDescent="0.2">
      <c r="A41" s="218" t="s">
        <v>524</v>
      </c>
      <c r="E41" s="439">
        <f>IF(0=1,$B$28/Параметры!$B$27,1)</f>
        <v>1</v>
      </c>
      <c r="F41" s="439">
        <f>IF(0=1,$B$28/Параметры!$B$27,1)</f>
        <v>1</v>
      </c>
      <c r="G41" s="439">
        <f>IF(0=1,$B$28/Параметры!$B$27,1)</f>
        <v>1</v>
      </c>
      <c r="H41" s="439">
        <f>IF(0=1,$B$28/Параметры!$B$27,1)</f>
        <v>1</v>
      </c>
      <c r="I41" s="439">
        <f>IF(0=1,$B$28/Параметры!$B$27,1)</f>
        <v>1</v>
      </c>
      <c r="J41" s="439">
        <f>IF(0=1,$B$28/Параметры!$B$27,1)</f>
        <v>1</v>
      </c>
      <c r="K41" s="439">
        <f>IF(0=1,$B$28/Параметры!$B$27,1)</f>
        <v>1</v>
      </c>
      <c r="L41" s="439">
        <f>IF(0=1,$B$28/Параметры!$B$27,1)</f>
        <v>1</v>
      </c>
      <c r="M41" s="439">
        <f>IF(0=1,$B$28/Параметры!$B$27,1)</f>
        <v>1</v>
      </c>
      <c r="N41" s="439">
        <f>IF(0=1,$B$28/Параметры!$B$27,1)</f>
        <v>1</v>
      </c>
      <c r="O41" s="439">
        <f>IF(0=1,$B$28/Параметры!$B$27,1)</f>
        <v>1</v>
      </c>
      <c r="P41" s="439">
        <f>IF(0=1,$B$28/Параметры!$B$27,1)</f>
        <v>1</v>
      </c>
      <c r="Q41" s="439">
        <f>IF(0=1,$B$28/Параметры!$B$27,1)</f>
        <v>1</v>
      </c>
      <c r="R41" s="439">
        <f>IF(0=1,$B$28/Параметры!$B$27,1)</f>
        <v>1</v>
      </c>
      <c r="S41" s="439">
        <f>IF(0=1,$B$28/Параметры!$B$27,1)</f>
        <v>1</v>
      </c>
      <c r="T41" s="439">
        <f>IF(0=1,$B$28/Параметры!$B$27,1)</f>
        <v>1</v>
      </c>
      <c r="U41" s="439">
        <f>IF(0=1,$B$28/Параметры!$B$27,1)</f>
        <v>1</v>
      </c>
      <c r="V41" s="439">
        <f>IF(0=1,$B$28/Параметры!$B$27,1)</f>
        <v>1</v>
      </c>
      <c r="W41" s="439">
        <f>IF(0=1,$B$28/Параметры!$B$27,1)</f>
        <v>1</v>
      </c>
      <c r="X41" s="439">
        <f>IF(0=1,$B$28/Параметры!$B$27,1)</f>
        <v>1</v>
      </c>
      <c r="Y41" s="439">
        <f>IF(0=1,$B$28/Параметры!$B$27,1)</f>
        <v>1</v>
      </c>
      <c r="Z41" s="439">
        <f>IF(0=1,$B$28/Параметры!$B$27,1)</f>
        <v>1</v>
      </c>
      <c r="AA41" s="439">
        <f>IF(0=1,$B$28/Параметры!$B$27,1)</f>
        <v>1</v>
      </c>
      <c r="AB41" s="439">
        <f>IF(0=1,$B$28/Параметры!$B$27,1)</f>
        <v>1</v>
      </c>
      <c r="AC41" s="439">
        <f>IF(0=1,$B$28/Параметры!$B$27,1)</f>
        <v>1</v>
      </c>
      <c r="AD41" s="439">
        <f>IF(0=1,$B$28/Параметры!$B$27,1)</f>
        <v>1</v>
      </c>
      <c r="AE41" s="439">
        <f>IF(0=1,$B$28/Параметры!$B$27,1)</f>
        <v>1</v>
      </c>
      <c r="AF41" s="439">
        <f>IF(0=1,$B$28/Параметры!$B$27,1)</f>
        <v>1</v>
      </c>
      <c r="AG41" s="439">
        <f>IF(0=1,$B$28/Параметры!$B$27,1)</f>
        <v>1</v>
      </c>
      <c r="AH41" s="439">
        <f>IF(0=1,$B$28/Параметры!$B$27,1)</f>
        <v>1</v>
      </c>
      <c r="AI41" s="439">
        <f>IF(0=1,$B$28/Параметры!$B$27,1)</f>
        <v>1</v>
      </c>
      <c r="AJ41" s="439">
        <f>IF(0=1,$B$28/Параметры!$B$27,1)</f>
        <v>1</v>
      </c>
      <c r="AK41" s="439">
        <f>IF(0=1,$B$28/Параметры!$B$27,1)</f>
        <v>1</v>
      </c>
      <c r="AL41" s="439">
        <f>IF(0=1,$B$28/Параметры!$B$27,1)</f>
        <v>1</v>
      </c>
      <c r="AM41" s="439">
        <f>IF(0=1,$B$28/Параметры!$B$27,1)</f>
        <v>1</v>
      </c>
      <c r="AN41" s="439">
        <f>IF(0=1,$B$28/Параметры!$B$27,1)</f>
        <v>1</v>
      </c>
      <c r="AO41" s="439">
        <f>IF(0=1,$B$28/Параметры!$B$27,1)</f>
        <v>1</v>
      </c>
      <c r="AP41" s="439">
        <f>IF(0=1,$B$28/Параметры!$B$27,1)</f>
        <v>1</v>
      </c>
      <c r="AQ41" s="439">
        <f>IF(0=1,$B$28/Параметры!$B$27,1)</f>
        <v>1</v>
      </c>
      <c r="AR41" s="439">
        <f>IF(0=1,$B$28/Параметры!$B$27,1)</f>
        <v>1</v>
      </c>
    </row>
    <row r="42" spans="1:46" s="190" customFormat="1" x14ac:dyDescent="0.2">
      <c r="A42" s="218"/>
    </row>
    <row r="43" spans="1:46" s="190" customFormat="1" x14ac:dyDescent="0.2">
      <c r="A43" s="218" t="s">
        <v>515</v>
      </c>
      <c r="E43" s="190">
        <f t="shared" ref="E43:AR43" si="34">MONTH(E37)</f>
        <v>1</v>
      </c>
      <c r="F43" s="190">
        <f t="shared" si="34"/>
        <v>4</v>
      </c>
      <c r="G43" s="190">
        <f t="shared" si="34"/>
        <v>7</v>
      </c>
      <c r="H43" s="190">
        <f t="shared" si="34"/>
        <v>10</v>
      </c>
      <c r="I43" s="190">
        <f t="shared" si="34"/>
        <v>1</v>
      </c>
      <c r="J43" s="190">
        <f t="shared" si="34"/>
        <v>4</v>
      </c>
      <c r="K43" s="190">
        <f t="shared" si="34"/>
        <v>7</v>
      </c>
      <c r="L43" s="190">
        <f t="shared" si="34"/>
        <v>10</v>
      </c>
      <c r="M43" s="190">
        <f t="shared" si="34"/>
        <v>1</v>
      </c>
      <c r="N43" s="190">
        <f t="shared" si="34"/>
        <v>4</v>
      </c>
      <c r="O43" s="190">
        <f t="shared" si="34"/>
        <v>7</v>
      </c>
      <c r="P43" s="190">
        <f t="shared" si="34"/>
        <v>10</v>
      </c>
      <c r="Q43" s="190">
        <f t="shared" si="34"/>
        <v>1</v>
      </c>
      <c r="R43" s="190">
        <f t="shared" si="34"/>
        <v>4</v>
      </c>
      <c r="S43" s="190">
        <f t="shared" si="34"/>
        <v>7</v>
      </c>
      <c r="T43" s="190">
        <f t="shared" si="34"/>
        <v>10</v>
      </c>
      <c r="U43" s="190">
        <f t="shared" si="34"/>
        <v>1</v>
      </c>
      <c r="V43" s="190">
        <f t="shared" si="34"/>
        <v>4</v>
      </c>
      <c r="W43" s="190">
        <f t="shared" si="34"/>
        <v>7</v>
      </c>
      <c r="X43" s="190">
        <f t="shared" si="34"/>
        <v>10</v>
      </c>
      <c r="Y43" s="190">
        <f t="shared" si="34"/>
        <v>1</v>
      </c>
      <c r="Z43" s="190">
        <f t="shared" si="34"/>
        <v>4</v>
      </c>
      <c r="AA43" s="190">
        <f t="shared" si="34"/>
        <v>7</v>
      </c>
      <c r="AB43" s="190">
        <f t="shared" si="34"/>
        <v>10</v>
      </c>
      <c r="AC43" s="190">
        <f t="shared" si="34"/>
        <v>1</v>
      </c>
      <c r="AD43" s="190">
        <f t="shared" si="34"/>
        <v>4</v>
      </c>
      <c r="AE43" s="190">
        <f t="shared" si="34"/>
        <v>7</v>
      </c>
      <c r="AF43" s="190">
        <f t="shared" si="34"/>
        <v>10</v>
      </c>
      <c r="AG43" s="190">
        <f t="shared" si="34"/>
        <v>1</v>
      </c>
      <c r="AH43" s="190">
        <f t="shared" si="34"/>
        <v>4</v>
      </c>
      <c r="AI43" s="190">
        <f t="shared" si="34"/>
        <v>7</v>
      </c>
      <c r="AJ43" s="190">
        <f t="shared" si="34"/>
        <v>10</v>
      </c>
      <c r="AK43" s="190">
        <f t="shared" si="34"/>
        <v>1</v>
      </c>
      <c r="AL43" s="190">
        <f t="shared" si="34"/>
        <v>4</v>
      </c>
      <c r="AM43" s="190">
        <f t="shared" si="34"/>
        <v>7</v>
      </c>
      <c r="AN43" s="190">
        <f t="shared" si="34"/>
        <v>10</v>
      </c>
      <c r="AO43" s="190">
        <f t="shared" si="34"/>
        <v>1</v>
      </c>
      <c r="AP43" s="190">
        <f t="shared" si="34"/>
        <v>4</v>
      </c>
      <c r="AQ43" s="190">
        <f t="shared" si="34"/>
        <v>7</v>
      </c>
      <c r="AR43" s="190">
        <f t="shared" si="34"/>
        <v>10</v>
      </c>
    </row>
    <row r="44" spans="1:46" s="190" customFormat="1" x14ac:dyDescent="0.2">
      <c r="A44" s="218" t="s">
        <v>512</v>
      </c>
      <c r="E44" s="190">
        <f t="shared" ref="E44:AR44" si="35">CEILING(MONTH(E37)/3,1)</f>
        <v>1</v>
      </c>
      <c r="F44" s="190">
        <f t="shared" si="35"/>
        <v>2</v>
      </c>
      <c r="G44" s="190">
        <f t="shared" si="35"/>
        <v>3</v>
      </c>
      <c r="H44" s="190">
        <f t="shared" si="35"/>
        <v>4</v>
      </c>
      <c r="I44" s="190">
        <f t="shared" si="35"/>
        <v>1</v>
      </c>
      <c r="J44" s="190">
        <f t="shared" si="35"/>
        <v>2</v>
      </c>
      <c r="K44" s="190">
        <f t="shared" si="35"/>
        <v>3</v>
      </c>
      <c r="L44" s="190">
        <f t="shared" si="35"/>
        <v>4</v>
      </c>
      <c r="M44" s="190">
        <f t="shared" si="35"/>
        <v>1</v>
      </c>
      <c r="N44" s="190">
        <f t="shared" si="35"/>
        <v>2</v>
      </c>
      <c r="O44" s="190">
        <f t="shared" si="35"/>
        <v>3</v>
      </c>
      <c r="P44" s="190">
        <f t="shared" si="35"/>
        <v>4</v>
      </c>
      <c r="Q44" s="190">
        <f t="shared" si="35"/>
        <v>1</v>
      </c>
      <c r="R44" s="190">
        <f t="shared" si="35"/>
        <v>2</v>
      </c>
      <c r="S44" s="190">
        <f t="shared" si="35"/>
        <v>3</v>
      </c>
      <c r="T44" s="190">
        <f t="shared" si="35"/>
        <v>4</v>
      </c>
      <c r="U44" s="190">
        <f t="shared" si="35"/>
        <v>1</v>
      </c>
      <c r="V44" s="190">
        <f t="shared" si="35"/>
        <v>2</v>
      </c>
      <c r="W44" s="190">
        <f t="shared" si="35"/>
        <v>3</v>
      </c>
      <c r="X44" s="190">
        <f t="shared" si="35"/>
        <v>4</v>
      </c>
      <c r="Y44" s="190">
        <f t="shared" si="35"/>
        <v>1</v>
      </c>
      <c r="Z44" s="190">
        <f t="shared" si="35"/>
        <v>2</v>
      </c>
      <c r="AA44" s="190">
        <f t="shared" si="35"/>
        <v>3</v>
      </c>
      <c r="AB44" s="190">
        <f t="shared" si="35"/>
        <v>4</v>
      </c>
      <c r="AC44" s="190">
        <f t="shared" si="35"/>
        <v>1</v>
      </c>
      <c r="AD44" s="190">
        <f t="shared" si="35"/>
        <v>2</v>
      </c>
      <c r="AE44" s="190">
        <f t="shared" si="35"/>
        <v>3</v>
      </c>
      <c r="AF44" s="190">
        <f t="shared" si="35"/>
        <v>4</v>
      </c>
      <c r="AG44" s="190">
        <f t="shared" si="35"/>
        <v>1</v>
      </c>
      <c r="AH44" s="190">
        <f t="shared" si="35"/>
        <v>2</v>
      </c>
      <c r="AI44" s="190">
        <f t="shared" si="35"/>
        <v>3</v>
      </c>
      <c r="AJ44" s="190">
        <f t="shared" si="35"/>
        <v>4</v>
      </c>
      <c r="AK44" s="190">
        <f t="shared" si="35"/>
        <v>1</v>
      </c>
      <c r="AL44" s="190">
        <f t="shared" si="35"/>
        <v>2</v>
      </c>
      <c r="AM44" s="190">
        <f t="shared" si="35"/>
        <v>3</v>
      </c>
      <c r="AN44" s="190">
        <f t="shared" si="35"/>
        <v>4</v>
      </c>
      <c r="AO44" s="190">
        <f t="shared" si="35"/>
        <v>1</v>
      </c>
      <c r="AP44" s="190">
        <f t="shared" si="35"/>
        <v>2</v>
      </c>
      <c r="AQ44" s="190">
        <f t="shared" si="35"/>
        <v>3</v>
      </c>
      <c r="AR44" s="190">
        <f t="shared" si="35"/>
        <v>4</v>
      </c>
    </row>
    <row r="45" spans="1:46" s="190" customFormat="1" x14ac:dyDescent="0.2">
      <c r="A45" s="218" t="s">
        <v>513</v>
      </c>
      <c r="E45" s="190">
        <f t="shared" ref="E45:AR45" si="36">CEILING(MONTH(E37)/6,1)</f>
        <v>1</v>
      </c>
      <c r="F45" s="190">
        <f t="shared" si="36"/>
        <v>1</v>
      </c>
      <c r="G45" s="190">
        <f t="shared" si="36"/>
        <v>2</v>
      </c>
      <c r="H45" s="190">
        <f t="shared" si="36"/>
        <v>2</v>
      </c>
      <c r="I45" s="190">
        <f t="shared" si="36"/>
        <v>1</v>
      </c>
      <c r="J45" s="190">
        <f t="shared" si="36"/>
        <v>1</v>
      </c>
      <c r="K45" s="190">
        <f t="shared" si="36"/>
        <v>2</v>
      </c>
      <c r="L45" s="190">
        <f t="shared" si="36"/>
        <v>2</v>
      </c>
      <c r="M45" s="190">
        <f t="shared" si="36"/>
        <v>1</v>
      </c>
      <c r="N45" s="190">
        <f t="shared" si="36"/>
        <v>1</v>
      </c>
      <c r="O45" s="190">
        <f t="shared" si="36"/>
        <v>2</v>
      </c>
      <c r="P45" s="190">
        <f t="shared" si="36"/>
        <v>2</v>
      </c>
      <c r="Q45" s="190">
        <f t="shared" si="36"/>
        <v>1</v>
      </c>
      <c r="R45" s="190">
        <f t="shared" si="36"/>
        <v>1</v>
      </c>
      <c r="S45" s="190">
        <f t="shared" si="36"/>
        <v>2</v>
      </c>
      <c r="T45" s="190">
        <f t="shared" si="36"/>
        <v>2</v>
      </c>
      <c r="U45" s="190">
        <f t="shared" si="36"/>
        <v>1</v>
      </c>
      <c r="V45" s="190">
        <f t="shared" si="36"/>
        <v>1</v>
      </c>
      <c r="W45" s="190">
        <f t="shared" si="36"/>
        <v>2</v>
      </c>
      <c r="X45" s="190">
        <f t="shared" si="36"/>
        <v>2</v>
      </c>
      <c r="Y45" s="190">
        <f t="shared" si="36"/>
        <v>1</v>
      </c>
      <c r="Z45" s="190">
        <f t="shared" si="36"/>
        <v>1</v>
      </c>
      <c r="AA45" s="190">
        <f t="shared" si="36"/>
        <v>2</v>
      </c>
      <c r="AB45" s="190">
        <f t="shared" si="36"/>
        <v>2</v>
      </c>
      <c r="AC45" s="190">
        <f t="shared" si="36"/>
        <v>1</v>
      </c>
      <c r="AD45" s="190">
        <f t="shared" si="36"/>
        <v>1</v>
      </c>
      <c r="AE45" s="190">
        <f t="shared" si="36"/>
        <v>2</v>
      </c>
      <c r="AF45" s="190">
        <f t="shared" si="36"/>
        <v>2</v>
      </c>
      <c r="AG45" s="190">
        <f t="shared" si="36"/>
        <v>1</v>
      </c>
      <c r="AH45" s="190">
        <f t="shared" si="36"/>
        <v>1</v>
      </c>
      <c r="AI45" s="190">
        <f t="shared" si="36"/>
        <v>2</v>
      </c>
      <c r="AJ45" s="190">
        <f t="shared" si="36"/>
        <v>2</v>
      </c>
      <c r="AK45" s="190">
        <f t="shared" si="36"/>
        <v>1</v>
      </c>
      <c r="AL45" s="190">
        <f t="shared" si="36"/>
        <v>1</v>
      </c>
      <c r="AM45" s="190">
        <f t="shared" si="36"/>
        <v>2</v>
      </c>
      <c r="AN45" s="190">
        <f t="shared" si="36"/>
        <v>2</v>
      </c>
      <c r="AO45" s="190">
        <f t="shared" si="36"/>
        <v>1</v>
      </c>
      <c r="AP45" s="190">
        <f t="shared" si="36"/>
        <v>1</v>
      </c>
      <c r="AQ45" s="190">
        <f t="shared" si="36"/>
        <v>2</v>
      </c>
      <c r="AR45" s="190">
        <f t="shared" si="36"/>
        <v>2</v>
      </c>
    </row>
    <row r="46" spans="1:46" s="190" customFormat="1" x14ac:dyDescent="0.2">
      <c r="A46" s="218" t="s">
        <v>514</v>
      </c>
      <c r="E46" s="190">
        <f t="shared" ref="E46:AR46" si="37">YEAR(E37)</f>
        <v>2020</v>
      </c>
      <c r="F46" s="190">
        <f t="shared" si="37"/>
        <v>2020</v>
      </c>
      <c r="G46" s="190">
        <f t="shared" si="37"/>
        <v>2020</v>
      </c>
      <c r="H46" s="190">
        <f t="shared" si="37"/>
        <v>2020</v>
      </c>
      <c r="I46" s="190">
        <f t="shared" si="37"/>
        <v>2021</v>
      </c>
      <c r="J46" s="190">
        <f t="shared" si="37"/>
        <v>2021</v>
      </c>
      <c r="K46" s="190">
        <f t="shared" si="37"/>
        <v>2021</v>
      </c>
      <c r="L46" s="190">
        <f t="shared" si="37"/>
        <v>2021</v>
      </c>
      <c r="M46" s="190">
        <f t="shared" si="37"/>
        <v>2022</v>
      </c>
      <c r="N46" s="190">
        <f t="shared" si="37"/>
        <v>2022</v>
      </c>
      <c r="O46" s="190">
        <f t="shared" si="37"/>
        <v>2022</v>
      </c>
      <c r="P46" s="190">
        <f t="shared" si="37"/>
        <v>2022</v>
      </c>
      <c r="Q46" s="190">
        <f t="shared" si="37"/>
        <v>2023</v>
      </c>
      <c r="R46" s="190">
        <f t="shared" si="37"/>
        <v>2023</v>
      </c>
      <c r="S46" s="190">
        <f t="shared" si="37"/>
        <v>2023</v>
      </c>
      <c r="T46" s="190">
        <f t="shared" si="37"/>
        <v>2023</v>
      </c>
      <c r="U46" s="190">
        <f t="shared" si="37"/>
        <v>2024</v>
      </c>
      <c r="V46" s="190">
        <f t="shared" si="37"/>
        <v>2024</v>
      </c>
      <c r="W46" s="190">
        <f t="shared" si="37"/>
        <v>2024</v>
      </c>
      <c r="X46" s="190">
        <f t="shared" si="37"/>
        <v>2024</v>
      </c>
      <c r="Y46" s="190">
        <f t="shared" si="37"/>
        <v>2025</v>
      </c>
      <c r="Z46" s="190">
        <f t="shared" si="37"/>
        <v>2025</v>
      </c>
      <c r="AA46" s="190">
        <f t="shared" si="37"/>
        <v>2025</v>
      </c>
      <c r="AB46" s="190">
        <f t="shared" si="37"/>
        <v>2025</v>
      </c>
      <c r="AC46" s="190">
        <f t="shared" si="37"/>
        <v>2026</v>
      </c>
      <c r="AD46" s="190">
        <f t="shared" si="37"/>
        <v>2026</v>
      </c>
      <c r="AE46" s="190">
        <f t="shared" si="37"/>
        <v>2026</v>
      </c>
      <c r="AF46" s="190">
        <f t="shared" si="37"/>
        <v>2026</v>
      </c>
      <c r="AG46" s="190">
        <f t="shared" si="37"/>
        <v>2027</v>
      </c>
      <c r="AH46" s="190">
        <f t="shared" si="37"/>
        <v>2027</v>
      </c>
      <c r="AI46" s="190">
        <f t="shared" si="37"/>
        <v>2027</v>
      </c>
      <c r="AJ46" s="190">
        <f t="shared" si="37"/>
        <v>2027</v>
      </c>
      <c r="AK46" s="190">
        <f t="shared" si="37"/>
        <v>2028</v>
      </c>
      <c r="AL46" s="190">
        <f t="shared" si="37"/>
        <v>2028</v>
      </c>
      <c r="AM46" s="190">
        <f t="shared" si="37"/>
        <v>2028</v>
      </c>
      <c r="AN46" s="190">
        <f t="shared" si="37"/>
        <v>2028</v>
      </c>
      <c r="AO46" s="190">
        <f t="shared" si="37"/>
        <v>2029</v>
      </c>
      <c r="AP46" s="190">
        <f t="shared" si="37"/>
        <v>2029</v>
      </c>
      <c r="AQ46" s="190">
        <f t="shared" si="37"/>
        <v>2029</v>
      </c>
      <c r="AR46" s="190">
        <f t="shared" si="37"/>
        <v>2029</v>
      </c>
    </row>
    <row r="47" spans="1:46" s="190" customFormat="1" x14ac:dyDescent="0.2">
      <c r="A47" s="218"/>
    </row>
    <row r="48" spans="1:46" s="190" customFormat="1" x14ac:dyDescent="0.2">
      <c r="A48" s="218" t="s">
        <v>505</v>
      </c>
      <c r="E48" s="190">
        <f ca="1">CHOOSE(Параметры!$B$26,IF(E36&lt;13,E36,OFFSET(E48,0,-12)),IF(E36&lt;5,CHOOSE(E36,1,4,7,10),OFFSET(E48,0,-4)),1,IF(E36&lt;3,CHOOSE(E36,1,6),OFFSET(E48,0,-2)))</f>
        <v>1</v>
      </c>
      <c r="F48" s="190">
        <f ca="1">CHOOSE(Параметры!$B$26,IF(F36&lt;13,F36,OFFSET(F48,0,-12)),IF(F36&lt;5,CHOOSE(F36,1,4,7,10),OFFSET(F48,0,-4)),1,IF(F36&lt;3,CHOOSE(F36,1,6),OFFSET(F48,0,-2)))</f>
        <v>4</v>
      </c>
      <c r="G48" s="190">
        <f ca="1">CHOOSE(Параметры!$B$26,IF(G36&lt;13,G36,OFFSET(G48,0,-12)),IF(G36&lt;5,CHOOSE(G36,1,4,7,10),OFFSET(G48,0,-4)),1,IF(G36&lt;3,CHOOSE(G36,1,6),OFFSET(G48,0,-2)))</f>
        <v>7</v>
      </c>
      <c r="H48" s="190">
        <f ca="1">CHOOSE(Параметры!$B$26,IF(H36&lt;13,H36,OFFSET(H48,0,-12)),IF(H36&lt;5,CHOOSE(H36,1,4,7,10),OFFSET(H48,0,-4)),1,IF(H36&lt;3,CHOOSE(H36,1,6),OFFSET(H48,0,-2)))</f>
        <v>10</v>
      </c>
      <c r="I48" s="190">
        <f ca="1">CHOOSE(Параметры!$B$26,IF(I36&lt;13,I36,OFFSET(I48,0,-12)),IF(I36&lt;5,CHOOSE(I36,1,4,7,10),OFFSET(I48,0,-4)),1,IF(I36&lt;3,CHOOSE(I36,1,6),OFFSET(I48,0,-2)))</f>
        <v>1</v>
      </c>
      <c r="J48" s="190">
        <f ca="1">CHOOSE(Параметры!$B$26,IF(J36&lt;13,J36,OFFSET(J48,0,-12)),IF(J36&lt;5,CHOOSE(J36,1,4,7,10),OFFSET(J48,0,-4)),1,IF(J36&lt;3,CHOOSE(J36,1,6),OFFSET(J48,0,-2)))</f>
        <v>4</v>
      </c>
      <c r="K48" s="190">
        <f ca="1">CHOOSE(Параметры!$B$26,IF(K36&lt;13,K36,OFFSET(K48,0,-12)),IF(K36&lt;5,CHOOSE(K36,1,4,7,10),OFFSET(K48,0,-4)),1,IF(K36&lt;3,CHOOSE(K36,1,6),OFFSET(K48,0,-2)))</f>
        <v>7</v>
      </c>
      <c r="L48" s="190">
        <f ca="1">CHOOSE(Параметры!$B$26,IF(L36&lt;13,L36,OFFSET(L48,0,-12)),IF(L36&lt;5,CHOOSE(L36,1,4,7,10),OFFSET(L48,0,-4)),1,IF(L36&lt;3,CHOOSE(L36,1,6),OFFSET(L48,0,-2)))</f>
        <v>10</v>
      </c>
      <c r="M48" s="190">
        <f ca="1">CHOOSE(Параметры!$B$26,IF(M36&lt;13,M36,OFFSET(M48,0,-12)),IF(M36&lt;5,CHOOSE(M36,1,4,7,10),OFFSET(M48,0,-4)),1,IF(M36&lt;3,CHOOSE(M36,1,6),OFFSET(M48,0,-2)))</f>
        <v>1</v>
      </c>
      <c r="N48" s="190">
        <f ca="1">CHOOSE(Параметры!$B$26,IF(N36&lt;13,N36,OFFSET(N48,0,-12)),IF(N36&lt;5,CHOOSE(N36,1,4,7,10),OFFSET(N48,0,-4)),1,IF(N36&lt;3,CHOOSE(N36,1,6),OFFSET(N48,0,-2)))</f>
        <v>4</v>
      </c>
      <c r="O48" s="190">
        <f ca="1">CHOOSE(Параметры!$B$26,IF(O36&lt;13,O36,OFFSET(O48,0,-12)),IF(O36&lt;5,CHOOSE(O36,1,4,7,10),OFFSET(O48,0,-4)),1,IF(O36&lt;3,CHOOSE(O36,1,6),OFFSET(O48,0,-2)))</f>
        <v>7</v>
      </c>
      <c r="P48" s="190">
        <f ca="1">CHOOSE(Параметры!$B$26,IF(P36&lt;13,P36,OFFSET(P48,0,-12)),IF(P36&lt;5,CHOOSE(P36,1,4,7,10),OFFSET(P48,0,-4)),1,IF(P36&lt;3,CHOOSE(P36,1,6),OFFSET(P48,0,-2)))</f>
        <v>10</v>
      </c>
      <c r="Q48" s="190">
        <f ca="1">CHOOSE(Параметры!$B$26,IF(Q36&lt;13,Q36,OFFSET(Q48,0,-12)),IF(Q36&lt;5,CHOOSE(Q36,1,4,7,10),OFFSET(Q48,0,-4)),1,IF(Q36&lt;3,CHOOSE(Q36,1,6),OFFSET(Q48,0,-2)))</f>
        <v>1</v>
      </c>
      <c r="R48" s="190">
        <f ca="1">CHOOSE(Параметры!$B$26,IF(R36&lt;13,R36,OFFSET(R48,0,-12)),IF(R36&lt;5,CHOOSE(R36,1,4,7,10),OFFSET(R48,0,-4)),1,IF(R36&lt;3,CHOOSE(R36,1,6),OFFSET(R48,0,-2)))</f>
        <v>4</v>
      </c>
      <c r="S48" s="190">
        <f ca="1">CHOOSE(Параметры!$B$26,IF(S36&lt;13,S36,OFFSET(S48,0,-12)),IF(S36&lt;5,CHOOSE(S36,1,4,7,10),OFFSET(S48,0,-4)),1,IF(S36&lt;3,CHOOSE(S36,1,6),OFFSET(S48,0,-2)))</f>
        <v>7</v>
      </c>
      <c r="T48" s="190">
        <f ca="1">CHOOSE(Параметры!$B$26,IF(T36&lt;13,T36,OFFSET(T48,0,-12)),IF(T36&lt;5,CHOOSE(T36,1,4,7,10),OFFSET(T48,0,-4)),1,IF(T36&lt;3,CHOOSE(T36,1,6),OFFSET(T48,0,-2)))</f>
        <v>10</v>
      </c>
      <c r="U48" s="190">
        <f ca="1">CHOOSE(Параметры!$B$26,IF(U36&lt;13,U36,OFFSET(U48,0,-12)),IF(U36&lt;5,CHOOSE(U36,1,4,7,10),OFFSET(U48,0,-4)),1,IF(U36&lt;3,CHOOSE(U36,1,6),OFFSET(U48,0,-2)))</f>
        <v>1</v>
      </c>
      <c r="V48" s="190">
        <f ca="1">CHOOSE(Параметры!$B$26,IF(V36&lt;13,V36,OFFSET(V48,0,-12)),IF(V36&lt;5,CHOOSE(V36,1,4,7,10),OFFSET(V48,0,-4)),1,IF(V36&lt;3,CHOOSE(V36,1,6),OFFSET(V48,0,-2)))</f>
        <v>4</v>
      </c>
      <c r="W48" s="190">
        <f ca="1">CHOOSE(Параметры!$B$26,IF(W36&lt;13,W36,OFFSET(W48,0,-12)),IF(W36&lt;5,CHOOSE(W36,1,4,7,10),OFFSET(W48,0,-4)),1,IF(W36&lt;3,CHOOSE(W36,1,6),OFFSET(W48,0,-2)))</f>
        <v>7</v>
      </c>
      <c r="X48" s="190">
        <f ca="1">CHOOSE(Параметры!$B$26,IF(X36&lt;13,X36,OFFSET(X48,0,-12)),IF(X36&lt;5,CHOOSE(X36,1,4,7,10),OFFSET(X48,0,-4)),1,IF(X36&lt;3,CHOOSE(X36,1,6),OFFSET(X48,0,-2)))</f>
        <v>10</v>
      </c>
      <c r="Y48" s="190">
        <f ca="1">CHOOSE(Параметры!$B$26,IF(Y36&lt;13,Y36,OFFSET(Y48,0,-12)),IF(Y36&lt;5,CHOOSE(Y36,1,4,7,10),OFFSET(Y48,0,-4)),1,IF(Y36&lt;3,CHOOSE(Y36,1,6),OFFSET(Y48,0,-2)))</f>
        <v>1</v>
      </c>
      <c r="Z48" s="190">
        <f ca="1">CHOOSE(Параметры!$B$26,IF(Z36&lt;13,Z36,OFFSET(Z48,0,-12)),IF(Z36&lt;5,CHOOSE(Z36,1,4,7,10),OFFSET(Z48,0,-4)),1,IF(Z36&lt;3,CHOOSE(Z36,1,6),OFFSET(Z48,0,-2)))</f>
        <v>4</v>
      </c>
      <c r="AA48" s="190">
        <f ca="1">CHOOSE(Параметры!$B$26,IF(AA36&lt;13,AA36,OFFSET(AA48,0,-12)),IF(AA36&lt;5,CHOOSE(AA36,1,4,7,10),OFFSET(AA48,0,-4)),1,IF(AA36&lt;3,CHOOSE(AA36,1,6),OFFSET(AA48,0,-2)))</f>
        <v>7</v>
      </c>
      <c r="AB48" s="190">
        <f ca="1">CHOOSE(Параметры!$B$26,IF(AB36&lt;13,AB36,OFFSET(AB48,0,-12)),IF(AB36&lt;5,CHOOSE(AB36,1,4,7,10),OFFSET(AB48,0,-4)),1,IF(AB36&lt;3,CHOOSE(AB36,1,6),OFFSET(AB48,0,-2)))</f>
        <v>10</v>
      </c>
      <c r="AC48" s="190">
        <f ca="1">CHOOSE(Параметры!$B$26,IF(AC36&lt;13,AC36,OFFSET(AC48,0,-12)),IF(AC36&lt;5,CHOOSE(AC36,1,4,7,10),OFFSET(AC48,0,-4)),1,IF(AC36&lt;3,CHOOSE(AC36,1,6),OFFSET(AC48,0,-2)))</f>
        <v>1</v>
      </c>
      <c r="AD48" s="190">
        <f ca="1">CHOOSE(Параметры!$B$26,IF(AD36&lt;13,AD36,OFFSET(AD48,0,-12)),IF(AD36&lt;5,CHOOSE(AD36,1,4,7,10),OFFSET(AD48,0,-4)),1,IF(AD36&lt;3,CHOOSE(AD36,1,6),OFFSET(AD48,0,-2)))</f>
        <v>4</v>
      </c>
      <c r="AE48" s="190">
        <f ca="1">CHOOSE(Параметры!$B$26,IF(AE36&lt;13,AE36,OFFSET(AE48,0,-12)),IF(AE36&lt;5,CHOOSE(AE36,1,4,7,10),OFFSET(AE48,0,-4)),1,IF(AE36&lt;3,CHOOSE(AE36,1,6),OFFSET(AE48,0,-2)))</f>
        <v>7</v>
      </c>
      <c r="AF48" s="190">
        <f ca="1">CHOOSE(Параметры!$B$26,IF(AF36&lt;13,AF36,OFFSET(AF48,0,-12)),IF(AF36&lt;5,CHOOSE(AF36,1,4,7,10),OFFSET(AF48,0,-4)),1,IF(AF36&lt;3,CHOOSE(AF36,1,6),OFFSET(AF48,0,-2)))</f>
        <v>10</v>
      </c>
      <c r="AG48" s="190">
        <f ca="1">CHOOSE(Параметры!$B$26,IF(AG36&lt;13,AG36,OFFSET(AG48,0,-12)),IF(AG36&lt;5,CHOOSE(AG36,1,4,7,10),OFFSET(AG48,0,-4)),1,IF(AG36&lt;3,CHOOSE(AG36,1,6),OFFSET(AG48,0,-2)))</f>
        <v>1</v>
      </c>
      <c r="AH48" s="190">
        <f ca="1">CHOOSE(Параметры!$B$26,IF(AH36&lt;13,AH36,OFFSET(AH48,0,-12)),IF(AH36&lt;5,CHOOSE(AH36,1,4,7,10),OFFSET(AH48,0,-4)),1,IF(AH36&lt;3,CHOOSE(AH36,1,6),OFFSET(AH48,0,-2)))</f>
        <v>4</v>
      </c>
      <c r="AI48" s="190">
        <f ca="1">CHOOSE(Параметры!$B$26,IF(AI36&lt;13,AI36,OFFSET(AI48,0,-12)),IF(AI36&lt;5,CHOOSE(AI36,1,4,7,10),OFFSET(AI48,0,-4)),1,IF(AI36&lt;3,CHOOSE(AI36,1,6),OFFSET(AI48,0,-2)))</f>
        <v>7</v>
      </c>
      <c r="AJ48" s="190">
        <f ca="1">CHOOSE(Параметры!$B$26,IF(AJ36&lt;13,AJ36,OFFSET(AJ48,0,-12)),IF(AJ36&lt;5,CHOOSE(AJ36,1,4,7,10),OFFSET(AJ48,0,-4)),1,IF(AJ36&lt;3,CHOOSE(AJ36,1,6),OFFSET(AJ48,0,-2)))</f>
        <v>10</v>
      </c>
      <c r="AK48" s="190">
        <f ca="1">CHOOSE(Параметры!$B$26,IF(AK36&lt;13,AK36,OFFSET(AK48,0,-12)),IF(AK36&lt;5,CHOOSE(AK36,1,4,7,10),OFFSET(AK48,0,-4)),1,IF(AK36&lt;3,CHOOSE(AK36,1,6),OFFSET(AK48,0,-2)))</f>
        <v>1</v>
      </c>
      <c r="AL48" s="190">
        <f ca="1">CHOOSE(Параметры!$B$26,IF(AL36&lt;13,AL36,OFFSET(AL48,0,-12)),IF(AL36&lt;5,CHOOSE(AL36,1,4,7,10),OFFSET(AL48,0,-4)),1,IF(AL36&lt;3,CHOOSE(AL36,1,6),OFFSET(AL48,0,-2)))</f>
        <v>4</v>
      </c>
      <c r="AM48" s="190">
        <f ca="1">CHOOSE(Параметры!$B$26,IF(AM36&lt;13,AM36,OFFSET(AM48,0,-12)),IF(AM36&lt;5,CHOOSE(AM36,1,4,7,10),OFFSET(AM48,0,-4)),1,IF(AM36&lt;3,CHOOSE(AM36,1,6),OFFSET(AM48,0,-2)))</f>
        <v>7</v>
      </c>
      <c r="AN48" s="190">
        <f ca="1">CHOOSE(Параметры!$B$26,IF(AN36&lt;13,AN36,OFFSET(AN48,0,-12)),IF(AN36&lt;5,CHOOSE(AN36,1,4,7,10),OFFSET(AN48,0,-4)),1,IF(AN36&lt;3,CHOOSE(AN36,1,6),OFFSET(AN48,0,-2)))</f>
        <v>10</v>
      </c>
      <c r="AO48" s="190">
        <f ca="1">CHOOSE(Параметры!$B$26,IF(AO36&lt;13,AO36,OFFSET(AO48,0,-12)),IF(AO36&lt;5,CHOOSE(AO36,1,4,7,10),OFFSET(AO48,0,-4)),1,IF(AO36&lt;3,CHOOSE(AO36,1,6),OFFSET(AO48,0,-2)))</f>
        <v>1</v>
      </c>
      <c r="AP48" s="190">
        <f ca="1">CHOOSE(Параметры!$B$26,IF(AP36&lt;13,AP36,OFFSET(AP48,0,-12)),IF(AP36&lt;5,CHOOSE(AP36,1,4,7,10),OFFSET(AP48,0,-4)),1,IF(AP36&lt;3,CHOOSE(AP36,1,6),OFFSET(AP48,0,-2)))</f>
        <v>4</v>
      </c>
      <c r="AQ48" s="190">
        <f ca="1">CHOOSE(Параметры!$B$26,IF(AQ36&lt;13,AQ36,OFFSET(AQ48,0,-12)),IF(AQ36&lt;5,CHOOSE(AQ36,1,4,7,10),OFFSET(AQ48,0,-4)),1,IF(AQ36&lt;3,CHOOSE(AQ36,1,6),OFFSET(AQ48,0,-2)))</f>
        <v>7</v>
      </c>
      <c r="AR48" s="190">
        <f ca="1">CHOOSE(Параметры!$B$26,IF(AR36&lt;13,AR36,OFFSET(AR48,0,-12)),IF(AR36&lt;5,CHOOSE(AR36,1,4,7,10),OFFSET(AR48,0,-4)),1,IF(AR36&lt;3,CHOOSE(AR36,1,6),OFFSET(AR48,0,-2)))</f>
        <v>10</v>
      </c>
    </row>
    <row r="49" spans="1:46" s="190" customFormat="1" x14ac:dyDescent="0.2">
      <c r="A49" s="218" t="s">
        <v>502</v>
      </c>
      <c r="E49" s="190">
        <f ca="1">CHOOSE(Параметры!$B$26,IF(E36&lt;13, IF(E36&lt;4,1,OFFSET(E49,0,-3)+1),OFFSET(E49,0,-12)),IF(E36&lt;5,E36,OFFSET(E49,0,-4)),1,IF(E36&lt;3,E36,OFFSET(E49,0,-2)))</f>
        <v>1</v>
      </c>
      <c r="F49" s="190">
        <f ca="1">CHOOSE(Параметры!$B$26,IF(F36&lt;13, IF(F36&lt;4,1,OFFSET(F49,0,-3)+1),OFFSET(F49,0,-12)),IF(F36&lt;5,F36,OFFSET(F49,0,-4)),1,IF(F36&lt;3,F36,OFFSET(F49,0,-2)))</f>
        <v>2</v>
      </c>
      <c r="G49" s="190">
        <f ca="1">CHOOSE(Параметры!$B$26,IF(G36&lt;13, IF(G36&lt;4,1,OFFSET(G49,0,-3)+1),OFFSET(G49,0,-12)),IF(G36&lt;5,G36,OFFSET(G49,0,-4)),1,IF(G36&lt;3,G36,OFFSET(G49,0,-2)))</f>
        <v>3</v>
      </c>
      <c r="H49" s="190">
        <f ca="1">CHOOSE(Параметры!$B$26,IF(H36&lt;13, IF(H36&lt;4,1,OFFSET(H49,0,-3)+1),OFFSET(H49,0,-12)),IF(H36&lt;5,H36,OFFSET(H49,0,-4)),1,IF(H36&lt;3,H36,OFFSET(H49,0,-2)))</f>
        <v>4</v>
      </c>
      <c r="I49" s="190">
        <f ca="1">CHOOSE(Параметры!$B$26,IF(I36&lt;13, IF(I36&lt;4,1,OFFSET(I49,0,-3)+1),OFFSET(I49,0,-12)),IF(I36&lt;5,I36,OFFSET(I49,0,-4)),1,IF(I36&lt;3,I36,OFFSET(I49,0,-2)))</f>
        <v>1</v>
      </c>
      <c r="J49" s="190">
        <f ca="1">CHOOSE(Параметры!$B$26,IF(J36&lt;13, IF(J36&lt;4,1,OFFSET(J49,0,-3)+1),OFFSET(J49,0,-12)),IF(J36&lt;5,J36,OFFSET(J49,0,-4)),1,IF(J36&lt;3,J36,OFFSET(J49,0,-2)))</f>
        <v>2</v>
      </c>
      <c r="K49" s="190">
        <f ca="1">CHOOSE(Параметры!$B$26,IF(K36&lt;13, IF(K36&lt;4,1,OFFSET(K49,0,-3)+1),OFFSET(K49,0,-12)),IF(K36&lt;5,K36,OFFSET(K49,0,-4)),1,IF(K36&lt;3,K36,OFFSET(K49,0,-2)))</f>
        <v>3</v>
      </c>
      <c r="L49" s="190">
        <f ca="1">CHOOSE(Параметры!$B$26,IF(L36&lt;13, IF(L36&lt;4,1,OFFSET(L49,0,-3)+1),OFFSET(L49,0,-12)),IF(L36&lt;5,L36,OFFSET(L49,0,-4)),1,IF(L36&lt;3,L36,OFFSET(L49,0,-2)))</f>
        <v>4</v>
      </c>
      <c r="M49" s="190">
        <f ca="1">CHOOSE(Параметры!$B$26,IF(M36&lt;13, IF(M36&lt;4,1,OFFSET(M49,0,-3)+1),OFFSET(M49,0,-12)),IF(M36&lt;5,M36,OFFSET(M49,0,-4)),1,IF(M36&lt;3,M36,OFFSET(M49,0,-2)))</f>
        <v>1</v>
      </c>
      <c r="N49" s="190">
        <f ca="1">CHOOSE(Параметры!$B$26,IF(N36&lt;13, IF(N36&lt;4,1,OFFSET(N49,0,-3)+1),OFFSET(N49,0,-12)),IF(N36&lt;5,N36,OFFSET(N49,0,-4)),1,IF(N36&lt;3,N36,OFFSET(N49,0,-2)))</f>
        <v>2</v>
      </c>
      <c r="O49" s="190">
        <f ca="1">CHOOSE(Параметры!$B$26,IF(O36&lt;13, IF(O36&lt;4,1,OFFSET(O49,0,-3)+1),OFFSET(O49,0,-12)),IF(O36&lt;5,O36,OFFSET(O49,0,-4)),1,IF(O36&lt;3,O36,OFFSET(O49,0,-2)))</f>
        <v>3</v>
      </c>
      <c r="P49" s="190">
        <f ca="1">CHOOSE(Параметры!$B$26,IF(P36&lt;13, IF(P36&lt;4,1,OFFSET(P49,0,-3)+1),OFFSET(P49,0,-12)),IF(P36&lt;5,P36,OFFSET(P49,0,-4)),1,IF(P36&lt;3,P36,OFFSET(P49,0,-2)))</f>
        <v>4</v>
      </c>
      <c r="Q49" s="190">
        <f ca="1">CHOOSE(Параметры!$B$26,IF(Q36&lt;13, IF(Q36&lt;4,1,OFFSET(Q49,0,-3)+1),OFFSET(Q49,0,-12)),IF(Q36&lt;5,Q36,OFFSET(Q49,0,-4)),1,IF(Q36&lt;3,Q36,OFFSET(Q49,0,-2)))</f>
        <v>1</v>
      </c>
      <c r="R49" s="190">
        <f ca="1">CHOOSE(Параметры!$B$26,IF(R36&lt;13, IF(R36&lt;4,1,OFFSET(R49,0,-3)+1),OFFSET(R49,0,-12)),IF(R36&lt;5,R36,OFFSET(R49,0,-4)),1,IF(R36&lt;3,R36,OFFSET(R49,0,-2)))</f>
        <v>2</v>
      </c>
      <c r="S49" s="190">
        <f ca="1">CHOOSE(Параметры!$B$26,IF(S36&lt;13, IF(S36&lt;4,1,OFFSET(S49,0,-3)+1),OFFSET(S49,0,-12)),IF(S36&lt;5,S36,OFFSET(S49,0,-4)),1,IF(S36&lt;3,S36,OFFSET(S49,0,-2)))</f>
        <v>3</v>
      </c>
      <c r="T49" s="190">
        <f ca="1">CHOOSE(Параметры!$B$26,IF(T36&lt;13, IF(T36&lt;4,1,OFFSET(T49,0,-3)+1),OFFSET(T49,0,-12)),IF(T36&lt;5,T36,OFFSET(T49,0,-4)),1,IF(T36&lt;3,T36,OFFSET(T49,0,-2)))</f>
        <v>4</v>
      </c>
      <c r="U49" s="190">
        <f ca="1">CHOOSE(Параметры!$B$26,IF(U36&lt;13, IF(U36&lt;4,1,OFFSET(U49,0,-3)+1),OFFSET(U49,0,-12)),IF(U36&lt;5,U36,OFFSET(U49,0,-4)),1,IF(U36&lt;3,U36,OFFSET(U49,0,-2)))</f>
        <v>1</v>
      </c>
      <c r="V49" s="190">
        <f ca="1">CHOOSE(Параметры!$B$26,IF(V36&lt;13, IF(V36&lt;4,1,OFFSET(V49,0,-3)+1),OFFSET(V49,0,-12)),IF(V36&lt;5,V36,OFFSET(V49,0,-4)),1,IF(V36&lt;3,V36,OFFSET(V49,0,-2)))</f>
        <v>2</v>
      </c>
      <c r="W49" s="190">
        <f ca="1">CHOOSE(Параметры!$B$26,IF(W36&lt;13, IF(W36&lt;4,1,OFFSET(W49,0,-3)+1),OFFSET(W49,0,-12)),IF(W36&lt;5,W36,OFFSET(W49,0,-4)),1,IF(W36&lt;3,W36,OFFSET(W49,0,-2)))</f>
        <v>3</v>
      </c>
      <c r="X49" s="190">
        <f ca="1">CHOOSE(Параметры!$B$26,IF(X36&lt;13, IF(X36&lt;4,1,OFFSET(X49,0,-3)+1),OFFSET(X49,0,-12)),IF(X36&lt;5,X36,OFFSET(X49,0,-4)),1,IF(X36&lt;3,X36,OFFSET(X49,0,-2)))</f>
        <v>4</v>
      </c>
      <c r="Y49" s="190">
        <f ca="1">CHOOSE(Параметры!$B$26,IF(Y36&lt;13, IF(Y36&lt;4,1,OFFSET(Y49,0,-3)+1),OFFSET(Y49,0,-12)),IF(Y36&lt;5,Y36,OFFSET(Y49,0,-4)),1,IF(Y36&lt;3,Y36,OFFSET(Y49,0,-2)))</f>
        <v>1</v>
      </c>
      <c r="Z49" s="190">
        <f ca="1">CHOOSE(Параметры!$B$26,IF(Z36&lt;13, IF(Z36&lt;4,1,OFFSET(Z49,0,-3)+1),OFFSET(Z49,0,-12)),IF(Z36&lt;5,Z36,OFFSET(Z49,0,-4)),1,IF(Z36&lt;3,Z36,OFFSET(Z49,0,-2)))</f>
        <v>2</v>
      </c>
      <c r="AA49" s="190">
        <f ca="1">CHOOSE(Параметры!$B$26,IF(AA36&lt;13, IF(AA36&lt;4,1,OFFSET(AA49,0,-3)+1),OFFSET(AA49,0,-12)),IF(AA36&lt;5,AA36,OFFSET(AA49,0,-4)),1,IF(AA36&lt;3,AA36,OFFSET(AA49,0,-2)))</f>
        <v>3</v>
      </c>
      <c r="AB49" s="190">
        <f ca="1">CHOOSE(Параметры!$B$26,IF(AB36&lt;13, IF(AB36&lt;4,1,OFFSET(AB49,0,-3)+1),OFFSET(AB49,0,-12)),IF(AB36&lt;5,AB36,OFFSET(AB49,0,-4)),1,IF(AB36&lt;3,AB36,OFFSET(AB49,0,-2)))</f>
        <v>4</v>
      </c>
      <c r="AC49" s="190">
        <f ca="1">CHOOSE(Параметры!$B$26,IF(AC36&lt;13, IF(AC36&lt;4,1,OFFSET(AC49,0,-3)+1),OFFSET(AC49,0,-12)),IF(AC36&lt;5,AC36,OFFSET(AC49,0,-4)),1,IF(AC36&lt;3,AC36,OFFSET(AC49,0,-2)))</f>
        <v>1</v>
      </c>
      <c r="AD49" s="190">
        <f ca="1">CHOOSE(Параметры!$B$26,IF(AD36&lt;13, IF(AD36&lt;4,1,OFFSET(AD49,0,-3)+1),OFFSET(AD49,0,-12)),IF(AD36&lt;5,AD36,OFFSET(AD49,0,-4)),1,IF(AD36&lt;3,AD36,OFFSET(AD49,0,-2)))</f>
        <v>2</v>
      </c>
      <c r="AE49" s="190">
        <f ca="1">CHOOSE(Параметры!$B$26,IF(AE36&lt;13, IF(AE36&lt;4,1,OFFSET(AE49,0,-3)+1),OFFSET(AE49,0,-12)),IF(AE36&lt;5,AE36,OFFSET(AE49,0,-4)),1,IF(AE36&lt;3,AE36,OFFSET(AE49,0,-2)))</f>
        <v>3</v>
      </c>
      <c r="AF49" s="190">
        <f ca="1">CHOOSE(Параметры!$B$26,IF(AF36&lt;13, IF(AF36&lt;4,1,OFFSET(AF49,0,-3)+1),OFFSET(AF49,0,-12)),IF(AF36&lt;5,AF36,OFFSET(AF49,0,-4)),1,IF(AF36&lt;3,AF36,OFFSET(AF49,0,-2)))</f>
        <v>4</v>
      </c>
      <c r="AG49" s="190">
        <f ca="1">CHOOSE(Параметры!$B$26,IF(AG36&lt;13, IF(AG36&lt;4,1,OFFSET(AG49,0,-3)+1),OFFSET(AG49,0,-12)),IF(AG36&lt;5,AG36,OFFSET(AG49,0,-4)),1,IF(AG36&lt;3,AG36,OFFSET(AG49,0,-2)))</f>
        <v>1</v>
      </c>
      <c r="AH49" s="190">
        <f ca="1">CHOOSE(Параметры!$B$26,IF(AH36&lt;13, IF(AH36&lt;4,1,OFFSET(AH49,0,-3)+1),OFFSET(AH49,0,-12)),IF(AH36&lt;5,AH36,OFFSET(AH49,0,-4)),1,IF(AH36&lt;3,AH36,OFFSET(AH49,0,-2)))</f>
        <v>2</v>
      </c>
      <c r="AI49" s="190">
        <f ca="1">CHOOSE(Параметры!$B$26,IF(AI36&lt;13, IF(AI36&lt;4,1,OFFSET(AI49,0,-3)+1),OFFSET(AI49,0,-12)),IF(AI36&lt;5,AI36,OFFSET(AI49,0,-4)),1,IF(AI36&lt;3,AI36,OFFSET(AI49,0,-2)))</f>
        <v>3</v>
      </c>
      <c r="AJ49" s="190">
        <f ca="1">CHOOSE(Параметры!$B$26,IF(AJ36&lt;13, IF(AJ36&lt;4,1,OFFSET(AJ49,0,-3)+1),OFFSET(AJ49,0,-12)),IF(AJ36&lt;5,AJ36,OFFSET(AJ49,0,-4)),1,IF(AJ36&lt;3,AJ36,OFFSET(AJ49,0,-2)))</f>
        <v>4</v>
      </c>
      <c r="AK49" s="190">
        <f ca="1">CHOOSE(Параметры!$B$26,IF(AK36&lt;13, IF(AK36&lt;4,1,OFFSET(AK49,0,-3)+1),OFFSET(AK49,0,-12)),IF(AK36&lt;5,AK36,OFFSET(AK49,0,-4)),1,IF(AK36&lt;3,AK36,OFFSET(AK49,0,-2)))</f>
        <v>1</v>
      </c>
      <c r="AL49" s="190">
        <f ca="1">CHOOSE(Параметры!$B$26,IF(AL36&lt;13, IF(AL36&lt;4,1,OFFSET(AL49,0,-3)+1),OFFSET(AL49,0,-12)),IF(AL36&lt;5,AL36,OFFSET(AL49,0,-4)),1,IF(AL36&lt;3,AL36,OFFSET(AL49,0,-2)))</f>
        <v>2</v>
      </c>
      <c r="AM49" s="190">
        <f ca="1">CHOOSE(Параметры!$B$26,IF(AM36&lt;13, IF(AM36&lt;4,1,OFFSET(AM49,0,-3)+1),OFFSET(AM49,0,-12)),IF(AM36&lt;5,AM36,OFFSET(AM49,0,-4)),1,IF(AM36&lt;3,AM36,OFFSET(AM49,0,-2)))</f>
        <v>3</v>
      </c>
      <c r="AN49" s="190">
        <f ca="1">CHOOSE(Параметры!$B$26,IF(AN36&lt;13, IF(AN36&lt;4,1,OFFSET(AN49,0,-3)+1),OFFSET(AN49,0,-12)),IF(AN36&lt;5,AN36,OFFSET(AN49,0,-4)),1,IF(AN36&lt;3,AN36,OFFSET(AN49,0,-2)))</f>
        <v>4</v>
      </c>
      <c r="AO49" s="190">
        <f ca="1">CHOOSE(Параметры!$B$26,IF(AO36&lt;13, IF(AO36&lt;4,1,OFFSET(AO49,0,-3)+1),OFFSET(AO49,0,-12)),IF(AO36&lt;5,AO36,OFFSET(AO49,0,-4)),1,IF(AO36&lt;3,AO36,OFFSET(AO49,0,-2)))</f>
        <v>1</v>
      </c>
      <c r="AP49" s="190">
        <f ca="1">CHOOSE(Параметры!$B$26,IF(AP36&lt;13, IF(AP36&lt;4,1,OFFSET(AP49,0,-3)+1),OFFSET(AP49,0,-12)),IF(AP36&lt;5,AP36,OFFSET(AP49,0,-4)),1,IF(AP36&lt;3,AP36,OFFSET(AP49,0,-2)))</f>
        <v>2</v>
      </c>
      <c r="AQ49" s="190">
        <f ca="1">CHOOSE(Параметры!$B$26,IF(AQ36&lt;13, IF(AQ36&lt;4,1,OFFSET(AQ49,0,-3)+1),OFFSET(AQ49,0,-12)),IF(AQ36&lt;5,AQ36,OFFSET(AQ49,0,-4)),1,IF(AQ36&lt;3,AQ36,OFFSET(AQ49,0,-2)))</f>
        <v>3</v>
      </c>
      <c r="AR49" s="190">
        <f ca="1">CHOOSE(Параметры!$B$26,IF(AR36&lt;13, IF(AR36&lt;4,1,OFFSET(AR49,0,-3)+1),OFFSET(AR49,0,-12)),IF(AR36&lt;5,AR36,OFFSET(AR49,0,-4)),1,IF(AR36&lt;3,AR36,OFFSET(AR49,0,-2)))</f>
        <v>4</v>
      </c>
    </row>
    <row r="50" spans="1:46" s="190" customFormat="1" x14ac:dyDescent="0.2">
      <c r="A50" s="218" t="s">
        <v>503</v>
      </c>
      <c r="E50" s="190">
        <f ca="1">CHOOSE(Параметры!$B$26,IF(E36&lt;13, IF(E36&lt;7,1,OFFSET(E50,0,-6)+1),OFFSET(E50,0,-12)),IF(E36&lt;5,IF(E36&lt;3,1,OFFSET(E50,0,-2)+1),OFFSET(E50,0,-4)),1,IF(E36&lt;3,IF(E36&lt;2,1,OFFSET(E50,0,-1)+1),OFFSET(E50,0,-2)))</f>
        <v>1</v>
      </c>
      <c r="F50" s="190">
        <f ca="1">CHOOSE(Параметры!$B$26,IF(F36&lt;13, IF(F36&lt;7,1,OFFSET(F50,0,-6)+1),OFFSET(F50,0,-12)),IF(F36&lt;5,IF(F36&lt;3,1,OFFSET(F50,0,-2)+1),OFFSET(F50,0,-4)),1,IF(F36&lt;3,IF(F36&lt;2,1,OFFSET(F50,0,-1)+1),OFFSET(F50,0,-2)))</f>
        <v>1</v>
      </c>
      <c r="G50" s="190">
        <f ca="1">CHOOSE(Параметры!$B$26,IF(G36&lt;13, IF(G36&lt;7,1,OFFSET(G50,0,-6)+1),OFFSET(G50,0,-12)),IF(G36&lt;5,IF(G36&lt;3,1,OFFSET(G50,0,-2)+1),OFFSET(G50,0,-4)),1,IF(G36&lt;3,IF(G36&lt;2,1,OFFSET(G50,0,-1)+1),OFFSET(G50,0,-2)))</f>
        <v>2</v>
      </c>
      <c r="H50" s="190">
        <f ca="1">CHOOSE(Параметры!$B$26,IF(H36&lt;13, IF(H36&lt;7,1,OFFSET(H50,0,-6)+1),OFFSET(H50,0,-12)),IF(H36&lt;5,IF(H36&lt;3,1,OFFSET(H50,0,-2)+1),OFFSET(H50,0,-4)),1,IF(H36&lt;3,IF(H36&lt;2,1,OFFSET(H50,0,-1)+1),OFFSET(H50,0,-2)))</f>
        <v>2</v>
      </c>
      <c r="I50" s="190">
        <f ca="1">CHOOSE(Параметры!$B$26,IF(I36&lt;13, IF(I36&lt;7,1,OFFSET(I50,0,-6)+1),OFFSET(I50,0,-12)),IF(I36&lt;5,IF(I36&lt;3,1,OFFSET(I50,0,-2)+1),OFFSET(I50,0,-4)),1,IF(I36&lt;3,IF(I36&lt;2,1,OFFSET(I50,0,-1)+1),OFFSET(I50,0,-2)))</f>
        <v>1</v>
      </c>
      <c r="J50" s="190">
        <f ca="1">CHOOSE(Параметры!$B$26,IF(J36&lt;13, IF(J36&lt;7,1,OFFSET(J50,0,-6)+1),OFFSET(J50,0,-12)),IF(J36&lt;5,IF(J36&lt;3,1,OFFSET(J50,0,-2)+1),OFFSET(J50,0,-4)),1,IF(J36&lt;3,IF(J36&lt;2,1,OFFSET(J50,0,-1)+1),OFFSET(J50,0,-2)))</f>
        <v>1</v>
      </c>
      <c r="K50" s="190">
        <f ca="1">CHOOSE(Параметры!$B$26,IF(K36&lt;13, IF(K36&lt;7,1,OFFSET(K50,0,-6)+1),OFFSET(K50,0,-12)),IF(K36&lt;5,IF(K36&lt;3,1,OFFSET(K50,0,-2)+1),OFFSET(K50,0,-4)),1,IF(K36&lt;3,IF(K36&lt;2,1,OFFSET(K50,0,-1)+1),OFFSET(K50,0,-2)))</f>
        <v>2</v>
      </c>
      <c r="L50" s="190">
        <f ca="1">CHOOSE(Параметры!$B$26,IF(L36&lt;13, IF(L36&lt;7,1,OFFSET(L50,0,-6)+1),OFFSET(L50,0,-12)),IF(L36&lt;5,IF(L36&lt;3,1,OFFSET(L50,0,-2)+1),OFFSET(L50,0,-4)),1,IF(L36&lt;3,IF(L36&lt;2,1,OFFSET(L50,0,-1)+1),OFFSET(L50,0,-2)))</f>
        <v>2</v>
      </c>
      <c r="M50" s="190">
        <f ca="1">CHOOSE(Параметры!$B$26,IF(M36&lt;13, IF(M36&lt;7,1,OFFSET(M50,0,-6)+1),OFFSET(M50,0,-12)),IF(M36&lt;5,IF(M36&lt;3,1,OFFSET(M50,0,-2)+1),OFFSET(M50,0,-4)),1,IF(M36&lt;3,IF(M36&lt;2,1,OFFSET(M50,0,-1)+1),OFFSET(M50,0,-2)))</f>
        <v>1</v>
      </c>
      <c r="N50" s="190">
        <f ca="1">CHOOSE(Параметры!$B$26,IF(N36&lt;13, IF(N36&lt;7,1,OFFSET(N50,0,-6)+1),OFFSET(N50,0,-12)),IF(N36&lt;5,IF(N36&lt;3,1,OFFSET(N50,0,-2)+1),OFFSET(N50,0,-4)),1,IF(N36&lt;3,IF(N36&lt;2,1,OFFSET(N50,0,-1)+1),OFFSET(N50,0,-2)))</f>
        <v>1</v>
      </c>
      <c r="O50" s="190">
        <f ca="1">CHOOSE(Параметры!$B$26,IF(O36&lt;13, IF(O36&lt;7,1,OFFSET(O50,0,-6)+1),OFFSET(O50,0,-12)),IF(O36&lt;5,IF(O36&lt;3,1,OFFSET(O50,0,-2)+1),OFFSET(O50,0,-4)),1,IF(O36&lt;3,IF(O36&lt;2,1,OFFSET(O50,0,-1)+1),OFFSET(O50,0,-2)))</f>
        <v>2</v>
      </c>
      <c r="P50" s="190">
        <f ca="1">CHOOSE(Параметры!$B$26,IF(P36&lt;13, IF(P36&lt;7,1,OFFSET(P50,0,-6)+1),OFFSET(P50,0,-12)),IF(P36&lt;5,IF(P36&lt;3,1,OFFSET(P50,0,-2)+1),OFFSET(P50,0,-4)),1,IF(P36&lt;3,IF(P36&lt;2,1,OFFSET(P50,0,-1)+1),OFFSET(P50,0,-2)))</f>
        <v>2</v>
      </c>
      <c r="Q50" s="190">
        <f ca="1">CHOOSE(Параметры!$B$26,IF(Q36&lt;13, IF(Q36&lt;7,1,OFFSET(Q50,0,-6)+1),OFFSET(Q50,0,-12)),IF(Q36&lt;5,IF(Q36&lt;3,1,OFFSET(Q50,0,-2)+1),OFFSET(Q50,0,-4)),1,IF(Q36&lt;3,IF(Q36&lt;2,1,OFFSET(Q50,0,-1)+1),OFFSET(Q50,0,-2)))</f>
        <v>1</v>
      </c>
      <c r="R50" s="190">
        <f ca="1">CHOOSE(Параметры!$B$26,IF(R36&lt;13, IF(R36&lt;7,1,OFFSET(R50,0,-6)+1),OFFSET(R50,0,-12)),IF(R36&lt;5,IF(R36&lt;3,1,OFFSET(R50,0,-2)+1),OFFSET(R50,0,-4)),1,IF(R36&lt;3,IF(R36&lt;2,1,OFFSET(R50,0,-1)+1),OFFSET(R50,0,-2)))</f>
        <v>1</v>
      </c>
      <c r="S50" s="190">
        <f ca="1">CHOOSE(Параметры!$B$26,IF(S36&lt;13, IF(S36&lt;7,1,OFFSET(S50,0,-6)+1),OFFSET(S50,0,-12)),IF(S36&lt;5,IF(S36&lt;3,1,OFFSET(S50,0,-2)+1),OFFSET(S50,0,-4)),1,IF(S36&lt;3,IF(S36&lt;2,1,OFFSET(S50,0,-1)+1),OFFSET(S50,0,-2)))</f>
        <v>2</v>
      </c>
      <c r="T50" s="190">
        <f ca="1">CHOOSE(Параметры!$B$26,IF(T36&lt;13, IF(T36&lt;7,1,OFFSET(T50,0,-6)+1),OFFSET(T50,0,-12)),IF(T36&lt;5,IF(T36&lt;3,1,OFFSET(T50,0,-2)+1),OFFSET(T50,0,-4)),1,IF(T36&lt;3,IF(T36&lt;2,1,OFFSET(T50,0,-1)+1),OFFSET(T50,0,-2)))</f>
        <v>2</v>
      </c>
      <c r="U50" s="190">
        <f ca="1">CHOOSE(Параметры!$B$26,IF(U36&lt;13, IF(U36&lt;7,1,OFFSET(U50,0,-6)+1),OFFSET(U50,0,-12)),IF(U36&lt;5,IF(U36&lt;3,1,OFFSET(U50,0,-2)+1),OFFSET(U50,0,-4)),1,IF(U36&lt;3,IF(U36&lt;2,1,OFFSET(U50,0,-1)+1),OFFSET(U50,0,-2)))</f>
        <v>1</v>
      </c>
      <c r="V50" s="190">
        <f ca="1">CHOOSE(Параметры!$B$26,IF(V36&lt;13, IF(V36&lt;7,1,OFFSET(V50,0,-6)+1),OFFSET(V50,0,-12)),IF(V36&lt;5,IF(V36&lt;3,1,OFFSET(V50,0,-2)+1),OFFSET(V50,0,-4)),1,IF(V36&lt;3,IF(V36&lt;2,1,OFFSET(V50,0,-1)+1),OFFSET(V50,0,-2)))</f>
        <v>1</v>
      </c>
      <c r="W50" s="190">
        <f ca="1">CHOOSE(Параметры!$B$26,IF(W36&lt;13, IF(W36&lt;7,1,OFFSET(W50,0,-6)+1),OFFSET(W50,0,-12)),IF(W36&lt;5,IF(W36&lt;3,1,OFFSET(W50,0,-2)+1),OFFSET(W50,0,-4)),1,IF(W36&lt;3,IF(W36&lt;2,1,OFFSET(W50,0,-1)+1),OFFSET(W50,0,-2)))</f>
        <v>2</v>
      </c>
      <c r="X50" s="190">
        <f ca="1">CHOOSE(Параметры!$B$26,IF(X36&lt;13, IF(X36&lt;7,1,OFFSET(X50,0,-6)+1),OFFSET(X50,0,-12)),IF(X36&lt;5,IF(X36&lt;3,1,OFFSET(X50,0,-2)+1),OFFSET(X50,0,-4)),1,IF(X36&lt;3,IF(X36&lt;2,1,OFFSET(X50,0,-1)+1),OFFSET(X50,0,-2)))</f>
        <v>2</v>
      </c>
      <c r="Y50" s="190">
        <f ca="1">CHOOSE(Параметры!$B$26,IF(Y36&lt;13, IF(Y36&lt;7,1,OFFSET(Y50,0,-6)+1),OFFSET(Y50,0,-12)),IF(Y36&lt;5,IF(Y36&lt;3,1,OFFSET(Y50,0,-2)+1),OFFSET(Y50,0,-4)),1,IF(Y36&lt;3,IF(Y36&lt;2,1,OFFSET(Y50,0,-1)+1),OFFSET(Y50,0,-2)))</f>
        <v>1</v>
      </c>
      <c r="Z50" s="190">
        <f ca="1">CHOOSE(Параметры!$B$26,IF(Z36&lt;13, IF(Z36&lt;7,1,OFFSET(Z50,0,-6)+1),OFFSET(Z50,0,-12)),IF(Z36&lt;5,IF(Z36&lt;3,1,OFFSET(Z50,0,-2)+1),OFFSET(Z50,0,-4)),1,IF(Z36&lt;3,IF(Z36&lt;2,1,OFFSET(Z50,0,-1)+1),OFFSET(Z50,0,-2)))</f>
        <v>1</v>
      </c>
      <c r="AA50" s="190">
        <f ca="1">CHOOSE(Параметры!$B$26,IF(AA36&lt;13, IF(AA36&lt;7,1,OFFSET(AA50,0,-6)+1),OFFSET(AA50,0,-12)),IF(AA36&lt;5,IF(AA36&lt;3,1,OFFSET(AA50,0,-2)+1),OFFSET(AA50,0,-4)),1,IF(AA36&lt;3,IF(AA36&lt;2,1,OFFSET(AA50,0,-1)+1),OFFSET(AA50,0,-2)))</f>
        <v>2</v>
      </c>
      <c r="AB50" s="190">
        <f ca="1">CHOOSE(Параметры!$B$26,IF(AB36&lt;13, IF(AB36&lt;7,1,OFFSET(AB50,0,-6)+1),OFFSET(AB50,0,-12)),IF(AB36&lt;5,IF(AB36&lt;3,1,OFFSET(AB50,0,-2)+1),OFFSET(AB50,0,-4)),1,IF(AB36&lt;3,IF(AB36&lt;2,1,OFFSET(AB50,0,-1)+1),OFFSET(AB50,0,-2)))</f>
        <v>2</v>
      </c>
      <c r="AC50" s="190">
        <f ca="1">CHOOSE(Параметры!$B$26,IF(AC36&lt;13, IF(AC36&lt;7,1,OFFSET(AC50,0,-6)+1),OFFSET(AC50,0,-12)),IF(AC36&lt;5,IF(AC36&lt;3,1,OFFSET(AC50,0,-2)+1),OFFSET(AC50,0,-4)),1,IF(AC36&lt;3,IF(AC36&lt;2,1,OFFSET(AC50,0,-1)+1),OFFSET(AC50,0,-2)))</f>
        <v>1</v>
      </c>
      <c r="AD50" s="190">
        <f ca="1">CHOOSE(Параметры!$B$26,IF(AD36&lt;13, IF(AD36&lt;7,1,OFFSET(AD50,0,-6)+1),OFFSET(AD50,0,-12)),IF(AD36&lt;5,IF(AD36&lt;3,1,OFFSET(AD50,0,-2)+1),OFFSET(AD50,0,-4)),1,IF(AD36&lt;3,IF(AD36&lt;2,1,OFFSET(AD50,0,-1)+1),OFFSET(AD50,0,-2)))</f>
        <v>1</v>
      </c>
      <c r="AE50" s="190">
        <f ca="1">CHOOSE(Параметры!$B$26,IF(AE36&lt;13, IF(AE36&lt;7,1,OFFSET(AE50,0,-6)+1),OFFSET(AE50,0,-12)),IF(AE36&lt;5,IF(AE36&lt;3,1,OFFSET(AE50,0,-2)+1),OFFSET(AE50,0,-4)),1,IF(AE36&lt;3,IF(AE36&lt;2,1,OFFSET(AE50,0,-1)+1),OFFSET(AE50,0,-2)))</f>
        <v>2</v>
      </c>
      <c r="AF50" s="190">
        <f ca="1">CHOOSE(Параметры!$B$26,IF(AF36&lt;13, IF(AF36&lt;7,1,OFFSET(AF50,0,-6)+1),OFFSET(AF50,0,-12)),IF(AF36&lt;5,IF(AF36&lt;3,1,OFFSET(AF50,0,-2)+1),OFFSET(AF50,0,-4)),1,IF(AF36&lt;3,IF(AF36&lt;2,1,OFFSET(AF50,0,-1)+1),OFFSET(AF50,0,-2)))</f>
        <v>2</v>
      </c>
      <c r="AG50" s="190">
        <f ca="1">CHOOSE(Параметры!$B$26,IF(AG36&lt;13, IF(AG36&lt;7,1,OFFSET(AG50,0,-6)+1),OFFSET(AG50,0,-12)),IF(AG36&lt;5,IF(AG36&lt;3,1,OFFSET(AG50,0,-2)+1),OFFSET(AG50,0,-4)),1,IF(AG36&lt;3,IF(AG36&lt;2,1,OFFSET(AG50,0,-1)+1),OFFSET(AG50,0,-2)))</f>
        <v>1</v>
      </c>
      <c r="AH50" s="190">
        <f ca="1">CHOOSE(Параметры!$B$26,IF(AH36&lt;13, IF(AH36&lt;7,1,OFFSET(AH50,0,-6)+1),OFFSET(AH50,0,-12)),IF(AH36&lt;5,IF(AH36&lt;3,1,OFFSET(AH50,0,-2)+1),OFFSET(AH50,0,-4)),1,IF(AH36&lt;3,IF(AH36&lt;2,1,OFFSET(AH50,0,-1)+1),OFFSET(AH50,0,-2)))</f>
        <v>1</v>
      </c>
      <c r="AI50" s="190">
        <f ca="1">CHOOSE(Параметры!$B$26,IF(AI36&lt;13, IF(AI36&lt;7,1,OFFSET(AI50,0,-6)+1),OFFSET(AI50,0,-12)),IF(AI36&lt;5,IF(AI36&lt;3,1,OFFSET(AI50,0,-2)+1),OFFSET(AI50,0,-4)),1,IF(AI36&lt;3,IF(AI36&lt;2,1,OFFSET(AI50,0,-1)+1),OFFSET(AI50,0,-2)))</f>
        <v>2</v>
      </c>
      <c r="AJ50" s="190">
        <f ca="1">CHOOSE(Параметры!$B$26,IF(AJ36&lt;13, IF(AJ36&lt;7,1,OFFSET(AJ50,0,-6)+1),OFFSET(AJ50,0,-12)),IF(AJ36&lt;5,IF(AJ36&lt;3,1,OFFSET(AJ50,0,-2)+1),OFFSET(AJ50,0,-4)),1,IF(AJ36&lt;3,IF(AJ36&lt;2,1,OFFSET(AJ50,0,-1)+1),OFFSET(AJ50,0,-2)))</f>
        <v>2</v>
      </c>
      <c r="AK50" s="190">
        <f ca="1">CHOOSE(Параметры!$B$26,IF(AK36&lt;13, IF(AK36&lt;7,1,OFFSET(AK50,0,-6)+1),OFFSET(AK50,0,-12)),IF(AK36&lt;5,IF(AK36&lt;3,1,OFFSET(AK50,0,-2)+1),OFFSET(AK50,0,-4)),1,IF(AK36&lt;3,IF(AK36&lt;2,1,OFFSET(AK50,0,-1)+1),OFFSET(AK50,0,-2)))</f>
        <v>1</v>
      </c>
      <c r="AL50" s="190">
        <f ca="1">CHOOSE(Параметры!$B$26,IF(AL36&lt;13, IF(AL36&lt;7,1,OFFSET(AL50,0,-6)+1),OFFSET(AL50,0,-12)),IF(AL36&lt;5,IF(AL36&lt;3,1,OFFSET(AL50,0,-2)+1),OFFSET(AL50,0,-4)),1,IF(AL36&lt;3,IF(AL36&lt;2,1,OFFSET(AL50,0,-1)+1),OFFSET(AL50,0,-2)))</f>
        <v>1</v>
      </c>
      <c r="AM50" s="190">
        <f ca="1">CHOOSE(Параметры!$B$26,IF(AM36&lt;13, IF(AM36&lt;7,1,OFFSET(AM50,0,-6)+1),OFFSET(AM50,0,-12)),IF(AM36&lt;5,IF(AM36&lt;3,1,OFFSET(AM50,0,-2)+1),OFFSET(AM50,0,-4)),1,IF(AM36&lt;3,IF(AM36&lt;2,1,OFFSET(AM50,0,-1)+1),OFFSET(AM50,0,-2)))</f>
        <v>2</v>
      </c>
      <c r="AN50" s="190">
        <f ca="1">CHOOSE(Параметры!$B$26,IF(AN36&lt;13, IF(AN36&lt;7,1,OFFSET(AN50,0,-6)+1),OFFSET(AN50,0,-12)),IF(AN36&lt;5,IF(AN36&lt;3,1,OFFSET(AN50,0,-2)+1),OFFSET(AN50,0,-4)),1,IF(AN36&lt;3,IF(AN36&lt;2,1,OFFSET(AN50,0,-1)+1),OFFSET(AN50,0,-2)))</f>
        <v>2</v>
      </c>
      <c r="AO50" s="190">
        <f ca="1">CHOOSE(Параметры!$B$26,IF(AO36&lt;13, IF(AO36&lt;7,1,OFFSET(AO50,0,-6)+1),OFFSET(AO50,0,-12)),IF(AO36&lt;5,IF(AO36&lt;3,1,OFFSET(AO50,0,-2)+1),OFFSET(AO50,0,-4)),1,IF(AO36&lt;3,IF(AO36&lt;2,1,OFFSET(AO50,0,-1)+1),OFFSET(AO50,0,-2)))</f>
        <v>1</v>
      </c>
      <c r="AP50" s="190">
        <f ca="1">CHOOSE(Параметры!$B$26,IF(AP36&lt;13, IF(AP36&lt;7,1,OFFSET(AP50,0,-6)+1),OFFSET(AP50,0,-12)),IF(AP36&lt;5,IF(AP36&lt;3,1,OFFSET(AP50,0,-2)+1),OFFSET(AP50,0,-4)),1,IF(AP36&lt;3,IF(AP36&lt;2,1,OFFSET(AP50,0,-1)+1),OFFSET(AP50,0,-2)))</f>
        <v>1</v>
      </c>
      <c r="AQ50" s="190">
        <f ca="1">CHOOSE(Параметры!$B$26,IF(AQ36&lt;13, IF(AQ36&lt;7,1,OFFSET(AQ50,0,-6)+1),OFFSET(AQ50,0,-12)),IF(AQ36&lt;5,IF(AQ36&lt;3,1,OFFSET(AQ50,0,-2)+1),OFFSET(AQ50,0,-4)),1,IF(AQ36&lt;3,IF(AQ36&lt;2,1,OFFSET(AQ50,0,-1)+1),OFFSET(AQ50,0,-2)))</f>
        <v>2</v>
      </c>
      <c r="AR50" s="190">
        <f ca="1">CHOOSE(Параметры!$B$26,IF(AR36&lt;13, IF(AR36&lt;7,1,OFFSET(AR50,0,-6)+1),OFFSET(AR50,0,-12)),IF(AR36&lt;5,IF(AR36&lt;3,1,OFFSET(AR50,0,-2)+1),OFFSET(AR50,0,-4)),1,IF(AR36&lt;3,IF(AR36&lt;2,1,OFFSET(AR50,0,-1)+1),OFFSET(AR50,0,-2)))</f>
        <v>2</v>
      </c>
    </row>
    <row r="51" spans="1:46" s="190" customFormat="1" x14ac:dyDescent="0.2">
      <c r="A51" s="218" t="s">
        <v>504</v>
      </c>
      <c r="E51" s="190">
        <f ca="1">CHOOSE(Параметры!$B$26,IF(E36&lt;13,1,OFFSET(E51,0,-12)+1),IF(E36&lt;5,1,OFFSET(E51,0,-4)+1),E36,IF(E36&lt;3,1,OFFSET(E51,0,-2)+1))</f>
        <v>1</v>
      </c>
      <c r="F51" s="190">
        <f ca="1">CHOOSE(Параметры!$B$26,IF(F36&lt;13,1,OFFSET(F51,0,-12)+1),IF(F36&lt;5,1,OFFSET(F51,0,-4)+1),F36,IF(F36&lt;3,1,OFFSET(F51,0,-2)+1))</f>
        <v>1</v>
      </c>
      <c r="G51" s="190">
        <f ca="1">CHOOSE(Параметры!$B$26,IF(G36&lt;13,1,OFFSET(G51,0,-12)+1),IF(G36&lt;5,1,OFFSET(G51,0,-4)+1),G36,IF(G36&lt;3,1,OFFSET(G51,0,-2)+1))</f>
        <v>1</v>
      </c>
      <c r="H51" s="190">
        <f ca="1">CHOOSE(Параметры!$B$26,IF(H36&lt;13,1,OFFSET(H51,0,-12)+1),IF(H36&lt;5,1,OFFSET(H51,0,-4)+1),H36,IF(H36&lt;3,1,OFFSET(H51,0,-2)+1))</f>
        <v>1</v>
      </c>
      <c r="I51" s="190">
        <f ca="1">CHOOSE(Параметры!$B$26,IF(I36&lt;13,1,OFFSET(I51,0,-12)+1),IF(I36&lt;5,1,OFFSET(I51,0,-4)+1),I36,IF(I36&lt;3,1,OFFSET(I51,0,-2)+1))</f>
        <v>2</v>
      </c>
      <c r="J51" s="190">
        <f ca="1">CHOOSE(Параметры!$B$26,IF(J36&lt;13,1,OFFSET(J51,0,-12)+1),IF(J36&lt;5,1,OFFSET(J51,0,-4)+1),J36,IF(J36&lt;3,1,OFFSET(J51,0,-2)+1))</f>
        <v>2</v>
      </c>
      <c r="K51" s="190">
        <f ca="1">CHOOSE(Параметры!$B$26,IF(K36&lt;13,1,OFFSET(K51,0,-12)+1),IF(K36&lt;5,1,OFFSET(K51,0,-4)+1),K36,IF(K36&lt;3,1,OFFSET(K51,0,-2)+1))</f>
        <v>2</v>
      </c>
      <c r="L51" s="190">
        <f ca="1">CHOOSE(Параметры!$B$26,IF(L36&lt;13,1,OFFSET(L51,0,-12)+1),IF(L36&lt;5,1,OFFSET(L51,0,-4)+1),L36,IF(L36&lt;3,1,OFFSET(L51,0,-2)+1))</f>
        <v>2</v>
      </c>
      <c r="M51" s="190">
        <f ca="1">CHOOSE(Параметры!$B$26,IF(M36&lt;13,1,OFFSET(M51,0,-12)+1),IF(M36&lt;5,1,OFFSET(M51,0,-4)+1),M36,IF(M36&lt;3,1,OFFSET(M51,0,-2)+1))</f>
        <v>3</v>
      </c>
      <c r="N51" s="190">
        <f ca="1">CHOOSE(Параметры!$B$26,IF(N36&lt;13,1,OFFSET(N51,0,-12)+1),IF(N36&lt;5,1,OFFSET(N51,0,-4)+1),N36,IF(N36&lt;3,1,OFFSET(N51,0,-2)+1))</f>
        <v>3</v>
      </c>
      <c r="O51" s="190">
        <f ca="1">CHOOSE(Параметры!$B$26,IF(O36&lt;13,1,OFFSET(O51,0,-12)+1),IF(O36&lt;5,1,OFFSET(O51,0,-4)+1),O36,IF(O36&lt;3,1,OFFSET(O51,0,-2)+1))</f>
        <v>3</v>
      </c>
      <c r="P51" s="190">
        <f ca="1">CHOOSE(Параметры!$B$26,IF(P36&lt;13,1,OFFSET(P51,0,-12)+1),IF(P36&lt;5,1,OFFSET(P51,0,-4)+1),P36,IF(P36&lt;3,1,OFFSET(P51,0,-2)+1))</f>
        <v>3</v>
      </c>
      <c r="Q51" s="190">
        <f ca="1">CHOOSE(Параметры!$B$26,IF(Q36&lt;13,1,OFFSET(Q51,0,-12)+1),IF(Q36&lt;5,1,OFFSET(Q51,0,-4)+1),Q36,IF(Q36&lt;3,1,OFFSET(Q51,0,-2)+1))</f>
        <v>4</v>
      </c>
      <c r="R51" s="190">
        <f ca="1">CHOOSE(Параметры!$B$26,IF(R36&lt;13,1,OFFSET(R51,0,-12)+1),IF(R36&lt;5,1,OFFSET(R51,0,-4)+1),R36,IF(R36&lt;3,1,OFFSET(R51,0,-2)+1))</f>
        <v>4</v>
      </c>
      <c r="S51" s="190">
        <f ca="1">CHOOSE(Параметры!$B$26,IF(S36&lt;13,1,OFFSET(S51,0,-12)+1),IF(S36&lt;5,1,OFFSET(S51,0,-4)+1),S36,IF(S36&lt;3,1,OFFSET(S51,0,-2)+1))</f>
        <v>4</v>
      </c>
      <c r="T51" s="190">
        <f ca="1">CHOOSE(Параметры!$B$26,IF(T36&lt;13,1,OFFSET(T51,0,-12)+1),IF(T36&lt;5,1,OFFSET(T51,0,-4)+1),T36,IF(T36&lt;3,1,OFFSET(T51,0,-2)+1))</f>
        <v>4</v>
      </c>
      <c r="U51" s="190">
        <f ca="1">CHOOSE(Параметры!$B$26,IF(U36&lt;13,1,OFFSET(U51,0,-12)+1),IF(U36&lt;5,1,OFFSET(U51,0,-4)+1),U36,IF(U36&lt;3,1,OFFSET(U51,0,-2)+1))</f>
        <v>5</v>
      </c>
      <c r="V51" s="190">
        <f ca="1">CHOOSE(Параметры!$B$26,IF(V36&lt;13,1,OFFSET(V51,0,-12)+1),IF(V36&lt;5,1,OFFSET(V51,0,-4)+1),V36,IF(V36&lt;3,1,OFFSET(V51,0,-2)+1))</f>
        <v>5</v>
      </c>
      <c r="W51" s="190">
        <f ca="1">CHOOSE(Параметры!$B$26,IF(W36&lt;13,1,OFFSET(W51,0,-12)+1),IF(W36&lt;5,1,OFFSET(W51,0,-4)+1),W36,IF(W36&lt;3,1,OFFSET(W51,0,-2)+1))</f>
        <v>5</v>
      </c>
      <c r="X51" s="190">
        <f ca="1">CHOOSE(Параметры!$B$26,IF(X36&lt;13,1,OFFSET(X51,0,-12)+1),IF(X36&lt;5,1,OFFSET(X51,0,-4)+1),X36,IF(X36&lt;3,1,OFFSET(X51,0,-2)+1))</f>
        <v>5</v>
      </c>
      <c r="Y51" s="190">
        <f ca="1">CHOOSE(Параметры!$B$26,IF(Y36&lt;13,1,OFFSET(Y51,0,-12)+1),IF(Y36&lt;5,1,OFFSET(Y51,0,-4)+1),Y36,IF(Y36&lt;3,1,OFFSET(Y51,0,-2)+1))</f>
        <v>6</v>
      </c>
      <c r="Z51" s="190">
        <f ca="1">CHOOSE(Параметры!$B$26,IF(Z36&lt;13,1,OFFSET(Z51,0,-12)+1),IF(Z36&lt;5,1,OFFSET(Z51,0,-4)+1),Z36,IF(Z36&lt;3,1,OFFSET(Z51,0,-2)+1))</f>
        <v>6</v>
      </c>
      <c r="AA51" s="190">
        <f ca="1">CHOOSE(Параметры!$B$26,IF(AA36&lt;13,1,OFFSET(AA51,0,-12)+1),IF(AA36&lt;5,1,OFFSET(AA51,0,-4)+1),AA36,IF(AA36&lt;3,1,OFFSET(AA51,0,-2)+1))</f>
        <v>6</v>
      </c>
      <c r="AB51" s="190">
        <f ca="1">CHOOSE(Параметры!$B$26,IF(AB36&lt;13,1,OFFSET(AB51,0,-12)+1),IF(AB36&lt;5,1,OFFSET(AB51,0,-4)+1),AB36,IF(AB36&lt;3,1,OFFSET(AB51,0,-2)+1))</f>
        <v>6</v>
      </c>
      <c r="AC51" s="190">
        <f ca="1">CHOOSE(Параметры!$B$26,IF(AC36&lt;13,1,OFFSET(AC51,0,-12)+1),IF(AC36&lt;5,1,OFFSET(AC51,0,-4)+1),AC36,IF(AC36&lt;3,1,OFFSET(AC51,0,-2)+1))</f>
        <v>7</v>
      </c>
      <c r="AD51" s="190">
        <f ca="1">CHOOSE(Параметры!$B$26,IF(AD36&lt;13,1,OFFSET(AD51,0,-12)+1),IF(AD36&lt;5,1,OFFSET(AD51,0,-4)+1),AD36,IF(AD36&lt;3,1,OFFSET(AD51,0,-2)+1))</f>
        <v>7</v>
      </c>
      <c r="AE51" s="190">
        <f ca="1">CHOOSE(Параметры!$B$26,IF(AE36&lt;13,1,OFFSET(AE51,0,-12)+1),IF(AE36&lt;5,1,OFFSET(AE51,0,-4)+1),AE36,IF(AE36&lt;3,1,OFFSET(AE51,0,-2)+1))</f>
        <v>7</v>
      </c>
      <c r="AF51" s="190">
        <f ca="1">CHOOSE(Параметры!$B$26,IF(AF36&lt;13,1,OFFSET(AF51,0,-12)+1),IF(AF36&lt;5,1,OFFSET(AF51,0,-4)+1),AF36,IF(AF36&lt;3,1,OFFSET(AF51,0,-2)+1))</f>
        <v>7</v>
      </c>
      <c r="AG51" s="190">
        <f ca="1">CHOOSE(Параметры!$B$26,IF(AG36&lt;13,1,OFFSET(AG51,0,-12)+1),IF(AG36&lt;5,1,OFFSET(AG51,0,-4)+1),AG36,IF(AG36&lt;3,1,OFFSET(AG51,0,-2)+1))</f>
        <v>8</v>
      </c>
      <c r="AH51" s="190">
        <f ca="1">CHOOSE(Параметры!$B$26,IF(AH36&lt;13,1,OFFSET(AH51,0,-12)+1),IF(AH36&lt;5,1,OFFSET(AH51,0,-4)+1),AH36,IF(AH36&lt;3,1,OFFSET(AH51,0,-2)+1))</f>
        <v>8</v>
      </c>
      <c r="AI51" s="190">
        <f ca="1">CHOOSE(Параметры!$B$26,IF(AI36&lt;13,1,OFFSET(AI51,0,-12)+1),IF(AI36&lt;5,1,OFFSET(AI51,0,-4)+1),AI36,IF(AI36&lt;3,1,OFFSET(AI51,0,-2)+1))</f>
        <v>8</v>
      </c>
      <c r="AJ51" s="190">
        <f ca="1">CHOOSE(Параметры!$B$26,IF(AJ36&lt;13,1,OFFSET(AJ51,0,-12)+1),IF(AJ36&lt;5,1,OFFSET(AJ51,0,-4)+1),AJ36,IF(AJ36&lt;3,1,OFFSET(AJ51,0,-2)+1))</f>
        <v>8</v>
      </c>
      <c r="AK51" s="190">
        <f ca="1">CHOOSE(Параметры!$B$26,IF(AK36&lt;13,1,OFFSET(AK51,0,-12)+1),IF(AK36&lt;5,1,OFFSET(AK51,0,-4)+1),AK36,IF(AK36&lt;3,1,OFFSET(AK51,0,-2)+1))</f>
        <v>9</v>
      </c>
      <c r="AL51" s="190">
        <f ca="1">CHOOSE(Параметры!$B$26,IF(AL36&lt;13,1,OFFSET(AL51,0,-12)+1),IF(AL36&lt;5,1,OFFSET(AL51,0,-4)+1),AL36,IF(AL36&lt;3,1,OFFSET(AL51,0,-2)+1))</f>
        <v>9</v>
      </c>
      <c r="AM51" s="190">
        <f ca="1">CHOOSE(Параметры!$B$26,IF(AM36&lt;13,1,OFFSET(AM51,0,-12)+1),IF(AM36&lt;5,1,OFFSET(AM51,0,-4)+1),AM36,IF(AM36&lt;3,1,OFFSET(AM51,0,-2)+1))</f>
        <v>9</v>
      </c>
      <c r="AN51" s="190">
        <f ca="1">CHOOSE(Параметры!$B$26,IF(AN36&lt;13,1,OFFSET(AN51,0,-12)+1),IF(AN36&lt;5,1,OFFSET(AN51,0,-4)+1),AN36,IF(AN36&lt;3,1,OFFSET(AN51,0,-2)+1))</f>
        <v>9</v>
      </c>
      <c r="AO51" s="190">
        <f ca="1">CHOOSE(Параметры!$B$26,IF(AO36&lt;13,1,OFFSET(AO51,0,-12)+1),IF(AO36&lt;5,1,OFFSET(AO51,0,-4)+1),AO36,IF(AO36&lt;3,1,OFFSET(AO51,0,-2)+1))</f>
        <v>10</v>
      </c>
      <c r="AP51" s="190">
        <f ca="1">CHOOSE(Параметры!$B$26,IF(AP36&lt;13,1,OFFSET(AP51,0,-12)+1),IF(AP36&lt;5,1,OFFSET(AP51,0,-4)+1),AP36,IF(AP36&lt;3,1,OFFSET(AP51,0,-2)+1))</f>
        <v>10</v>
      </c>
      <c r="AQ51" s="190">
        <f ca="1">CHOOSE(Параметры!$B$26,IF(AQ36&lt;13,1,OFFSET(AQ51,0,-12)+1),IF(AQ36&lt;5,1,OFFSET(AQ51,0,-4)+1),AQ36,IF(AQ36&lt;3,1,OFFSET(AQ51,0,-2)+1))</f>
        <v>10</v>
      </c>
      <c r="AR51" s="190">
        <f ca="1">CHOOSE(Параметры!$B$26,IF(AR36&lt;13,1,OFFSET(AR51,0,-12)+1),IF(AR36&lt;5,1,OFFSET(AR51,0,-4)+1),AR36,IF(AR36&lt;3,1,OFFSET(AR51,0,-2)+1))</f>
        <v>10</v>
      </c>
    </row>
    <row r="53" spans="1:46" s="190" customFormat="1" x14ac:dyDescent="0.2">
      <c r="A53" s="218" t="s">
        <v>516</v>
      </c>
      <c r="E53" s="392" t="s">
        <v>1019</v>
      </c>
      <c r="F53" s="392" t="s">
        <v>1020</v>
      </c>
      <c r="G53" s="392" t="s">
        <v>766</v>
      </c>
      <c r="H53" s="392" t="s">
        <v>1021</v>
      </c>
      <c r="I53" s="392" t="s">
        <v>992</v>
      </c>
      <c r="J53" s="392" t="s">
        <v>720</v>
      </c>
      <c r="K53" s="392" t="s">
        <v>1022</v>
      </c>
      <c r="L53" s="392" t="s">
        <v>653</v>
      </c>
      <c r="M53" s="392" t="s">
        <v>769</v>
      </c>
      <c r="N53" s="392" t="s">
        <v>1023</v>
      </c>
      <c r="O53" s="392" t="s">
        <v>1024</v>
      </c>
      <c r="P53" s="392" t="s">
        <v>650</v>
      </c>
      <c r="Q53" s="392" t="s">
        <v>767</v>
      </c>
      <c r="R53" s="392" t="s">
        <v>1025</v>
      </c>
      <c r="S53" s="392" t="s">
        <v>1026</v>
      </c>
      <c r="T53" s="392" t="s">
        <v>1027</v>
      </c>
      <c r="U53" s="392" t="s">
        <v>768</v>
      </c>
      <c r="V53" s="392" t="s">
        <v>1028</v>
      </c>
      <c r="W53" s="392" t="s">
        <v>1029</v>
      </c>
      <c r="X53" s="392" t="s">
        <v>1030</v>
      </c>
      <c r="Y53" s="392" t="s">
        <v>1031</v>
      </c>
      <c r="Z53" s="392" t="s">
        <v>1032</v>
      </c>
      <c r="AA53" s="392" t="s">
        <v>1033</v>
      </c>
      <c r="AB53" s="392" t="s">
        <v>1034</v>
      </c>
      <c r="AC53" s="392" t="s">
        <v>1035</v>
      </c>
      <c r="AD53" s="392" t="s">
        <v>1036</v>
      </c>
      <c r="AE53" s="392" t="s">
        <v>1037</v>
      </c>
      <c r="AF53" s="392" t="s">
        <v>1038</v>
      </c>
      <c r="AG53" s="392" t="s">
        <v>1039</v>
      </c>
      <c r="AH53" s="392" t="s">
        <v>1040</v>
      </c>
      <c r="AI53" s="392" t="s">
        <v>1041</v>
      </c>
      <c r="AJ53" s="392" t="s">
        <v>1042</v>
      </c>
      <c r="AK53" s="392" t="s">
        <v>1043</v>
      </c>
      <c r="AL53" s="392" t="s">
        <v>1044</v>
      </c>
      <c r="AM53" s="392" t="s">
        <v>1045</v>
      </c>
      <c r="AN53" s="392" t="s">
        <v>1046</v>
      </c>
      <c r="AO53" s="392" t="s">
        <v>1047</v>
      </c>
      <c r="AP53" s="392" t="s">
        <v>1048</v>
      </c>
      <c r="AQ53" s="392" t="s">
        <v>1049</v>
      </c>
      <c r="AR53" s="392" t="s">
        <v>1050</v>
      </c>
    </row>
    <row r="54" spans="1:46" s="190" customFormat="1" ht="21" customHeight="1" x14ac:dyDescent="0.2">
      <c r="A54" s="394" t="s">
        <v>506</v>
      </c>
      <c r="E54" s="392" t="s">
        <v>1051</v>
      </c>
      <c r="F54" s="392" t="s">
        <v>1052</v>
      </c>
      <c r="G54" s="392" t="s">
        <v>1053</v>
      </c>
      <c r="H54" s="392" t="s">
        <v>1054</v>
      </c>
      <c r="I54" s="392" t="s">
        <v>1055</v>
      </c>
      <c r="J54" s="392" t="s">
        <v>1056</v>
      </c>
      <c r="K54" s="392" t="s">
        <v>1057</v>
      </c>
      <c r="L54" s="392" t="s">
        <v>1058</v>
      </c>
      <c r="M54" s="392" t="s">
        <v>1059</v>
      </c>
      <c r="N54" s="392" t="s">
        <v>1060</v>
      </c>
      <c r="O54" s="392" t="s">
        <v>1061</v>
      </c>
      <c r="P54" s="392" t="s">
        <v>1062</v>
      </c>
      <c r="Q54" s="392" t="s">
        <v>1063</v>
      </c>
      <c r="R54" s="392" t="s">
        <v>1064</v>
      </c>
      <c r="S54" s="392" t="s">
        <v>1065</v>
      </c>
      <c r="T54" s="392" t="s">
        <v>1066</v>
      </c>
      <c r="U54" s="392" t="s">
        <v>1067</v>
      </c>
      <c r="V54" s="392" t="s">
        <v>1068</v>
      </c>
      <c r="W54" s="392" t="s">
        <v>1069</v>
      </c>
      <c r="X54" s="392" t="s">
        <v>1070</v>
      </c>
      <c r="Y54" s="392" t="s">
        <v>1071</v>
      </c>
      <c r="Z54" s="392" t="s">
        <v>1072</v>
      </c>
      <c r="AA54" s="392" t="s">
        <v>1073</v>
      </c>
      <c r="AB54" s="392" t="s">
        <v>1074</v>
      </c>
      <c r="AC54" s="392" t="s">
        <v>1075</v>
      </c>
      <c r="AD54" s="392" t="s">
        <v>1076</v>
      </c>
      <c r="AE54" s="392" t="s">
        <v>1077</v>
      </c>
      <c r="AF54" s="392" t="s">
        <v>1078</v>
      </c>
      <c r="AG54" s="392" t="s">
        <v>1079</v>
      </c>
      <c r="AH54" s="392" t="s">
        <v>1080</v>
      </c>
      <c r="AI54" s="392" t="s">
        <v>1081</v>
      </c>
      <c r="AJ54" s="392" t="s">
        <v>1082</v>
      </c>
      <c r="AK54" s="392" t="s">
        <v>1083</v>
      </c>
      <c r="AL54" s="392" t="s">
        <v>1084</v>
      </c>
      <c r="AM54" s="392" t="s">
        <v>1085</v>
      </c>
      <c r="AN54" s="392" t="s">
        <v>1086</v>
      </c>
      <c r="AO54" s="392" t="s">
        <v>1087</v>
      </c>
      <c r="AP54" s="392" t="s">
        <v>1088</v>
      </c>
      <c r="AQ54" s="392" t="s">
        <v>1089</v>
      </c>
      <c r="AR54" s="392" t="s">
        <v>1090</v>
      </c>
    </row>
    <row r="55" spans="1:46" s="190" customFormat="1" ht="21" customHeight="1" x14ac:dyDescent="0.2">
      <c r="A55" s="394" t="str">
        <f>A54</f>
        <v>Заголовки таблиц (от начала расчетов)</v>
      </c>
      <c r="E55" s="392" t="str">
        <f t="shared" ref="E55:AR55" si="38">TEXT(E37,"ММ.ГГГГ") &amp; " " &amp;TEXT(E38,"ММ.ГГГГ")</f>
        <v>01.2020 03.2020</v>
      </c>
      <c r="F55" s="392" t="str">
        <f t="shared" si="38"/>
        <v>04.2020 06.2020</v>
      </c>
      <c r="G55" s="392" t="str">
        <f t="shared" si="38"/>
        <v>07.2020 09.2020</v>
      </c>
      <c r="H55" s="392" t="str">
        <f t="shared" si="38"/>
        <v>10.2020 12.2020</v>
      </c>
      <c r="I55" s="392" t="str">
        <f t="shared" si="38"/>
        <v>01.2021 03.2021</v>
      </c>
      <c r="J55" s="392" t="str">
        <f t="shared" si="38"/>
        <v>04.2021 06.2021</v>
      </c>
      <c r="K55" s="392" t="str">
        <f t="shared" si="38"/>
        <v>07.2021 09.2021</v>
      </c>
      <c r="L55" s="392" t="str">
        <f t="shared" si="38"/>
        <v>10.2021 12.2021</v>
      </c>
      <c r="M55" s="392" t="str">
        <f t="shared" si="38"/>
        <v>01.2022 03.2022</v>
      </c>
      <c r="N55" s="392" t="str">
        <f t="shared" si="38"/>
        <v>04.2022 06.2022</v>
      </c>
      <c r="O55" s="392" t="str">
        <f t="shared" si="38"/>
        <v>07.2022 09.2022</v>
      </c>
      <c r="P55" s="392" t="str">
        <f t="shared" si="38"/>
        <v>10.2022 12.2022</v>
      </c>
      <c r="Q55" s="392" t="str">
        <f t="shared" si="38"/>
        <v>01.2023 03.2023</v>
      </c>
      <c r="R55" s="392" t="str">
        <f t="shared" si="38"/>
        <v>04.2023 06.2023</v>
      </c>
      <c r="S55" s="392" t="str">
        <f t="shared" si="38"/>
        <v>07.2023 09.2023</v>
      </c>
      <c r="T55" s="392" t="str">
        <f t="shared" si="38"/>
        <v>10.2023 12.2023</v>
      </c>
      <c r="U55" s="392" t="str">
        <f t="shared" si="38"/>
        <v>01.2024 03.2024</v>
      </c>
      <c r="V55" s="392" t="str">
        <f t="shared" si="38"/>
        <v>04.2024 06.2024</v>
      </c>
      <c r="W55" s="392" t="str">
        <f t="shared" si="38"/>
        <v>07.2024 09.2024</v>
      </c>
      <c r="X55" s="392" t="str">
        <f t="shared" si="38"/>
        <v>10.2024 12.2024</v>
      </c>
      <c r="Y55" s="392" t="str">
        <f t="shared" si="38"/>
        <v>01.2025 03.2025</v>
      </c>
      <c r="Z55" s="392" t="str">
        <f t="shared" si="38"/>
        <v>04.2025 06.2025</v>
      </c>
      <c r="AA55" s="392" t="str">
        <f t="shared" si="38"/>
        <v>07.2025 09.2025</v>
      </c>
      <c r="AB55" s="392" t="str">
        <f t="shared" si="38"/>
        <v>10.2025 12.2025</v>
      </c>
      <c r="AC55" s="392" t="str">
        <f t="shared" si="38"/>
        <v>01.2026 03.2026</v>
      </c>
      <c r="AD55" s="392" t="str">
        <f t="shared" si="38"/>
        <v>04.2026 06.2026</v>
      </c>
      <c r="AE55" s="392" t="str">
        <f t="shared" si="38"/>
        <v>07.2026 09.2026</v>
      </c>
      <c r="AF55" s="392" t="str">
        <f t="shared" si="38"/>
        <v>10.2026 12.2026</v>
      </c>
      <c r="AG55" s="392" t="str">
        <f t="shared" si="38"/>
        <v>01.2027 03.2027</v>
      </c>
      <c r="AH55" s="392" t="str">
        <f t="shared" si="38"/>
        <v>04.2027 06.2027</v>
      </c>
      <c r="AI55" s="392" t="str">
        <f t="shared" si="38"/>
        <v>07.2027 09.2027</v>
      </c>
      <c r="AJ55" s="392" t="str">
        <f t="shared" si="38"/>
        <v>10.2027 12.2027</v>
      </c>
      <c r="AK55" s="392" t="str">
        <f t="shared" si="38"/>
        <v>01.2028 03.2028</v>
      </c>
      <c r="AL55" s="392" t="str">
        <f t="shared" si="38"/>
        <v>04.2028 06.2028</v>
      </c>
      <c r="AM55" s="392" t="str">
        <f t="shared" si="38"/>
        <v>07.2028 09.2028</v>
      </c>
      <c r="AN55" s="392" t="str">
        <f t="shared" si="38"/>
        <v>10.2028 12.2028</v>
      </c>
      <c r="AO55" s="392" t="str">
        <f t="shared" si="38"/>
        <v>01.2029 03.2029</v>
      </c>
      <c r="AP55" s="392" t="str">
        <f t="shared" si="38"/>
        <v>04.2029 06.2029</v>
      </c>
      <c r="AQ55" s="392" t="str">
        <f t="shared" si="38"/>
        <v>07.2029 09.2029</v>
      </c>
      <c r="AR55" s="392" t="str">
        <f t="shared" si="38"/>
        <v>10.2029 12.2029</v>
      </c>
    </row>
    <row r="56" spans="1:46" s="190" customFormat="1" x14ac:dyDescent="0.2">
      <c r="A56" s="394"/>
      <c r="E56" s="392"/>
      <c r="F56" s="392"/>
      <c r="G56" s="392"/>
      <c r="H56" s="392"/>
      <c r="I56" s="392"/>
      <c r="J56" s="392"/>
      <c r="K56" s="392"/>
      <c r="L56" s="392"/>
      <c r="M56" s="392"/>
      <c r="N56" s="392"/>
      <c r="O56" s="392"/>
      <c r="P56" s="392"/>
      <c r="Q56" s="392"/>
      <c r="R56" s="392"/>
      <c r="S56" s="392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</row>
    <row r="57" spans="1:46" x14ac:dyDescent="0.2">
      <c r="A57" s="45"/>
      <c r="B57" s="46"/>
      <c r="C57" s="46"/>
      <c r="D57" s="47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</row>
    <row r="58" spans="1:46" x14ac:dyDescent="0.2">
      <c r="D58" s="40"/>
    </row>
    <row r="59" spans="1:46" ht="12" thickBot="1" x14ac:dyDescent="0.25">
      <c r="D59" s="40"/>
    </row>
    <row r="60" spans="1:46" s="43" customFormat="1" ht="25.5" customHeight="1" thickBot="1" x14ac:dyDescent="0.25">
      <c r="A60" s="476" t="s">
        <v>508</v>
      </c>
      <c r="B60" s="477"/>
      <c r="C60" s="477"/>
      <c r="D60" s="478"/>
      <c r="E60" s="479" t="str">
        <f t="shared" ref="E60:AR60" si="39">CHOOSE($B$16,E$53,E$54)</f>
        <v>1 кв. 2020</v>
      </c>
      <c r="F60" s="479" t="str">
        <f t="shared" si="39"/>
        <v>2 кв. 2020</v>
      </c>
      <c r="G60" s="479" t="str">
        <f t="shared" si="39"/>
        <v>3 кв. 2020</v>
      </c>
      <c r="H60" s="479" t="str">
        <f t="shared" si="39"/>
        <v>4 кв. 2020</v>
      </c>
      <c r="I60" s="479" t="str">
        <f t="shared" si="39"/>
        <v>1 кв. 2021</v>
      </c>
      <c r="J60" s="479" t="str">
        <f t="shared" si="39"/>
        <v>2 кв. 2021</v>
      </c>
      <c r="K60" s="479" t="str">
        <f t="shared" si="39"/>
        <v>3 кв. 2021</v>
      </c>
      <c r="L60" s="479" t="str">
        <f t="shared" si="39"/>
        <v>4 кв. 2021</v>
      </c>
      <c r="M60" s="479" t="str">
        <f t="shared" si="39"/>
        <v>1 кв. 2022</v>
      </c>
      <c r="N60" s="479" t="str">
        <f t="shared" si="39"/>
        <v>2 кв. 2022</v>
      </c>
      <c r="O60" s="479" t="str">
        <f t="shared" si="39"/>
        <v>3 кв. 2022</v>
      </c>
      <c r="P60" s="479" t="str">
        <f t="shared" si="39"/>
        <v>4 кв. 2022</v>
      </c>
      <c r="Q60" s="479" t="str">
        <f t="shared" si="39"/>
        <v>1 кв. 2023</v>
      </c>
      <c r="R60" s="479" t="str">
        <f t="shared" si="39"/>
        <v>2 кв. 2023</v>
      </c>
      <c r="S60" s="479" t="str">
        <f t="shared" si="39"/>
        <v>3 кв. 2023</v>
      </c>
      <c r="T60" s="479" t="str">
        <f t="shared" si="39"/>
        <v>4 кв. 2023</v>
      </c>
      <c r="U60" s="479" t="str">
        <f t="shared" si="39"/>
        <v>1 кв. 2024</v>
      </c>
      <c r="V60" s="479" t="str">
        <f t="shared" si="39"/>
        <v>2 кв. 2024</v>
      </c>
      <c r="W60" s="479" t="str">
        <f t="shared" si="39"/>
        <v>3 кв. 2024</v>
      </c>
      <c r="X60" s="479" t="str">
        <f t="shared" si="39"/>
        <v>4 кв. 2024</v>
      </c>
      <c r="Y60" s="479" t="str">
        <f t="shared" si="39"/>
        <v>1 кв. 2025</v>
      </c>
      <c r="Z60" s="479" t="str">
        <f t="shared" si="39"/>
        <v>2 кв. 2025</v>
      </c>
      <c r="AA60" s="479" t="str">
        <f t="shared" si="39"/>
        <v>3 кв. 2025</v>
      </c>
      <c r="AB60" s="479" t="str">
        <f t="shared" si="39"/>
        <v>4 кв. 2025</v>
      </c>
      <c r="AC60" s="479" t="str">
        <f t="shared" si="39"/>
        <v>1 кв. 2026</v>
      </c>
      <c r="AD60" s="479" t="str">
        <f t="shared" si="39"/>
        <v>2 кв. 2026</v>
      </c>
      <c r="AE60" s="479" t="str">
        <f t="shared" si="39"/>
        <v>3 кв. 2026</v>
      </c>
      <c r="AF60" s="479" t="str">
        <f t="shared" si="39"/>
        <v>4 кв. 2026</v>
      </c>
      <c r="AG60" s="479" t="str">
        <f t="shared" si="39"/>
        <v>1 кв. 2027</v>
      </c>
      <c r="AH60" s="479" t="str">
        <f t="shared" si="39"/>
        <v>2 кв. 2027</v>
      </c>
      <c r="AI60" s="479" t="str">
        <f t="shared" si="39"/>
        <v>3 кв. 2027</v>
      </c>
      <c r="AJ60" s="479" t="str">
        <f t="shared" si="39"/>
        <v>4 кв. 2027</v>
      </c>
      <c r="AK60" s="479" t="str">
        <f t="shared" si="39"/>
        <v>1 кв. 2028</v>
      </c>
      <c r="AL60" s="479" t="str">
        <f t="shared" si="39"/>
        <v>2 кв. 2028</v>
      </c>
      <c r="AM60" s="479" t="str">
        <f t="shared" si="39"/>
        <v>3 кв. 2028</v>
      </c>
      <c r="AN60" s="479" t="str">
        <f t="shared" si="39"/>
        <v>4 кв. 2028</v>
      </c>
      <c r="AO60" s="479" t="str">
        <f t="shared" si="39"/>
        <v>1 кв. 2029</v>
      </c>
      <c r="AP60" s="479" t="str">
        <f t="shared" si="39"/>
        <v>2 кв. 2029</v>
      </c>
      <c r="AQ60" s="479" t="str">
        <f t="shared" si="39"/>
        <v>3 кв. 2029</v>
      </c>
      <c r="AR60" s="479" t="str">
        <f t="shared" si="39"/>
        <v>4 кв. 2029</v>
      </c>
      <c r="AS60" s="480"/>
      <c r="AT60" s="480"/>
    </row>
    <row r="61" spans="1:46" x14ac:dyDescent="0.2">
      <c r="A61" s="44"/>
      <c r="D61" s="40"/>
    </row>
    <row r="62" spans="1:46" ht="22.5" x14ac:dyDescent="0.2">
      <c r="A62" s="255" t="s">
        <v>438</v>
      </c>
      <c r="B62" s="334">
        <v>1</v>
      </c>
      <c r="C62" s="303"/>
      <c r="D62" s="40"/>
    </row>
    <row r="63" spans="1:46" x14ac:dyDescent="0.2">
      <c r="A63" s="49"/>
      <c r="D63" s="40"/>
    </row>
    <row r="64" spans="1:46" x14ac:dyDescent="0.2">
      <c r="A64" s="50" t="s">
        <v>6</v>
      </c>
      <c r="B64" s="51" t="s">
        <v>455</v>
      </c>
      <c r="D64" s="40"/>
    </row>
    <row r="65" spans="1:45" x14ac:dyDescent="0.2">
      <c r="A65" s="63" t="s">
        <v>443</v>
      </c>
      <c r="C65" s="2" t="s">
        <v>14</v>
      </c>
      <c r="D65" s="40"/>
      <c r="E65" s="539">
        <f>(SUMIF(ИД!$D$6:$T$6,E$46,ИД!$D$7:$T$7)-1)*Параметры!$B$62</f>
        <v>0</v>
      </c>
      <c r="F65" s="539">
        <f>(SUMIF(ИД!$D$6:$T$6,F$46,ИД!$D$7:$T$7)-1)*Параметры!$B$62</f>
        <v>0</v>
      </c>
      <c r="G65" s="539">
        <f>(SUMIF(ИД!$D$6:$T$6,G$46,ИД!$D$7:$T$7)-1)*Параметры!$B$62</f>
        <v>0</v>
      </c>
      <c r="H65" s="539">
        <f>(SUMIF(ИД!$D$6:$T$6,H$46,ИД!$D$7:$T$7)-1)*Параметры!$B$62</f>
        <v>0</v>
      </c>
      <c r="I65" s="539">
        <f>(SUMIF(ИД!$D$6:$T$6,I$46,ИД!$D$7:$T$7)-1)*Параметры!$B$62</f>
        <v>4.011212875388237E-2</v>
      </c>
      <c r="J65" s="539">
        <f>(SUMIF(ИД!$D$6:$T$6,J$46,ИД!$D$7:$T$7)-1)*Параметры!$B$62</f>
        <v>4.011212875388237E-2</v>
      </c>
      <c r="K65" s="539">
        <f>(SUMIF(ИД!$D$6:$T$6,K$46,ИД!$D$7:$T$7)-1)*Параметры!$B$62</f>
        <v>4.011212875388237E-2</v>
      </c>
      <c r="L65" s="539">
        <f>(SUMIF(ИД!$D$6:$T$6,L$46,ИД!$D$7:$T$7)-1)*Параметры!$B$62</f>
        <v>4.011212875388237E-2</v>
      </c>
      <c r="M65" s="539">
        <f>(SUMIF(ИД!$D$6:$T$6,M$46,ИД!$D$7:$T$7)-1)*Параметры!$B$62</f>
        <v>3.9951351517419909E-2</v>
      </c>
      <c r="N65" s="539">
        <f>(SUMIF(ИД!$D$6:$T$6,N$46,ИД!$D$7:$T$7)-1)*Параметры!$B$62</f>
        <v>3.9951351517419909E-2</v>
      </c>
      <c r="O65" s="539">
        <f>(SUMIF(ИД!$D$6:$T$6,O$46,ИД!$D$7:$T$7)-1)*Параметры!$B$62</f>
        <v>3.9951351517419909E-2</v>
      </c>
      <c r="P65" s="539">
        <f>(SUMIF(ИД!$D$6:$T$6,P$46,ИД!$D$7:$T$7)-1)*Параметры!$B$62</f>
        <v>3.9951351517419909E-2</v>
      </c>
      <c r="Q65" s="539">
        <f>(SUMIF(ИД!$D$6:$T$6,Q$46,ИД!$D$7:$T$7)-1)*Параметры!$B$62</f>
        <v>3.9799274348962799E-2</v>
      </c>
      <c r="R65" s="539">
        <f>(SUMIF(ИД!$D$6:$T$6,R$46,ИД!$D$7:$T$7)-1)*Параметры!$B$62</f>
        <v>3.9799274348962799E-2</v>
      </c>
      <c r="S65" s="539">
        <f>(SUMIF(ИД!$D$6:$T$6,S$46,ИД!$D$7:$T$7)-1)*Параметры!$B$62</f>
        <v>3.9799274348962799E-2</v>
      </c>
      <c r="T65" s="539">
        <f>(SUMIF(ИД!$D$6:$T$6,T$46,ИД!$D$7:$T$7)-1)*Параметры!$B$62</f>
        <v>3.9799274348962799E-2</v>
      </c>
      <c r="U65" s="539">
        <f>(SUMIF(ИД!$D$6:$T$6,U$46,ИД!$D$7:$T$7)-1)*Параметры!$B$62</f>
        <v>3.9889661086839556E-2</v>
      </c>
      <c r="V65" s="539">
        <f>(SUMIF(ИД!$D$6:$T$6,V$46,ИД!$D$7:$T$7)-1)*Параметры!$B$62</f>
        <v>3.9889661086839556E-2</v>
      </c>
      <c r="W65" s="539">
        <f>(SUMIF(ИД!$D$6:$T$6,W$46,ИД!$D$7:$T$7)-1)*Параметры!$B$62</f>
        <v>3.9889661086839556E-2</v>
      </c>
      <c r="X65" s="539">
        <f>(SUMIF(ИД!$D$6:$T$6,X$46,ИД!$D$7:$T$7)-1)*Параметры!$B$62</f>
        <v>3.9889661086839556E-2</v>
      </c>
      <c r="Y65" s="539">
        <f>(SUMIF(ИД!$D$6:$T$6,Y$46,ИД!$D$7:$T$7)-1)*Параметры!$B$62</f>
        <v>3.9919999999999956E-2</v>
      </c>
      <c r="Z65" s="539">
        <f>(SUMIF(ИД!$D$6:$T$6,Z$46,ИД!$D$7:$T$7)-1)*Параметры!$B$62</f>
        <v>3.9919999999999956E-2</v>
      </c>
      <c r="AA65" s="539">
        <f>(SUMIF(ИД!$D$6:$T$6,AA$46,ИД!$D$7:$T$7)-1)*Параметры!$B$62</f>
        <v>3.9919999999999956E-2</v>
      </c>
      <c r="AB65" s="539">
        <f>(SUMIF(ИД!$D$6:$T$6,AB$46,ИД!$D$7:$T$7)-1)*Параметры!$B$62</f>
        <v>3.9919999999999956E-2</v>
      </c>
      <c r="AC65" s="539">
        <f>(SUMIF(ИД!$D$6:$T$6,AC$46,ИД!$D$7:$T$7)-1)*Параметры!$B$62</f>
        <v>3.986999999999985E-2</v>
      </c>
      <c r="AD65" s="539">
        <f>(SUMIF(ИД!$D$6:$T$6,AD$46,ИД!$D$7:$T$7)-1)*Параметры!$B$62</f>
        <v>3.986999999999985E-2</v>
      </c>
      <c r="AE65" s="539">
        <f>(SUMIF(ИД!$D$6:$T$6,AE$46,ИД!$D$7:$T$7)-1)*Параметры!$B$62</f>
        <v>3.986999999999985E-2</v>
      </c>
      <c r="AF65" s="539">
        <f>(SUMIF(ИД!$D$6:$T$6,AF$46,ИД!$D$7:$T$7)-1)*Параметры!$B$62</f>
        <v>3.986999999999985E-2</v>
      </c>
      <c r="AG65" s="539">
        <f>(SUMIF(ИД!$D$6:$T$6,AG$46,ИД!$D$7:$T$7)-1)*Параметры!$B$62</f>
        <v>3.9749999999999952E-2</v>
      </c>
      <c r="AH65" s="539">
        <f>(SUMIF(ИД!$D$6:$T$6,AH$46,ИД!$D$7:$T$7)-1)*Параметры!$B$62</f>
        <v>3.9749999999999952E-2</v>
      </c>
      <c r="AI65" s="539">
        <f>(SUMIF(ИД!$D$6:$T$6,AI$46,ИД!$D$7:$T$7)-1)*Параметры!$B$62</f>
        <v>3.9749999999999952E-2</v>
      </c>
      <c r="AJ65" s="539">
        <f>(SUMIF(ИД!$D$6:$T$6,AJ$46,ИД!$D$7:$T$7)-1)*Параметры!$B$62</f>
        <v>3.9749999999999952E-2</v>
      </c>
      <c r="AK65" s="539">
        <f>(SUMIF(ИД!$D$6:$T$6,AK$46,ИД!$D$7:$T$7)-1)*Параметры!$B$62</f>
        <v>3.9629999999999832E-2</v>
      </c>
      <c r="AL65" s="539">
        <f>(SUMIF(ИД!$D$6:$T$6,AL$46,ИД!$D$7:$T$7)-1)*Параметры!$B$62</f>
        <v>3.9629999999999832E-2</v>
      </c>
      <c r="AM65" s="539">
        <f>(SUMIF(ИД!$D$6:$T$6,AM$46,ИД!$D$7:$T$7)-1)*Параметры!$B$62</f>
        <v>3.9629999999999832E-2</v>
      </c>
      <c r="AN65" s="539">
        <f>(SUMIF(ИД!$D$6:$T$6,AN$46,ИД!$D$7:$T$7)-1)*Параметры!$B$62</f>
        <v>3.9629999999999832E-2</v>
      </c>
      <c r="AO65" s="539">
        <f>(SUMIF(ИД!$D$6:$T$6,AO$46,ИД!$D$7:$T$7)-1)*Параметры!$B$62</f>
        <v>3.9549999999999974E-2</v>
      </c>
      <c r="AP65" s="539">
        <f>(SUMIF(ИД!$D$6:$T$6,AP$46,ИД!$D$7:$T$7)-1)*Параметры!$B$62</f>
        <v>3.9549999999999974E-2</v>
      </c>
      <c r="AQ65" s="539">
        <f>(SUMIF(ИД!$D$6:$T$6,AQ$46,ИД!$D$7:$T$7)-1)*Параметры!$B$62</f>
        <v>3.9549999999999974E-2</v>
      </c>
      <c r="AR65" s="539">
        <f>(SUMIF(ИД!$D$6:$T$6,AR$46,ИД!$D$7:$T$7)-1)*Параметры!$B$62</f>
        <v>3.9549999999999974E-2</v>
      </c>
    </row>
    <row r="66" spans="1:45" ht="11.25" customHeight="1" x14ac:dyDescent="0.2">
      <c r="A66" s="393" t="s">
        <v>493</v>
      </c>
      <c r="C66" s="7" t="s">
        <v>492</v>
      </c>
      <c r="D66" s="397"/>
      <c r="E66" s="418">
        <f>E67</f>
        <v>0</v>
      </c>
      <c r="F66" s="418">
        <f t="shared" ref="F66" si="40">F67</f>
        <v>0</v>
      </c>
      <c r="G66" s="418">
        <f t="shared" ref="G66" si="41">G67</f>
        <v>0</v>
      </c>
      <c r="H66" s="418">
        <f t="shared" ref="H66" si="42">H67</f>
        <v>0</v>
      </c>
      <c r="I66" s="418">
        <f t="shared" ref="I66" si="43">I67</f>
        <v>9.8806250648859617E-3</v>
      </c>
      <c r="J66" s="418">
        <f t="shared" ref="J66" si="44">J67</f>
        <v>9.8806250648859617E-3</v>
      </c>
      <c r="K66" s="418">
        <f t="shared" ref="K66" si="45">K67</f>
        <v>9.8806250648859617E-3</v>
      </c>
      <c r="L66" s="418">
        <f t="shared" ref="L66" si="46">L67</f>
        <v>9.8806250648859617E-3</v>
      </c>
      <c r="M66" s="418">
        <f t="shared" ref="M66" si="47">M67</f>
        <v>9.8415967658780357E-3</v>
      </c>
      <c r="N66" s="418">
        <f t="shared" ref="N66" si="48">N67</f>
        <v>9.8415967658780357E-3</v>
      </c>
      <c r="O66" s="418">
        <f t="shared" ref="O66" si="49">O67</f>
        <v>9.8415967658780357E-3</v>
      </c>
      <c r="P66" s="418">
        <f t="shared" ref="P66" si="50">P67</f>
        <v>9.8415967658780357E-3</v>
      </c>
      <c r="Q66" s="418">
        <f t="shared" ref="Q66" si="51">Q67</f>
        <v>9.8046762231969176E-3</v>
      </c>
      <c r="R66" s="418">
        <f t="shared" ref="R66" si="52">R67</f>
        <v>9.8046762231969176E-3</v>
      </c>
      <c r="S66" s="418">
        <f t="shared" ref="S66" si="53">S67</f>
        <v>9.8046762231969176E-3</v>
      </c>
      <c r="T66" s="418">
        <f t="shared" ref="T66" si="54">T67</f>
        <v>9.8046762231969176E-3</v>
      </c>
      <c r="U66" s="418">
        <f t="shared" ref="U66" si="55">U67</f>
        <v>9.8266203564767451E-3</v>
      </c>
      <c r="V66" s="418">
        <f t="shared" ref="V66" si="56">V67</f>
        <v>9.8266203564767451E-3</v>
      </c>
      <c r="W66" s="418">
        <f t="shared" ref="W66" si="57">W67</f>
        <v>9.8266203564767451E-3</v>
      </c>
      <c r="X66" s="418">
        <f t="shared" ref="X66" si="58">X67</f>
        <v>9.8266203564767451E-3</v>
      </c>
      <c r="Y66" s="418">
        <f t="shared" ref="Y66" si="59">Y67</f>
        <v>9.8339857309257539E-3</v>
      </c>
      <c r="Z66" s="418">
        <f t="shared" ref="Z66" si="60">Z67</f>
        <v>9.8339857309257539E-3</v>
      </c>
      <c r="AA66" s="418">
        <f t="shared" ref="AA66" si="61">AA67</f>
        <v>9.8339857309257539E-3</v>
      </c>
      <c r="AB66" s="418">
        <f t="shared" ref="AB66:AR66" si="62">AB67</f>
        <v>9.8339857309257539E-3</v>
      </c>
      <c r="AC66" s="418">
        <f t="shared" si="62"/>
        <v>9.8218471506288374E-3</v>
      </c>
      <c r="AD66" s="418">
        <f t="shared" si="62"/>
        <v>9.8218471506288374E-3</v>
      </c>
      <c r="AE66" s="418">
        <f t="shared" si="62"/>
        <v>9.8218471506288374E-3</v>
      </c>
      <c r="AF66" s="418">
        <f t="shared" si="62"/>
        <v>9.8218471506288374E-3</v>
      </c>
      <c r="AG66" s="418">
        <f t="shared" si="62"/>
        <v>9.7927127718189233E-3</v>
      </c>
      <c r="AH66" s="418">
        <f t="shared" si="62"/>
        <v>9.7927127718189233E-3</v>
      </c>
      <c r="AI66" s="418">
        <f t="shared" si="62"/>
        <v>9.7927127718189233E-3</v>
      </c>
      <c r="AJ66" s="418">
        <f t="shared" si="62"/>
        <v>9.7927127718189233E-3</v>
      </c>
      <c r="AK66" s="418">
        <f t="shared" si="62"/>
        <v>9.7635758710492571E-3</v>
      </c>
      <c r="AL66" s="418">
        <f t="shared" si="62"/>
        <v>9.7635758710492571E-3</v>
      </c>
      <c r="AM66" s="418">
        <f t="shared" si="62"/>
        <v>9.7635758710492571E-3</v>
      </c>
      <c r="AN66" s="418">
        <f t="shared" si="62"/>
        <v>9.7635758710492571E-3</v>
      </c>
      <c r="AO66" s="418">
        <f t="shared" si="62"/>
        <v>9.7441498691959172E-3</v>
      </c>
      <c r="AP66" s="418">
        <f t="shared" si="62"/>
        <v>9.7441498691959172E-3</v>
      </c>
      <c r="AQ66" s="418">
        <f t="shared" si="62"/>
        <v>9.7441498691959172E-3</v>
      </c>
      <c r="AR66" s="418">
        <f t="shared" si="62"/>
        <v>9.7441498691959172E-3</v>
      </c>
    </row>
    <row r="67" spans="1:45" ht="11.25" customHeight="1" x14ac:dyDescent="0.2">
      <c r="A67" s="393" t="s">
        <v>1091</v>
      </c>
      <c r="B67" s="190"/>
      <c r="C67" s="7" t="s">
        <v>1</v>
      </c>
      <c r="D67" s="397"/>
      <c r="E67" s="418">
        <f t="shared" ref="E67:AB67" si="63">(E65+1)^(E$40/12)-1</f>
        <v>0</v>
      </c>
      <c r="F67" s="418">
        <f t="shared" si="63"/>
        <v>0</v>
      </c>
      <c r="G67" s="418">
        <f t="shared" si="63"/>
        <v>0</v>
      </c>
      <c r="H67" s="418">
        <f t="shared" si="63"/>
        <v>0</v>
      </c>
      <c r="I67" s="418">
        <f t="shared" si="63"/>
        <v>9.8806250648859617E-3</v>
      </c>
      <c r="J67" s="418">
        <f t="shared" si="63"/>
        <v>9.8806250648859617E-3</v>
      </c>
      <c r="K67" s="418">
        <f t="shared" si="63"/>
        <v>9.8806250648859617E-3</v>
      </c>
      <c r="L67" s="418">
        <f t="shared" si="63"/>
        <v>9.8806250648859617E-3</v>
      </c>
      <c r="M67" s="418">
        <f t="shared" si="63"/>
        <v>9.8415967658780357E-3</v>
      </c>
      <c r="N67" s="418">
        <f t="shared" si="63"/>
        <v>9.8415967658780357E-3</v>
      </c>
      <c r="O67" s="418">
        <f t="shared" si="63"/>
        <v>9.8415967658780357E-3</v>
      </c>
      <c r="P67" s="418">
        <f t="shared" si="63"/>
        <v>9.8415967658780357E-3</v>
      </c>
      <c r="Q67" s="418">
        <f t="shared" si="63"/>
        <v>9.8046762231969176E-3</v>
      </c>
      <c r="R67" s="418">
        <f t="shared" si="63"/>
        <v>9.8046762231969176E-3</v>
      </c>
      <c r="S67" s="418">
        <f t="shared" si="63"/>
        <v>9.8046762231969176E-3</v>
      </c>
      <c r="T67" s="418">
        <f t="shared" si="63"/>
        <v>9.8046762231969176E-3</v>
      </c>
      <c r="U67" s="418">
        <f t="shared" si="63"/>
        <v>9.8266203564767451E-3</v>
      </c>
      <c r="V67" s="418">
        <f t="shared" si="63"/>
        <v>9.8266203564767451E-3</v>
      </c>
      <c r="W67" s="418">
        <f t="shared" si="63"/>
        <v>9.8266203564767451E-3</v>
      </c>
      <c r="X67" s="418">
        <f t="shared" si="63"/>
        <v>9.8266203564767451E-3</v>
      </c>
      <c r="Y67" s="418">
        <f t="shared" si="63"/>
        <v>9.8339857309257539E-3</v>
      </c>
      <c r="Z67" s="418">
        <f t="shared" si="63"/>
        <v>9.8339857309257539E-3</v>
      </c>
      <c r="AA67" s="418">
        <f t="shared" si="63"/>
        <v>9.8339857309257539E-3</v>
      </c>
      <c r="AB67" s="418">
        <f t="shared" si="63"/>
        <v>9.8339857309257539E-3</v>
      </c>
      <c r="AC67" s="418">
        <f t="shared" ref="AC67:AD67" si="64">(AC65+1)^(AC$40/12)-1</f>
        <v>9.8218471506288374E-3</v>
      </c>
      <c r="AD67" s="418">
        <f t="shared" si="64"/>
        <v>9.8218471506288374E-3</v>
      </c>
      <c r="AE67" s="418">
        <f t="shared" ref="AE67:AF67" si="65">(AE65+1)^(AE$40/12)-1</f>
        <v>9.8218471506288374E-3</v>
      </c>
      <c r="AF67" s="418">
        <f t="shared" si="65"/>
        <v>9.8218471506288374E-3</v>
      </c>
      <c r="AG67" s="418">
        <f t="shared" ref="AG67:AH67" si="66">(AG65+1)^(AG$40/12)-1</f>
        <v>9.7927127718189233E-3</v>
      </c>
      <c r="AH67" s="418">
        <f t="shared" si="66"/>
        <v>9.7927127718189233E-3</v>
      </c>
      <c r="AI67" s="418">
        <f t="shared" ref="AI67:AJ67" si="67">(AI65+1)^(AI$40/12)-1</f>
        <v>9.7927127718189233E-3</v>
      </c>
      <c r="AJ67" s="418">
        <f t="shared" si="67"/>
        <v>9.7927127718189233E-3</v>
      </c>
      <c r="AK67" s="418">
        <f t="shared" ref="AK67:AL67" si="68">(AK65+1)^(AK$40/12)-1</f>
        <v>9.7635758710492571E-3</v>
      </c>
      <c r="AL67" s="418">
        <f t="shared" si="68"/>
        <v>9.7635758710492571E-3</v>
      </c>
      <c r="AM67" s="418">
        <f t="shared" ref="AM67:AN67" si="69">(AM65+1)^(AM$40/12)-1</f>
        <v>9.7635758710492571E-3</v>
      </c>
      <c r="AN67" s="418">
        <f t="shared" si="69"/>
        <v>9.7635758710492571E-3</v>
      </c>
      <c r="AO67" s="418">
        <f t="shared" ref="AO67:AP67" si="70">(AO65+1)^(AO$40/12)-1</f>
        <v>9.7441498691959172E-3</v>
      </c>
      <c r="AP67" s="418">
        <f t="shared" si="70"/>
        <v>9.7441498691959172E-3</v>
      </c>
      <c r="AQ67" s="418">
        <f t="shared" ref="AQ67:AR67" si="71">(AQ65+1)^(AQ$40/12)-1</f>
        <v>9.7441498691959172E-3</v>
      </c>
      <c r="AR67" s="418">
        <f t="shared" si="71"/>
        <v>9.7441498691959172E-3</v>
      </c>
    </row>
    <row r="68" spans="1:45" x14ac:dyDescent="0.2">
      <c r="A68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C68" s="2"/>
      <c r="D68" s="40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64"/>
      <c r="AP68" s="264"/>
      <c r="AQ68" s="264"/>
      <c r="AR68" s="264"/>
    </row>
    <row r="69" spans="1:45" x14ac:dyDescent="0.2">
      <c r="A69" s="262"/>
      <c r="C69" s="2"/>
      <c r="D69" s="40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I69" s="264"/>
      <c r="AJ69" s="264"/>
      <c r="AK69" s="264"/>
      <c r="AL69" s="264"/>
      <c r="AM69" s="264"/>
      <c r="AN69" s="264"/>
      <c r="AO69" s="264"/>
      <c r="AP69" s="264"/>
      <c r="AQ69" s="264"/>
      <c r="AR69" s="264"/>
    </row>
    <row r="70" spans="1:45" outlineLevel="1" x14ac:dyDescent="0.2">
      <c r="A70" s="52" t="s">
        <v>288</v>
      </c>
      <c r="D70" s="65"/>
    </row>
    <row r="71" spans="1:45" ht="11.25" customHeight="1" outlineLevel="1" x14ac:dyDescent="0.2">
      <c r="A71" s="336" t="s">
        <v>443</v>
      </c>
      <c r="C71" s="2" t="s">
        <v>14</v>
      </c>
      <c r="D71" s="65"/>
      <c r="E71" s="333">
        <f t="shared" ref="E71:AR71" si="72">E$65</f>
        <v>0</v>
      </c>
      <c r="F71" s="333">
        <f t="shared" si="72"/>
        <v>0</v>
      </c>
      <c r="G71" s="333">
        <f t="shared" si="72"/>
        <v>0</v>
      </c>
      <c r="H71" s="333">
        <f t="shared" si="72"/>
        <v>0</v>
      </c>
      <c r="I71" s="333">
        <f t="shared" si="72"/>
        <v>4.011212875388237E-2</v>
      </c>
      <c r="J71" s="333">
        <f t="shared" si="72"/>
        <v>4.011212875388237E-2</v>
      </c>
      <c r="K71" s="333">
        <f t="shared" si="72"/>
        <v>4.011212875388237E-2</v>
      </c>
      <c r="L71" s="333">
        <f t="shared" si="72"/>
        <v>4.011212875388237E-2</v>
      </c>
      <c r="M71" s="333">
        <f t="shared" si="72"/>
        <v>3.9951351517419909E-2</v>
      </c>
      <c r="N71" s="333">
        <f t="shared" si="72"/>
        <v>3.9951351517419909E-2</v>
      </c>
      <c r="O71" s="333">
        <f t="shared" si="72"/>
        <v>3.9951351517419909E-2</v>
      </c>
      <c r="P71" s="333">
        <f t="shared" si="72"/>
        <v>3.9951351517419909E-2</v>
      </c>
      <c r="Q71" s="333">
        <f t="shared" si="72"/>
        <v>3.9799274348962799E-2</v>
      </c>
      <c r="R71" s="333">
        <f t="shared" si="72"/>
        <v>3.9799274348962799E-2</v>
      </c>
      <c r="S71" s="333">
        <f t="shared" si="72"/>
        <v>3.9799274348962799E-2</v>
      </c>
      <c r="T71" s="333">
        <f t="shared" si="72"/>
        <v>3.9799274348962799E-2</v>
      </c>
      <c r="U71" s="333">
        <f t="shared" si="72"/>
        <v>3.9889661086839556E-2</v>
      </c>
      <c r="V71" s="333">
        <f t="shared" si="72"/>
        <v>3.9889661086839556E-2</v>
      </c>
      <c r="W71" s="333">
        <f t="shared" si="72"/>
        <v>3.9889661086839556E-2</v>
      </c>
      <c r="X71" s="333">
        <f t="shared" si="72"/>
        <v>3.9889661086839556E-2</v>
      </c>
      <c r="Y71" s="333">
        <f t="shared" si="72"/>
        <v>3.9919999999999956E-2</v>
      </c>
      <c r="Z71" s="333">
        <f t="shared" si="72"/>
        <v>3.9919999999999956E-2</v>
      </c>
      <c r="AA71" s="333">
        <f t="shared" si="72"/>
        <v>3.9919999999999956E-2</v>
      </c>
      <c r="AB71" s="333">
        <f t="shared" si="72"/>
        <v>3.9919999999999956E-2</v>
      </c>
      <c r="AC71" s="333">
        <f t="shared" si="72"/>
        <v>3.986999999999985E-2</v>
      </c>
      <c r="AD71" s="333">
        <f t="shared" si="72"/>
        <v>3.986999999999985E-2</v>
      </c>
      <c r="AE71" s="333">
        <f t="shared" si="72"/>
        <v>3.986999999999985E-2</v>
      </c>
      <c r="AF71" s="333">
        <f t="shared" si="72"/>
        <v>3.986999999999985E-2</v>
      </c>
      <c r="AG71" s="333">
        <f t="shared" si="72"/>
        <v>3.9749999999999952E-2</v>
      </c>
      <c r="AH71" s="333">
        <f t="shared" si="72"/>
        <v>3.9749999999999952E-2</v>
      </c>
      <c r="AI71" s="333">
        <f t="shared" si="72"/>
        <v>3.9749999999999952E-2</v>
      </c>
      <c r="AJ71" s="333">
        <f t="shared" si="72"/>
        <v>3.9749999999999952E-2</v>
      </c>
      <c r="AK71" s="333">
        <f t="shared" si="72"/>
        <v>3.9629999999999832E-2</v>
      </c>
      <c r="AL71" s="333">
        <f t="shared" si="72"/>
        <v>3.9629999999999832E-2</v>
      </c>
      <c r="AM71" s="333">
        <f t="shared" si="72"/>
        <v>3.9629999999999832E-2</v>
      </c>
      <c r="AN71" s="333">
        <f t="shared" si="72"/>
        <v>3.9629999999999832E-2</v>
      </c>
      <c r="AO71" s="333">
        <f t="shared" si="72"/>
        <v>3.9549999999999974E-2</v>
      </c>
      <c r="AP71" s="333">
        <f t="shared" si="72"/>
        <v>3.9549999999999974E-2</v>
      </c>
      <c r="AQ71" s="333">
        <f t="shared" si="72"/>
        <v>3.9549999999999974E-2</v>
      </c>
      <c r="AR71" s="333">
        <f t="shared" si="72"/>
        <v>3.9549999999999974E-2</v>
      </c>
    </row>
    <row r="72" spans="1:45" ht="11.25" customHeight="1" outlineLevel="1" x14ac:dyDescent="0.2">
      <c r="A72" s="393" t="s">
        <v>493</v>
      </c>
      <c r="C72" s="7" t="s">
        <v>492</v>
      </c>
      <c r="D72" s="397"/>
      <c r="E72" s="418">
        <f>E73</f>
        <v>0</v>
      </c>
      <c r="F72" s="418">
        <f t="shared" ref="F72" si="73">F73</f>
        <v>0</v>
      </c>
      <c r="G72" s="418">
        <f t="shared" ref="G72" si="74">G73</f>
        <v>0</v>
      </c>
      <c r="H72" s="418">
        <f t="shared" ref="H72" si="75">H73</f>
        <v>0</v>
      </c>
      <c r="I72" s="418">
        <f t="shared" ref="I72" si="76">I73</f>
        <v>9.8806250648859617E-3</v>
      </c>
      <c r="J72" s="418">
        <f t="shared" ref="J72" si="77">J73</f>
        <v>9.8806250648859617E-3</v>
      </c>
      <c r="K72" s="418">
        <f t="shared" ref="K72" si="78">K73</f>
        <v>9.8806250648859617E-3</v>
      </c>
      <c r="L72" s="418">
        <f t="shared" ref="L72" si="79">L73</f>
        <v>9.8806250648859617E-3</v>
      </c>
      <c r="M72" s="418">
        <f t="shared" ref="M72" si="80">M73</f>
        <v>9.8415967658780357E-3</v>
      </c>
      <c r="N72" s="418">
        <f t="shared" ref="N72" si="81">N73</f>
        <v>9.8415967658780357E-3</v>
      </c>
      <c r="O72" s="418">
        <f t="shared" ref="O72" si="82">O73</f>
        <v>9.8415967658780357E-3</v>
      </c>
      <c r="P72" s="418">
        <f t="shared" ref="P72" si="83">P73</f>
        <v>9.8415967658780357E-3</v>
      </c>
      <c r="Q72" s="418">
        <f t="shared" ref="Q72" si="84">Q73</f>
        <v>9.8046762231969176E-3</v>
      </c>
      <c r="R72" s="418">
        <f t="shared" ref="R72" si="85">R73</f>
        <v>9.8046762231969176E-3</v>
      </c>
      <c r="S72" s="418">
        <f t="shared" ref="S72" si="86">S73</f>
        <v>9.8046762231969176E-3</v>
      </c>
      <c r="T72" s="418">
        <f t="shared" ref="T72" si="87">T73</f>
        <v>9.8046762231969176E-3</v>
      </c>
      <c r="U72" s="418">
        <f t="shared" ref="U72" si="88">U73</f>
        <v>9.8266203564767451E-3</v>
      </c>
      <c r="V72" s="418">
        <f t="shared" ref="V72" si="89">V73</f>
        <v>9.8266203564767451E-3</v>
      </c>
      <c r="W72" s="418">
        <f t="shared" ref="W72" si="90">W73</f>
        <v>9.8266203564767451E-3</v>
      </c>
      <c r="X72" s="418">
        <f t="shared" ref="X72" si="91">X73</f>
        <v>9.8266203564767451E-3</v>
      </c>
      <c r="Y72" s="418">
        <f t="shared" ref="Y72" si="92">Y73</f>
        <v>9.8339857309257539E-3</v>
      </c>
      <c r="Z72" s="418">
        <f t="shared" ref="Z72" si="93">Z73</f>
        <v>9.8339857309257539E-3</v>
      </c>
      <c r="AA72" s="418">
        <f t="shared" ref="AA72" si="94">AA73</f>
        <v>9.8339857309257539E-3</v>
      </c>
      <c r="AB72" s="418">
        <f t="shared" ref="AB72:AR72" si="95">AB73</f>
        <v>9.8339857309257539E-3</v>
      </c>
      <c r="AC72" s="418">
        <f t="shared" si="95"/>
        <v>9.8218471506288374E-3</v>
      </c>
      <c r="AD72" s="418">
        <f t="shared" si="95"/>
        <v>9.8218471506288374E-3</v>
      </c>
      <c r="AE72" s="418">
        <f t="shared" si="95"/>
        <v>9.8218471506288374E-3</v>
      </c>
      <c r="AF72" s="418">
        <f t="shared" si="95"/>
        <v>9.8218471506288374E-3</v>
      </c>
      <c r="AG72" s="418">
        <f t="shared" si="95"/>
        <v>9.7927127718189233E-3</v>
      </c>
      <c r="AH72" s="418">
        <f t="shared" si="95"/>
        <v>9.7927127718189233E-3</v>
      </c>
      <c r="AI72" s="418">
        <f t="shared" si="95"/>
        <v>9.7927127718189233E-3</v>
      </c>
      <c r="AJ72" s="418">
        <f t="shared" si="95"/>
        <v>9.7927127718189233E-3</v>
      </c>
      <c r="AK72" s="418">
        <f t="shared" si="95"/>
        <v>9.7635758710492571E-3</v>
      </c>
      <c r="AL72" s="418">
        <f t="shared" si="95"/>
        <v>9.7635758710492571E-3</v>
      </c>
      <c r="AM72" s="418">
        <f t="shared" si="95"/>
        <v>9.7635758710492571E-3</v>
      </c>
      <c r="AN72" s="418">
        <f t="shared" si="95"/>
        <v>9.7635758710492571E-3</v>
      </c>
      <c r="AO72" s="418">
        <f t="shared" si="95"/>
        <v>9.7441498691959172E-3</v>
      </c>
      <c r="AP72" s="418">
        <f t="shared" si="95"/>
        <v>9.7441498691959172E-3</v>
      </c>
      <c r="AQ72" s="418">
        <f t="shared" si="95"/>
        <v>9.7441498691959172E-3</v>
      </c>
      <c r="AR72" s="418">
        <f t="shared" si="95"/>
        <v>9.7441498691959172E-3</v>
      </c>
    </row>
    <row r="73" spans="1:45" ht="11.25" customHeight="1" outlineLevel="1" x14ac:dyDescent="0.2">
      <c r="A73" s="393" t="s">
        <v>1091</v>
      </c>
      <c r="B73" s="190"/>
      <c r="C73" s="7" t="s">
        <v>1</v>
      </c>
      <c r="D73" s="397"/>
      <c r="E73" s="418">
        <f t="shared" ref="E73:AB73" si="96">(E71+1)^(E$40/12)-1</f>
        <v>0</v>
      </c>
      <c r="F73" s="418">
        <f t="shared" si="96"/>
        <v>0</v>
      </c>
      <c r="G73" s="418">
        <f t="shared" si="96"/>
        <v>0</v>
      </c>
      <c r="H73" s="418">
        <f t="shared" si="96"/>
        <v>0</v>
      </c>
      <c r="I73" s="418">
        <f t="shared" si="96"/>
        <v>9.8806250648859617E-3</v>
      </c>
      <c r="J73" s="418">
        <f t="shared" si="96"/>
        <v>9.8806250648859617E-3</v>
      </c>
      <c r="K73" s="418">
        <f t="shared" si="96"/>
        <v>9.8806250648859617E-3</v>
      </c>
      <c r="L73" s="418">
        <f t="shared" si="96"/>
        <v>9.8806250648859617E-3</v>
      </c>
      <c r="M73" s="418">
        <f t="shared" si="96"/>
        <v>9.8415967658780357E-3</v>
      </c>
      <c r="N73" s="418">
        <f t="shared" si="96"/>
        <v>9.8415967658780357E-3</v>
      </c>
      <c r="O73" s="418">
        <f t="shared" si="96"/>
        <v>9.8415967658780357E-3</v>
      </c>
      <c r="P73" s="418">
        <f t="shared" si="96"/>
        <v>9.8415967658780357E-3</v>
      </c>
      <c r="Q73" s="418">
        <f t="shared" si="96"/>
        <v>9.8046762231969176E-3</v>
      </c>
      <c r="R73" s="418">
        <f t="shared" si="96"/>
        <v>9.8046762231969176E-3</v>
      </c>
      <c r="S73" s="418">
        <f t="shared" si="96"/>
        <v>9.8046762231969176E-3</v>
      </c>
      <c r="T73" s="418">
        <f t="shared" si="96"/>
        <v>9.8046762231969176E-3</v>
      </c>
      <c r="U73" s="418">
        <f t="shared" si="96"/>
        <v>9.8266203564767451E-3</v>
      </c>
      <c r="V73" s="418">
        <f t="shared" si="96"/>
        <v>9.8266203564767451E-3</v>
      </c>
      <c r="W73" s="418">
        <f t="shared" si="96"/>
        <v>9.8266203564767451E-3</v>
      </c>
      <c r="X73" s="418">
        <f t="shared" si="96"/>
        <v>9.8266203564767451E-3</v>
      </c>
      <c r="Y73" s="418">
        <f t="shared" si="96"/>
        <v>9.8339857309257539E-3</v>
      </c>
      <c r="Z73" s="418">
        <f t="shared" si="96"/>
        <v>9.8339857309257539E-3</v>
      </c>
      <c r="AA73" s="418">
        <f t="shared" si="96"/>
        <v>9.8339857309257539E-3</v>
      </c>
      <c r="AB73" s="418">
        <f t="shared" si="96"/>
        <v>9.8339857309257539E-3</v>
      </c>
      <c r="AC73" s="418">
        <f t="shared" ref="AC73:AD73" si="97">(AC71+1)^(AC$40/12)-1</f>
        <v>9.8218471506288374E-3</v>
      </c>
      <c r="AD73" s="418">
        <f t="shared" si="97"/>
        <v>9.8218471506288374E-3</v>
      </c>
      <c r="AE73" s="418">
        <f t="shared" ref="AE73:AF73" si="98">(AE71+1)^(AE$40/12)-1</f>
        <v>9.8218471506288374E-3</v>
      </c>
      <c r="AF73" s="418">
        <f t="shared" si="98"/>
        <v>9.8218471506288374E-3</v>
      </c>
      <c r="AG73" s="418">
        <f t="shared" ref="AG73:AH73" si="99">(AG71+1)^(AG$40/12)-1</f>
        <v>9.7927127718189233E-3</v>
      </c>
      <c r="AH73" s="418">
        <f t="shared" si="99"/>
        <v>9.7927127718189233E-3</v>
      </c>
      <c r="AI73" s="418">
        <f t="shared" ref="AI73:AJ73" si="100">(AI71+1)^(AI$40/12)-1</f>
        <v>9.7927127718189233E-3</v>
      </c>
      <c r="AJ73" s="418">
        <f t="shared" si="100"/>
        <v>9.7927127718189233E-3</v>
      </c>
      <c r="AK73" s="418">
        <f t="shared" ref="AK73:AL73" si="101">(AK71+1)^(AK$40/12)-1</f>
        <v>9.7635758710492571E-3</v>
      </c>
      <c r="AL73" s="418">
        <f t="shared" si="101"/>
        <v>9.7635758710492571E-3</v>
      </c>
      <c r="AM73" s="418">
        <f t="shared" ref="AM73:AN73" si="102">(AM71+1)^(AM$40/12)-1</f>
        <v>9.7635758710492571E-3</v>
      </c>
      <c r="AN73" s="418">
        <f t="shared" si="102"/>
        <v>9.7635758710492571E-3</v>
      </c>
      <c r="AO73" s="418">
        <f t="shared" ref="AO73:AP73" si="103">(AO71+1)^(AO$40/12)-1</f>
        <v>9.7441498691959172E-3</v>
      </c>
      <c r="AP73" s="418">
        <f t="shared" si="103"/>
        <v>9.7441498691959172E-3</v>
      </c>
      <c r="AQ73" s="418">
        <f t="shared" ref="AQ73:AR73" si="104">(AQ71+1)^(AQ$40/12)-1</f>
        <v>9.7441498691959172E-3</v>
      </c>
      <c r="AR73" s="418">
        <f t="shared" si="104"/>
        <v>9.7441498691959172E-3</v>
      </c>
    </row>
    <row r="74" spans="1:45" s="421" customFormat="1" ht="11.25" customHeight="1" outlineLevel="1" x14ac:dyDescent="0.2">
      <c r="A74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74" s="260"/>
      <c r="C74" s="261"/>
      <c r="D74" s="40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</row>
    <row r="75" spans="1:45" ht="11.25" customHeight="1" outlineLevel="1" x14ac:dyDescent="0.2">
      <c r="A75" s="262"/>
      <c r="C75" s="2"/>
      <c r="D75" s="40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4"/>
      <c r="AS75" s="1"/>
    </row>
    <row r="76" spans="1:45" ht="11.25" customHeight="1" outlineLevel="1" x14ac:dyDescent="0.2">
      <c r="A76" s="336" t="str">
        <f>ИД!B8</f>
        <v>Изменение цен в обрабатывающей промышленности</v>
      </c>
      <c r="C76" s="2" t="s">
        <v>14</v>
      </c>
      <c r="D76" s="65"/>
      <c r="E76" s="539">
        <f>(SUMIF(ИД!$D$6:$T$6,E$46,ИД!$D$8:$T$8)-1)*Параметры!$B$62</f>
        <v>0</v>
      </c>
      <c r="F76" s="539">
        <f>(SUMIF(ИД!$D$6:$T$6,F$46,ИД!$D$8:$T$8)-1)*Параметры!$B$62</f>
        <v>0</v>
      </c>
      <c r="G76" s="539">
        <f>(SUMIF(ИД!$D$6:$T$6,G$46,ИД!$D$8:$T$8)-1)*Параметры!$B$62</f>
        <v>0</v>
      </c>
      <c r="H76" s="539">
        <f>(SUMIF(ИД!$D$6:$T$6,H$46,ИД!$D$8:$T$8)-1)*Параметры!$B$62</f>
        <v>0</v>
      </c>
      <c r="I76" s="539">
        <f>(SUMIF(ИД!$D$6:$T$6,I$46,ИД!$D$8:$T$8)-1)*Параметры!$B$62</f>
        <v>3.8172838559912936E-2</v>
      </c>
      <c r="J76" s="539">
        <f>(SUMIF(ИД!$D$6:$T$6,J$46,ИД!$D$8:$T$8)-1)*Параметры!$B$62</f>
        <v>3.8172838559912936E-2</v>
      </c>
      <c r="K76" s="539">
        <f>(SUMIF(ИД!$D$6:$T$6,K$46,ИД!$D$8:$T$8)-1)*Параметры!$B$62</f>
        <v>3.8172838559912936E-2</v>
      </c>
      <c r="L76" s="539">
        <f>(SUMIF(ИД!$D$6:$T$6,L$46,ИД!$D$8:$T$8)-1)*Параметры!$B$62</f>
        <v>3.8172838559912936E-2</v>
      </c>
      <c r="M76" s="539">
        <f>(SUMIF(ИД!$D$6:$T$6,M$46,ИД!$D$8:$T$8)-1)*Параметры!$B$62</f>
        <v>4.5348049235927501E-2</v>
      </c>
      <c r="N76" s="539">
        <f>(SUMIF(ИД!$D$6:$T$6,N$46,ИД!$D$8:$T$8)-1)*Параметры!$B$62</f>
        <v>4.5348049235927501E-2</v>
      </c>
      <c r="O76" s="539">
        <f>(SUMIF(ИД!$D$6:$T$6,O$46,ИД!$D$8:$T$8)-1)*Параметры!$B$62</f>
        <v>4.5348049235927501E-2</v>
      </c>
      <c r="P76" s="539">
        <f>(SUMIF(ИД!$D$6:$T$6,P$46,ИД!$D$8:$T$8)-1)*Параметры!$B$62</f>
        <v>4.5348049235927501E-2</v>
      </c>
      <c r="Q76" s="539">
        <f>(SUMIF(ИД!$D$6:$T$6,Q$46,ИД!$D$8:$T$8)-1)*Параметры!$B$62</f>
        <v>4.6206517341587539E-2</v>
      </c>
      <c r="R76" s="539">
        <f>(SUMIF(ИД!$D$6:$T$6,R$46,ИД!$D$8:$T$8)-1)*Параметры!$B$62</f>
        <v>4.6206517341587539E-2</v>
      </c>
      <c r="S76" s="539">
        <f>(SUMIF(ИД!$D$6:$T$6,S$46,ИД!$D$8:$T$8)-1)*Параметры!$B$62</f>
        <v>4.6206517341587539E-2</v>
      </c>
      <c r="T76" s="539">
        <f>(SUMIF(ИД!$D$6:$T$6,T$46,ИД!$D$8:$T$8)-1)*Параметры!$B$62</f>
        <v>4.6206517341587539E-2</v>
      </c>
      <c r="U76" s="539">
        <f>(SUMIF(ИД!$D$6:$T$6,U$46,ИД!$D$8:$T$8)-1)*Параметры!$B$62</f>
        <v>4.7372407398639682E-2</v>
      </c>
      <c r="V76" s="539">
        <f>(SUMIF(ИД!$D$6:$T$6,V$46,ИД!$D$8:$T$8)-1)*Параметры!$B$62</f>
        <v>4.7372407398639682E-2</v>
      </c>
      <c r="W76" s="539">
        <f>(SUMIF(ИД!$D$6:$T$6,W$46,ИД!$D$8:$T$8)-1)*Параметры!$B$62</f>
        <v>4.7372407398639682E-2</v>
      </c>
      <c r="X76" s="539">
        <f>(SUMIF(ИД!$D$6:$T$6,X$46,ИД!$D$8:$T$8)-1)*Параметры!$B$62</f>
        <v>4.7372407398639682E-2</v>
      </c>
      <c r="Y76" s="539">
        <f>(SUMIF(ИД!$D$6:$T$6,Y$46,ИД!$D$8:$T$8)-1)*Параметры!$B$62</f>
        <v>4.4829452381167423E-2</v>
      </c>
      <c r="Z76" s="539">
        <f>(SUMIF(ИД!$D$6:$T$6,Z$46,ИД!$D$8:$T$8)-1)*Параметры!$B$62</f>
        <v>4.4829452381167423E-2</v>
      </c>
      <c r="AA76" s="539">
        <f>(SUMIF(ИД!$D$6:$T$6,AA$46,ИД!$D$8:$T$8)-1)*Параметры!$B$62</f>
        <v>4.4829452381167423E-2</v>
      </c>
      <c r="AB76" s="539">
        <f>(SUMIF(ИД!$D$6:$T$6,AB$46,ИД!$D$8:$T$8)-1)*Параметры!$B$62</f>
        <v>4.4829452381167423E-2</v>
      </c>
      <c r="AC76" s="539">
        <f>(SUMIF(ИД!$D$6:$T$6,AC$46,ИД!$D$8:$T$8)-1)*Параметры!$B$62</f>
        <v>4.4391125969701406E-2</v>
      </c>
      <c r="AD76" s="539">
        <f>(SUMIF(ИД!$D$6:$T$6,AD$46,ИД!$D$8:$T$8)-1)*Параметры!$B$62</f>
        <v>4.4391125969701406E-2</v>
      </c>
      <c r="AE76" s="539">
        <f>(SUMIF(ИД!$D$6:$T$6,AE$46,ИД!$D$8:$T$8)-1)*Параметры!$B$62</f>
        <v>4.4391125969701406E-2</v>
      </c>
      <c r="AF76" s="539">
        <f>(SUMIF(ИД!$D$6:$T$6,AF$46,ИД!$D$8:$T$8)-1)*Параметры!$B$62</f>
        <v>4.4391125969701406E-2</v>
      </c>
      <c r="AG76" s="539">
        <f>(SUMIF(ИД!$D$6:$T$6,AG$46,ИД!$D$8:$T$8)-1)*Параметры!$B$62</f>
        <v>4.4593580638013997E-2</v>
      </c>
      <c r="AH76" s="539">
        <f>(SUMIF(ИД!$D$6:$T$6,AH$46,ИД!$D$8:$T$8)-1)*Параметры!$B$62</f>
        <v>4.4593580638013997E-2</v>
      </c>
      <c r="AI76" s="539">
        <f>(SUMIF(ИД!$D$6:$T$6,AI$46,ИД!$D$8:$T$8)-1)*Параметры!$B$62</f>
        <v>4.4593580638013997E-2</v>
      </c>
      <c r="AJ76" s="539">
        <f>(SUMIF(ИД!$D$6:$T$6,AJ$46,ИД!$D$8:$T$8)-1)*Параметры!$B$62</f>
        <v>4.4593580638013997E-2</v>
      </c>
      <c r="AK76" s="539">
        <f>(SUMIF(ИД!$D$6:$T$6,AK$46,ИД!$D$8:$T$8)-1)*Параметры!$B$62</f>
        <v>4.5915873363622683E-2</v>
      </c>
      <c r="AL76" s="539">
        <f>(SUMIF(ИД!$D$6:$T$6,AL$46,ИД!$D$8:$T$8)-1)*Параметры!$B$62</f>
        <v>4.5915873363622683E-2</v>
      </c>
      <c r="AM76" s="539">
        <f>(SUMIF(ИД!$D$6:$T$6,AM$46,ИД!$D$8:$T$8)-1)*Параметры!$B$62</f>
        <v>4.5915873363622683E-2</v>
      </c>
      <c r="AN76" s="539">
        <f>(SUMIF(ИД!$D$6:$T$6,AN$46,ИД!$D$8:$T$8)-1)*Параметры!$B$62</f>
        <v>4.5915873363622683E-2</v>
      </c>
      <c r="AO76" s="539">
        <f>(SUMIF(ИД!$D$6:$T$6,AO$46,ИД!$D$8:$T$8)-1)*Параметры!$B$62</f>
        <v>4.5962256408293101E-2</v>
      </c>
      <c r="AP76" s="539">
        <f>(SUMIF(ИД!$D$6:$T$6,AP$46,ИД!$D$8:$T$8)-1)*Параметры!$B$62</f>
        <v>4.5962256408293101E-2</v>
      </c>
      <c r="AQ76" s="539">
        <f>(SUMIF(ИД!$D$6:$T$6,AQ$46,ИД!$D$8:$T$8)-1)*Параметры!$B$62</f>
        <v>4.5962256408293101E-2</v>
      </c>
      <c r="AR76" s="539">
        <f>(SUMIF(ИД!$D$6:$T$6,AR$46,ИД!$D$8:$T$8)-1)*Параметры!$B$62</f>
        <v>4.5962256408293101E-2</v>
      </c>
    </row>
    <row r="77" spans="1:45" ht="11.25" customHeight="1" outlineLevel="1" x14ac:dyDescent="0.2">
      <c r="A77" s="393" t="s">
        <v>493</v>
      </c>
      <c r="C77" s="7" t="s">
        <v>492</v>
      </c>
      <c r="D77" s="397"/>
      <c r="E77" s="418">
        <f>E78</f>
        <v>0</v>
      </c>
      <c r="F77" s="418">
        <f t="shared" ref="F77" si="105">F78</f>
        <v>0</v>
      </c>
      <c r="G77" s="418">
        <f t="shared" ref="G77" si="106">G78</f>
        <v>0</v>
      </c>
      <c r="H77" s="418">
        <f t="shared" ref="H77" si="107">H78</f>
        <v>0</v>
      </c>
      <c r="I77" s="418">
        <f t="shared" ref="I77" si="108">I78</f>
        <v>9.4095646964926782E-3</v>
      </c>
      <c r="J77" s="418">
        <f t="shared" ref="J77" si="109">J78</f>
        <v>9.4095646964926782E-3</v>
      </c>
      <c r="K77" s="418">
        <f t="shared" ref="K77" si="110">K78</f>
        <v>9.4095646964926782E-3</v>
      </c>
      <c r="L77" s="418">
        <f t="shared" ref="L77" si="111">L78</f>
        <v>9.4095646964926782E-3</v>
      </c>
      <c r="M77" s="418">
        <f t="shared" ref="M77" si="112">M78</f>
        <v>1.1149166684383038E-2</v>
      </c>
      <c r="N77" s="418">
        <f t="shared" ref="N77" si="113">N78</f>
        <v>1.1149166684383038E-2</v>
      </c>
      <c r="O77" s="418">
        <f t="shared" ref="O77" si="114">O78</f>
        <v>1.1149166684383038E-2</v>
      </c>
      <c r="P77" s="418">
        <f t="shared" ref="P77" si="115">P78</f>
        <v>1.1149166684383038E-2</v>
      </c>
      <c r="Q77" s="418">
        <f t="shared" ref="Q77" si="116">Q78</f>
        <v>1.1356698548237176E-2</v>
      </c>
      <c r="R77" s="418">
        <f t="shared" ref="R77" si="117">R78</f>
        <v>1.1356698548237176E-2</v>
      </c>
      <c r="S77" s="418">
        <f t="shared" ref="S77" si="118">S78</f>
        <v>1.1356698548237176E-2</v>
      </c>
      <c r="T77" s="418">
        <f t="shared" ref="T77" si="119">T78</f>
        <v>1.1356698548237176E-2</v>
      </c>
      <c r="U77" s="418">
        <f t="shared" ref="U77" si="120">U78</f>
        <v>1.1638344251508226E-2</v>
      </c>
      <c r="V77" s="418">
        <f t="shared" ref="V77" si="121">V78</f>
        <v>1.1638344251508226E-2</v>
      </c>
      <c r="W77" s="418">
        <f t="shared" ref="W77" si="122">W78</f>
        <v>1.1638344251508226E-2</v>
      </c>
      <c r="X77" s="418">
        <f t="shared" ref="X77" si="123">X78</f>
        <v>1.1638344251508226E-2</v>
      </c>
      <c r="Y77" s="418">
        <f t="shared" ref="Y77" si="124">Y78</f>
        <v>1.1023735647271105E-2</v>
      </c>
      <c r="Z77" s="418">
        <f t="shared" ref="Z77" si="125">Z78</f>
        <v>1.1023735647271105E-2</v>
      </c>
      <c r="AA77" s="418">
        <f t="shared" ref="AA77" si="126">AA78</f>
        <v>1.1023735647271105E-2</v>
      </c>
      <c r="AB77" s="418">
        <f t="shared" ref="AB77:AR77" si="127">AB78</f>
        <v>1.1023735647271105E-2</v>
      </c>
      <c r="AC77" s="418">
        <f t="shared" si="127"/>
        <v>1.0917682898753167E-2</v>
      </c>
      <c r="AD77" s="418">
        <f t="shared" si="127"/>
        <v>1.0917682898753167E-2</v>
      </c>
      <c r="AE77" s="418">
        <f t="shared" si="127"/>
        <v>1.0917682898753167E-2</v>
      </c>
      <c r="AF77" s="418">
        <f t="shared" si="127"/>
        <v>1.0917682898753167E-2</v>
      </c>
      <c r="AG77" s="418">
        <f t="shared" si="127"/>
        <v>1.0966670802554201E-2</v>
      </c>
      <c r="AH77" s="418">
        <f t="shared" si="127"/>
        <v>1.0966670802554201E-2</v>
      </c>
      <c r="AI77" s="418">
        <f t="shared" si="127"/>
        <v>1.0966670802554201E-2</v>
      </c>
      <c r="AJ77" s="418">
        <f t="shared" si="127"/>
        <v>1.0966670802554201E-2</v>
      </c>
      <c r="AK77" s="418">
        <f t="shared" si="127"/>
        <v>1.1286450619981014E-2</v>
      </c>
      <c r="AL77" s="418">
        <f t="shared" si="127"/>
        <v>1.1286450619981014E-2</v>
      </c>
      <c r="AM77" s="418">
        <f t="shared" si="127"/>
        <v>1.1286450619981014E-2</v>
      </c>
      <c r="AN77" s="418">
        <f t="shared" si="127"/>
        <v>1.1286450619981014E-2</v>
      </c>
      <c r="AO77" s="418">
        <f t="shared" si="127"/>
        <v>1.1297662268491493E-2</v>
      </c>
      <c r="AP77" s="418">
        <f t="shared" si="127"/>
        <v>1.1297662268491493E-2</v>
      </c>
      <c r="AQ77" s="418">
        <f t="shared" si="127"/>
        <v>1.1297662268491493E-2</v>
      </c>
      <c r="AR77" s="418">
        <f t="shared" si="127"/>
        <v>1.1297662268491493E-2</v>
      </c>
    </row>
    <row r="78" spans="1:45" ht="11.25" customHeight="1" outlineLevel="1" x14ac:dyDescent="0.2">
      <c r="A78" s="393" t="s">
        <v>1091</v>
      </c>
      <c r="B78" s="190"/>
      <c r="C78" s="7" t="s">
        <v>1</v>
      </c>
      <c r="D78" s="397"/>
      <c r="E78" s="418">
        <f t="shared" ref="E78:AB78" si="128">(E76+1)^(E$40/12)-1</f>
        <v>0</v>
      </c>
      <c r="F78" s="418">
        <f t="shared" si="128"/>
        <v>0</v>
      </c>
      <c r="G78" s="418">
        <f t="shared" si="128"/>
        <v>0</v>
      </c>
      <c r="H78" s="418">
        <f t="shared" si="128"/>
        <v>0</v>
      </c>
      <c r="I78" s="418">
        <f t="shared" si="128"/>
        <v>9.4095646964926782E-3</v>
      </c>
      <c r="J78" s="418">
        <f t="shared" si="128"/>
        <v>9.4095646964926782E-3</v>
      </c>
      <c r="K78" s="418">
        <f t="shared" si="128"/>
        <v>9.4095646964926782E-3</v>
      </c>
      <c r="L78" s="418">
        <f t="shared" si="128"/>
        <v>9.4095646964926782E-3</v>
      </c>
      <c r="M78" s="418">
        <f t="shared" si="128"/>
        <v>1.1149166684383038E-2</v>
      </c>
      <c r="N78" s="418">
        <f t="shared" si="128"/>
        <v>1.1149166684383038E-2</v>
      </c>
      <c r="O78" s="418">
        <f t="shared" si="128"/>
        <v>1.1149166684383038E-2</v>
      </c>
      <c r="P78" s="418">
        <f t="shared" si="128"/>
        <v>1.1149166684383038E-2</v>
      </c>
      <c r="Q78" s="418">
        <f t="shared" si="128"/>
        <v>1.1356698548237176E-2</v>
      </c>
      <c r="R78" s="418">
        <f t="shared" si="128"/>
        <v>1.1356698548237176E-2</v>
      </c>
      <c r="S78" s="418">
        <f t="shared" si="128"/>
        <v>1.1356698548237176E-2</v>
      </c>
      <c r="T78" s="418">
        <f t="shared" si="128"/>
        <v>1.1356698548237176E-2</v>
      </c>
      <c r="U78" s="418">
        <f t="shared" si="128"/>
        <v>1.1638344251508226E-2</v>
      </c>
      <c r="V78" s="418">
        <f t="shared" si="128"/>
        <v>1.1638344251508226E-2</v>
      </c>
      <c r="W78" s="418">
        <f t="shared" si="128"/>
        <v>1.1638344251508226E-2</v>
      </c>
      <c r="X78" s="418">
        <f t="shared" si="128"/>
        <v>1.1638344251508226E-2</v>
      </c>
      <c r="Y78" s="418">
        <f t="shared" si="128"/>
        <v>1.1023735647271105E-2</v>
      </c>
      <c r="Z78" s="418">
        <f t="shared" si="128"/>
        <v>1.1023735647271105E-2</v>
      </c>
      <c r="AA78" s="418">
        <f t="shared" si="128"/>
        <v>1.1023735647271105E-2</v>
      </c>
      <c r="AB78" s="418">
        <f t="shared" si="128"/>
        <v>1.1023735647271105E-2</v>
      </c>
      <c r="AC78" s="418">
        <f t="shared" ref="AC78:AD78" si="129">(AC76+1)^(AC$40/12)-1</f>
        <v>1.0917682898753167E-2</v>
      </c>
      <c r="AD78" s="418">
        <f t="shared" si="129"/>
        <v>1.0917682898753167E-2</v>
      </c>
      <c r="AE78" s="418">
        <f t="shared" ref="AE78:AF78" si="130">(AE76+1)^(AE$40/12)-1</f>
        <v>1.0917682898753167E-2</v>
      </c>
      <c r="AF78" s="418">
        <f t="shared" si="130"/>
        <v>1.0917682898753167E-2</v>
      </c>
      <c r="AG78" s="418">
        <f t="shared" ref="AG78:AH78" si="131">(AG76+1)^(AG$40/12)-1</f>
        <v>1.0966670802554201E-2</v>
      </c>
      <c r="AH78" s="418">
        <f t="shared" si="131"/>
        <v>1.0966670802554201E-2</v>
      </c>
      <c r="AI78" s="418">
        <f t="shared" ref="AI78:AJ78" si="132">(AI76+1)^(AI$40/12)-1</f>
        <v>1.0966670802554201E-2</v>
      </c>
      <c r="AJ78" s="418">
        <f t="shared" si="132"/>
        <v>1.0966670802554201E-2</v>
      </c>
      <c r="AK78" s="418">
        <f t="shared" ref="AK78:AL78" si="133">(AK76+1)^(AK$40/12)-1</f>
        <v>1.1286450619981014E-2</v>
      </c>
      <c r="AL78" s="418">
        <f t="shared" si="133"/>
        <v>1.1286450619981014E-2</v>
      </c>
      <c r="AM78" s="418">
        <f t="shared" ref="AM78:AN78" si="134">(AM76+1)^(AM$40/12)-1</f>
        <v>1.1286450619981014E-2</v>
      </c>
      <c r="AN78" s="418">
        <f t="shared" si="134"/>
        <v>1.1286450619981014E-2</v>
      </c>
      <c r="AO78" s="418">
        <f t="shared" ref="AO78:AP78" si="135">(AO76+1)^(AO$40/12)-1</f>
        <v>1.1297662268491493E-2</v>
      </c>
      <c r="AP78" s="418">
        <f t="shared" si="135"/>
        <v>1.1297662268491493E-2</v>
      </c>
      <c r="AQ78" s="418">
        <f t="shared" ref="AQ78:AR78" si="136">(AQ76+1)^(AQ$40/12)-1</f>
        <v>1.1297662268491493E-2</v>
      </c>
      <c r="AR78" s="418">
        <f t="shared" si="136"/>
        <v>1.1297662268491493E-2</v>
      </c>
    </row>
    <row r="79" spans="1:45" s="421" customFormat="1" ht="11.25" customHeight="1" outlineLevel="1" x14ac:dyDescent="0.2">
      <c r="A79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79" s="260"/>
      <c r="C79" s="261"/>
      <c r="D79" s="40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</row>
    <row r="80" spans="1:45" ht="11.25" customHeight="1" outlineLevel="1" x14ac:dyDescent="0.2">
      <c r="A80" s="262"/>
      <c r="C80" s="2"/>
      <c r="D80" s="40"/>
      <c r="E80" s="264"/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/>
      <c r="Q80" s="264"/>
      <c r="R80" s="264"/>
      <c r="S80" s="264"/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64"/>
      <c r="AP80" s="264"/>
      <c r="AQ80" s="264"/>
      <c r="AR80" s="264"/>
    </row>
    <row r="81" spans="1:44" ht="11.25" customHeight="1" outlineLevel="1" x14ac:dyDescent="0.2">
      <c r="A81" s="336" t="str">
        <f>ИД!B9</f>
        <v>Изменение тарифов на электроэнергию, газ</v>
      </c>
      <c r="C81" s="2" t="s">
        <v>14</v>
      </c>
      <c r="D81" s="65"/>
      <c r="E81" s="539">
        <f>(SUMIF(ИД!$D$6:$T$6,E$46,ИД!$D$9:$T$9)-1)*Параметры!$B$62</f>
        <v>0</v>
      </c>
      <c r="F81" s="539">
        <f>(SUMIF(ИД!$D$6:$T$6,F$46,ИД!$D$9:$T$9)-1)*Параметры!$B$62</f>
        <v>0</v>
      </c>
      <c r="G81" s="539">
        <f>(SUMIF(ИД!$D$6:$T$6,G$46,ИД!$D$9:$T$9)-1)*Параметры!$B$62</f>
        <v>0</v>
      </c>
      <c r="H81" s="539">
        <f>(SUMIF(ИД!$D$6:$T$6,H$46,ИД!$D$9:$T$9)-1)*Параметры!$B$62</f>
        <v>0</v>
      </c>
      <c r="I81" s="539">
        <f>(SUMIF(ИД!$D$6:$T$6,I$46,ИД!$D$9:$T$9)-1)*Параметры!$B$62</f>
        <v>4.0336857605958398E-2</v>
      </c>
      <c r="J81" s="539">
        <f>(SUMIF(ИД!$D$6:$T$6,J$46,ИД!$D$9:$T$9)-1)*Параметры!$B$62</f>
        <v>4.0336857605958398E-2</v>
      </c>
      <c r="K81" s="539">
        <f>(SUMIF(ИД!$D$6:$T$6,K$46,ИД!$D$9:$T$9)-1)*Параметры!$B$62</f>
        <v>4.0336857605958398E-2</v>
      </c>
      <c r="L81" s="539">
        <f>(SUMIF(ИД!$D$6:$T$6,L$46,ИД!$D$9:$T$9)-1)*Параметры!$B$62</f>
        <v>4.0336857605958398E-2</v>
      </c>
      <c r="M81" s="539">
        <f>(SUMIF(ИД!$D$6:$T$6,M$46,ИД!$D$9:$T$9)-1)*Параметры!$B$62</f>
        <v>4.0332213518043059E-2</v>
      </c>
      <c r="N81" s="539">
        <f>(SUMIF(ИД!$D$6:$T$6,N$46,ИД!$D$9:$T$9)-1)*Параметры!$B$62</f>
        <v>4.0332213518043059E-2</v>
      </c>
      <c r="O81" s="539">
        <f>(SUMIF(ИД!$D$6:$T$6,O$46,ИД!$D$9:$T$9)-1)*Параметры!$B$62</f>
        <v>4.0332213518043059E-2</v>
      </c>
      <c r="P81" s="539">
        <f>(SUMIF(ИД!$D$6:$T$6,P$46,ИД!$D$9:$T$9)-1)*Параметры!$B$62</f>
        <v>4.0332213518043059E-2</v>
      </c>
      <c r="Q81" s="539">
        <f>(SUMIF(ИД!$D$6:$T$6,Q$46,ИД!$D$9:$T$9)-1)*Параметры!$B$62</f>
        <v>3.9314320378502465E-2</v>
      </c>
      <c r="R81" s="539">
        <f>(SUMIF(ИД!$D$6:$T$6,R$46,ИД!$D$9:$T$9)-1)*Параметры!$B$62</f>
        <v>3.9314320378502465E-2</v>
      </c>
      <c r="S81" s="539">
        <f>(SUMIF(ИД!$D$6:$T$6,S$46,ИД!$D$9:$T$9)-1)*Параметры!$B$62</f>
        <v>3.9314320378502465E-2</v>
      </c>
      <c r="T81" s="539">
        <f>(SUMIF(ИД!$D$6:$T$6,T$46,ИД!$D$9:$T$9)-1)*Параметры!$B$62</f>
        <v>3.9314320378502465E-2</v>
      </c>
      <c r="U81" s="539">
        <f>(SUMIF(ИД!$D$6:$T$6,U$46,ИД!$D$9:$T$9)-1)*Параметры!$B$62</f>
        <v>3.9459988151488323E-2</v>
      </c>
      <c r="V81" s="539">
        <f>(SUMIF(ИД!$D$6:$T$6,V$46,ИД!$D$9:$T$9)-1)*Параметры!$B$62</f>
        <v>3.9459988151488323E-2</v>
      </c>
      <c r="W81" s="539">
        <f>(SUMIF(ИД!$D$6:$T$6,W$46,ИД!$D$9:$T$9)-1)*Параметры!$B$62</f>
        <v>3.9459988151488323E-2</v>
      </c>
      <c r="X81" s="539">
        <f>(SUMIF(ИД!$D$6:$T$6,X$46,ИД!$D$9:$T$9)-1)*Параметры!$B$62</f>
        <v>3.9459988151488323E-2</v>
      </c>
      <c r="Y81" s="539">
        <f>(SUMIF(ИД!$D$6:$T$6,Y$46,ИД!$D$9:$T$9)-1)*Параметры!$B$62</f>
        <v>3.9500151202014777E-2</v>
      </c>
      <c r="Z81" s="539">
        <f>(SUMIF(ИД!$D$6:$T$6,Z$46,ИД!$D$9:$T$9)-1)*Параметры!$B$62</f>
        <v>3.9500151202014777E-2</v>
      </c>
      <c r="AA81" s="539">
        <f>(SUMIF(ИД!$D$6:$T$6,AA$46,ИД!$D$9:$T$9)-1)*Параметры!$B$62</f>
        <v>3.9500151202014777E-2</v>
      </c>
      <c r="AB81" s="539">
        <f>(SUMIF(ИД!$D$6:$T$6,AB$46,ИД!$D$9:$T$9)-1)*Параметры!$B$62</f>
        <v>3.9500151202014777E-2</v>
      </c>
      <c r="AC81" s="539">
        <f>(SUMIF(ИД!$D$6:$T$6,AC$46,ИД!$D$9:$T$9)-1)*Параметры!$B$62</f>
        <v>3.9522715644798811E-2</v>
      </c>
      <c r="AD81" s="539">
        <f>(SUMIF(ИД!$D$6:$T$6,AD$46,ИД!$D$9:$T$9)-1)*Параметры!$B$62</f>
        <v>3.9522715644798811E-2</v>
      </c>
      <c r="AE81" s="539">
        <f>(SUMIF(ИД!$D$6:$T$6,AE$46,ИД!$D$9:$T$9)-1)*Параметры!$B$62</f>
        <v>3.9522715644798811E-2</v>
      </c>
      <c r="AF81" s="539">
        <f>(SUMIF(ИД!$D$6:$T$6,AF$46,ИД!$D$9:$T$9)-1)*Параметры!$B$62</f>
        <v>3.9522715644798811E-2</v>
      </c>
      <c r="AG81" s="539">
        <f>(SUMIF(ИД!$D$6:$T$6,AG$46,ИД!$D$9:$T$9)-1)*Параметры!$B$62</f>
        <v>3.9488336524699408E-2</v>
      </c>
      <c r="AH81" s="539">
        <f>(SUMIF(ИД!$D$6:$T$6,AH$46,ИД!$D$9:$T$9)-1)*Параметры!$B$62</f>
        <v>3.9488336524699408E-2</v>
      </c>
      <c r="AI81" s="539">
        <f>(SUMIF(ИД!$D$6:$T$6,AI$46,ИД!$D$9:$T$9)-1)*Параметры!$B$62</f>
        <v>3.9488336524699408E-2</v>
      </c>
      <c r="AJ81" s="539">
        <f>(SUMIF(ИД!$D$6:$T$6,AJ$46,ИД!$D$9:$T$9)-1)*Параметры!$B$62</f>
        <v>3.9488336524699408E-2</v>
      </c>
      <c r="AK81" s="539">
        <f>(SUMIF(ИД!$D$6:$T$6,AK$46,ИД!$D$9:$T$9)-1)*Параметры!$B$62</f>
        <v>3.9409316459410704E-2</v>
      </c>
      <c r="AL81" s="539">
        <f>(SUMIF(ИД!$D$6:$T$6,AL$46,ИД!$D$9:$T$9)-1)*Параметры!$B$62</f>
        <v>3.9409316459410704E-2</v>
      </c>
      <c r="AM81" s="539">
        <f>(SUMIF(ИД!$D$6:$T$6,AM$46,ИД!$D$9:$T$9)-1)*Параметры!$B$62</f>
        <v>3.9409316459410704E-2</v>
      </c>
      <c r="AN81" s="539">
        <f>(SUMIF(ИД!$D$6:$T$6,AN$46,ИД!$D$9:$T$9)-1)*Параметры!$B$62</f>
        <v>3.9409316459410704E-2</v>
      </c>
      <c r="AO81" s="539">
        <f>(SUMIF(ИД!$D$6:$T$6,AO$46,ИД!$D$9:$T$9)-1)*Параметры!$B$62</f>
        <v>3.9330233966217154E-2</v>
      </c>
      <c r="AP81" s="539">
        <f>(SUMIF(ИД!$D$6:$T$6,AP$46,ИД!$D$9:$T$9)-1)*Параметры!$B$62</f>
        <v>3.9330233966217154E-2</v>
      </c>
      <c r="AQ81" s="539">
        <f>(SUMIF(ИД!$D$6:$T$6,AQ$46,ИД!$D$9:$T$9)-1)*Параметры!$B$62</f>
        <v>3.9330233966217154E-2</v>
      </c>
      <c r="AR81" s="539">
        <f>(SUMIF(ИД!$D$6:$T$6,AR$46,ИД!$D$9:$T$9)-1)*Параметры!$B$62</f>
        <v>3.9330233966217154E-2</v>
      </c>
    </row>
    <row r="82" spans="1:44" ht="11.25" customHeight="1" outlineLevel="1" x14ac:dyDescent="0.2">
      <c r="A82" s="393" t="s">
        <v>493</v>
      </c>
      <c r="C82" s="7" t="s">
        <v>492</v>
      </c>
      <c r="D82" s="397"/>
      <c r="E82" s="418">
        <f>E83</f>
        <v>0</v>
      </c>
      <c r="F82" s="418">
        <f t="shared" ref="F82" si="137">F83</f>
        <v>0</v>
      </c>
      <c r="G82" s="418">
        <f t="shared" ref="G82" si="138">G83</f>
        <v>0</v>
      </c>
      <c r="H82" s="418">
        <f t="shared" ref="H82" si="139">H83</f>
        <v>0</v>
      </c>
      <c r="I82" s="418">
        <f t="shared" ref="I82" si="140">I83</f>
        <v>9.935169887858919E-3</v>
      </c>
      <c r="J82" s="418">
        <f t="shared" ref="J82" si="141">J83</f>
        <v>9.935169887858919E-3</v>
      </c>
      <c r="K82" s="418">
        <f t="shared" ref="K82" si="142">K83</f>
        <v>9.935169887858919E-3</v>
      </c>
      <c r="L82" s="418">
        <f t="shared" ref="L82" si="143">L83</f>
        <v>9.935169887858919E-3</v>
      </c>
      <c r="M82" s="418">
        <f t="shared" ref="M82" si="144">M83</f>
        <v>9.934042792453468E-3</v>
      </c>
      <c r="N82" s="418">
        <f t="shared" ref="N82" si="145">N83</f>
        <v>9.934042792453468E-3</v>
      </c>
      <c r="O82" s="418">
        <f t="shared" ref="O82" si="146">O83</f>
        <v>9.934042792453468E-3</v>
      </c>
      <c r="P82" s="418">
        <f t="shared" ref="P82" si="147">P83</f>
        <v>9.934042792453468E-3</v>
      </c>
      <c r="Q82" s="418">
        <f t="shared" ref="Q82" si="148">Q83</f>
        <v>9.6869144418856301E-3</v>
      </c>
      <c r="R82" s="418">
        <f t="shared" ref="R82" si="149">R83</f>
        <v>9.6869144418856301E-3</v>
      </c>
      <c r="S82" s="418">
        <f t="shared" ref="S82" si="150">S83</f>
        <v>9.6869144418856301E-3</v>
      </c>
      <c r="T82" s="418">
        <f t="shared" ref="T82" si="151">T83</f>
        <v>9.6869144418856301E-3</v>
      </c>
      <c r="U82" s="418">
        <f t="shared" ref="U82" si="152">U83</f>
        <v>9.7222913994761129E-3</v>
      </c>
      <c r="V82" s="418">
        <f t="shared" ref="V82" si="153">V83</f>
        <v>9.7222913994761129E-3</v>
      </c>
      <c r="W82" s="418">
        <f t="shared" ref="W82" si="154">W83</f>
        <v>9.7222913994761129E-3</v>
      </c>
      <c r="X82" s="418">
        <f t="shared" ref="X82" si="155">X83</f>
        <v>9.7222913994761129E-3</v>
      </c>
      <c r="Y82" s="418">
        <f t="shared" ref="Y82" si="156">Y83</f>
        <v>9.7320447666779941E-3</v>
      </c>
      <c r="Z82" s="418">
        <f t="shared" ref="Z82" si="157">Z83</f>
        <v>9.7320447666779941E-3</v>
      </c>
      <c r="AA82" s="418">
        <f t="shared" ref="AA82" si="158">AA83</f>
        <v>9.7320447666779941E-3</v>
      </c>
      <c r="AB82" s="418">
        <f t="shared" ref="AB82:AR82" si="159">AB83</f>
        <v>9.7320447666779941E-3</v>
      </c>
      <c r="AC82" s="418">
        <f t="shared" si="159"/>
        <v>9.7375242886055258E-3</v>
      </c>
      <c r="AD82" s="418">
        <f t="shared" si="159"/>
        <v>9.7375242886055258E-3</v>
      </c>
      <c r="AE82" s="418">
        <f t="shared" si="159"/>
        <v>9.7375242886055258E-3</v>
      </c>
      <c r="AF82" s="418">
        <f t="shared" si="159"/>
        <v>9.7375242886055258E-3</v>
      </c>
      <c r="AG82" s="418">
        <f t="shared" si="159"/>
        <v>9.7291756691804121E-3</v>
      </c>
      <c r="AH82" s="418">
        <f t="shared" si="159"/>
        <v>9.7291756691804121E-3</v>
      </c>
      <c r="AI82" s="418">
        <f t="shared" si="159"/>
        <v>9.7291756691804121E-3</v>
      </c>
      <c r="AJ82" s="418">
        <f t="shared" si="159"/>
        <v>9.7291756691804121E-3</v>
      </c>
      <c r="AK82" s="418">
        <f t="shared" si="159"/>
        <v>9.709985665500076E-3</v>
      </c>
      <c r="AL82" s="418">
        <f t="shared" si="159"/>
        <v>9.709985665500076E-3</v>
      </c>
      <c r="AM82" s="418">
        <f t="shared" si="159"/>
        <v>9.709985665500076E-3</v>
      </c>
      <c r="AN82" s="418">
        <f t="shared" si="159"/>
        <v>9.709985665500076E-3</v>
      </c>
      <c r="AO82" s="418">
        <f t="shared" si="159"/>
        <v>9.6907794057141672E-3</v>
      </c>
      <c r="AP82" s="418">
        <f t="shared" si="159"/>
        <v>9.6907794057141672E-3</v>
      </c>
      <c r="AQ82" s="418">
        <f t="shared" si="159"/>
        <v>9.6907794057141672E-3</v>
      </c>
      <c r="AR82" s="418">
        <f t="shared" si="159"/>
        <v>9.6907794057141672E-3</v>
      </c>
    </row>
    <row r="83" spans="1:44" ht="11.25" customHeight="1" outlineLevel="1" x14ac:dyDescent="0.2">
      <c r="A83" s="393" t="s">
        <v>1091</v>
      </c>
      <c r="B83" s="190"/>
      <c r="C83" s="7" t="s">
        <v>1</v>
      </c>
      <c r="D83" s="397"/>
      <c r="E83" s="418">
        <f t="shared" ref="E83:AB83" si="160">(E81+1)^(E$40/12)-1</f>
        <v>0</v>
      </c>
      <c r="F83" s="418">
        <f t="shared" si="160"/>
        <v>0</v>
      </c>
      <c r="G83" s="418">
        <f t="shared" si="160"/>
        <v>0</v>
      </c>
      <c r="H83" s="418">
        <f t="shared" si="160"/>
        <v>0</v>
      </c>
      <c r="I83" s="418">
        <f t="shared" si="160"/>
        <v>9.935169887858919E-3</v>
      </c>
      <c r="J83" s="418">
        <f t="shared" si="160"/>
        <v>9.935169887858919E-3</v>
      </c>
      <c r="K83" s="418">
        <f t="shared" si="160"/>
        <v>9.935169887858919E-3</v>
      </c>
      <c r="L83" s="418">
        <f t="shared" si="160"/>
        <v>9.935169887858919E-3</v>
      </c>
      <c r="M83" s="418">
        <f t="shared" si="160"/>
        <v>9.934042792453468E-3</v>
      </c>
      <c r="N83" s="418">
        <f t="shared" si="160"/>
        <v>9.934042792453468E-3</v>
      </c>
      <c r="O83" s="418">
        <f t="shared" si="160"/>
        <v>9.934042792453468E-3</v>
      </c>
      <c r="P83" s="418">
        <f t="shared" si="160"/>
        <v>9.934042792453468E-3</v>
      </c>
      <c r="Q83" s="418">
        <f t="shared" si="160"/>
        <v>9.6869144418856301E-3</v>
      </c>
      <c r="R83" s="418">
        <f t="shared" si="160"/>
        <v>9.6869144418856301E-3</v>
      </c>
      <c r="S83" s="418">
        <f t="shared" si="160"/>
        <v>9.6869144418856301E-3</v>
      </c>
      <c r="T83" s="418">
        <f t="shared" si="160"/>
        <v>9.6869144418856301E-3</v>
      </c>
      <c r="U83" s="418">
        <f t="shared" si="160"/>
        <v>9.7222913994761129E-3</v>
      </c>
      <c r="V83" s="418">
        <f t="shared" si="160"/>
        <v>9.7222913994761129E-3</v>
      </c>
      <c r="W83" s="418">
        <f t="shared" si="160"/>
        <v>9.7222913994761129E-3</v>
      </c>
      <c r="X83" s="418">
        <f t="shared" si="160"/>
        <v>9.7222913994761129E-3</v>
      </c>
      <c r="Y83" s="418">
        <f t="shared" si="160"/>
        <v>9.7320447666779941E-3</v>
      </c>
      <c r="Z83" s="418">
        <f t="shared" si="160"/>
        <v>9.7320447666779941E-3</v>
      </c>
      <c r="AA83" s="418">
        <f t="shared" si="160"/>
        <v>9.7320447666779941E-3</v>
      </c>
      <c r="AB83" s="418">
        <f t="shared" si="160"/>
        <v>9.7320447666779941E-3</v>
      </c>
      <c r="AC83" s="418">
        <f t="shared" ref="AC83:AD83" si="161">(AC81+1)^(AC$40/12)-1</f>
        <v>9.7375242886055258E-3</v>
      </c>
      <c r="AD83" s="418">
        <f t="shared" si="161"/>
        <v>9.7375242886055258E-3</v>
      </c>
      <c r="AE83" s="418">
        <f t="shared" ref="AE83:AF83" si="162">(AE81+1)^(AE$40/12)-1</f>
        <v>9.7375242886055258E-3</v>
      </c>
      <c r="AF83" s="418">
        <f t="shared" si="162"/>
        <v>9.7375242886055258E-3</v>
      </c>
      <c r="AG83" s="418">
        <f t="shared" ref="AG83:AH83" si="163">(AG81+1)^(AG$40/12)-1</f>
        <v>9.7291756691804121E-3</v>
      </c>
      <c r="AH83" s="418">
        <f t="shared" si="163"/>
        <v>9.7291756691804121E-3</v>
      </c>
      <c r="AI83" s="418">
        <f t="shared" ref="AI83:AJ83" si="164">(AI81+1)^(AI$40/12)-1</f>
        <v>9.7291756691804121E-3</v>
      </c>
      <c r="AJ83" s="418">
        <f t="shared" si="164"/>
        <v>9.7291756691804121E-3</v>
      </c>
      <c r="AK83" s="418">
        <f t="shared" ref="AK83:AL83" si="165">(AK81+1)^(AK$40/12)-1</f>
        <v>9.709985665500076E-3</v>
      </c>
      <c r="AL83" s="418">
        <f t="shared" si="165"/>
        <v>9.709985665500076E-3</v>
      </c>
      <c r="AM83" s="418">
        <f t="shared" ref="AM83:AN83" si="166">(AM81+1)^(AM$40/12)-1</f>
        <v>9.709985665500076E-3</v>
      </c>
      <c r="AN83" s="418">
        <f t="shared" si="166"/>
        <v>9.709985665500076E-3</v>
      </c>
      <c r="AO83" s="418">
        <f t="shared" ref="AO83:AP83" si="167">(AO81+1)^(AO$40/12)-1</f>
        <v>9.6907794057141672E-3</v>
      </c>
      <c r="AP83" s="418">
        <f t="shared" si="167"/>
        <v>9.6907794057141672E-3</v>
      </c>
      <c r="AQ83" s="418">
        <f t="shared" ref="AQ83:AR83" si="168">(AQ81+1)^(AQ$40/12)-1</f>
        <v>9.6907794057141672E-3</v>
      </c>
      <c r="AR83" s="418">
        <f t="shared" si="168"/>
        <v>9.6907794057141672E-3</v>
      </c>
    </row>
    <row r="84" spans="1:44" s="421" customFormat="1" ht="11.25" customHeight="1" outlineLevel="1" x14ac:dyDescent="0.2">
      <c r="A84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84" s="260"/>
      <c r="C84" s="261"/>
      <c r="D84" s="40"/>
      <c r="AC84" s="474"/>
      <c r="AD84" s="474"/>
      <c r="AE84" s="474"/>
      <c r="AF84" s="474"/>
      <c r="AG84" s="474"/>
      <c r="AH84" s="474"/>
      <c r="AI84" s="474"/>
      <c r="AJ84" s="474"/>
      <c r="AK84" s="474"/>
      <c r="AL84" s="474"/>
      <c r="AM84" s="474"/>
      <c r="AN84" s="474"/>
      <c r="AO84" s="474"/>
      <c r="AP84" s="474"/>
      <c r="AQ84" s="474"/>
      <c r="AR84" s="474"/>
    </row>
    <row r="85" spans="1:44" ht="11.25" customHeight="1" outlineLevel="1" x14ac:dyDescent="0.2">
      <c r="A85" s="262"/>
      <c r="C85" s="2"/>
      <c r="D85" s="40"/>
      <c r="E85" s="264"/>
      <c r="F85" s="264"/>
      <c r="G85" s="264"/>
      <c r="H85" s="264"/>
      <c r="I85" s="264"/>
      <c r="J85" s="264"/>
      <c r="K85" s="264"/>
      <c r="L85" s="264"/>
      <c r="M85" s="264"/>
      <c r="N85" s="264"/>
      <c r="O85" s="264"/>
      <c r="P85" s="264"/>
      <c r="Q85" s="264"/>
      <c r="R85" s="264"/>
      <c r="S85" s="264"/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64"/>
      <c r="AP85" s="264"/>
      <c r="AQ85" s="264"/>
      <c r="AR85" s="264"/>
    </row>
    <row r="86" spans="1:44" ht="11.25" customHeight="1" outlineLevel="1" x14ac:dyDescent="0.2">
      <c r="A86" s="336" t="str">
        <f>ИД!B12</f>
        <v>Изменение заработной платы</v>
      </c>
      <c r="C86" s="2" t="s">
        <v>14</v>
      </c>
      <c r="D86" s="65"/>
      <c r="E86" s="539">
        <f>(SUMIF(ИД!$D$6:$T$6,E$46,ИД!$D$12:$T$12)-1)*Параметры!$B$62</f>
        <v>0</v>
      </c>
      <c r="F86" s="539">
        <f>(SUMIF(ИД!$D$6:$T$6,F$46,ИД!$D$12:$T$12)-1)*Параметры!$B$62</f>
        <v>0</v>
      </c>
      <c r="G86" s="539">
        <f>(SUMIF(ИД!$D$6:$T$6,G$46,ИД!$D$12:$T$12)-1)*Параметры!$B$62</f>
        <v>0</v>
      </c>
      <c r="H86" s="539">
        <f>(SUMIF(ИД!$D$6:$T$6,H$46,ИД!$D$12:$T$12)-1)*Параметры!$B$62</f>
        <v>0</v>
      </c>
      <c r="I86" s="539">
        <f>(SUMIF(ИД!$D$6:$T$6,I$46,ИД!$D$12:$T$12)-1)*Параметры!$B$62</f>
        <v>6.5636940856837134E-2</v>
      </c>
      <c r="J86" s="539">
        <f>(SUMIF(ИД!$D$6:$T$6,J$46,ИД!$D$12:$T$12)-1)*Параметры!$B$62</f>
        <v>6.5636940856837134E-2</v>
      </c>
      <c r="K86" s="539">
        <f>(SUMIF(ИД!$D$6:$T$6,K$46,ИД!$D$12:$T$12)-1)*Параметры!$B$62</f>
        <v>6.5636940856837134E-2</v>
      </c>
      <c r="L86" s="539">
        <f>(SUMIF(ИД!$D$6:$T$6,L$46,ИД!$D$12:$T$12)-1)*Параметры!$B$62</f>
        <v>6.5636940856837134E-2</v>
      </c>
      <c r="M86" s="539">
        <f>(SUMIF(ИД!$D$6:$T$6,M$46,ИД!$D$12:$T$12)-1)*Параметры!$B$62</f>
        <v>6.9164258480914675E-2</v>
      </c>
      <c r="N86" s="539">
        <f>(SUMIF(ИД!$D$6:$T$6,N$46,ИД!$D$12:$T$12)-1)*Параметры!$B$62</f>
        <v>6.9164258480914675E-2</v>
      </c>
      <c r="O86" s="539">
        <f>(SUMIF(ИД!$D$6:$T$6,O$46,ИД!$D$12:$T$12)-1)*Параметры!$B$62</f>
        <v>6.9164258480914675E-2</v>
      </c>
      <c r="P86" s="539">
        <f>(SUMIF(ИД!$D$6:$T$6,P$46,ИД!$D$12:$T$12)-1)*Параметры!$B$62</f>
        <v>6.9164258480914675E-2</v>
      </c>
      <c r="Q86" s="539">
        <f>(SUMIF(ИД!$D$6:$T$6,Q$46,ИД!$D$12:$T$12)-1)*Параметры!$B$62</f>
        <v>6.8270657176112026E-2</v>
      </c>
      <c r="R86" s="539">
        <f>(SUMIF(ИД!$D$6:$T$6,R$46,ИД!$D$12:$T$12)-1)*Параметры!$B$62</f>
        <v>6.8270657176112026E-2</v>
      </c>
      <c r="S86" s="539">
        <f>(SUMIF(ИД!$D$6:$T$6,S$46,ИД!$D$12:$T$12)-1)*Параметры!$B$62</f>
        <v>6.8270657176112026E-2</v>
      </c>
      <c r="T86" s="539">
        <f>(SUMIF(ИД!$D$6:$T$6,T$46,ИД!$D$12:$T$12)-1)*Параметры!$B$62</f>
        <v>6.8270657176112026E-2</v>
      </c>
      <c r="U86" s="539">
        <f>(SUMIF(ИД!$D$6:$T$6,U$46,ИД!$D$12:$T$12)-1)*Параметры!$B$62</f>
        <v>6.9593992275576166E-2</v>
      </c>
      <c r="V86" s="539">
        <f>(SUMIF(ИД!$D$6:$T$6,V$46,ИД!$D$12:$T$12)-1)*Параметры!$B$62</f>
        <v>6.9593992275576166E-2</v>
      </c>
      <c r="W86" s="539">
        <f>(SUMIF(ИД!$D$6:$T$6,W$46,ИД!$D$12:$T$12)-1)*Параметры!$B$62</f>
        <v>6.9593992275576166E-2</v>
      </c>
      <c r="X86" s="539">
        <f>(SUMIF(ИД!$D$6:$T$6,X$46,ИД!$D$12:$T$12)-1)*Параметры!$B$62</f>
        <v>6.9593992275576166E-2</v>
      </c>
      <c r="Y86" s="539">
        <f>(SUMIF(ИД!$D$6:$T$6,Y$46,ИД!$D$12:$T$12)-1)*Параметры!$B$62</f>
        <v>6.8717549596758909E-2</v>
      </c>
      <c r="Z86" s="539">
        <f>(SUMIF(ИД!$D$6:$T$6,Z$46,ИД!$D$12:$T$12)-1)*Параметры!$B$62</f>
        <v>6.8717549596758909E-2</v>
      </c>
      <c r="AA86" s="539">
        <f>(SUMIF(ИД!$D$6:$T$6,AA$46,ИД!$D$12:$T$12)-1)*Параметры!$B$62</f>
        <v>6.8717549596758909E-2</v>
      </c>
      <c r="AB86" s="539">
        <f>(SUMIF(ИД!$D$6:$T$6,AB$46,ИД!$D$12:$T$12)-1)*Параметры!$B$62</f>
        <v>6.8717549596758909E-2</v>
      </c>
      <c r="AC86" s="539">
        <f>(SUMIF(ИД!$D$6:$T$6,AC$46,ИД!$D$12:$T$12)-1)*Параметры!$B$62</f>
        <v>6.8028504971386461E-2</v>
      </c>
      <c r="AD86" s="539">
        <f>(SUMIF(ИД!$D$6:$T$6,AD$46,ИД!$D$12:$T$12)-1)*Параметры!$B$62</f>
        <v>6.8028504971386461E-2</v>
      </c>
      <c r="AE86" s="539">
        <f>(SUMIF(ИД!$D$6:$T$6,AE$46,ИД!$D$12:$T$12)-1)*Параметры!$B$62</f>
        <v>6.8028504971386461E-2</v>
      </c>
      <c r="AF86" s="539">
        <f>(SUMIF(ИД!$D$6:$T$6,AF$46,ИД!$D$12:$T$12)-1)*Параметры!$B$62</f>
        <v>6.8028504971386461E-2</v>
      </c>
      <c r="AG86" s="539">
        <f>(SUMIF(ИД!$D$6:$T$6,AG$46,ИД!$D$12:$T$12)-1)*Параметры!$B$62</f>
        <v>6.7750417348662717E-2</v>
      </c>
      <c r="AH86" s="539">
        <f>(SUMIF(ИД!$D$6:$T$6,AH$46,ИД!$D$12:$T$12)-1)*Параметры!$B$62</f>
        <v>6.7750417348662717E-2</v>
      </c>
      <c r="AI86" s="539">
        <f>(SUMIF(ИД!$D$6:$T$6,AI$46,ИД!$D$12:$T$12)-1)*Параметры!$B$62</f>
        <v>6.7750417348662717E-2</v>
      </c>
      <c r="AJ86" s="539">
        <f>(SUMIF(ИД!$D$6:$T$6,AJ$46,ИД!$D$12:$T$12)-1)*Параметры!$B$62</f>
        <v>6.7750417348662717E-2</v>
      </c>
      <c r="AK86" s="539">
        <f>(SUMIF(ИД!$D$6:$T$6,AK$46,ИД!$D$12:$T$12)-1)*Параметры!$B$62</f>
        <v>6.7174282373121841E-2</v>
      </c>
      <c r="AL86" s="539">
        <f>(SUMIF(ИД!$D$6:$T$6,AL$46,ИД!$D$12:$T$12)-1)*Параметры!$B$62</f>
        <v>6.7174282373121841E-2</v>
      </c>
      <c r="AM86" s="539">
        <f>(SUMIF(ИД!$D$6:$T$6,AM$46,ИД!$D$12:$T$12)-1)*Параметры!$B$62</f>
        <v>6.7174282373121841E-2</v>
      </c>
      <c r="AN86" s="539">
        <f>(SUMIF(ИД!$D$6:$T$6,AN$46,ИД!$D$12:$T$12)-1)*Параметры!$B$62</f>
        <v>6.7174282373121841E-2</v>
      </c>
      <c r="AO86" s="539">
        <f>(SUMIF(ИД!$D$6:$T$6,AO$46,ИД!$D$12:$T$12)-1)*Параметры!$B$62</f>
        <v>6.6623774358420818E-2</v>
      </c>
      <c r="AP86" s="539">
        <f>(SUMIF(ИД!$D$6:$T$6,AP$46,ИД!$D$12:$T$12)-1)*Параметры!$B$62</f>
        <v>6.6623774358420818E-2</v>
      </c>
      <c r="AQ86" s="539">
        <f>(SUMIF(ИД!$D$6:$T$6,AQ$46,ИД!$D$12:$T$12)-1)*Параметры!$B$62</f>
        <v>6.6623774358420818E-2</v>
      </c>
      <c r="AR86" s="539">
        <f>(SUMIF(ИД!$D$6:$T$6,AR$46,ИД!$D$12:$T$12)-1)*Параметры!$B$62</f>
        <v>6.6623774358420818E-2</v>
      </c>
    </row>
    <row r="87" spans="1:44" ht="11.25" customHeight="1" outlineLevel="1" x14ac:dyDescent="0.2">
      <c r="A87" s="393" t="s">
        <v>493</v>
      </c>
      <c r="C87" s="7" t="s">
        <v>492</v>
      </c>
      <c r="D87" s="397"/>
      <c r="E87" s="418">
        <f>E88</f>
        <v>0</v>
      </c>
      <c r="F87" s="418">
        <f t="shared" ref="F87" si="169">F88</f>
        <v>0</v>
      </c>
      <c r="G87" s="418">
        <f t="shared" ref="G87" si="170">G88</f>
        <v>0</v>
      </c>
      <c r="H87" s="418">
        <f t="shared" ref="H87" si="171">H88</f>
        <v>0</v>
      </c>
      <c r="I87" s="418">
        <f t="shared" ref="I87" si="172">I88</f>
        <v>1.602013993529261E-2</v>
      </c>
      <c r="J87" s="418">
        <f t="shared" ref="J87" si="173">J88</f>
        <v>1.602013993529261E-2</v>
      </c>
      <c r="K87" s="418">
        <f t="shared" ref="K87" si="174">K88</f>
        <v>1.602013993529261E-2</v>
      </c>
      <c r="L87" s="418">
        <f t="shared" ref="L87" si="175">L88</f>
        <v>1.602013993529261E-2</v>
      </c>
      <c r="M87" s="418">
        <f t="shared" ref="M87" si="176">M88</f>
        <v>1.6859869133900363E-2</v>
      </c>
      <c r="N87" s="418">
        <f t="shared" ref="N87" si="177">N88</f>
        <v>1.6859869133900363E-2</v>
      </c>
      <c r="O87" s="418">
        <f t="shared" ref="O87" si="178">O88</f>
        <v>1.6859869133900363E-2</v>
      </c>
      <c r="P87" s="418">
        <f t="shared" ref="P87" si="179">P88</f>
        <v>1.6859869133900363E-2</v>
      </c>
      <c r="Q87" s="418">
        <f t="shared" ref="Q87" si="180">Q88</f>
        <v>1.6647331108367691E-2</v>
      </c>
      <c r="R87" s="418">
        <f t="shared" ref="R87" si="181">R88</f>
        <v>1.6647331108367691E-2</v>
      </c>
      <c r="S87" s="418">
        <f t="shared" ref="S87" si="182">S88</f>
        <v>1.6647331108367691E-2</v>
      </c>
      <c r="T87" s="418">
        <f t="shared" ref="T87" si="183">T88</f>
        <v>1.6647331108367691E-2</v>
      </c>
      <c r="U87" s="418">
        <f t="shared" ref="U87" si="184">U88</f>
        <v>1.6962031453288562E-2</v>
      </c>
      <c r="V87" s="418">
        <f t="shared" ref="V87" si="185">V88</f>
        <v>1.6962031453288562E-2</v>
      </c>
      <c r="W87" s="418">
        <f t="shared" ref="W87" si="186">W88</f>
        <v>1.6962031453288562E-2</v>
      </c>
      <c r="X87" s="418">
        <f t="shared" ref="X87" si="187">X88</f>
        <v>1.6962031453288562E-2</v>
      </c>
      <c r="Y87" s="418">
        <f t="shared" ref="Y87" si="188">Y88</f>
        <v>1.6753638608221877E-2</v>
      </c>
      <c r="Z87" s="418">
        <f t="shared" ref="Z87" si="189">Z88</f>
        <v>1.6753638608221877E-2</v>
      </c>
      <c r="AA87" s="418">
        <f t="shared" ref="AA87" si="190">AA88</f>
        <v>1.6753638608221877E-2</v>
      </c>
      <c r="AB87" s="418">
        <f t="shared" ref="AB87:AR87" si="191">AB88</f>
        <v>1.6753638608221877E-2</v>
      </c>
      <c r="AC87" s="418">
        <f t="shared" si="191"/>
        <v>1.6589713612207735E-2</v>
      </c>
      <c r="AD87" s="418">
        <f t="shared" si="191"/>
        <v>1.6589713612207735E-2</v>
      </c>
      <c r="AE87" s="418">
        <f t="shared" si="191"/>
        <v>1.6589713612207735E-2</v>
      </c>
      <c r="AF87" s="418">
        <f t="shared" si="191"/>
        <v>1.6589713612207735E-2</v>
      </c>
      <c r="AG87" s="418">
        <f t="shared" si="191"/>
        <v>1.6523533584545724E-2</v>
      </c>
      <c r="AH87" s="418">
        <f t="shared" si="191"/>
        <v>1.6523533584545724E-2</v>
      </c>
      <c r="AI87" s="418">
        <f t="shared" si="191"/>
        <v>1.6523533584545724E-2</v>
      </c>
      <c r="AJ87" s="418">
        <f t="shared" si="191"/>
        <v>1.6523533584545724E-2</v>
      </c>
      <c r="AK87" s="418">
        <f t="shared" si="191"/>
        <v>1.6386382315055847E-2</v>
      </c>
      <c r="AL87" s="418">
        <f t="shared" si="191"/>
        <v>1.6386382315055847E-2</v>
      </c>
      <c r="AM87" s="418">
        <f t="shared" si="191"/>
        <v>1.6386382315055847E-2</v>
      </c>
      <c r="AN87" s="418">
        <f t="shared" si="191"/>
        <v>1.6386382315055847E-2</v>
      </c>
      <c r="AO87" s="418">
        <f t="shared" si="191"/>
        <v>1.625527975526464E-2</v>
      </c>
      <c r="AP87" s="418">
        <f t="shared" si="191"/>
        <v>1.625527975526464E-2</v>
      </c>
      <c r="AQ87" s="418">
        <f t="shared" si="191"/>
        <v>1.625527975526464E-2</v>
      </c>
      <c r="AR87" s="418">
        <f t="shared" si="191"/>
        <v>1.625527975526464E-2</v>
      </c>
    </row>
    <row r="88" spans="1:44" ht="11.25" customHeight="1" outlineLevel="1" x14ac:dyDescent="0.2">
      <c r="A88" s="393" t="s">
        <v>1091</v>
      </c>
      <c r="B88" s="190"/>
      <c r="C88" s="7" t="s">
        <v>1</v>
      </c>
      <c r="D88" s="397"/>
      <c r="E88" s="418">
        <f t="shared" ref="E88:AB88" si="192">(E86+1)^(E$40/12)-1</f>
        <v>0</v>
      </c>
      <c r="F88" s="418">
        <f t="shared" si="192"/>
        <v>0</v>
      </c>
      <c r="G88" s="418">
        <f t="shared" si="192"/>
        <v>0</v>
      </c>
      <c r="H88" s="418">
        <f t="shared" si="192"/>
        <v>0</v>
      </c>
      <c r="I88" s="418">
        <f t="shared" si="192"/>
        <v>1.602013993529261E-2</v>
      </c>
      <c r="J88" s="418">
        <f t="shared" si="192"/>
        <v>1.602013993529261E-2</v>
      </c>
      <c r="K88" s="418">
        <f t="shared" si="192"/>
        <v>1.602013993529261E-2</v>
      </c>
      <c r="L88" s="418">
        <f t="shared" si="192"/>
        <v>1.602013993529261E-2</v>
      </c>
      <c r="M88" s="418">
        <f t="shared" si="192"/>
        <v>1.6859869133900363E-2</v>
      </c>
      <c r="N88" s="418">
        <f t="shared" si="192"/>
        <v>1.6859869133900363E-2</v>
      </c>
      <c r="O88" s="418">
        <f t="shared" si="192"/>
        <v>1.6859869133900363E-2</v>
      </c>
      <c r="P88" s="418">
        <f t="shared" si="192"/>
        <v>1.6859869133900363E-2</v>
      </c>
      <c r="Q88" s="418">
        <f t="shared" si="192"/>
        <v>1.6647331108367691E-2</v>
      </c>
      <c r="R88" s="418">
        <f t="shared" si="192"/>
        <v>1.6647331108367691E-2</v>
      </c>
      <c r="S88" s="418">
        <f t="shared" si="192"/>
        <v>1.6647331108367691E-2</v>
      </c>
      <c r="T88" s="418">
        <f t="shared" si="192"/>
        <v>1.6647331108367691E-2</v>
      </c>
      <c r="U88" s="418">
        <f t="shared" si="192"/>
        <v>1.6962031453288562E-2</v>
      </c>
      <c r="V88" s="418">
        <f t="shared" si="192"/>
        <v>1.6962031453288562E-2</v>
      </c>
      <c r="W88" s="418">
        <f t="shared" si="192"/>
        <v>1.6962031453288562E-2</v>
      </c>
      <c r="X88" s="418">
        <f t="shared" si="192"/>
        <v>1.6962031453288562E-2</v>
      </c>
      <c r="Y88" s="418">
        <f t="shared" si="192"/>
        <v>1.6753638608221877E-2</v>
      </c>
      <c r="Z88" s="418">
        <f t="shared" si="192"/>
        <v>1.6753638608221877E-2</v>
      </c>
      <c r="AA88" s="418">
        <f t="shared" si="192"/>
        <v>1.6753638608221877E-2</v>
      </c>
      <c r="AB88" s="418">
        <f t="shared" si="192"/>
        <v>1.6753638608221877E-2</v>
      </c>
      <c r="AC88" s="418">
        <f t="shared" ref="AC88:AD88" si="193">(AC86+1)^(AC$40/12)-1</f>
        <v>1.6589713612207735E-2</v>
      </c>
      <c r="AD88" s="418">
        <f t="shared" si="193"/>
        <v>1.6589713612207735E-2</v>
      </c>
      <c r="AE88" s="418">
        <f t="shared" ref="AE88:AF88" si="194">(AE86+1)^(AE$40/12)-1</f>
        <v>1.6589713612207735E-2</v>
      </c>
      <c r="AF88" s="418">
        <f t="shared" si="194"/>
        <v>1.6589713612207735E-2</v>
      </c>
      <c r="AG88" s="418">
        <f t="shared" ref="AG88:AH88" si="195">(AG86+1)^(AG$40/12)-1</f>
        <v>1.6523533584545724E-2</v>
      </c>
      <c r="AH88" s="418">
        <f t="shared" si="195"/>
        <v>1.6523533584545724E-2</v>
      </c>
      <c r="AI88" s="418">
        <f t="shared" ref="AI88:AJ88" si="196">(AI86+1)^(AI$40/12)-1</f>
        <v>1.6523533584545724E-2</v>
      </c>
      <c r="AJ88" s="418">
        <f t="shared" si="196"/>
        <v>1.6523533584545724E-2</v>
      </c>
      <c r="AK88" s="418">
        <f t="shared" ref="AK88:AL88" si="197">(AK86+1)^(AK$40/12)-1</f>
        <v>1.6386382315055847E-2</v>
      </c>
      <c r="AL88" s="418">
        <f t="shared" si="197"/>
        <v>1.6386382315055847E-2</v>
      </c>
      <c r="AM88" s="418">
        <f t="shared" ref="AM88:AN88" si="198">(AM86+1)^(AM$40/12)-1</f>
        <v>1.6386382315055847E-2</v>
      </c>
      <c r="AN88" s="418">
        <f t="shared" si="198"/>
        <v>1.6386382315055847E-2</v>
      </c>
      <c r="AO88" s="418">
        <f t="shared" ref="AO88:AP88" si="199">(AO86+1)^(AO$40/12)-1</f>
        <v>1.625527975526464E-2</v>
      </c>
      <c r="AP88" s="418">
        <f t="shared" si="199"/>
        <v>1.625527975526464E-2</v>
      </c>
      <c r="AQ88" s="418">
        <f t="shared" ref="AQ88:AR88" si="200">(AQ86+1)^(AQ$40/12)-1</f>
        <v>1.625527975526464E-2</v>
      </c>
      <c r="AR88" s="418">
        <f t="shared" si="200"/>
        <v>1.625527975526464E-2</v>
      </c>
    </row>
    <row r="89" spans="1:44" s="421" customFormat="1" ht="11.25" customHeight="1" outlineLevel="1" x14ac:dyDescent="0.2">
      <c r="A89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89" s="260"/>
      <c r="C89" s="261"/>
      <c r="D89" s="40"/>
      <c r="AC89" s="474"/>
      <c r="AD89" s="474"/>
      <c r="AE89" s="474"/>
      <c r="AF89" s="474"/>
      <c r="AG89" s="474"/>
      <c r="AH89" s="474"/>
      <c r="AI89" s="474"/>
      <c r="AJ89" s="474"/>
      <c r="AK89" s="474"/>
      <c r="AL89" s="474"/>
      <c r="AM89" s="474"/>
      <c r="AN89" s="474"/>
      <c r="AO89" s="474"/>
      <c r="AP89" s="474"/>
      <c r="AQ89" s="474"/>
      <c r="AR89" s="474"/>
    </row>
    <row r="90" spans="1:44" outlineLevel="1" x14ac:dyDescent="0.2">
      <c r="A90" s="63"/>
      <c r="C90" s="2"/>
      <c r="D90" s="40"/>
      <c r="E90" s="264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64"/>
      <c r="Q90" s="264"/>
      <c r="R90" s="264"/>
      <c r="S90" s="264"/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64"/>
      <c r="AP90" s="264"/>
      <c r="AQ90" s="264"/>
      <c r="AR90" s="264"/>
    </row>
    <row r="91" spans="1:44" ht="11.25" customHeight="1" outlineLevel="1" x14ac:dyDescent="0.2">
      <c r="A91" s="332" t="str">
        <f>ИД!B10</f>
        <v>Изменение тарифов водоснабжения/отведения, утилизации отходов и т.п.</v>
      </c>
      <c r="C91" s="7" t="s">
        <v>14</v>
      </c>
      <c r="D91" s="65"/>
      <c r="E91" s="539">
        <f>(SUMIF(ИД!$D$6:$T$6,E$46,ИД!$D$10:$T$10)-1)*Параметры!$B$62</f>
        <v>0</v>
      </c>
      <c r="F91" s="539">
        <f>(SUMIF(ИД!$D$6:$T$6,F$46,ИД!$D$10:$T$10)-1)*Параметры!$B$62</f>
        <v>0</v>
      </c>
      <c r="G91" s="539">
        <f>(SUMIF(ИД!$D$6:$T$6,G$46,ИД!$D$10:$T$10)-1)*Параметры!$B$62</f>
        <v>0</v>
      </c>
      <c r="H91" s="539">
        <f>(SUMIF(ИД!$D$6:$T$6,H$46,ИД!$D$10:$T$10)-1)*Параметры!$B$62</f>
        <v>0</v>
      </c>
      <c r="I91" s="539">
        <f>(SUMIF(ИД!$D$6:$T$6,I$46,ИД!$D$10:$T$10)-1)*Параметры!$B$62</f>
        <v>4.0440802660270059E-2</v>
      </c>
      <c r="J91" s="539">
        <f>(SUMIF(ИД!$D$6:$T$6,J$46,ИД!$D$10:$T$10)-1)*Параметры!$B$62</f>
        <v>4.0440802660270059E-2</v>
      </c>
      <c r="K91" s="539">
        <f>(SUMIF(ИД!$D$6:$T$6,K$46,ИД!$D$10:$T$10)-1)*Параметры!$B$62</f>
        <v>4.0440802660270059E-2</v>
      </c>
      <c r="L91" s="539">
        <f>(SUMIF(ИД!$D$6:$T$6,L$46,ИД!$D$10:$T$10)-1)*Параметры!$B$62</f>
        <v>4.0440802660270059E-2</v>
      </c>
      <c r="M91" s="539">
        <f>(SUMIF(ИД!$D$6:$T$6,M$46,ИД!$D$10:$T$10)-1)*Параметры!$B$62</f>
        <v>4.0441791093008828E-2</v>
      </c>
      <c r="N91" s="539">
        <f>(SUMIF(ИД!$D$6:$T$6,N$46,ИД!$D$10:$T$10)-1)*Параметры!$B$62</f>
        <v>4.0441791093008828E-2</v>
      </c>
      <c r="O91" s="539">
        <f>(SUMIF(ИД!$D$6:$T$6,O$46,ИД!$D$10:$T$10)-1)*Параметры!$B$62</f>
        <v>4.0441791093008828E-2</v>
      </c>
      <c r="P91" s="539">
        <f>(SUMIF(ИД!$D$6:$T$6,P$46,ИД!$D$10:$T$10)-1)*Параметры!$B$62</f>
        <v>4.0441791093008828E-2</v>
      </c>
      <c r="Q91" s="539">
        <f>(SUMIF(ИД!$D$6:$T$6,Q$46,ИД!$D$10:$T$10)-1)*Параметры!$B$62</f>
        <v>3.97920103999998E-2</v>
      </c>
      <c r="R91" s="539">
        <f>(SUMIF(ИД!$D$6:$T$6,R$46,ИД!$D$10:$T$10)-1)*Параметры!$B$62</f>
        <v>3.97920103999998E-2</v>
      </c>
      <c r="S91" s="539">
        <f>(SUMIF(ИД!$D$6:$T$6,S$46,ИД!$D$10:$T$10)-1)*Параметры!$B$62</f>
        <v>3.97920103999998E-2</v>
      </c>
      <c r="T91" s="539">
        <f>(SUMIF(ИД!$D$6:$T$6,T$46,ИД!$D$10:$T$10)-1)*Параметры!$B$62</f>
        <v>3.97920103999998E-2</v>
      </c>
      <c r="U91" s="539">
        <f>(SUMIF(ИД!$D$6:$T$6,U$46,ИД!$D$10:$T$10)-1)*Параметры!$B$62</f>
        <v>4.0467541564836118E-2</v>
      </c>
      <c r="V91" s="539">
        <f>(SUMIF(ИД!$D$6:$T$6,V$46,ИД!$D$10:$T$10)-1)*Параметры!$B$62</f>
        <v>4.0467541564836118E-2</v>
      </c>
      <c r="W91" s="539">
        <f>(SUMIF(ИД!$D$6:$T$6,W$46,ИД!$D$10:$T$10)-1)*Параметры!$B$62</f>
        <v>4.0467541564836118E-2</v>
      </c>
      <c r="X91" s="539">
        <f>(SUMIF(ИД!$D$6:$T$6,X$46,ИД!$D$10:$T$10)-1)*Параметры!$B$62</f>
        <v>4.0467541564836118E-2</v>
      </c>
      <c r="Y91" s="539">
        <f>(SUMIF(ИД!$D$6:$T$6,Y$46,ИД!$D$10:$T$10)-1)*Параметры!$B$62</f>
        <v>3.9923890663252637E-2</v>
      </c>
      <c r="Z91" s="539">
        <f>(SUMIF(ИД!$D$6:$T$6,Z$46,ИД!$D$10:$T$10)-1)*Параметры!$B$62</f>
        <v>3.9923890663252637E-2</v>
      </c>
      <c r="AA91" s="539">
        <f>(SUMIF(ИД!$D$6:$T$6,AA$46,ИД!$D$10:$T$10)-1)*Параметры!$B$62</f>
        <v>3.9923890663252637E-2</v>
      </c>
      <c r="AB91" s="539">
        <f>(SUMIF(ИД!$D$6:$T$6,AB$46,ИД!$D$10:$T$10)-1)*Параметры!$B$62</f>
        <v>3.9923890663252637E-2</v>
      </c>
      <c r="AC91" s="539">
        <f>(SUMIF(ИД!$D$6:$T$6,AC$46,ИД!$D$10:$T$10)-1)*Параметры!$B$62</f>
        <v>3.9871738579120741E-2</v>
      </c>
      <c r="AD91" s="539">
        <f>(SUMIF(ИД!$D$6:$T$6,AD$46,ИД!$D$10:$T$10)-1)*Параметры!$B$62</f>
        <v>3.9871738579120741E-2</v>
      </c>
      <c r="AE91" s="539">
        <f>(SUMIF(ИД!$D$6:$T$6,AE$46,ИД!$D$10:$T$10)-1)*Параметры!$B$62</f>
        <v>3.9871738579120741E-2</v>
      </c>
      <c r="AF91" s="539">
        <f>(SUMIF(ИД!$D$6:$T$6,AF$46,ИД!$D$10:$T$10)-1)*Параметры!$B$62</f>
        <v>3.9871738579120741E-2</v>
      </c>
      <c r="AG91" s="539">
        <f>(SUMIF(ИД!$D$6:$T$6,AG$46,ИД!$D$10:$T$10)-1)*Параметры!$B$62</f>
        <v>3.9751867532941132E-2</v>
      </c>
      <c r="AH91" s="539">
        <f>(SUMIF(ИД!$D$6:$T$6,AH$46,ИД!$D$10:$T$10)-1)*Параметры!$B$62</f>
        <v>3.9751867532941132E-2</v>
      </c>
      <c r="AI91" s="539">
        <f>(SUMIF(ИД!$D$6:$T$6,AI$46,ИД!$D$10:$T$10)-1)*Параметры!$B$62</f>
        <v>3.9751867532941132E-2</v>
      </c>
      <c r="AJ91" s="539">
        <f>(SUMIF(ИД!$D$6:$T$6,AJ$46,ИД!$D$10:$T$10)-1)*Параметры!$B$62</f>
        <v>3.9751867532941132E-2</v>
      </c>
      <c r="AK91" s="539">
        <f>(SUMIF(ИД!$D$6:$T$6,AK$46,ИД!$D$10:$T$10)-1)*Параметры!$B$62</f>
        <v>3.9631901785520673E-2</v>
      </c>
      <c r="AL91" s="539">
        <f>(SUMIF(ИД!$D$6:$T$6,AL$46,ИД!$D$10:$T$10)-1)*Параметры!$B$62</f>
        <v>3.9631901785520673E-2</v>
      </c>
      <c r="AM91" s="539">
        <f>(SUMIF(ИД!$D$6:$T$6,AM$46,ИД!$D$10:$T$10)-1)*Параметры!$B$62</f>
        <v>3.9631901785520673E-2</v>
      </c>
      <c r="AN91" s="539">
        <f>(SUMIF(ИД!$D$6:$T$6,AN$46,ИД!$D$10:$T$10)-1)*Параметры!$B$62</f>
        <v>3.9631901785520673E-2</v>
      </c>
      <c r="AO91" s="539">
        <f>(SUMIF(ИД!$D$6:$T$6,AO$46,ИД!$D$10:$T$10)-1)*Параметры!$B$62</f>
        <v>3.9543862090033466E-2</v>
      </c>
      <c r="AP91" s="539">
        <f>(SUMIF(ИД!$D$6:$T$6,AP$46,ИД!$D$10:$T$10)-1)*Параметры!$B$62</f>
        <v>3.9543862090033466E-2</v>
      </c>
      <c r="AQ91" s="539">
        <f>(SUMIF(ИД!$D$6:$T$6,AQ$46,ИД!$D$10:$T$10)-1)*Параметры!$B$62</f>
        <v>3.9543862090033466E-2</v>
      </c>
      <c r="AR91" s="539">
        <f>(SUMIF(ИД!$D$6:$T$6,AR$46,ИД!$D$10:$T$10)-1)*Параметры!$B$62</f>
        <v>3.9543862090033466E-2</v>
      </c>
    </row>
    <row r="92" spans="1:44" ht="11.25" customHeight="1" outlineLevel="1" x14ac:dyDescent="0.2">
      <c r="A92" s="393" t="s">
        <v>493</v>
      </c>
      <c r="C92" s="7" t="s">
        <v>492</v>
      </c>
      <c r="D92" s="397"/>
      <c r="E92" s="418">
        <f>E93</f>
        <v>0</v>
      </c>
      <c r="F92" s="418">
        <f t="shared" ref="F92:AR92" si="201">F93</f>
        <v>0</v>
      </c>
      <c r="G92" s="418">
        <f t="shared" si="201"/>
        <v>0</v>
      </c>
      <c r="H92" s="418">
        <f t="shared" si="201"/>
        <v>0</v>
      </c>
      <c r="I92" s="418">
        <f t="shared" si="201"/>
        <v>9.9603958116147862E-3</v>
      </c>
      <c r="J92" s="418">
        <f t="shared" si="201"/>
        <v>9.9603958116147862E-3</v>
      </c>
      <c r="K92" s="418">
        <f t="shared" si="201"/>
        <v>9.9603958116147862E-3</v>
      </c>
      <c r="L92" s="418">
        <f t="shared" si="201"/>
        <v>9.9603958116147862E-3</v>
      </c>
      <c r="M92" s="418">
        <f t="shared" si="201"/>
        <v>9.9606356805150842E-3</v>
      </c>
      <c r="N92" s="418">
        <f t="shared" si="201"/>
        <v>9.9606356805150842E-3</v>
      </c>
      <c r="O92" s="418">
        <f t="shared" si="201"/>
        <v>9.9606356805150842E-3</v>
      </c>
      <c r="P92" s="418">
        <f t="shared" si="201"/>
        <v>9.9606356805150842E-3</v>
      </c>
      <c r="Q92" s="418">
        <f t="shared" si="201"/>
        <v>9.8029126162615388E-3</v>
      </c>
      <c r="R92" s="418">
        <f t="shared" si="201"/>
        <v>9.8029126162615388E-3</v>
      </c>
      <c r="S92" s="418">
        <f t="shared" si="201"/>
        <v>9.8029126162615388E-3</v>
      </c>
      <c r="T92" s="418">
        <f t="shared" si="201"/>
        <v>9.8029126162615388E-3</v>
      </c>
      <c r="U92" s="418">
        <f t="shared" si="201"/>
        <v>9.9668846417133583E-3</v>
      </c>
      <c r="V92" s="418">
        <f t="shared" si="201"/>
        <v>9.9668846417133583E-3</v>
      </c>
      <c r="W92" s="418">
        <f t="shared" si="201"/>
        <v>9.9668846417133583E-3</v>
      </c>
      <c r="X92" s="418">
        <f t="shared" si="201"/>
        <v>9.9668846417133583E-3</v>
      </c>
      <c r="Y92" s="418">
        <f t="shared" si="201"/>
        <v>9.8349302551361539E-3</v>
      </c>
      <c r="Z92" s="418">
        <f t="shared" si="201"/>
        <v>9.8349302551361539E-3</v>
      </c>
      <c r="AA92" s="418">
        <f t="shared" si="201"/>
        <v>9.8349302551361539E-3</v>
      </c>
      <c r="AB92" s="418">
        <f t="shared" si="201"/>
        <v>9.8349302551361539E-3</v>
      </c>
      <c r="AC92" s="418">
        <f t="shared" si="201"/>
        <v>9.822269235619796E-3</v>
      </c>
      <c r="AD92" s="418">
        <f t="shared" si="201"/>
        <v>9.822269235619796E-3</v>
      </c>
      <c r="AE92" s="418">
        <f t="shared" si="201"/>
        <v>9.822269235619796E-3</v>
      </c>
      <c r="AF92" s="418">
        <f t="shared" si="201"/>
        <v>9.822269235619796E-3</v>
      </c>
      <c r="AG92" s="418">
        <f t="shared" si="201"/>
        <v>9.7931662029044908E-3</v>
      </c>
      <c r="AH92" s="418">
        <f t="shared" si="201"/>
        <v>9.7931662029044908E-3</v>
      </c>
      <c r="AI92" s="418">
        <f t="shared" si="201"/>
        <v>9.7931662029044908E-3</v>
      </c>
      <c r="AJ92" s="418">
        <f t="shared" si="201"/>
        <v>9.7931662029044908E-3</v>
      </c>
      <c r="AK92" s="418">
        <f t="shared" si="201"/>
        <v>9.7640376585195199E-3</v>
      </c>
      <c r="AL92" s="418">
        <f t="shared" si="201"/>
        <v>9.7640376585195199E-3</v>
      </c>
      <c r="AM92" s="418">
        <f t="shared" si="201"/>
        <v>9.7640376585195199E-3</v>
      </c>
      <c r="AN92" s="418">
        <f t="shared" si="201"/>
        <v>9.7640376585195199E-3</v>
      </c>
      <c r="AO92" s="418">
        <f t="shared" si="201"/>
        <v>9.7426593847547149E-3</v>
      </c>
      <c r="AP92" s="418">
        <f t="shared" si="201"/>
        <v>9.7426593847547149E-3</v>
      </c>
      <c r="AQ92" s="418">
        <f t="shared" si="201"/>
        <v>9.7426593847547149E-3</v>
      </c>
      <c r="AR92" s="418">
        <f t="shared" si="201"/>
        <v>9.7426593847547149E-3</v>
      </c>
    </row>
    <row r="93" spans="1:44" ht="11.25" customHeight="1" outlineLevel="1" x14ac:dyDescent="0.2">
      <c r="A93" s="393" t="s">
        <v>1091</v>
      </c>
      <c r="B93" s="190"/>
      <c r="C93" s="7" t="s">
        <v>1</v>
      </c>
      <c r="D93" s="397"/>
      <c r="E93" s="418">
        <f t="shared" ref="E93:AR93" si="202">(E91+1)^(E$40/12)-1</f>
        <v>0</v>
      </c>
      <c r="F93" s="418">
        <f t="shared" si="202"/>
        <v>0</v>
      </c>
      <c r="G93" s="418">
        <f t="shared" si="202"/>
        <v>0</v>
      </c>
      <c r="H93" s="418">
        <f t="shared" si="202"/>
        <v>0</v>
      </c>
      <c r="I93" s="418">
        <f t="shared" si="202"/>
        <v>9.9603958116147862E-3</v>
      </c>
      <c r="J93" s="418">
        <f t="shared" si="202"/>
        <v>9.9603958116147862E-3</v>
      </c>
      <c r="K93" s="418">
        <f t="shared" si="202"/>
        <v>9.9603958116147862E-3</v>
      </c>
      <c r="L93" s="418">
        <f t="shared" si="202"/>
        <v>9.9603958116147862E-3</v>
      </c>
      <c r="M93" s="418">
        <f t="shared" si="202"/>
        <v>9.9606356805150842E-3</v>
      </c>
      <c r="N93" s="418">
        <f t="shared" si="202"/>
        <v>9.9606356805150842E-3</v>
      </c>
      <c r="O93" s="418">
        <f t="shared" si="202"/>
        <v>9.9606356805150842E-3</v>
      </c>
      <c r="P93" s="418">
        <f t="shared" si="202"/>
        <v>9.9606356805150842E-3</v>
      </c>
      <c r="Q93" s="418">
        <f t="shared" si="202"/>
        <v>9.8029126162615388E-3</v>
      </c>
      <c r="R93" s="418">
        <f t="shared" si="202"/>
        <v>9.8029126162615388E-3</v>
      </c>
      <c r="S93" s="418">
        <f t="shared" si="202"/>
        <v>9.8029126162615388E-3</v>
      </c>
      <c r="T93" s="418">
        <f t="shared" si="202"/>
        <v>9.8029126162615388E-3</v>
      </c>
      <c r="U93" s="418">
        <f t="shared" si="202"/>
        <v>9.9668846417133583E-3</v>
      </c>
      <c r="V93" s="418">
        <f t="shared" si="202"/>
        <v>9.9668846417133583E-3</v>
      </c>
      <c r="W93" s="418">
        <f t="shared" si="202"/>
        <v>9.9668846417133583E-3</v>
      </c>
      <c r="X93" s="418">
        <f t="shared" si="202"/>
        <v>9.9668846417133583E-3</v>
      </c>
      <c r="Y93" s="418">
        <f t="shared" si="202"/>
        <v>9.8349302551361539E-3</v>
      </c>
      <c r="Z93" s="418">
        <f t="shared" si="202"/>
        <v>9.8349302551361539E-3</v>
      </c>
      <c r="AA93" s="418">
        <f t="shared" si="202"/>
        <v>9.8349302551361539E-3</v>
      </c>
      <c r="AB93" s="418">
        <f t="shared" si="202"/>
        <v>9.8349302551361539E-3</v>
      </c>
      <c r="AC93" s="418">
        <f t="shared" si="202"/>
        <v>9.822269235619796E-3</v>
      </c>
      <c r="AD93" s="418">
        <f t="shared" si="202"/>
        <v>9.822269235619796E-3</v>
      </c>
      <c r="AE93" s="418">
        <f t="shared" si="202"/>
        <v>9.822269235619796E-3</v>
      </c>
      <c r="AF93" s="418">
        <f t="shared" si="202"/>
        <v>9.822269235619796E-3</v>
      </c>
      <c r="AG93" s="418">
        <f t="shared" si="202"/>
        <v>9.7931662029044908E-3</v>
      </c>
      <c r="AH93" s="418">
        <f t="shared" si="202"/>
        <v>9.7931662029044908E-3</v>
      </c>
      <c r="AI93" s="418">
        <f t="shared" si="202"/>
        <v>9.7931662029044908E-3</v>
      </c>
      <c r="AJ93" s="418">
        <f t="shared" si="202"/>
        <v>9.7931662029044908E-3</v>
      </c>
      <c r="AK93" s="418">
        <f t="shared" si="202"/>
        <v>9.7640376585195199E-3</v>
      </c>
      <c r="AL93" s="418">
        <f t="shared" si="202"/>
        <v>9.7640376585195199E-3</v>
      </c>
      <c r="AM93" s="418">
        <f t="shared" si="202"/>
        <v>9.7640376585195199E-3</v>
      </c>
      <c r="AN93" s="418">
        <f t="shared" si="202"/>
        <v>9.7640376585195199E-3</v>
      </c>
      <c r="AO93" s="418">
        <f t="shared" si="202"/>
        <v>9.7426593847547149E-3</v>
      </c>
      <c r="AP93" s="418">
        <f t="shared" si="202"/>
        <v>9.7426593847547149E-3</v>
      </c>
      <c r="AQ93" s="418">
        <f t="shared" si="202"/>
        <v>9.7426593847547149E-3</v>
      </c>
      <c r="AR93" s="418">
        <f t="shared" si="202"/>
        <v>9.7426593847547149E-3</v>
      </c>
    </row>
    <row r="94" spans="1:44" s="538" customFormat="1" ht="11.25" customHeight="1" outlineLevel="1" x14ac:dyDescent="0.2">
      <c r="A94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94" s="260"/>
      <c r="C94" s="261"/>
      <c r="D94" s="40"/>
    </row>
    <row r="95" spans="1:44" s="538" customFormat="1" ht="11.25" customHeight="1" outlineLevel="1" x14ac:dyDescent="0.2">
      <c r="A95" s="259"/>
      <c r="B95" s="260"/>
      <c r="C95" s="261"/>
      <c r="D95" s="40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</row>
    <row r="96" spans="1:44" ht="11.25" customHeight="1" outlineLevel="1" x14ac:dyDescent="0.2">
      <c r="A96" s="332" t="str">
        <f>ИД!B11</f>
        <v>Изменение стоимости инвестиций в основной капитал</v>
      </c>
      <c r="C96" s="7" t="s">
        <v>14</v>
      </c>
      <c r="D96" s="65"/>
      <c r="E96" s="539">
        <f>(SUMIF(ИД!$D$6:$T$6,E$46,ИД!$D$11:$T$11)-1)*Параметры!$B$62</f>
        <v>0</v>
      </c>
      <c r="F96" s="539">
        <f>(SUMIF(ИД!$D$6:$T$6,F$46,ИД!$D$11:$T$11)-1)*Параметры!$B$62</f>
        <v>0</v>
      </c>
      <c r="G96" s="539">
        <f>(SUMIF(ИД!$D$6:$T$6,G$46,ИД!$D$11:$T$11)-1)*Параметры!$B$62</f>
        <v>0</v>
      </c>
      <c r="H96" s="539">
        <f>(SUMIF(ИД!$D$6:$T$6,H$46,ИД!$D$11:$T$11)-1)*Параметры!$B$62</f>
        <v>0</v>
      </c>
      <c r="I96" s="539">
        <f>(SUMIF(ИД!$D$6:$T$6,I$46,ИД!$D$11:$T$11)-1)*Параметры!$B$62</f>
        <v>4.2377116826678662E-2</v>
      </c>
      <c r="J96" s="539">
        <f>(SUMIF(ИД!$D$6:$T$6,J$46,ИД!$D$11:$T$11)-1)*Параметры!$B$62</f>
        <v>4.2377116826678662E-2</v>
      </c>
      <c r="K96" s="539">
        <f>(SUMIF(ИД!$D$6:$T$6,K$46,ИД!$D$11:$T$11)-1)*Параметры!$B$62</f>
        <v>4.2377116826678662E-2</v>
      </c>
      <c r="L96" s="539">
        <f>(SUMIF(ИД!$D$6:$T$6,L$46,ИД!$D$11:$T$11)-1)*Параметры!$B$62</f>
        <v>4.2377116826678662E-2</v>
      </c>
      <c r="M96" s="539">
        <f>(SUMIF(ИД!$D$6:$T$6,M$46,ИД!$D$11:$T$11)-1)*Параметры!$B$62</f>
        <v>4.3200551547204036E-2</v>
      </c>
      <c r="N96" s="539">
        <f>(SUMIF(ИД!$D$6:$T$6,N$46,ИД!$D$11:$T$11)-1)*Параметры!$B$62</f>
        <v>4.3200551547204036E-2</v>
      </c>
      <c r="O96" s="539">
        <f>(SUMIF(ИД!$D$6:$T$6,O$46,ИД!$D$11:$T$11)-1)*Параметры!$B$62</f>
        <v>4.3200551547204036E-2</v>
      </c>
      <c r="P96" s="539">
        <f>(SUMIF(ИД!$D$6:$T$6,P$46,ИД!$D$11:$T$11)-1)*Параметры!$B$62</f>
        <v>4.3200551547204036E-2</v>
      </c>
      <c r="Q96" s="539">
        <f>(SUMIF(ИД!$D$6:$T$6,Q$46,ИД!$D$11:$T$11)-1)*Параметры!$B$62</f>
        <v>4.3900921854207908E-2</v>
      </c>
      <c r="R96" s="539">
        <f>(SUMIF(ИД!$D$6:$T$6,R$46,ИД!$D$11:$T$11)-1)*Параметры!$B$62</f>
        <v>4.3900921854207908E-2</v>
      </c>
      <c r="S96" s="539">
        <f>(SUMIF(ИД!$D$6:$T$6,S$46,ИД!$D$11:$T$11)-1)*Параметры!$B$62</f>
        <v>4.3900921854207908E-2</v>
      </c>
      <c r="T96" s="539">
        <f>(SUMIF(ИД!$D$6:$T$6,T$46,ИД!$D$11:$T$11)-1)*Параметры!$B$62</f>
        <v>4.3900921854207908E-2</v>
      </c>
      <c r="U96" s="539">
        <f>(SUMIF(ИД!$D$6:$T$6,U$46,ИД!$D$11:$T$11)-1)*Параметры!$B$62</f>
        <v>4.4300646272306343E-2</v>
      </c>
      <c r="V96" s="539">
        <f>(SUMIF(ИД!$D$6:$T$6,V$46,ИД!$D$11:$T$11)-1)*Параметры!$B$62</f>
        <v>4.4300646272306343E-2</v>
      </c>
      <c r="W96" s="539">
        <f>(SUMIF(ИД!$D$6:$T$6,W$46,ИД!$D$11:$T$11)-1)*Параметры!$B$62</f>
        <v>4.4300646272306343E-2</v>
      </c>
      <c r="X96" s="539">
        <f>(SUMIF(ИД!$D$6:$T$6,X$46,ИД!$D$11:$T$11)-1)*Параметры!$B$62</f>
        <v>4.4300646272306343E-2</v>
      </c>
      <c r="Y96" s="539">
        <f>(SUMIF(ИД!$D$6:$T$6,Y$46,ИД!$D$11:$T$11)-1)*Параметры!$B$62</f>
        <v>4.3300646272306453E-2</v>
      </c>
      <c r="Z96" s="539">
        <f>(SUMIF(ИД!$D$6:$T$6,Z$46,ИД!$D$11:$T$11)-1)*Параметры!$B$62</f>
        <v>4.3300646272306453E-2</v>
      </c>
      <c r="AA96" s="539">
        <f>(SUMIF(ИД!$D$6:$T$6,AA$46,ИД!$D$11:$T$11)-1)*Параметры!$B$62</f>
        <v>4.3300646272306453E-2</v>
      </c>
      <c r="AB96" s="539">
        <f>(SUMIF(ИД!$D$6:$T$6,AB$46,ИД!$D$11:$T$11)-1)*Параметры!$B$62</f>
        <v>4.3300646272306453E-2</v>
      </c>
      <c r="AC96" s="539">
        <f>(SUMIF(ИД!$D$6:$T$6,AC$46,ИД!$D$11:$T$11)-1)*Параметры!$B$62</f>
        <v>4.2300646272306563E-2</v>
      </c>
      <c r="AD96" s="539">
        <f>(SUMIF(ИД!$D$6:$T$6,AD$46,ИД!$D$11:$T$11)-1)*Параметры!$B$62</f>
        <v>4.2300646272306563E-2</v>
      </c>
      <c r="AE96" s="539">
        <f>(SUMIF(ИД!$D$6:$T$6,AE$46,ИД!$D$11:$T$11)-1)*Параметры!$B$62</f>
        <v>4.2300646272306563E-2</v>
      </c>
      <c r="AF96" s="539">
        <f>(SUMIF(ИД!$D$6:$T$6,AF$46,ИД!$D$11:$T$11)-1)*Параметры!$B$62</f>
        <v>4.2300646272306563E-2</v>
      </c>
      <c r="AG96" s="539">
        <f>(SUMIF(ИД!$D$6:$T$6,AG$46,ИД!$D$11:$T$11)-1)*Параметры!$B$62</f>
        <v>4.1300646272306452E-2</v>
      </c>
      <c r="AH96" s="539">
        <f>(SUMIF(ИД!$D$6:$T$6,AH$46,ИД!$D$11:$T$11)-1)*Параметры!$B$62</f>
        <v>4.1300646272306452E-2</v>
      </c>
      <c r="AI96" s="539">
        <f>(SUMIF(ИД!$D$6:$T$6,AI$46,ИД!$D$11:$T$11)-1)*Параметры!$B$62</f>
        <v>4.1300646272306452E-2</v>
      </c>
      <c r="AJ96" s="539">
        <f>(SUMIF(ИД!$D$6:$T$6,AJ$46,ИД!$D$11:$T$11)-1)*Параметры!$B$62</f>
        <v>4.1300646272306452E-2</v>
      </c>
      <c r="AK96" s="539">
        <f>(SUMIF(ИД!$D$6:$T$6,AK$46,ИД!$D$11:$T$11)-1)*Параметры!$B$62</f>
        <v>4.0300646272306562E-2</v>
      </c>
      <c r="AL96" s="539">
        <f>(SUMIF(ИД!$D$6:$T$6,AL$46,ИД!$D$11:$T$11)-1)*Параметры!$B$62</f>
        <v>4.0300646272306562E-2</v>
      </c>
      <c r="AM96" s="539">
        <f>(SUMIF(ИД!$D$6:$T$6,AM$46,ИД!$D$11:$T$11)-1)*Параметры!$B$62</f>
        <v>4.0300646272306562E-2</v>
      </c>
      <c r="AN96" s="539">
        <f>(SUMIF(ИД!$D$6:$T$6,AN$46,ИД!$D$11:$T$11)-1)*Параметры!$B$62</f>
        <v>4.0300646272306562E-2</v>
      </c>
      <c r="AO96" s="539">
        <f>(SUMIF(ИД!$D$6:$T$6,AO$46,ИД!$D$11:$T$11)-1)*Параметры!$B$62</f>
        <v>4.0300646272306562E-2</v>
      </c>
      <c r="AP96" s="539">
        <f>(SUMIF(ИД!$D$6:$T$6,AP$46,ИД!$D$11:$T$11)-1)*Параметры!$B$62</f>
        <v>4.0300646272306562E-2</v>
      </c>
      <c r="AQ96" s="539">
        <f>(SUMIF(ИД!$D$6:$T$6,AQ$46,ИД!$D$11:$T$11)-1)*Параметры!$B$62</f>
        <v>4.0300646272306562E-2</v>
      </c>
      <c r="AR96" s="539">
        <f>(SUMIF(ИД!$D$6:$T$6,AR$46,ИД!$D$11:$T$11)-1)*Параметры!$B$62</f>
        <v>4.0300646272306562E-2</v>
      </c>
    </row>
    <row r="97" spans="1:45" ht="11.25" customHeight="1" outlineLevel="1" x14ac:dyDescent="0.2">
      <c r="A97" s="393" t="s">
        <v>493</v>
      </c>
      <c r="C97" s="7" t="s">
        <v>492</v>
      </c>
      <c r="D97" s="397"/>
      <c r="E97" s="418">
        <f>E98</f>
        <v>0</v>
      </c>
      <c r="F97" s="418">
        <f t="shared" ref="F97:AR97" si="203">F98</f>
        <v>0</v>
      </c>
      <c r="G97" s="418">
        <f t="shared" si="203"/>
        <v>0</v>
      </c>
      <c r="H97" s="418">
        <f t="shared" si="203"/>
        <v>0</v>
      </c>
      <c r="I97" s="418">
        <f t="shared" si="203"/>
        <v>1.042996536664198E-2</v>
      </c>
      <c r="J97" s="418">
        <f t="shared" si="203"/>
        <v>1.042996536664198E-2</v>
      </c>
      <c r="K97" s="418">
        <f t="shared" si="203"/>
        <v>1.042996536664198E-2</v>
      </c>
      <c r="L97" s="418">
        <f t="shared" si="203"/>
        <v>1.042996536664198E-2</v>
      </c>
      <c r="M97" s="418">
        <f t="shared" si="203"/>
        <v>1.0629455729178394E-2</v>
      </c>
      <c r="N97" s="418">
        <f t="shared" si="203"/>
        <v>1.0629455729178394E-2</v>
      </c>
      <c r="O97" s="418">
        <f t="shared" si="203"/>
        <v>1.0629455729178394E-2</v>
      </c>
      <c r="P97" s="418">
        <f t="shared" si="203"/>
        <v>1.0629455729178394E-2</v>
      </c>
      <c r="Q97" s="418">
        <f t="shared" si="203"/>
        <v>1.0799038828416929E-2</v>
      </c>
      <c r="R97" s="418">
        <f t="shared" si="203"/>
        <v>1.0799038828416929E-2</v>
      </c>
      <c r="S97" s="418">
        <f t="shared" si="203"/>
        <v>1.0799038828416929E-2</v>
      </c>
      <c r="T97" s="418">
        <f t="shared" si="203"/>
        <v>1.0799038828416929E-2</v>
      </c>
      <c r="U97" s="418">
        <f t="shared" si="203"/>
        <v>1.0895787246950173E-2</v>
      </c>
      <c r="V97" s="418">
        <f t="shared" si="203"/>
        <v>1.0895787246950173E-2</v>
      </c>
      <c r="W97" s="418">
        <f t="shared" si="203"/>
        <v>1.0895787246950173E-2</v>
      </c>
      <c r="X97" s="418">
        <f t="shared" si="203"/>
        <v>1.0895787246950173E-2</v>
      </c>
      <c r="Y97" s="418">
        <f t="shared" si="203"/>
        <v>1.0653697241944649E-2</v>
      </c>
      <c r="Z97" s="418">
        <f t="shared" si="203"/>
        <v>1.0653697241944649E-2</v>
      </c>
      <c r="AA97" s="418">
        <f t="shared" si="203"/>
        <v>1.0653697241944649E-2</v>
      </c>
      <c r="AB97" s="418">
        <f t="shared" si="203"/>
        <v>1.0653697241944649E-2</v>
      </c>
      <c r="AC97" s="418">
        <f t="shared" si="203"/>
        <v>1.0411433142520687E-2</v>
      </c>
      <c r="AD97" s="418">
        <f t="shared" si="203"/>
        <v>1.0411433142520687E-2</v>
      </c>
      <c r="AE97" s="418">
        <f t="shared" si="203"/>
        <v>1.0411433142520687E-2</v>
      </c>
      <c r="AF97" s="418">
        <f t="shared" si="203"/>
        <v>1.0411433142520687E-2</v>
      </c>
      <c r="AG97" s="418">
        <f t="shared" si="203"/>
        <v>1.0168994656271746E-2</v>
      </c>
      <c r="AH97" s="418">
        <f t="shared" si="203"/>
        <v>1.0168994656271746E-2</v>
      </c>
      <c r="AI97" s="418">
        <f t="shared" si="203"/>
        <v>1.0168994656271746E-2</v>
      </c>
      <c r="AJ97" s="418">
        <f t="shared" si="203"/>
        <v>1.0168994656271746E-2</v>
      </c>
      <c r="AK97" s="418">
        <f t="shared" si="203"/>
        <v>9.9263814900194536E-3</v>
      </c>
      <c r="AL97" s="418">
        <f t="shared" si="203"/>
        <v>9.9263814900194536E-3</v>
      </c>
      <c r="AM97" s="418">
        <f t="shared" si="203"/>
        <v>9.9263814900194536E-3</v>
      </c>
      <c r="AN97" s="418">
        <f t="shared" si="203"/>
        <v>9.9263814900194536E-3</v>
      </c>
      <c r="AO97" s="418">
        <f t="shared" si="203"/>
        <v>9.9263814900194536E-3</v>
      </c>
      <c r="AP97" s="418">
        <f t="shared" si="203"/>
        <v>9.9263814900194536E-3</v>
      </c>
      <c r="AQ97" s="418">
        <f t="shared" si="203"/>
        <v>9.9263814900194536E-3</v>
      </c>
      <c r="AR97" s="418">
        <f t="shared" si="203"/>
        <v>9.9263814900194536E-3</v>
      </c>
    </row>
    <row r="98" spans="1:45" ht="11.25" customHeight="1" outlineLevel="1" x14ac:dyDescent="0.2">
      <c r="A98" s="393" t="s">
        <v>1091</v>
      </c>
      <c r="B98" s="190"/>
      <c r="C98" s="7" t="s">
        <v>1</v>
      </c>
      <c r="D98" s="397"/>
      <c r="E98" s="418">
        <f t="shared" ref="E98:AR98" si="204">(E96+1)^(E$40/12)-1</f>
        <v>0</v>
      </c>
      <c r="F98" s="418">
        <f t="shared" si="204"/>
        <v>0</v>
      </c>
      <c r="G98" s="418">
        <f t="shared" si="204"/>
        <v>0</v>
      </c>
      <c r="H98" s="418">
        <f t="shared" si="204"/>
        <v>0</v>
      </c>
      <c r="I98" s="418">
        <f t="shared" si="204"/>
        <v>1.042996536664198E-2</v>
      </c>
      <c r="J98" s="418">
        <f t="shared" si="204"/>
        <v>1.042996536664198E-2</v>
      </c>
      <c r="K98" s="418">
        <f t="shared" si="204"/>
        <v>1.042996536664198E-2</v>
      </c>
      <c r="L98" s="418">
        <f t="shared" si="204"/>
        <v>1.042996536664198E-2</v>
      </c>
      <c r="M98" s="418">
        <f t="shared" si="204"/>
        <v>1.0629455729178394E-2</v>
      </c>
      <c r="N98" s="418">
        <f t="shared" si="204"/>
        <v>1.0629455729178394E-2</v>
      </c>
      <c r="O98" s="418">
        <f t="shared" si="204"/>
        <v>1.0629455729178394E-2</v>
      </c>
      <c r="P98" s="418">
        <f t="shared" si="204"/>
        <v>1.0629455729178394E-2</v>
      </c>
      <c r="Q98" s="418">
        <f t="shared" si="204"/>
        <v>1.0799038828416929E-2</v>
      </c>
      <c r="R98" s="418">
        <f t="shared" si="204"/>
        <v>1.0799038828416929E-2</v>
      </c>
      <c r="S98" s="418">
        <f t="shared" si="204"/>
        <v>1.0799038828416929E-2</v>
      </c>
      <c r="T98" s="418">
        <f t="shared" si="204"/>
        <v>1.0799038828416929E-2</v>
      </c>
      <c r="U98" s="418">
        <f t="shared" si="204"/>
        <v>1.0895787246950173E-2</v>
      </c>
      <c r="V98" s="418">
        <f t="shared" si="204"/>
        <v>1.0895787246950173E-2</v>
      </c>
      <c r="W98" s="418">
        <f t="shared" si="204"/>
        <v>1.0895787246950173E-2</v>
      </c>
      <c r="X98" s="418">
        <f t="shared" si="204"/>
        <v>1.0895787246950173E-2</v>
      </c>
      <c r="Y98" s="418">
        <f t="shared" si="204"/>
        <v>1.0653697241944649E-2</v>
      </c>
      <c r="Z98" s="418">
        <f t="shared" si="204"/>
        <v>1.0653697241944649E-2</v>
      </c>
      <c r="AA98" s="418">
        <f t="shared" si="204"/>
        <v>1.0653697241944649E-2</v>
      </c>
      <c r="AB98" s="418">
        <f t="shared" si="204"/>
        <v>1.0653697241944649E-2</v>
      </c>
      <c r="AC98" s="418">
        <f t="shared" si="204"/>
        <v>1.0411433142520687E-2</v>
      </c>
      <c r="AD98" s="418">
        <f t="shared" si="204"/>
        <v>1.0411433142520687E-2</v>
      </c>
      <c r="AE98" s="418">
        <f t="shared" si="204"/>
        <v>1.0411433142520687E-2</v>
      </c>
      <c r="AF98" s="418">
        <f t="shared" si="204"/>
        <v>1.0411433142520687E-2</v>
      </c>
      <c r="AG98" s="418">
        <f t="shared" si="204"/>
        <v>1.0168994656271746E-2</v>
      </c>
      <c r="AH98" s="418">
        <f t="shared" si="204"/>
        <v>1.0168994656271746E-2</v>
      </c>
      <c r="AI98" s="418">
        <f t="shared" si="204"/>
        <v>1.0168994656271746E-2</v>
      </c>
      <c r="AJ98" s="418">
        <f t="shared" si="204"/>
        <v>1.0168994656271746E-2</v>
      </c>
      <c r="AK98" s="418">
        <f t="shared" si="204"/>
        <v>9.9263814900194536E-3</v>
      </c>
      <c r="AL98" s="418">
        <f t="shared" si="204"/>
        <v>9.9263814900194536E-3</v>
      </c>
      <c r="AM98" s="418">
        <f t="shared" si="204"/>
        <v>9.9263814900194536E-3</v>
      </c>
      <c r="AN98" s="418">
        <f t="shared" si="204"/>
        <v>9.9263814900194536E-3</v>
      </c>
      <c r="AO98" s="418">
        <f t="shared" si="204"/>
        <v>9.9263814900194536E-3</v>
      </c>
      <c r="AP98" s="418">
        <f t="shared" si="204"/>
        <v>9.9263814900194536E-3</v>
      </c>
      <c r="AQ98" s="418">
        <f t="shared" si="204"/>
        <v>9.9263814900194536E-3</v>
      </c>
      <c r="AR98" s="418">
        <f t="shared" si="204"/>
        <v>9.9263814900194536E-3</v>
      </c>
    </row>
    <row r="99" spans="1:45" s="538" customFormat="1" ht="11.25" customHeight="1" outlineLevel="1" x14ac:dyDescent="0.2">
      <c r="A99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99" s="260"/>
      <c r="C99" s="261"/>
      <c r="D99" s="40"/>
    </row>
    <row r="100" spans="1:45" s="538" customFormat="1" ht="11.25" customHeight="1" outlineLevel="1" x14ac:dyDescent="0.2">
      <c r="A100" s="259"/>
      <c r="B100" s="260"/>
      <c r="C100" s="261"/>
      <c r="D100" s="40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</row>
    <row r="101" spans="1:45" ht="11.25" customHeight="1" outlineLevel="1" x14ac:dyDescent="0.2">
      <c r="A101" s="332" t="str">
        <f>ИД!B13</f>
        <v>Изменение цен в строительстве</v>
      </c>
      <c r="C101" s="7" t="s">
        <v>14</v>
      </c>
      <c r="D101" s="65"/>
      <c r="E101" s="539">
        <f>(SUMIF(ИД!$D$6:$T$6,E$46,ИД!$D$13:$T$13)-1)*Параметры!$B$62</f>
        <v>0</v>
      </c>
      <c r="F101" s="539">
        <f>(SUMIF(ИД!$D$6:$T$6,F$46,ИД!$D$13:$T$13)-1)*Параметры!$B$62</f>
        <v>0</v>
      </c>
      <c r="G101" s="539">
        <f>(SUMIF(ИД!$D$6:$T$6,G$46,ИД!$D$13:$T$13)-1)*Параметры!$B$62</f>
        <v>0</v>
      </c>
      <c r="H101" s="539">
        <f>(SUMIF(ИД!$D$6:$T$6,H$46,ИД!$D$13:$T$13)-1)*Параметры!$B$62</f>
        <v>0</v>
      </c>
      <c r="I101" s="539">
        <f>(SUMIF(ИД!$D$6:$T$6,I$46,ИД!$D$13:$T$13)-1)*Параметры!$B$62</f>
        <v>5.1271423484030576E-2</v>
      </c>
      <c r="J101" s="539">
        <f>(SUMIF(ИД!$D$6:$T$6,J$46,ИД!$D$13:$T$13)-1)*Параметры!$B$62</f>
        <v>5.1271423484030576E-2</v>
      </c>
      <c r="K101" s="539">
        <f>(SUMIF(ИД!$D$6:$T$6,K$46,ИД!$D$13:$T$13)-1)*Параметры!$B$62</f>
        <v>5.1271423484030576E-2</v>
      </c>
      <c r="L101" s="539">
        <f>(SUMIF(ИД!$D$6:$T$6,L$46,ИД!$D$13:$T$13)-1)*Параметры!$B$62</f>
        <v>5.1271423484030576E-2</v>
      </c>
      <c r="M101" s="539">
        <f>(SUMIF(ИД!$D$6:$T$6,M$46,ИД!$D$13:$T$13)-1)*Параметры!$B$62</f>
        <v>5.0363387780470337E-2</v>
      </c>
      <c r="N101" s="539">
        <f>(SUMIF(ИД!$D$6:$T$6,N$46,ИД!$D$13:$T$13)-1)*Параметры!$B$62</f>
        <v>5.0363387780470337E-2</v>
      </c>
      <c r="O101" s="539">
        <f>(SUMIF(ИД!$D$6:$T$6,O$46,ИД!$D$13:$T$13)-1)*Параметры!$B$62</f>
        <v>5.0363387780470337E-2</v>
      </c>
      <c r="P101" s="539">
        <f>(SUMIF(ИД!$D$6:$T$6,P$46,ИД!$D$13:$T$13)-1)*Параметры!$B$62</f>
        <v>5.0363387780470337E-2</v>
      </c>
      <c r="Q101" s="539">
        <f>(SUMIF(ИД!$D$6:$T$6,Q$46,ИД!$D$13:$T$13)-1)*Параметры!$B$62</f>
        <v>4.9267330074872273E-2</v>
      </c>
      <c r="R101" s="539">
        <f>(SUMIF(ИД!$D$6:$T$6,R$46,ИД!$D$13:$T$13)-1)*Параметры!$B$62</f>
        <v>4.9267330074872273E-2</v>
      </c>
      <c r="S101" s="539">
        <f>(SUMIF(ИД!$D$6:$T$6,S$46,ИД!$D$13:$T$13)-1)*Параметры!$B$62</f>
        <v>4.9267330074872273E-2</v>
      </c>
      <c r="T101" s="539">
        <f>(SUMIF(ИД!$D$6:$T$6,T$46,ИД!$D$13:$T$13)-1)*Параметры!$B$62</f>
        <v>4.9267330074872273E-2</v>
      </c>
      <c r="U101" s="539">
        <f>(SUMIF(ИД!$D$6:$T$6,U$46,ИД!$D$13:$T$13)-1)*Параметры!$B$62</f>
        <v>4.7273106547426114E-2</v>
      </c>
      <c r="V101" s="539">
        <f>(SUMIF(ИД!$D$6:$T$6,V$46,ИД!$D$13:$T$13)-1)*Параметры!$B$62</f>
        <v>4.7273106547426114E-2</v>
      </c>
      <c r="W101" s="539">
        <f>(SUMIF(ИД!$D$6:$T$6,W$46,ИД!$D$13:$T$13)-1)*Параметры!$B$62</f>
        <v>4.7273106547426114E-2</v>
      </c>
      <c r="X101" s="539">
        <f>(SUMIF(ИД!$D$6:$T$6,X$46,ИД!$D$13:$T$13)-1)*Параметры!$B$62</f>
        <v>4.7273106547426114E-2</v>
      </c>
      <c r="Y101" s="539">
        <f>(SUMIF(ИД!$D$6:$T$6,Y$46,ИД!$D$13:$T$13)-1)*Параметры!$B$62</f>
        <v>4.5942308087647987E-2</v>
      </c>
      <c r="Z101" s="539">
        <f>(SUMIF(ИД!$D$6:$T$6,Z$46,ИД!$D$13:$T$13)-1)*Параметры!$B$62</f>
        <v>4.5942308087647987E-2</v>
      </c>
      <c r="AA101" s="539">
        <f>(SUMIF(ИД!$D$6:$T$6,AA$46,ИД!$D$13:$T$13)-1)*Параметры!$B$62</f>
        <v>4.5942308087647987E-2</v>
      </c>
      <c r="AB101" s="539">
        <f>(SUMIF(ИД!$D$6:$T$6,AB$46,ИД!$D$13:$T$13)-1)*Параметры!$B$62</f>
        <v>4.5942308087647987E-2</v>
      </c>
      <c r="AC101" s="539">
        <f>(SUMIF(ИД!$D$6:$T$6,AC$46,ИД!$D$13:$T$13)-1)*Параметры!$B$62</f>
        <v>4.6084178846717894E-2</v>
      </c>
      <c r="AD101" s="539">
        <f>(SUMIF(ИД!$D$6:$T$6,AD$46,ИД!$D$13:$T$13)-1)*Параметры!$B$62</f>
        <v>4.6084178846717894E-2</v>
      </c>
      <c r="AE101" s="539">
        <f>(SUMIF(ИД!$D$6:$T$6,AE$46,ИД!$D$13:$T$13)-1)*Параметры!$B$62</f>
        <v>4.6084178846717894E-2</v>
      </c>
      <c r="AF101" s="539">
        <f>(SUMIF(ИД!$D$6:$T$6,AF$46,ИД!$D$13:$T$13)-1)*Параметры!$B$62</f>
        <v>4.6084178846717894E-2</v>
      </c>
      <c r="AG101" s="539">
        <f>(SUMIF(ИД!$D$6:$T$6,AG$46,ИД!$D$13:$T$13)-1)*Параметры!$B$62</f>
        <v>4.6049823800539347E-2</v>
      </c>
      <c r="AH101" s="539">
        <f>(SUMIF(ИД!$D$6:$T$6,AH$46,ИД!$D$13:$T$13)-1)*Параметры!$B$62</f>
        <v>4.6049823800539347E-2</v>
      </c>
      <c r="AI101" s="539">
        <f>(SUMIF(ИД!$D$6:$T$6,AI$46,ИД!$D$13:$T$13)-1)*Параметры!$B$62</f>
        <v>4.6049823800539347E-2</v>
      </c>
      <c r="AJ101" s="539">
        <f>(SUMIF(ИД!$D$6:$T$6,AJ$46,ИД!$D$13:$T$13)-1)*Параметры!$B$62</f>
        <v>4.6049823800539347E-2</v>
      </c>
      <c r="AK101" s="539">
        <f>(SUMIF(ИД!$D$6:$T$6,AK$46,ИД!$D$13:$T$13)-1)*Параметры!$B$62</f>
        <v>4.6154378696228848E-2</v>
      </c>
      <c r="AL101" s="539">
        <f>(SUMIF(ИД!$D$6:$T$6,AL$46,ИД!$D$13:$T$13)-1)*Параметры!$B$62</f>
        <v>4.6154378696228848E-2</v>
      </c>
      <c r="AM101" s="539">
        <f>(SUMIF(ИД!$D$6:$T$6,AM$46,ИД!$D$13:$T$13)-1)*Параметры!$B$62</f>
        <v>4.6154378696228848E-2</v>
      </c>
      <c r="AN101" s="539">
        <f>(SUMIF(ИД!$D$6:$T$6,AN$46,ИД!$D$13:$T$13)-1)*Параметры!$B$62</f>
        <v>4.6154378696228848E-2</v>
      </c>
      <c r="AO101" s="539">
        <f>(SUMIF(ИД!$D$6:$T$6,AO$46,ИД!$D$13:$T$13)-1)*Параметры!$B$62</f>
        <v>4.601469397743041E-2</v>
      </c>
      <c r="AP101" s="539">
        <f>(SUMIF(ИД!$D$6:$T$6,AP$46,ИД!$D$13:$T$13)-1)*Параметры!$B$62</f>
        <v>4.601469397743041E-2</v>
      </c>
      <c r="AQ101" s="539">
        <f>(SUMIF(ИД!$D$6:$T$6,AQ$46,ИД!$D$13:$T$13)-1)*Параметры!$B$62</f>
        <v>4.601469397743041E-2</v>
      </c>
      <c r="AR101" s="539">
        <f>(SUMIF(ИД!$D$6:$T$6,AR$46,ИД!$D$13:$T$13)-1)*Параметры!$B$62</f>
        <v>4.601469397743041E-2</v>
      </c>
    </row>
    <row r="102" spans="1:45" ht="11.25" customHeight="1" outlineLevel="1" x14ac:dyDescent="0.2">
      <c r="A102" s="393" t="s">
        <v>493</v>
      </c>
      <c r="C102" s="7" t="s">
        <v>492</v>
      </c>
      <c r="D102" s="397"/>
      <c r="E102" s="418">
        <f>E103</f>
        <v>0</v>
      </c>
      <c r="F102" s="418">
        <f t="shared" ref="F102:AR102" si="205">F103</f>
        <v>0</v>
      </c>
      <c r="G102" s="418">
        <f t="shared" si="205"/>
        <v>0</v>
      </c>
      <c r="H102" s="418">
        <f t="shared" si="205"/>
        <v>0</v>
      </c>
      <c r="I102" s="418">
        <f t="shared" si="205"/>
        <v>1.2578530307776559E-2</v>
      </c>
      <c r="J102" s="418">
        <f t="shared" si="205"/>
        <v>1.2578530307776559E-2</v>
      </c>
      <c r="K102" s="418">
        <f t="shared" si="205"/>
        <v>1.2578530307776559E-2</v>
      </c>
      <c r="L102" s="418">
        <f t="shared" si="205"/>
        <v>1.2578530307776559E-2</v>
      </c>
      <c r="M102" s="418">
        <f t="shared" si="205"/>
        <v>1.2359805769612819E-2</v>
      </c>
      <c r="N102" s="418">
        <f t="shared" si="205"/>
        <v>1.2359805769612819E-2</v>
      </c>
      <c r="O102" s="418">
        <f t="shared" si="205"/>
        <v>1.2359805769612819E-2</v>
      </c>
      <c r="P102" s="418">
        <f t="shared" si="205"/>
        <v>1.2359805769612819E-2</v>
      </c>
      <c r="Q102" s="418">
        <f t="shared" si="205"/>
        <v>1.2095602150426155E-2</v>
      </c>
      <c r="R102" s="418">
        <f t="shared" si="205"/>
        <v>1.2095602150426155E-2</v>
      </c>
      <c r="S102" s="418">
        <f t="shared" si="205"/>
        <v>1.2095602150426155E-2</v>
      </c>
      <c r="T102" s="418">
        <f t="shared" si="205"/>
        <v>1.2095602150426155E-2</v>
      </c>
      <c r="U102" s="418">
        <f t="shared" si="205"/>
        <v>1.1614365168285179E-2</v>
      </c>
      <c r="V102" s="418">
        <f t="shared" si="205"/>
        <v>1.1614365168285179E-2</v>
      </c>
      <c r="W102" s="418">
        <f t="shared" si="205"/>
        <v>1.1614365168285179E-2</v>
      </c>
      <c r="X102" s="418">
        <f t="shared" si="205"/>
        <v>1.1614365168285179E-2</v>
      </c>
      <c r="Y102" s="418">
        <f t="shared" si="205"/>
        <v>1.1292840432380213E-2</v>
      </c>
      <c r="Z102" s="418">
        <f t="shared" si="205"/>
        <v>1.1292840432380213E-2</v>
      </c>
      <c r="AA102" s="418">
        <f t="shared" si="205"/>
        <v>1.1292840432380213E-2</v>
      </c>
      <c r="AB102" s="418">
        <f t="shared" si="205"/>
        <v>1.1292840432380213E-2</v>
      </c>
      <c r="AC102" s="418">
        <f t="shared" si="205"/>
        <v>1.1327131421634107E-2</v>
      </c>
      <c r="AD102" s="418">
        <f t="shared" si="205"/>
        <v>1.1327131421634107E-2</v>
      </c>
      <c r="AE102" s="418">
        <f t="shared" si="205"/>
        <v>1.1327131421634107E-2</v>
      </c>
      <c r="AF102" s="418">
        <f t="shared" si="205"/>
        <v>1.1327131421634107E-2</v>
      </c>
      <c r="AG102" s="418">
        <f t="shared" si="205"/>
        <v>1.1318827926822816E-2</v>
      </c>
      <c r="AH102" s="418">
        <f t="shared" si="205"/>
        <v>1.1318827926822816E-2</v>
      </c>
      <c r="AI102" s="418">
        <f t="shared" si="205"/>
        <v>1.1318827926822816E-2</v>
      </c>
      <c r="AJ102" s="418">
        <f t="shared" si="205"/>
        <v>1.1318827926822816E-2</v>
      </c>
      <c r="AK102" s="418">
        <f t="shared" si="205"/>
        <v>1.1344097844445011E-2</v>
      </c>
      <c r="AL102" s="418">
        <f t="shared" si="205"/>
        <v>1.1344097844445011E-2</v>
      </c>
      <c r="AM102" s="418">
        <f t="shared" si="205"/>
        <v>1.1344097844445011E-2</v>
      </c>
      <c r="AN102" s="418">
        <f t="shared" si="205"/>
        <v>1.1344097844445011E-2</v>
      </c>
      <c r="AO102" s="418">
        <f t="shared" si="205"/>
        <v>1.1310336959625023E-2</v>
      </c>
      <c r="AP102" s="418">
        <f t="shared" si="205"/>
        <v>1.1310336959625023E-2</v>
      </c>
      <c r="AQ102" s="418">
        <f t="shared" si="205"/>
        <v>1.1310336959625023E-2</v>
      </c>
      <c r="AR102" s="418">
        <f t="shared" si="205"/>
        <v>1.1310336959625023E-2</v>
      </c>
    </row>
    <row r="103" spans="1:45" ht="11.25" customHeight="1" outlineLevel="1" x14ac:dyDescent="0.2">
      <c r="A103" s="393" t="s">
        <v>1091</v>
      </c>
      <c r="B103" s="190"/>
      <c r="C103" s="7" t="s">
        <v>1</v>
      </c>
      <c r="D103" s="397"/>
      <c r="E103" s="418">
        <f t="shared" ref="E103:AR103" si="206">(E101+1)^(E$40/12)-1</f>
        <v>0</v>
      </c>
      <c r="F103" s="418">
        <f t="shared" si="206"/>
        <v>0</v>
      </c>
      <c r="G103" s="418">
        <f t="shared" si="206"/>
        <v>0</v>
      </c>
      <c r="H103" s="418">
        <f t="shared" si="206"/>
        <v>0</v>
      </c>
      <c r="I103" s="418">
        <f t="shared" si="206"/>
        <v>1.2578530307776559E-2</v>
      </c>
      <c r="J103" s="418">
        <f t="shared" si="206"/>
        <v>1.2578530307776559E-2</v>
      </c>
      <c r="K103" s="418">
        <f t="shared" si="206"/>
        <v>1.2578530307776559E-2</v>
      </c>
      <c r="L103" s="418">
        <f t="shared" si="206"/>
        <v>1.2578530307776559E-2</v>
      </c>
      <c r="M103" s="418">
        <f t="shared" si="206"/>
        <v>1.2359805769612819E-2</v>
      </c>
      <c r="N103" s="418">
        <f t="shared" si="206"/>
        <v>1.2359805769612819E-2</v>
      </c>
      <c r="O103" s="418">
        <f t="shared" si="206"/>
        <v>1.2359805769612819E-2</v>
      </c>
      <c r="P103" s="418">
        <f t="shared" si="206"/>
        <v>1.2359805769612819E-2</v>
      </c>
      <c r="Q103" s="418">
        <f t="shared" si="206"/>
        <v>1.2095602150426155E-2</v>
      </c>
      <c r="R103" s="418">
        <f t="shared" si="206"/>
        <v>1.2095602150426155E-2</v>
      </c>
      <c r="S103" s="418">
        <f t="shared" si="206"/>
        <v>1.2095602150426155E-2</v>
      </c>
      <c r="T103" s="418">
        <f t="shared" si="206"/>
        <v>1.2095602150426155E-2</v>
      </c>
      <c r="U103" s="418">
        <f t="shared" si="206"/>
        <v>1.1614365168285179E-2</v>
      </c>
      <c r="V103" s="418">
        <f t="shared" si="206"/>
        <v>1.1614365168285179E-2</v>
      </c>
      <c r="W103" s="418">
        <f t="shared" si="206"/>
        <v>1.1614365168285179E-2</v>
      </c>
      <c r="X103" s="418">
        <f t="shared" si="206"/>
        <v>1.1614365168285179E-2</v>
      </c>
      <c r="Y103" s="418">
        <f t="shared" si="206"/>
        <v>1.1292840432380213E-2</v>
      </c>
      <c r="Z103" s="418">
        <f t="shared" si="206"/>
        <v>1.1292840432380213E-2</v>
      </c>
      <c r="AA103" s="418">
        <f t="shared" si="206"/>
        <v>1.1292840432380213E-2</v>
      </c>
      <c r="AB103" s="418">
        <f t="shared" si="206"/>
        <v>1.1292840432380213E-2</v>
      </c>
      <c r="AC103" s="418">
        <f t="shared" si="206"/>
        <v>1.1327131421634107E-2</v>
      </c>
      <c r="AD103" s="418">
        <f t="shared" si="206"/>
        <v>1.1327131421634107E-2</v>
      </c>
      <c r="AE103" s="418">
        <f t="shared" si="206"/>
        <v>1.1327131421634107E-2</v>
      </c>
      <c r="AF103" s="418">
        <f t="shared" si="206"/>
        <v>1.1327131421634107E-2</v>
      </c>
      <c r="AG103" s="418">
        <f t="shared" si="206"/>
        <v>1.1318827926822816E-2</v>
      </c>
      <c r="AH103" s="418">
        <f t="shared" si="206"/>
        <v>1.1318827926822816E-2</v>
      </c>
      <c r="AI103" s="418">
        <f t="shared" si="206"/>
        <v>1.1318827926822816E-2</v>
      </c>
      <c r="AJ103" s="418">
        <f t="shared" si="206"/>
        <v>1.1318827926822816E-2</v>
      </c>
      <c r="AK103" s="418">
        <f t="shared" si="206"/>
        <v>1.1344097844445011E-2</v>
      </c>
      <c r="AL103" s="418">
        <f t="shared" si="206"/>
        <v>1.1344097844445011E-2</v>
      </c>
      <c r="AM103" s="418">
        <f t="shared" si="206"/>
        <v>1.1344097844445011E-2</v>
      </c>
      <c r="AN103" s="418">
        <f t="shared" si="206"/>
        <v>1.1344097844445011E-2</v>
      </c>
      <c r="AO103" s="418">
        <f t="shared" si="206"/>
        <v>1.1310336959625023E-2</v>
      </c>
      <c r="AP103" s="418">
        <f t="shared" si="206"/>
        <v>1.1310336959625023E-2</v>
      </c>
      <c r="AQ103" s="418">
        <f t="shared" si="206"/>
        <v>1.1310336959625023E-2</v>
      </c>
      <c r="AR103" s="418">
        <f t="shared" si="206"/>
        <v>1.1310336959625023E-2</v>
      </c>
    </row>
    <row r="104" spans="1:45" s="538" customFormat="1" ht="11.25" customHeight="1" outlineLevel="1" x14ac:dyDescent="0.2">
      <c r="A104" s="422" t="str">
        <f>ИД!$B$15</f>
        <v xml:space="preserve"> * Источник: Базовый сценарий прогноза социально-экономического развития Российской Федерации на период до 2036 года. Минэкономразвития РФ. (опубликовано 4 кв. 2018)</v>
      </c>
      <c r="B104" s="260"/>
      <c r="C104" s="261"/>
      <c r="D104" s="40"/>
    </row>
    <row r="105" spans="1:45" s="538" customFormat="1" ht="11.25" customHeight="1" outlineLevel="1" x14ac:dyDescent="0.2">
      <c r="A105" s="259"/>
      <c r="B105" s="260"/>
      <c r="C105" s="261"/>
      <c r="D105" s="40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</row>
    <row r="106" spans="1:45" x14ac:dyDescent="0.2">
      <c r="A106" s="63"/>
      <c r="C106" s="2"/>
      <c r="D106" s="40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I106" s="264"/>
      <c r="AJ106" s="264"/>
      <c r="AK106" s="264"/>
      <c r="AL106" s="264"/>
      <c r="AM106" s="264"/>
      <c r="AN106" s="264"/>
      <c r="AO106" s="264"/>
      <c r="AP106" s="264"/>
      <c r="AQ106" s="264"/>
      <c r="AR106" s="264"/>
      <c r="AS106" s="1"/>
    </row>
    <row r="107" spans="1:45" x14ac:dyDescent="0.2">
      <c r="A107" s="49"/>
      <c r="C107" s="2"/>
      <c r="D107" s="40"/>
    </row>
    <row r="108" spans="1:45" x14ac:dyDescent="0.2">
      <c r="A108" s="50" t="s">
        <v>7</v>
      </c>
      <c r="B108" s="51" t="s">
        <v>1092</v>
      </c>
      <c r="C108" s="2"/>
      <c r="D108" s="40"/>
    </row>
    <row r="109" spans="1:45" x14ac:dyDescent="0.2">
      <c r="A109" s="63" t="s">
        <v>1093</v>
      </c>
      <c r="B109" s="337">
        <f>ИД!C21</f>
        <v>78.5</v>
      </c>
      <c r="C109" s="2" t="str">
        <f>Параметры!$B$64</f>
        <v>тыс. руб.</v>
      </c>
      <c r="D109" s="40"/>
      <c r="E109" s="338">
        <f t="shared" ref="E109:AR109" si="207">$B109*(IF($B$62=1,POWER(1+E111,E$2),1))</f>
        <v>78.5</v>
      </c>
      <c r="F109" s="338">
        <f t="shared" si="207"/>
        <v>78.5</v>
      </c>
      <c r="G109" s="338">
        <f t="shared" si="207"/>
        <v>78.5</v>
      </c>
      <c r="H109" s="338">
        <f t="shared" si="207"/>
        <v>78.5</v>
      </c>
      <c r="I109" s="338">
        <f t="shared" si="207"/>
        <v>78.5</v>
      </c>
      <c r="J109" s="338">
        <f t="shared" si="207"/>
        <v>78.5</v>
      </c>
      <c r="K109" s="338">
        <f t="shared" si="207"/>
        <v>78.5</v>
      </c>
      <c r="L109" s="338">
        <f t="shared" si="207"/>
        <v>78.5</v>
      </c>
      <c r="M109" s="338">
        <f t="shared" si="207"/>
        <v>78.5</v>
      </c>
      <c r="N109" s="338">
        <f t="shared" si="207"/>
        <v>78.5</v>
      </c>
      <c r="O109" s="338">
        <f t="shared" si="207"/>
        <v>78.5</v>
      </c>
      <c r="P109" s="338">
        <f t="shared" si="207"/>
        <v>78.5</v>
      </c>
      <c r="Q109" s="338">
        <f t="shared" si="207"/>
        <v>78.5</v>
      </c>
      <c r="R109" s="338">
        <f t="shared" si="207"/>
        <v>78.5</v>
      </c>
      <c r="S109" s="338">
        <f t="shared" si="207"/>
        <v>78.5</v>
      </c>
      <c r="T109" s="338">
        <f t="shared" si="207"/>
        <v>78.5</v>
      </c>
      <c r="U109" s="338">
        <f t="shared" si="207"/>
        <v>78.5</v>
      </c>
      <c r="V109" s="338">
        <f t="shared" si="207"/>
        <v>78.5</v>
      </c>
      <c r="W109" s="338">
        <f t="shared" si="207"/>
        <v>78.5</v>
      </c>
      <c r="X109" s="338">
        <f t="shared" si="207"/>
        <v>78.5</v>
      </c>
      <c r="Y109" s="338">
        <f t="shared" si="207"/>
        <v>78.5</v>
      </c>
      <c r="Z109" s="338">
        <f t="shared" si="207"/>
        <v>78.5</v>
      </c>
      <c r="AA109" s="338">
        <f t="shared" si="207"/>
        <v>78.5</v>
      </c>
      <c r="AB109" s="338">
        <f t="shared" si="207"/>
        <v>78.5</v>
      </c>
      <c r="AC109" s="338">
        <f t="shared" si="207"/>
        <v>78.5</v>
      </c>
      <c r="AD109" s="338">
        <f t="shared" si="207"/>
        <v>78.5</v>
      </c>
      <c r="AE109" s="338">
        <f t="shared" si="207"/>
        <v>78.5</v>
      </c>
      <c r="AF109" s="338">
        <f t="shared" si="207"/>
        <v>78.5</v>
      </c>
      <c r="AG109" s="338">
        <f t="shared" si="207"/>
        <v>78.5</v>
      </c>
      <c r="AH109" s="338">
        <f t="shared" si="207"/>
        <v>78.5</v>
      </c>
      <c r="AI109" s="338">
        <f t="shared" si="207"/>
        <v>78.5</v>
      </c>
      <c r="AJ109" s="338">
        <f t="shared" si="207"/>
        <v>78.5</v>
      </c>
      <c r="AK109" s="338">
        <f t="shared" si="207"/>
        <v>78.5</v>
      </c>
      <c r="AL109" s="338">
        <f t="shared" si="207"/>
        <v>78.5</v>
      </c>
      <c r="AM109" s="338">
        <f t="shared" si="207"/>
        <v>78.5</v>
      </c>
      <c r="AN109" s="338">
        <f t="shared" si="207"/>
        <v>78.5</v>
      </c>
      <c r="AO109" s="338">
        <f t="shared" si="207"/>
        <v>78.5</v>
      </c>
      <c r="AP109" s="338">
        <f t="shared" si="207"/>
        <v>78.5</v>
      </c>
      <c r="AQ109" s="338">
        <f t="shared" si="207"/>
        <v>78.5</v>
      </c>
      <c r="AR109" s="338">
        <f t="shared" si="207"/>
        <v>78.5</v>
      </c>
    </row>
    <row r="110" spans="1:45" collapsed="1" x14ac:dyDescent="0.2">
      <c r="A110" s="66" t="s">
        <v>445</v>
      </c>
      <c r="C110" s="2" t="s">
        <v>14</v>
      </c>
      <c r="D110" s="40"/>
      <c r="E110" s="335">
        <v>0</v>
      </c>
      <c r="F110" s="335">
        <f t="shared" ref="F110:AR110" si="208">E110</f>
        <v>0</v>
      </c>
      <c r="G110" s="335">
        <f t="shared" si="208"/>
        <v>0</v>
      </c>
      <c r="H110" s="335">
        <f t="shared" si="208"/>
        <v>0</v>
      </c>
      <c r="I110" s="335">
        <f t="shared" si="208"/>
        <v>0</v>
      </c>
      <c r="J110" s="335">
        <f t="shared" si="208"/>
        <v>0</v>
      </c>
      <c r="K110" s="335">
        <f t="shared" si="208"/>
        <v>0</v>
      </c>
      <c r="L110" s="335">
        <f t="shared" si="208"/>
        <v>0</v>
      </c>
      <c r="M110" s="335">
        <f t="shared" si="208"/>
        <v>0</v>
      </c>
      <c r="N110" s="335">
        <f t="shared" si="208"/>
        <v>0</v>
      </c>
      <c r="O110" s="335">
        <f t="shared" si="208"/>
        <v>0</v>
      </c>
      <c r="P110" s="335">
        <f t="shared" si="208"/>
        <v>0</v>
      </c>
      <c r="Q110" s="335">
        <f t="shared" si="208"/>
        <v>0</v>
      </c>
      <c r="R110" s="335">
        <f t="shared" si="208"/>
        <v>0</v>
      </c>
      <c r="S110" s="335">
        <f t="shared" si="208"/>
        <v>0</v>
      </c>
      <c r="T110" s="335">
        <f t="shared" si="208"/>
        <v>0</v>
      </c>
      <c r="U110" s="335">
        <f t="shared" si="208"/>
        <v>0</v>
      </c>
      <c r="V110" s="335">
        <f t="shared" si="208"/>
        <v>0</v>
      </c>
      <c r="W110" s="335">
        <f t="shared" si="208"/>
        <v>0</v>
      </c>
      <c r="X110" s="335">
        <f t="shared" si="208"/>
        <v>0</v>
      </c>
      <c r="Y110" s="335">
        <f t="shared" si="208"/>
        <v>0</v>
      </c>
      <c r="Z110" s="335">
        <f t="shared" si="208"/>
        <v>0</v>
      </c>
      <c r="AA110" s="335">
        <f t="shared" si="208"/>
        <v>0</v>
      </c>
      <c r="AB110" s="335">
        <f t="shared" si="208"/>
        <v>0</v>
      </c>
      <c r="AC110" s="335">
        <f t="shared" si="208"/>
        <v>0</v>
      </c>
      <c r="AD110" s="335">
        <f t="shared" si="208"/>
        <v>0</v>
      </c>
      <c r="AE110" s="335">
        <f t="shared" si="208"/>
        <v>0</v>
      </c>
      <c r="AF110" s="335">
        <f t="shared" si="208"/>
        <v>0</v>
      </c>
      <c r="AG110" s="335">
        <f t="shared" si="208"/>
        <v>0</v>
      </c>
      <c r="AH110" s="335">
        <f t="shared" si="208"/>
        <v>0</v>
      </c>
      <c r="AI110" s="335">
        <f t="shared" si="208"/>
        <v>0</v>
      </c>
      <c r="AJ110" s="335">
        <f t="shared" si="208"/>
        <v>0</v>
      </c>
      <c r="AK110" s="335">
        <f t="shared" si="208"/>
        <v>0</v>
      </c>
      <c r="AL110" s="335">
        <f t="shared" si="208"/>
        <v>0</v>
      </c>
      <c r="AM110" s="335">
        <f t="shared" si="208"/>
        <v>0</v>
      </c>
      <c r="AN110" s="335">
        <f t="shared" si="208"/>
        <v>0</v>
      </c>
      <c r="AO110" s="335">
        <f t="shared" si="208"/>
        <v>0</v>
      </c>
      <c r="AP110" s="335">
        <f t="shared" si="208"/>
        <v>0</v>
      </c>
      <c r="AQ110" s="335">
        <f t="shared" si="208"/>
        <v>0</v>
      </c>
      <c r="AR110" s="335">
        <f t="shared" si="208"/>
        <v>0</v>
      </c>
    </row>
    <row r="111" spans="1:45" outlineLevel="1" x14ac:dyDescent="0.2">
      <c r="A111" s="423" t="s">
        <v>1091</v>
      </c>
      <c r="B111" s="190"/>
      <c r="C111" s="7" t="s">
        <v>1</v>
      </c>
      <c r="D111" s="40"/>
      <c r="E111" s="53">
        <f t="shared" ref="E111:AR111" si="209">POWER(1+E110,E$39/$B$13)-1</f>
        <v>0</v>
      </c>
      <c r="F111" s="53">
        <f t="shared" si="209"/>
        <v>0</v>
      </c>
      <c r="G111" s="53">
        <f t="shared" si="209"/>
        <v>0</v>
      </c>
      <c r="H111" s="53">
        <f t="shared" si="209"/>
        <v>0</v>
      </c>
      <c r="I111" s="53">
        <f t="shared" si="209"/>
        <v>0</v>
      </c>
      <c r="J111" s="53">
        <f t="shared" si="209"/>
        <v>0</v>
      </c>
      <c r="K111" s="53">
        <f t="shared" si="209"/>
        <v>0</v>
      </c>
      <c r="L111" s="53">
        <f t="shared" si="209"/>
        <v>0</v>
      </c>
      <c r="M111" s="53">
        <f t="shared" si="209"/>
        <v>0</v>
      </c>
      <c r="N111" s="53">
        <f t="shared" si="209"/>
        <v>0</v>
      </c>
      <c r="O111" s="53">
        <f t="shared" si="209"/>
        <v>0</v>
      </c>
      <c r="P111" s="53">
        <f t="shared" si="209"/>
        <v>0</v>
      </c>
      <c r="Q111" s="53">
        <f t="shared" si="209"/>
        <v>0</v>
      </c>
      <c r="R111" s="53">
        <f t="shared" si="209"/>
        <v>0</v>
      </c>
      <c r="S111" s="53">
        <f t="shared" si="209"/>
        <v>0</v>
      </c>
      <c r="T111" s="53">
        <f t="shared" si="209"/>
        <v>0</v>
      </c>
      <c r="U111" s="53">
        <f t="shared" si="209"/>
        <v>0</v>
      </c>
      <c r="V111" s="53">
        <f t="shared" si="209"/>
        <v>0</v>
      </c>
      <c r="W111" s="53">
        <f t="shared" si="209"/>
        <v>0</v>
      </c>
      <c r="X111" s="53">
        <f t="shared" si="209"/>
        <v>0</v>
      </c>
      <c r="Y111" s="53">
        <f t="shared" si="209"/>
        <v>0</v>
      </c>
      <c r="Z111" s="53">
        <f t="shared" si="209"/>
        <v>0</v>
      </c>
      <c r="AA111" s="53">
        <f t="shared" si="209"/>
        <v>0</v>
      </c>
      <c r="AB111" s="53">
        <f t="shared" si="209"/>
        <v>0</v>
      </c>
      <c r="AC111" s="53">
        <f t="shared" si="209"/>
        <v>0</v>
      </c>
      <c r="AD111" s="53">
        <f t="shared" si="209"/>
        <v>0</v>
      </c>
      <c r="AE111" s="53">
        <f t="shared" si="209"/>
        <v>0</v>
      </c>
      <c r="AF111" s="53">
        <f t="shared" si="209"/>
        <v>0</v>
      </c>
      <c r="AG111" s="53">
        <f t="shared" si="209"/>
        <v>0</v>
      </c>
      <c r="AH111" s="53">
        <f t="shared" si="209"/>
        <v>0</v>
      </c>
      <c r="AI111" s="53">
        <f t="shared" si="209"/>
        <v>0</v>
      </c>
      <c r="AJ111" s="53">
        <f t="shared" si="209"/>
        <v>0</v>
      </c>
      <c r="AK111" s="53">
        <f t="shared" si="209"/>
        <v>0</v>
      </c>
      <c r="AL111" s="53">
        <f t="shared" si="209"/>
        <v>0</v>
      </c>
      <c r="AM111" s="53">
        <f t="shared" si="209"/>
        <v>0</v>
      </c>
      <c r="AN111" s="53">
        <f t="shared" si="209"/>
        <v>0</v>
      </c>
      <c r="AO111" s="53">
        <f t="shared" si="209"/>
        <v>0</v>
      </c>
      <c r="AP111" s="53">
        <f t="shared" si="209"/>
        <v>0</v>
      </c>
      <c r="AQ111" s="53">
        <f t="shared" si="209"/>
        <v>0</v>
      </c>
      <c r="AR111" s="53">
        <f t="shared" si="209"/>
        <v>0</v>
      </c>
    </row>
    <row r="112" spans="1:45" outlineLevel="1" x14ac:dyDescent="0.2">
      <c r="A112" s="423" t="s">
        <v>493</v>
      </c>
      <c r="C112" s="7" t="s">
        <v>492</v>
      </c>
      <c r="D112" s="397"/>
      <c r="E112" s="53">
        <f>E111</f>
        <v>0</v>
      </c>
      <c r="F112" s="53">
        <f t="shared" ref="F112:AB112" si="210">F111</f>
        <v>0</v>
      </c>
      <c r="G112" s="53">
        <f t="shared" si="210"/>
        <v>0</v>
      </c>
      <c r="H112" s="53">
        <f t="shared" si="210"/>
        <v>0</v>
      </c>
      <c r="I112" s="53">
        <f t="shared" si="210"/>
        <v>0</v>
      </c>
      <c r="J112" s="53">
        <f t="shared" si="210"/>
        <v>0</v>
      </c>
      <c r="K112" s="53">
        <f t="shared" si="210"/>
        <v>0</v>
      </c>
      <c r="L112" s="53">
        <f t="shared" si="210"/>
        <v>0</v>
      </c>
      <c r="M112" s="53">
        <f t="shared" si="210"/>
        <v>0</v>
      </c>
      <c r="N112" s="53">
        <f t="shared" si="210"/>
        <v>0</v>
      </c>
      <c r="O112" s="53">
        <f t="shared" si="210"/>
        <v>0</v>
      </c>
      <c r="P112" s="53">
        <f t="shared" si="210"/>
        <v>0</v>
      </c>
      <c r="Q112" s="53">
        <f t="shared" si="210"/>
        <v>0</v>
      </c>
      <c r="R112" s="53">
        <f t="shared" si="210"/>
        <v>0</v>
      </c>
      <c r="S112" s="53">
        <f t="shared" si="210"/>
        <v>0</v>
      </c>
      <c r="T112" s="53">
        <f t="shared" si="210"/>
        <v>0</v>
      </c>
      <c r="U112" s="53">
        <f t="shared" si="210"/>
        <v>0</v>
      </c>
      <c r="V112" s="53">
        <f t="shared" si="210"/>
        <v>0</v>
      </c>
      <c r="W112" s="53">
        <f t="shared" si="210"/>
        <v>0</v>
      </c>
      <c r="X112" s="53">
        <f t="shared" si="210"/>
        <v>0</v>
      </c>
      <c r="Y112" s="53">
        <f t="shared" si="210"/>
        <v>0</v>
      </c>
      <c r="Z112" s="53">
        <f t="shared" si="210"/>
        <v>0</v>
      </c>
      <c r="AA112" s="53">
        <f t="shared" si="210"/>
        <v>0</v>
      </c>
      <c r="AB112" s="53">
        <f t="shared" si="210"/>
        <v>0</v>
      </c>
      <c r="AC112" s="53">
        <f t="shared" ref="AC112:AD112" si="211">AC111</f>
        <v>0</v>
      </c>
      <c r="AD112" s="53">
        <f t="shared" si="211"/>
        <v>0</v>
      </c>
      <c r="AE112" s="53">
        <f t="shared" ref="AE112:AF112" si="212">AE111</f>
        <v>0</v>
      </c>
      <c r="AF112" s="53">
        <f t="shared" si="212"/>
        <v>0</v>
      </c>
      <c r="AG112" s="53">
        <f t="shared" ref="AG112:AH112" si="213">AG111</f>
        <v>0</v>
      </c>
      <c r="AH112" s="53">
        <f t="shared" si="213"/>
        <v>0</v>
      </c>
      <c r="AI112" s="53">
        <f t="shared" ref="AI112:AJ112" si="214">AI111</f>
        <v>0</v>
      </c>
      <c r="AJ112" s="53">
        <f t="shared" si="214"/>
        <v>0</v>
      </c>
      <c r="AK112" s="53">
        <f t="shared" ref="AK112:AL112" si="215">AK111</f>
        <v>0</v>
      </c>
      <c r="AL112" s="53">
        <f t="shared" si="215"/>
        <v>0</v>
      </c>
      <c r="AM112" s="53">
        <f t="shared" ref="AM112:AN112" si="216">AM111</f>
        <v>0</v>
      </c>
      <c r="AN112" s="53">
        <f t="shared" si="216"/>
        <v>0</v>
      </c>
      <c r="AO112" s="53">
        <f t="shared" ref="AO112:AP112" si="217">AO111</f>
        <v>0</v>
      </c>
      <c r="AP112" s="53">
        <f t="shared" si="217"/>
        <v>0</v>
      </c>
      <c r="AQ112" s="53">
        <f t="shared" ref="AQ112:AR112" si="218">AQ111</f>
        <v>0</v>
      </c>
      <c r="AR112" s="53">
        <f t="shared" si="218"/>
        <v>0</v>
      </c>
    </row>
    <row r="113" spans="1:44" outlineLevel="1" x14ac:dyDescent="0.2">
      <c r="A113" s="63" t="s">
        <v>444</v>
      </c>
      <c r="C113" s="2" t="s">
        <v>14</v>
      </c>
      <c r="D113" s="40"/>
      <c r="E113" s="335">
        <v>0</v>
      </c>
      <c r="F113" s="335">
        <f t="shared" ref="F113:AR113" si="219">E113</f>
        <v>0</v>
      </c>
      <c r="G113" s="335">
        <f t="shared" si="219"/>
        <v>0</v>
      </c>
      <c r="H113" s="335">
        <f t="shared" si="219"/>
        <v>0</v>
      </c>
      <c r="I113" s="335">
        <f t="shared" si="219"/>
        <v>0</v>
      </c>
      <c r="J113" s="335">
        <f t="shared" si="219"/>
        <v>0</v>
      </c>
      <c r="K113" s="335">
        <f t="shared" si="219"/>
        <v>0</v>
      </c>
      <c r="L113" s="335">
        <f t="shared" si="219"/>
        <v>0</v>
      </c>
      <c r="M113" s="335">
        <f t="shared" si="219"/>
        <v>0</v>
      </c>
      <c r="N113" s="335">
        <f t="shared" si="219"/>
        <v>0</v>
      </c>
      <c r="O113" s="335">
        <f t="shared" si="219"/>
        <v>0</v>
      </c>
      <c r="P113" s="335">
        <f t="shared" si="219"/>
        <v>0</v>
      </c>
      <c r="Q113" s="335">
        <f t="shared" si="219"/>
        <v>0</v>
      </c>
      <c r="R113" s="335">
        <f t="shared" si="219"/>
        <v>0</v>
      </c>
      <c r="S113" s="335">
        <f t="shared" si="219"/>
        <v>0</v>
      </c>
      <c r="T113" s="335">
        <f t="shared" si="219"/>
        <v>0</v>
      </c>
      <c r="U113" s="335">
        <f t="shared" si="219"/>
        <v>0</v>
      </c>
      <c r="V113" s="335">
        <f t="shared" si="219"/>
        <v>0</v>
      </c>
      <c r="W113" s="335">
        <f t="shared" si="219"/>
        <v>0</v>
      </c>
      <c r="X113" s="335">
        <f t="shared" si="219"/>
        <v>0</v>
      </c>
      <c r="Y113" s="335">
        <f t="shared" si="219"/>
        <v>0</v>
      </c>
      <c r="Z113" s="335">
        <f t="shared" si="219"/>
        <v>0</v>
      </c>
      <c r="AA113" s="335">
        <f t="shared" si="219"/>
        <v>0</v>
      </c>
      <c r="AB113" s="335">
        <f t="shared" si="219"/>
        <v>0</v>
      </c>
      <c r="AC113" s="335">
        <f t="shared" si="219"/>
        <v>0</v>
      </c>
      <c r="AD113" s="335">
        <f t="shared" si="219"/>
        <v>0</v>
      </c>
      <c r="AE113" s="335">
        <f t="shared" si="219"/>
        <v>0</v>
      </c>
      <c r="AF113" s="335">
        <f t="shared" si="219"/>
        <v>0</v>
      </c>
      <c r="AG113" s="335">
        <f t="shared" si="219"/>
        <v>0</v>
      </c>
      <c r="AH113" s="335">
        <f t="shared" si="219"/>
        <v>0</v>
      </c>
      <c r="AI113" s="335">
        <f t="shared" si="219"/>
        <v>0</v>
      </c>
      <c r="AJ113" s="335">
        <f t="shared" si="219"/>
        <v>0</v>
      </c>
      <c r="AK113" s="335">
        <f t="shared" si="219"/>
        <v>0</v>
      </c>
      <c r="AL113" s="335">
        <f t="shared" si="219"/>
        <v>0</v>
      </c>
      <c r="AM113" s="335">
        <f t="shared" si="219"/>
        <v>0</v>
      </c>
      <c r="AN113" s="335">
        <f t="shared" si="219"/>
        <v>0</v>
      </c>
      <c r="AO113" s="335">
        <f t="shared" si="219"/>
        <v>0</v>
      </c>
      <c r="AP113" s="335">
        <f t="shared" si="219"/>
        <v>0</v>
      </c>
      <c r="AQ113" s="335">
        <f t="shared" si="219"/>
        <v>0</v>
      </c>
      <c r="AR113" s="335">
        <f t="shared" si="219"/>
        <v>0</v>
      </c>
    </row>
    <row r="114" spans="1:44" outlineLevel="1" x14ac:dyDescent="0.2">
      <c r="A114" s="423" t="s">
        <v>1091</v>
      </c>
      <c r="B114" s="190"/>
      <c r="C114" s="7" t="s">
        <v>1</v>
      </c>
      <c r="D114" s="40"/>
      <c r="E114" s="53">
        <f t="shared" ref="E114:AR114" si="220">POWER(1+E113,E$39/$B$13)-1</f>
        <v>0</v>
      </c>
      <c r="F114" s="53">
        <f t="shared" si="220"/>
        <v>0</v>
      </c>
      <c r="G114" s="53">
        <f t="shared" si="220"/>
        <v>0</v>
      </c>
      <c r="H114" s="53">
        <f t="shared" si="220"/>
        <v>0</v>
      </c>
      <c r="I114" s="53">
        <f t="shared" si="220"/>
        <v>0</v>
      </c>
      <c r="J114" s="53">
        <f t="shared" si="220"/>
        <v>0</v>
      </c>
      <c r="K114" s="53">
        <f t="shared" si="220"/>
        <v>0</v>
      </c>
      <c r="L114" s="53">
        <f t="shared" si="220"/>
        <v>0</v>
      </c>
      <c r="M114" s="53">
        <f t="shared" si="220"/>
        <v>0</v>
      </c>
      <c r="N114" s="53">
        <f t="shared" si="220"/>
        <v>0</v>
      </c>
      <c r="O114" s="53">
        <f t="shared" si="220"/>
        <v>0</v>
      </c>
      <c r="P114" s="53">
        <f t="shared" si="220"/>
        <v>0</v>
      </c>
      <c r="Q114" s="53">
        <f t="shared" si="220"/>
        <v>0</v>
      </c>
      <c r="R114" s="53">
        <f t="shared" si="220"/>
        <v>0</v>
      </c>
      <c r="S114" s="53">
        <f t="shared" si="220"/>
        <v>0</v>
      </c>
      <c r="T114" s="53">
        <f t="shared" si="220"/>
        <v>0</v>
      </c>
      <c r="U114" s="53">
        <f t="shared" si="220"/>
        <v>0</v>
      </c>
      <c r="V114" s="53">
        <f t="shared" si="220"/>
        <v>0</v>
      </c>
      <c r="W114" s="53">
        <f t="shared" si="220"/>
        <v>0</v>
      </c>
      <c r="X114" s="53">
        <f t="shared" si="220"/>
        <v>0</v>
      </c>
      <c r="Y114" s="53">
        <f t="shared" si="220"/>
        <v>0</v>
      </c>
      <c r="Z114" s="53">
        <f t="shared" si="220"/>
        <v>0</v>
      </c>
      <c r="AA114" s="53">
        <f t="shared" si="220"/>
        <v>0</v>
      </c>
      <c r="AB114" s="53">
        <f t="shared" si="220"/>
        <v>0</v>
      </c>
      <c r="AC114" s="53">
        <f t="shared" si="220"/>
        <v>0</v>
      </c>
      <c r="AD114" s="53">
        <f t="shared" si="220"/>
        <v>0</v>
      </c>
      <c r="AE114" s="53">
        <f t="shared" si="220"/>
        <v>0</v>
      </c>
      <c r="AF114" s="53">
        <f t="shared" si="220"/>
        <v>0</v>
      </c>
      <c r="AG114" s="53">
        <f t="shared" si="220"/>
        <v>0</v>
      </c>
      <c r="AH114" s="53">
        <f t="shared" si="220"/>
        <v>0</v>
      </c>
      <c r="AI114" s="53">
        <f t="shared" si="220"/>
        <v>0</v>
      </c>
      <c r="AJ114" s="53">
        <f t="shared" si="220"/>
        <v>0</v>
      </c>
      <c r="AK114" s="53">
        <f t="shared" si="220"/>
        <v>0</v>
      </c>
      <c r="AL114" s="53">
        <f t="shared" si="220"/>
        <v>0</v>
      </c>
      <c r="AM114" s="53">
        <f t="shared" si="220"/>
        <v>0</v>
      </c>
      <c r="AN114" s="53">
        <f t="shared" si="220"/>
        <v>0</v>
      </c>
      <c r="AO114" s="53">
        <f t="shared" si="220"/>
        <v>0</v>
      </c>
      <c r="AP114" s="53">
        <f t="shared" si="220"/>
        <v>0</v>
      </c>
      <c r="AQ114" s="53">
        <f t="shared" si="220"/>
        <v>0</v>
      </c>
      <c r="AR114" s="53">
        <f t="shared" si="220"/>
        <v>0</v>
      </c>
    </row>
    <row r="115" spans="1:44" outlineLevel="1" x14ac:dyDescent="0.2">
      <c r="A115" s="423" t="s">
        <v>493</v>
      </c>
      <c r="C115" s="7" t="s">
        <v>492</v>
      </c>
      <c r="D115" s="397"/>
      <c r="E115" s="53">
        <f>E114</f>
        <v>0</v>
      </c>
      <c r="F115" s="53">
        <f t="shared" ref="F115" si="221">F114</f>
        <v>0</v>
      </c>
      <c r="G115" s="53">
        <f t="shared" ref="G115" si="222">G114</f>
        <v>0</v>
      </c>
      <c r="H115" s="53">
        <f t="shared" ref="H115" si="223">H114</f>
        <v>0</v>
      </c>
      <c r="I115" s="53">
        <f t="shared" ref="I115" si="224">I114</f>
        <v>0</v>
      </c>
      <c r="J115" s="53">
        <f t="shared" ref="J115" si="225">J114</f>
        <v>0</v>
      </c>
      <c r="K115" s="53">
        <f t="shared" ref="K115" si="226">K114</f>
        <v>0</v>
      </c>
      <c r="L115" s="53">
        <f t="shared" ref="L115" si="227">L114</f>
        <v>0</v>
      </c>
      <c r="M115" s="53">
        <f t="shared" ref="M115" si="228">M114</f>
        <v>0</v>
      </c>
      <c r="N115" s="53">
        <f t="shared" ref="N115" si="229">N114</f>
        <v>0</v>
      </c>
      <c r="O115" s="53">
        <f t="shared" ref="O115" si="230">O114</f>
        <v>0</v>
      </c>
      <c r="P115" s="53">
        <f t="shared" ref="P115" si="231">P114</f>
        <v>0</v>
      </c>
      <c r="Q115" s="53">
        <f t="shared" ref="Q115" si="232">Q114</f>
        <v>0</v>
      </c>
      <c r="R115" s="53">
        <f t="shared" ref="R115" si="233">R114</f>
        <v>0</v>
      </c>
      <c r="S115" s="53">
        <f t="shared" ref="S115" si="234">S114</f>
        <v>0</v>
      </c>
      <c r="T115" s="53">
        <f t="shared" ref="T115" si="235">T114</f>
        <v>0</v>
      </c>
      <c r="U115" s="53">
        <f t="shared" ref="U115" si="236">U114</f>
        <v>0</v>
      </c>
      <c r="V115" s="53">
        <f t="shared" ref="V115" si="237">V114</f>
        <v>0</v>
      </c>
      <c r="W115" s="53">
        <f t="shared" ref="W115" si="238">W114</f>
        <v>0</v>
      </c>
      <c r="X115" s="53">
        <f t="shared" ref="X115" si="239">X114</f>
        <v>0</v>
      </c>
      <c r="Y115" s="53">
        <f t="shared" ref="Y115" si="240">Y114</f>
        <v>0</v>
      </c>
      <c r="Z115" s="53">
        <f t="shared" ref="Z115" si="241">Z114</f>
        <v>0</v>
      </c>
      <c r="AA115" s="53">
        <f t="shared" ref="AA115" si="242">AA114</f>
        <v>0</v>
      </c>
      <c r="AB115" s="53">
        <f t="shared" ref="AB115:AC115" si="243">AB114</f>
        <v>0</v>
      </c>
      <c r="AC115" s="53">
        <f t="shared" si="243"/>
        <v>0</v>
      </c>
      <c r="AD115" s="53">
        <f t="shared" ref="AD115:AE115" si="244">AD114</f>
        <v>0</v>
      </c>
      <c r="AE115" s="53">
        <f t="shared" si="244"/>
        <v>0</v>
      </c>
      <c r="AF115" s="53">
        <f t="shared" ref="AF115:AG115" si="245">AF114</f>
        <v>0</v>
      </c>
      <c r="AG115" s="53">
        <f t="shared" si="245"/>
        <v>0</v>
      </c>
      <c r="AH115" s="53">
        <f t="shared" ref="AH115:AI115" si="246">AH114</f>
        <v>0</v>
      </c>
      <c r="AI115" s="53">
        <f t="shared" si="246"/>
        <v>0</v>
      </c>
      <c r="AJ115" s="53">
        <f t="shared" ref="AJ115:AK115" si="247">AJ114</f>
        <v>0</v>
      </c>
      <c r="AK115" s="53">
        <f t="shared" si="247"/>
        <v>0</v>
      </c>
      <c r="AL115" s="53">
        <f t="shared" ref="AL115:AM115" si="248">AL114</f>
        <v>0</v>
      </c>
      <c r="AM115" s="53">
        <f t="shared" si="248"/>
        <v>0</v>
      </c>
      <c r="AN115" s="53">
        <f t="shared" ref="AN115:AO115" si="249">AN114</f>
        <v>0</v>
      </c>
      <c r="AO115" s="53">
        <f t="shared" si="249"/>
        <v>0</v>
      </c>
      <c r="AP115" s="53">
        <f t="shared" ref="AP115:AQ115" si="250">AP114</f>
        <v>0</v>
      </c>
      <c r="AQ115" s="53">
        <f t="shared" si="250"/>
        <v>0</v>
      </c>
      <c r="AR115" s="53">
        <f t="shared" ref="AR115" si="251">AR114</f>
        <v>0</v>
      </c>
    </row>
    <row r="116" spans="1:44" x14ac:dyDescent="0.2">
      <c r="A116" s="44"/>
      <c r="D116" s="40"/>
    </row>
    <row r="117" spans="1:44" x14ac:dyDescent="0.2">
      <c r="A117" s="50" t="s">
        <v>8</v>
      </c>
      <c r="B117" s="51" t="s">
        <v>1094</v>
      </c>
      <c r="C117" s="2"/>
      <c r="D117" s="40"/>
    </row>
    <row r="118" spans="1:44" x14ac:dyDescent="0.2">
      <c r="A118" s="63" t="s">
        <v>1095</v>
      </c>
      <c r="B118" s="337">
        <f>ИД!C22</f>
        <v>92.4</v>
      </c>
      <c r="C118" s="2" t="str">
        <f>Параметры!$B$64</f>
        <v>тыс. руб.</v>
      </c>
      <c r="D118" s="40"/>
      <c r="E118" s="338">
        <f t="shared" ref="E118:AR118" si="252">$B118*(IF($B$62=1,POWER(1+E120,E$2),1))</f>
        <v>92.4</v>
      </c>
      <c r="F118" s="338">
        <f t="shared" si="252"/>
        <v>92.4</v>
      </c>
      <c r="G118" s="338">
        <f t="shared" si="252"/>
        <v>92.4</v>
      </c>
      <c r="H118" s="338">
        <f t="shared" si="252"/>
        <v>92.4</v>
      </c>
      <c r="I118" s="338">
        <f t="shared" si="252"/>
        <v>92.4</v>
      </c>
      <c r="J118" s="338">
        <f t="shared" si="252"/>
        <v>92.4</v>
      </c>
      <c r="K118" s="338">
        <f t="shared" si="252"/>
        <v>92.4</v>
      </c>
      <c r="L118" s="338">
        <f t="shared" si="252"/>
        <v>92.4</v>
      </c>
      <c r="M118" s="338">
        <f t="shared" si="252"/>
        <v>92.4</v>
      </c>
      <c r="N118" s="338">
        <f t="shared" si="252"/>
        <v>92.4</v>
      </c>
      <c r="O118" s="338">
        <f t="shared" si="252"/>
        <v>92.4</v>
      </c>
      <c r="P118" s="338">
        <f t="shared" si="252"/>
        <v>92.4</v>
      </c>
      <c r="Q118" s="338">
        <f t="shared" si="252"/>
        <v>92.4</v>
      </c>
      <c r="R118" s="338">
        <f t="shared" si="252"/>
        <v>92.4</v>
      </c>
      <c r="S118" s="338">
        <f t="shared" si="252"/>
        <v>92.4</v>
      </c>
      <c r="T118" s="338">
        <f t="shared" si="252"/>
        <v>92.4</v>
      </c>
      <c r="U118" s="338">
        <f t="shared" si="252"/>
        <v>92.4</v>
      </c>
      <c r="V118" s="338">
        <f t="shared" si="252"/>
        <v>92.4</v>
      </c>
      <c r="W118" s="338">
        <f t="shared" si="252"/>
        <v>92.4</v>
      </c>
      <c r="X118" s="338">
        <f t="shared" si="252"/>
        <v>92.4</v>
      </c>
      <c r="Y118" s="338">
        <f t="shared" si="252"/>
        <v>92.4</v>
      </c>
      <c r="Z118" s="338">
        <f t="shared" si="252"/>
        <v>92.4</v>
      </c>
      <c r="AA118" s="338">
        <f t="shared" si="252"/>
        <v>92.4</v>
      </c>
      <c r="AB118" s="338">
        <f t="shared" si="252"/>
        <v>92.4</v>
      </c>
      <c r="AC118" s="338">
        <f t="shared" si="252"/>
        <v>92.4</v>
      </c>
      <c r="AD118" s="338">
        <f t="shared" si="252"/>
        <v>92.4</v>
      </c>
      <c r="AE118" s="338">
        <f t="shared" si="252"/>
        <v>92.4</v>
      </c>
      <c r="AF118" s="338">
        <f t="shared" si="252"/>
        <v>92.4</v>
      </c>
      <c r="AG118" s="338">
        <f t="shared" si="252"/>
        <v>92.4</v>
      </c>
      <c r="AH118" s="338">
        <f t="shared" si="252"/>
        <v>92.4</v>
      </c>
      <c r="AI118" s="338">
        <f t="shared" si="252"/>
        <v>92.4</v>
      </c>
      <c r="AJ118" s="338">
        <f t="shared" si="252"/>
        <v>92.4</v>
      </c>
      <c r="AK118" s="338">
        <f t="shared" si="252"/>
        <v>92.4</v>
      </c>
      <c r="AL118" s="338">
        <f t="shared" si="252"/>
        <v>92.4</v>
      </c>
      <c r="AM118" s="338">
        <f t="shared" si="252"/>
        <v>92.4</v>
      </c>
      <c r="AN118" s="338">
        <f t="shared" si="252"/>
        <v>92.4</v>
      </c>
      <c r="AO118" s="338">
        <f t="shared" si="252"/>
        <v>92.4</v>
      </c>
      <c r="AP118" s="338">
        <f t="shared" si="252"/>
        <v>92.4</v>
      </c>
      <c r="AQ118" s="338">
        <f t="shared" si="252"/>
        <v>92.4</v>
      </c>
      <c r="AR118" s="338">
        <f t="shared" si="252"/>
        <v>92.4</v>
      </c>
    </row>
    <row r="119" spans="1:44" collapsed="1" x14ac:dyDescent="0.2">
      <c r="A119" s="66" t="s">
        <v>445</v>
      </c>
      <c r="C119" s="2" t="s">
        <v>14</v>
      </c>
      <c r="D119" s="40"/>
      <c r="E119" s="335">
        <v>0</v>
      </c>
      <c r="F119" s="335">
        <f t="shared" ref="F119:AR119" si="253">E119</f>
        <v>0</v>
      </c>
      <c r="G119" s="335">
        <f t="shared" si="253"/>
        <v>0</v>
      </c>
      <c r="H119" s="335">
        <f t="shared" si="253"/>
        <v>0</v>
      </c>
      <c r="I119" s="335">
        <f t="shared" si="253"/>
        <v>0</v>
      </c>
      <c r="J119" s="335">
        <f t="shared" si="253"/>
        <v>0</v>
      </c>
      <c r="K119" s="335">
        <f t="shared" si="253"/>
        <v>0</v>
      </c>
      <c r="L119" s="335">
        <f t="shared" si="253"/>
        <v>0</v>
      </c>
      <c r="M119" s="335">
        <f t="shared" si="253"/>
        <v>0</v>
      </c>
      <c r="N119" s="335">
        <f t="shared" si="253"/>
        <v>0</v>
      </c>
      <c r="O119" s="335">
        <f t="shared" si="253"/>
        <v>0</v>
      </c>
      <c r="P119" s="335">
        <f t="shared" si="253"/>
        <v>0</v>
      </c>
      <c r="Q119" s="335">
        <f t="shared" si="253"/>
        <v>0</v>
      </c>
      <c r="R119" s="335">
        <f t="shared" si="253"/>
        <v>0</v>
      </c>
      <c r="S119" s="335">
        <f t="shared" si="253"/>
        <v>0</v>
      </c>
      <c r="T119" s="335">
        <f t="shared" si="253"/>
        <v>0</v>
      </c>
      <c r="U119" s="335">
        <f t="shared" si="253"/>
        <v>0</v>
      </c>
      <c r="V119" s="335">
        <f t="shared" si="253"/>
        <v>0</v>
      </c>
      <c r="W119" s="335">
        <f t="shared" si="253"/>
        <v>0</v>
      </c>
      <c r="X119" s="335">
        <f t="shared" si="253"/>
        <v>0</v>
      </c>
      <c r="Y119" s="335">
        <f t="shared" si="253"/>
        <v>0</v>
      </c>
      <c r="Z119" s="335">
        <f t="shared" si="253"/>
        <v>0</v>
      </c>
      <c r="AA119" s="335">
        <f t="shared" si="253"/>
        <v>0</v>
      </c>
      <c r="AB119" s="335">
        <f t="shared" si="253"/>
        <v>0</v>
      </c>
      <c r="AC119" s="335">
        <f t="shared" si="253"/>
        <v>0</v>
      </c>
      <c r="AD119" s="335">
        <f t="shared" si="253"/>
        <v>0</v>
      </c>
      <c r="AE119" s="335">
        <f t="shared" si="253"/>
        <v>0</v>
      </c>
      <c r="AF119" s="335">
        <f t="shared" si="253"/>
        <v>0</v>
      </c>
      <c r="AG119" s="335">
        <f t="shared" si="253"/>
        <v>0</v>
      </c>
      <c r="AH119" s="335">
        <f t="shared" si="253"/>
        <v>0</v>
      </c>
      <c r="AI119" s="335">
        <f t="shared" si="253"/>
        <v>0</v>
      </c>
      <c r="AJ119" s="335">
        <f t="shared" si="253"/>
        <v>0</v>
      </c>
      <c r="AK119" s="335">
        <f t="shared" si="253"/>
        <v>0</v>
      </c>
      <c r="AL119" s="335">
        <f t="shared" si="253"/>
        <v>0</v>
      </c>
      <c r="AM119" s="335">
        <f t="shared" si="253"/>
        <v>0</v>
      </c>
      <c r="AN119" s="335">
        <f t="shared" si="253"/>
        <v>0</v>
      </c>
      <c r="AO119" s="335">
        <f t="shared" si="253"/>
        <v>0</v>
      </c>
      <c r="AP119" s="335">
        <f t="shared" si="253"/>
        <v>0</v>
      </c>
      <c r="AQ119" s="335">
        <f t="shared" si="253"/>
        <v>0</v>
      </c>
      <c r="AR119" s="335">
        <f t="shared" si="253"/>
        <v>0</v>
      </c>
    </row>
    <row r="120" spans="1:44" outlineLevel="1" x14ac:dyDescent="0.2">
      <c r="A120" s="423" t="s">
        <v>1091</v>
      </c>
      <c r="B120" s="190"/>
      <c r="C120" s="7" t="s">
        <v>1</v>
      </c>
      <c r="D120" s="40"/>
      <c r="E120" s="53">
        <f t="shared" ref="E120:AR120" si="254">POWER(1+E119,E$39/$B$13)-1</f>
        <v>0</v>
      </c>
      <c r="F120" s="53">
        <f t="shared" si="254"/>
        <v>0</v>
      </c>
      <c r="G120" s="53">
        <f t="shared" si="254"/>
        <v>0</v>
      </c>
      <c r="H120" s="53">
        <f t="shared" si="254"/>
        <v>0</v>
      </c>
      <c r="I120" s="53">
        <f t="shared" si="254"/>
        <v>0</v>
      </c>
      <c r="J120" s="53">
        <f t="shared" si="254"/>
        <v>0</v>
      </c>
      <c r="K120" s="53">
        <f t="shared" si="254"/>
        <v>0</v>
      </c>
      <c r="L120" s="53">
        <f t="shared" si="254"/>
        <v>0</v>
      </c>
      <c r="M120" s="53">
        <f t="shared" si="254"/>
        <v>0</v>
      </c>
      <c r="N120" s="53">
        <f t="shared" si="254"/>
        <v>0</v>
      </c>
      <c r="O120" s="53">
        <f t="shared" si="254"/>
        <v>0</v>
      </c>
      <c r="P120" s="53">
        <f t="shared" si="254"/>
        <v>0</v>
      </c>
      <c r="Q120" s="53">
        <f t="shared" si="254"/>
        <v>0</v>
      </c>
      <c r="R120" s="53">
        <f t="shared" si="254"/>
        <v>0</v>
      </c>
      <c r="S120" s="53">
        <f t="shared" si="254"/>
        <v>0</v>
      </c>
      <c r="T120" s="53">
        <f t="shared" si="254"/>
        <v>0</v>
      </c>
      <c r="U120" s="53">
        <f t="shared" si="254"/>
        <v>0</v>
      </c>
      <c r="V120" s="53">
        <f t="shared" si="254"/>
        <v>0</v>
      </c>
      <c r="W120" s="53">
        <f t="shared" si="254"/>
        <v>0</v>
      </c>
      <c r="X120" s="53">
        <f t="shared" si="254"/>
        <v>0</v>
      </c>
      <c r="Y120" s="53">
        <f t="shared" si="254"/>
        <v>0</v>
      </c>
      <c r="Z120" s="53">
        <f t="shared" si="254"/>
        <v>0</v>
      </c>
      <c r="AA120" s="53">
        <f t="shared" si="254"/>
        <v>0</v>
      </c>
      <c r="AB120" s="53">
        <f t="shared" si="254"/>
        <v>0</v>
      </c>
      <c r="AC120" s="53">
        <f t="shared" si="254"/>
        <v>0</v>
      </c>
      <c r="AD120" s="53">
        <f t="shared" si="254"/>
        <v>0</v>
      </c>
      <c r="AE120" s="53">
        <f t="shared" si="254"/>
        <v>0</v>
      </c>
      <c r="AF120" s="53">
        <f t="shared" si="254"/>
        <v>0</v>
      </c>
      <c r="AG120" s="53">
        <f t="shared" si="254"/>
        <v>0</v>
      </c>
      <c r="AH120" s="53">
        <f t="shared" si="254"/>
        <v>0</v>
      </c>
      <c r="AI120" s="53">
        <f t="shared" si="254"/>
        <v>0</v>
      </c>
      <c r="AJ120" s="53">
        <f t="shared" si="254"/>
        <v>0</v>
      </c>
      <c r="AK120" s="53">
        <f t="shared" si="254"/>
        <v>0</v>
      </c>
      <c r="AL120" s="53">
        <f t="shared" si="254"/>
        <v>0</v>
      </c>
      <c r="AM120" s="53">
        <f t="shared" si="254"/>
        <v>0</v>
      </c>
      <c r="AN120" s="53">
        <f t="shared" si="254"/>
        <v>0</v>
      </c>
      <c r="AO120" s="53">
        <f t="shared" si="254"/>
        <v>0</v>
      </c>
      <c r="AP120" s="53">
        <f t="shared" si="254"/>
        <v>0</v>
      </c>
      <c r="AQ120" s="53">
        <f t="shared" si="254"/>
        <v>0</v>
      </c>
      <c r="AR120" s="53">
        <f t="shared" si="254"/>
        <v>0</v>
      </c>
    </row>
    <row r="121" spans="1:44" outlineLevel="1" x14ac:dyDescent="0.2">
      <c r="A121" s="423" t="s">
        <v>493</v>
      </c>
      <c r="C121" s="7" t="s">
        <v>492</v>
      </c>
      <c r="D121" s="397"/>
      <c r="E121" s="53">
        <f>E120</f>
        <v>0</v>
      </c>
      <c r="F121" s="53">
        <f t="shared" ref="F121" si="255">F120</f>
        <v>0</v>
      </c>
      <c r="G121" s="53">
        <f t="shared" ref="G121" si="256">G120</f>
        <v>0</v>
      </c>
      <c r="H121" s="53">
        <f t="shared" ref="H121" si="257">H120</f>
        <v>0</v>
      </c>
      <c r="I121" s="53">
        <f t="shared" ref="I121" si="258">I120</f>
        <v>0</v>
      </c>
      <c r="J121" s="53">
        <f t="shared" ref="J121" si="259">J120</f>
        <v>0</v>
      </c>
      <c r="K121" s="53">
        <f t="shared" ref="K121" si="260">K120</f>
        <v>0</v>
      </c>
      <c r="L121" s="53">
        <f t="shared" ref="L121" si="261">L120</f>
        <v>0</v>
      </c>
      <c r="M121" s="53">
        <f t="shared" ref="M121" si="262">M120</f>
        <v>0</v>
      </c>
      <c r="N121" s="53">
        <f t="shared" ref="N121" si="263">N120</f>
        <v>0</v>
      </c>
      <c r="O121" s="53">
        <f t="shared" ref="O121" si="264">O120</f>
        <v>0</v>
      </c>
      <c r="P121" s="53">
        <f t="shared" ref="P121" si="265">P120</f>
        <v>0</v>
      </c>
      <c r="Q121" s="53">
        <f t="shared" ref="Q121" si="266">Q120</f>
        <v>0</v>
      </c>
      <c r="R121" s="53">
        <f t="shared" ref="R121" si="267">R120</f>
        <v>0</v>
      </c>
      <c r="S121" s="53">
        <f t="shared" ref="S121" si="268">S120</f>
        <v>0</v>
      </c>
      <c r="T121" s="53">
        <f t="shared" ref="T121" si="269">T120</f>
        <v>0</v>
      </c>
      <c r="U121" s="53">
        <f t="shared" ref="U121" si="270">U120</f>
        <v>0</v>
      </c>
      <c r="V121" s="53">
        <f t="shared" ref="V121" si="271">V120</f>
        <v>0</v>
      </c>
      <c r="W121" s="53">
        <f t="shared" ref="W121" si="272">W120</f>
        <v>0</v>
      </c>
      <c r="X121" s="53">
        <f t="shared" ref="X121" si="273">X120</f>
        <v>0</v>
      </c>
      <c r="Y121" s="53">
        <f t="shared" ref="Y121" si="274">Y120</f>
        <v>0</v>
      </c>
      <c r="Z121" s="53">
        <f t="shared" ref="Z121" si="275">Z120</f>
        <v>0</v>
      </c>
      <c r="AA121" s="53">
        <f t="shared" ref="AA121" si="276">AA120</f>
        <v>0</v>
      </c>
      <c r="AB121" s="53">
        <f t="shared" ref="AB121:AC121" si="277">AB120</f>
        <v>0</v>
      </c>
      <c r="AC121" s="53">
        <f t="shared" si="277"/>
        <v>0</v>
      </c>
      <c r="AD121" s="53">
        <f t="shared" ref="AD121:AE121" si="278">AD120</f>
        <v>0</v>
      </c>
      <c r="AE121" s="53">
        <f t="shared" si="278"/>
        <v>0</v>
      </c>
      <c r="AF121" s="53">
        <f t="shared" ref="AF121:AG121" si="279">AF120</f>
        <v>0</v>
      </c>
      <c r="AG121" s="53">
        <f t="shared" si="279"/>
        <v>0</v>
      </c>
      <c r="AH121" s="53">
        <f t="shared" ref="AH121:AI121" si="280">AH120</f>
        <v>0</v>
      </c>
      <c r="AI121" s="53">
        <f t="shared" si="280"/>
        <v>0</v>
      </c>
      <c r="AJ121" s="53">
        <f t="shared" ref="AJ121:AK121" si="281">AJ120</f>
        <v>0</v>
      </c>
      <c r="AK121" s="53">
        <f t="shared" si="281"/>
        <v>0</v>
      </c>
      <c r="AL121" s="53">
        <f t="shared" ref="AL121:AM121" si="282">AL120</f>
        <v>0</v>
      </c>
      <c r="AM121" s="53">
        <f t="shared" si="282"/>
        <v>0</v>
      </c>
      <c r="AN121" s="53">
        <f t="shared" ref="AN121:AO121" si="283">AN120</f>
        <v>0</v>
      </c>
      <c r="AO121" s="53">
        <f t="shared" si="283"/>
        <v>0</v>
      </c>
      <c r="AP121" s="53">
        <f t="shared" ref="AP121:AQ121" si="284">AP120</f>
        <v>0</v>
      </c>
      <c r="AQ121" s="53">
        <f t="shared" si="284"/>
        <v>0</v>
      </c>
      <c r="AR121" s="53">
        <f t="shared" ref="AR121" si="285">AR120</f>
        <v>0</v>
      </c>
    </row>
    <row r="122" spans="1:44" outlineLevel="1" x14ac:dyDescent="0.2">
      <c r="A122" s="63" t="s">
        <v>444</v>
      </c>
      <c r="C122" s="2" t="s">
        <v>14</v>
      </c>
      <c r="D122" s="40"/>
      <c r="E122" s="335">
        <v>0</v>
      </c>
      <c r="F122" s="335">
        <f t="shared" ref="F122:AR122" si="286">E122</f>
        <v>0</v>
      </c>
      <c r="G122" s="335">
        <f t="shared" si="286"/>
        <v>0</v>
      </c>
      <c r="H122" s="335">
        <f t="shared" si="286"/>
        <v>0</v>
      </c>
      <c r="I122" s="335">
        <f t="shared" si="286"/>
        <v>0</v>
      </c>
      <c r="J122" s="335">
        <f t="shared" si="286"/>
        <v>0</v>
      </c>
      <c r="K122" s="335">
        <f t="shared" si="286"/>
        <v>0</v>
      </c>
      <c r="L122" s="335">
        <f t="shared" si="286"/>
        <v>0</v>
      </c>
      <c r="M122" s="335">
        <f t="shared" si="286"/>
        <v>0</v>
      </c>
      <c r="N122" s="335">
        <f t="shared" si="286"/>
        <v>0</v>
      </c>
      <c r="O122" s="335">
        <f t="shared" si="286"/>
        <v>0</v>
      </c>
      <c r="P122" s="335">
        <f t="shared" si="286"/>
        <v>0</v>
      </c>
      <c r="Q122" s="335">
        <f t="shared" si="286"/>
        <v>0</v>
      </c>
      <c r="R122" s="335">
        <f t="shared" si="286"/>
        <v>0</v>
      </c>
      <c r="S122" s="335">
        <f t="shared" si="286"/>
        <v>0</v>
      </c>
      <c r="T122" s="335">
        <f t="shared" si="286"/>
        <v>0</v>
      </c>
      <c r="U122" s="335">
        <f t="shared" si="286"/>
        <v>0</v>
      </c>
      <c r="V122" s="335">
        <f t="shared" si="286"/>
        <v>0</v>
      </c>
      <c r="W122" s="335">
        <f t="shared" si="286"/>
        <v>0</v>
      </c>
      <c r="X122" s="335">
        <f t="shared" si="286"/>
        <v>0</v>
      </c>
      <c r="Y122" s="335">
        <f t="shared" si="286"/>
        <v>0</v>
      </c>
      <c r="Z122" s="335">
        <f t="shared" si="286"/>
        <v>0</v>
      </c>
      <c r="AA122" s="335">
        <f t="shared" si="286"/>
        <v>0</v>
      </c>
      <c r="AB122" s="335">
        <f t="shared" si="286"/>
        <v>0</v>
      </c>
      <c r="AC122" s="335">
        <f t="shared" si="286"/>
        <v>0</v>
      </c>
      <c r="AD122" s="335">
        <f t="shared" si="286"/>
        <v>0</v>
      </c>
      <c r="AE122" s="335">
        <f t="shared" si="286"/>
        <v>0</v>
      </c>
      <c r="AF122" s="335">
        <f t="shared" si="286"/>
        <v>0</v>
      </c>
      <c r="AG122" s="335">
        <f t="shared" si="286"/>
        <v>0</v>
      </c>
      <c r="AH122" s="335">
        <f t="shared" si="286"/>
        <v>0</v>
      </c>
      <c r="AI122" s="335">
        <f t="shared" si="286"/>
        <v>0</v>
      </c>
      <c r="AJ122" s="335">
        <f t="shared" si="286"/>
        <v>0</v>
      </c>
      <c r="AK122" s="335">
        <f t="shared" si="286"/>
        <v>0</v>
      </c>
      <c r="AL122" s="335">
        <f t="shared" si="286"/>
        <v>0</v>
      </c>
      <c r="AM122" s="335">
        <f t="shared" si="286"/>
        <v>0</v>
      </c>
      <c r="AN122" s="335">
        <f t="shared" si="286"/>
        <v>0</v>
      </c>
      <c r="AO122" s="335">
        <f t="shared" si="286"/>
        <v>0</v>
      </c>
      <c r="AP122" s="335">
        <f t="shared" si="286"/>
        <v>0</v>
      </c>
      <c r="AQ122" s="335">
        <f t="shared" si="286"/>
        <v>0</v>
      </c>
      <c r="AR122" s="335">
        <f t="shared" si="286"/>
        <v>0</v>
      </c>
    </row>
    <row r="123" spans="1:44" outlineLevel="1" x14ac:dyDescent="0.2">
      <c r="A123" s="423" t="s">
        <v>1091</v>
      </c>
      <c r="B123" s="190"/>
      <c r="C123" s="7" t="s">
        <v>1</v>
      </c>
      <c r="D123" s="40"/>
      <c r="E123" s="53">
        <f t="shared" ref="E123:AR123" si="287">POWER(1+E122,E$39/$B$13)-1</f>
        <v>0</v>
      </c>
      <c r="F123" s="53">
        <f t="shared" si="287"/>
        <v>0</v>
      </c>
      <c r="G123" s="53">
        <f t="shared" si="287"/>
        <v>0</v>
      </c>
      <c r="H123" s="53">
        <f t="shared" si="287"/>
        <v>0</v>
      </c>
      <c r="I123" s="53">
        <f t="shared" si="287"/>
        <v>0</v>
      </c>
      <c r="J123" s="53">
        <f t="shared" si="287"/>
        <v>0</v>
      </c>
      <c r="K123" s="53">
        <f t="shared" si="287"/>
        <v>0</v>
      </c>
      <c r="L123" s="53">
        <f t="shared" si="287"/>
        <v>0</v>
      </c>
      <c r="M123" s="53">
        <f t="shared" si="287"/>
        <v>0</v>
      </c>
      <c r="N123" s="53">
        <f t="shared" si="287"/>
        <v>0</v>
      </c>
      <c r="O123" s="53">
        <f t="shared" si="287"/>
        <v>0</v>
      </c>
      <c r="P123" s="53">
        <f t="shared" si="287"/>
        <v>0</v>
      </c>
      <c r="Q123" s="53">
        <f t="shared" si="287"/>
        <v>0</v>
      </c>
      <c r="R123" s="53">
        <f t="shared" si="287"/>
        <v>0</v>
      </c>
      <c r="S123" s="53">
        <f t="shared" si="287"/>
        <v>0</v>
      </c>
      <c r="T123" s="53">
        <f t="shared" si="287"/>
        <v>0</v>
      </c>
      <c r="U123" s="53">
        <f t="shared" si="287"/>
        <v>0</v>
      </c>
      <c r="V123" s="53">
        <f t="shared" si="287"/>
        <v>0</v>
      </c>
      <c r="W123" s="53">
        <f t="shared" si="287"/>
        <v>0</v>
      </c>
      <c r="X123" s="53">
        <f t="shared" si="287"/>
        <v>0</v>
      </c>
      <c r="Y123" s="53">
        <f t="shared" si="287"/>
        <v>0</v>
      </c>
      <c r="Z123" s="53">
        <f t="shared" si="287"/>
        <v>0</v>
      </c>
      <c r="AA123" s="53">
        <f t="shared" si="287"/>
        <v>0</v>
      </c>
      <c r="AB123" s="53">
        <f t="shared" si="287"/>
        <v>0</v>
      </c>
      <c r="AC123" s="53">
        <f t="shared" si="287"/>
        <v>0</v>
      </c>
      <c r="AD123" s="53">
        <f t="shared" si="287"/>
        <v>0</v>
      </c>
      <c r="AE123" s="53">
        <f t="shared" si="287"/>
        <v>0</v>
      </c>
      <c r="AF123" s="53">
        <f t="shared" si="287"/>
        <v>0</v>
      </c>
      <c r="AG123" s="53">
        <f t="shared" si="287"/>
        <v>0</v>
      </c>
      <c r="AH123" s="53">
        <f t="shared" si="287"/>
        <v>0</v>
      </c>
      <c r="AI123" s="53">
        <f t="shared" si="287"/>
        <v>0</v>
      </c>
      <c r="AJ123" s="53">
        <f t="shared" si="287"/>
        <v>0</v>
      </c>
      <c r="AK123" s="53">
        <f t="shared" si="287"/>
        <v>0</v>
      </c>
      <c r="AL123" s="53">
        <f t="shared" si="287"/>
        <v>0</v>
      </c>
      <c r="AM123" s="53">
        <f t="shared" si="287"/>
        <v>0</v>
      </c>
      <c r="AN123" s="53">
        <f t="shared" si="287"/>
        <v>0</v>
      </c>
      <c r="AO123" s="53">
        <f t="shared" si="287"/>
        <v>0</v>
      </c>
      <c r="AP123" s="53">
        <f t="shared" si="287"/>
        <v>0</v>
      </c>
      <c r="AQ123" s="53">
        <f t="shared" si="287"/>
        <v>0</v>
      </c>
      <c r="AR123" s="53">
        <f t="shared" si="287"/>
        <v>0</v>
      </c>
    </row>
    <row r="124" spans="1:44" outlineLevel="1" x14ac:dyDescent="0.2">
      <c r="A124" s="423" t="s">
        <v>493</v>
      </c>
      <c r="C124" s="7" t="s">
        <v>492</v>
      </c>
      <c r="D124" s="397"/>
      <c r="E124" s="53">
        <f>E123</f>
        <v>0</v>
      </c>
      <c r="F124" s="53">
        <f t="shared" ref="F124" si="288">F123</f>
        <v>0</v>
      </c>
      <c r="G124" s="53">
        <f t="shared" ref="G124" si="289">G123</f>
        <v>0</v>
      </c>
      <c r="H124" s="53">
        <f t="shared" ref="H124" si="290">H123</f>
        <v>0</v>
      </c>
      <c r="I124" s="53">
        <f t="shared" ref="I124" si="291">I123</f>
        <v>0</v>
      </c>
      <c r="J124" s="53">
        <f t="shared" ref="J124" si="292">J123</f>
        <v>0</v>
      </c>
      <c r="K124" s="53">
        <f t="shared" ref="K124" si="293">K123</f>
        <v>0</v>
      </c>
      <c r="L124" s="53">
        <f t="shared" ref="L124" si="294">L123</f>
        <v>0</v>
      </c>
      <c r="M124" s="53">
        <f t="shared" ref="M124" si="295">M123</f>
        <v>0</v>
      </c>
      <c r="N124" s="53">
        <f t="shared" ref="N124" si="296">N123</f>
        <v>0</v>
      </c>
      <c r="O124" s="53">
        <f t="shared" ref="O124" si="297">O123</f>
        <v>0</v>
      </c>
      <c r="P124" s="53">
        <f t="shared" ref="P124" si="298">P123</f>
        <v>0</v>
      </c>
      <c r="Q124" s="53">
        <f t="shared" ref="Q124" si="299">Q123</f>
        <v>0</v>
      </c>
      <c r="R124" s="53">
        <f t="shared" ref="R124" si="300">R123</f>
        <v>0</v>
      </c>
      <c r="S124" s="53">
        <f t="shared" ref="S124" si="301">S123</f>
        <v>0</v>
      </c>
      <c r="T124" s="53">
        <f t="shared" ref="T124" si="302">T123</f>
        <v>0</v>
      </c>
      <c r="U124" s="53">
        <f t="shared" ref="U124" si="303">U123</f>
        <v>0</v>
      </c>
      <c r="V124" s="53">
        <f t="shared" ref="V124" si="304">V123</f>
        <v>0</v>
      </c>
      <c r="W124" s="53">
        <f t="shared" ref="W124" si="305">W123</f>
        <v>0</v>
      </c>
      <c r="X124" s="53">
        <f t="shared" ref="X124" si="306">X123</f>
        <v>0</v>
      </c>
      <c r="Y124" s="53">
        <f t="shared" ref="Y124" si="307">Y123</f>
        <v>0</v>
      </c>
      <c r="Z124" s="53">
        <f t="shared" ref="Z124" si="308">Z123</f>
        <v>0</v>
      </c>
      <c r="AA124" s="53">
        <f t="shared" ref="AA124" si="309">AA123</f>
        <v>0</v>
      </c>
      <c r="AB124" s="53">
        <f t="shared" ref="AB124:AC124" si="310">AB123</f>
        <v>0</v>
      </c>
      <c r="AC124" s="53">
        <f t="shared" si="310"/>
        <v>0</v>
      </c>
      <c r="AD124" s="53">
        <f t="shared" ref="AD124:AE124" si="311">AD123</f>
        <v>0</v>
      </c>
      <c r="AE124" s="53">
        <f t="shared" si="311"/>
        <v>0</v>
      </c>
      <c r="AF124" s="53">
        <f t="shared" ref="AF124:AG124" si="312">AF123</f>
        <v>0</v>
      </c>
      <c r="AG124" s="53">
        <f t="shared" si="312"/>
        <v>0</v>
      </c>
      <c r="AH124" s="53">
        <f t="shared" ref="AH124:AI124" si="313">AH123</f>
        <v>0</v>
      </c>
      <c r="AI124" s="53">
        <f t="shared" si="313"/>
        <v>0</v>
      </c>
      <c r="AJ124" s="53">
        <f t="shared" ref="AJ124:AK124" si="314">AJ123</f>
        <v>0</v>
      </c>
      <c r="AK124" s="53">
        <f t="shared" si="314"/>
        <v>0</v>
      </c>
      <c r="AL124" s="53">
        <f t="shared" ref="AL124:AM124" si="315">AL123</f>
        <v>0</v>
      </c>
      <c r="AM124" s="53">
        <f t="shared" si="315"/>
        <v>0</v>
      </c>
      <c r="AN124" s="53">
        <f t="shared" ref="AN124:AO124" si="316">AN123</f>
        <v>0</v>
      </c>
      <c r="AO124" s="53">
        <f t="shared" si="316"/>
        <v>0</v>
      </c>
      <c r="AP124" s="53">
        <f t="shared" ref="AP124:AQ124" si="317">AP123</f>
        <v>0</v>
      </c>
      <c r="AQ124" s="53">
        <f t="shared" si="317"/>
        <v>0</v>
      </c>
      <c r="AR124" s="53">
        <f t="shared" ref="AR124" si="318">AR123</f>
        <v>0</v>
      </c>
    </row>
    <row r="125" spans="1:44" x14ac:dyDescent="0.2">
      <c r="A125" s="49"/>
      <c r="C125" s="2"/>
      <c r="D125" s="40"/>
    </row>
    <row r="126" spans="1:44" x14ac:dyDescent="0.2">
      <c r="A126" s="52" t="s">
        <v>152</v>
      </c>
      <c r="B126" s="339">
        <v>1</v>
      </c>
      <c r="C126" s="54" t="str">
        <f>CHOOSE(B126,Параметры!$B$64,Параметры!$B$108,Параметры!$B$117)</f>
        <v>тыс. руб.</v>
      </c>
      <c r="D126" s="40"/>
      <c r="E126" s="55">
        <f>CHOOSE(Параметры!$B$126,1,E109,E118)</f>
        <v>1</v>
      </c>
      <c r="F126" s="55">
        <f>CHOOSE(Параметры!$B$126,1,F109,F118)</f>
        <v>1</v>
      </c>
      <c r="G126" s="55">
        <f>CHOOSE(Параметры!$B$126,1,G109,G118)</f>
        <v>1</v>
      </c>
      <c r="H126" s="55">
        <f>CHOOSE(Параметры!$B$126,1,H109,H118)</f>
        <v>1</v>
      </c>
      <c r="I126" s="55">
        <f>CHOOSE(Параметры!$B$126,1,I109,I118)</f>
        <v>1</v>
      </c>
      <c r="J126" s="55">
        <f>CHOOSE(Параметры!$B$126,1,J109,J118)</f>
        <v>1</v>
      </c>
      <c r="K126" s="55">
        <f>CHOOSE(Параметры!$B$126,1,K109,K118)</f>
        <v>1</v>
      </c>
      <c r="L126" s="55">
        <f>CHOOSE(Параметры!$B$126,1,L109,L118)</f>
        <v>1</v>
      </c>
      <c r="M126" s="55">
        <f>CHOOSE(Параметры!$B$126,1,M109,M118)</f>
        <v>1</v>
      </c>
      <c r="N126" s="55">
        <f>CHOOSE(Параметры!$B$126,1,N109,N118)</f>
        <v>1</v>
      </c>
      <c r="O126" s="55">
        <f>CHOOSE(Параметры!$B$126,1,O109,O118)</f>
        <v>1</v>
      </c>
      <c r="P126" s="55">
        <f>CHOOSE(Параметры!$B$126,1,P109,P118)</f>
        <v>1</v>
      </c>
      <c r="Q126" s="55">
        <f>CHOOSE(Параметры!$B$126,1,Q109,Q118)</f>
        <v>1</v>
      </c>
      <c r="R126" s="55">
        <f>CHOOSE(Параметры!$B$126,1,R109,R118)</f>
        <v>1</v>
      </c>
      <c r="S126" s="55">
        <f>CHOOSE(Параметры!$B$126,1,S109,S118)</f>
        <v>1</v>
      </c>
      <c r="T126" s="55">
        <f>CHOOSE(Параметры!$B$126,1,T109,T118)</f>
        <v>1</v>
      </c>
      <c r="U126" s="55">
        <f>CHOOSE(Параметры!$B$126,1,U109,U118)</f>
        <v>1</v>
      </c>
      <c r="V126" s="55">
        <f>CHOOSE(Параметры!$B$126,1,V109,V118)</f>
        <v>1</v>
      </c>
      <c r="W126" s="55">
        <f>CHOOSE(Параметры!$B$126,1,W109,W118)</f>
        <v>1</v>
      </c>
      <c r="X126" s="55">
        <f>CHOOSE(Параметры!$B$126,1,X109,X118)</f>
        <v>1</v>
      </c>
      <c r="Y126" s="55">
        <f>CHOOSE(Параметры!$B$126,1,Y109,Y118)</f>
        <v>1</v>
      </c>
      <c r="Z126" s="55">
        <f>CHOOSE(Параметры!$B$126,1,Z109,Z118)</f>
        <v>1</v>
      </c>
      <c r="AA126" s="55">
        <f>CHOOSE(Параметры!$B$126,1,AA109,AA118)</f>
        <v>1</v>
      </c>
      <c r="AB126" s="55">
        <f>CHOOSE(Параметры!$B$126,1,AB109,AB118)</f>
        <v>1</v>
      </c>
      <c r="AC126" s="55">
        <f>CHOOSE(Параметры!$B$126,1,AC109,AC118)</f>
        <v>1</v>
      </c>
      <c r="AD126" s="55">
        <f>CHOOSE(Параметры!$B$126,1,AD109,AD118)</f>
        <v>1</v>
      </c>
      <c r="AE126" s="55">
        <f>CHOOSE(Параметры!$B$126,1,AE109,AE118)</f>
        <v>1</v>
      </c>
      <c r="AF126" s="55">
        <f>CHOOSE(Параметры!$B$126,1,AF109,AF118)</f>
        <v>1</v>
      </c>
      <c r="AG126" s="55">
        <f>CHOOSE(Параметры!$B$126,1,AG109,AG118)</f>
        <v>1</v>
      </c>
      <c r="AH126" s="55">
        <f>CHOOSE(Параметры!$B$126,1,AH109,AH118)</f>
        <v>1</v>
      </c>
      <c r="AI126" s="55">
        <f>CHOOSE(Параметры!$B$126,1,AI109,AI118)</f>
        <v>1</v>
      </c>
      <c r="AJ126" s="55">
        <f>CHOOSE(Параметры!$B$126,1,AJ109,AJ118)</f>
        <v>1</v>
      </c>
      <c r="AK126" s="55">
        <f>CHOOSE(Параметры!$B$126,1,AK109,AK118)</f>
        <v>1</v>
      </c>
      <c r="AL126" s="55">
        <f>CHOOSE(Параметры!$B$126,1,AL109,AL118)</f>
        <v>1</v>
      </c>
      <c r="AM126" s="55">
        <f>CHOOSE(Параметры!$B$126,1,AM109,AM118)</f>
        <v>1</v>
      </c>
      <c r="AN126" s="55">
        <f>CHOOSE(Параметры!$B$126,1,AN109,AN118)</f>
        <v>1</v>
      </c>
      <c r="AO126" s="55">
        <f>CHOOSE(Параметры!$B$126,1,AO109,AO118)</f>
        <v>1</v>
      </c>
      <c r="AP126" s="55">
        <f>CHOOSE(Параметры!$B$126,1,AP109,AP118)</f>
        <v>1</v>
      </c>
      <c r="AQ126" s="55">
        <f>CHOOSE(Параметры!$B$126,1,AQ109,AQ118)</f>
        <v>1</v>
      </c>
      <c r="AR126" s="55">
        <f>CHOOSE(Параметры!$B$126,1,AR109,AR118)</f>
        <v>1</v>
      </c>
    </row>
    <row r="127" spans="1:44" x14ac:dyDescent="0.2">
      <c r="A127" s="45"/>
      <c r="B127" s="46"/>
      <c r="C127" s="46"/>
      <c r="D127" s="47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</row>
    <row r="128" spans="1:44" x14ac:dyDescent="0.2">
      <c r="D128" s="40"/>
    </row>
    <row r="129" spans="1:46" ht="12" thickBot="1" x14ac:dyDescent="0.25">
      <c r="D129" s="40"/>
    </row>
    <row r="130" spans="1:46" s="43" customFormat="1" ht="25.5" customHeight="1" thickBot="1" x14ac:dyDescent="0.25">
      <c r="A130" s="476" t="s">
        <v>507</v>
      </c>
      <c r="B130" s="477"/>
      <c r="C130" s="477"/>
      <c r="D130" s="478"/>
      <c r="E130" s="479" t="str">
        <f t="shared" ref="E130:AR130" si="319">CHOOSE($B$16,E$53,E$54)</f>
        <v>1 кв. 2020</v>
      </c>
      <c r="F130" s="479" t="str">
        <f t="shared" si="319"/>
        <v>2 кв. 2020</v>
      </c>
      <c r="G130" s="479" t="str">
        <f t="shared" si="319"/>
        <v>3 кв. 2020</v>
      </c>
      <c r="H130" s="479" t="str">
        <f t="shared" si="319"/>
        <v>4 кв. 2020</v>
      </c>
      <c r="I130" s="479" t="str">
        <f t="shared" si="319"/>
        <v>1 кв. 2021</v>
      </c>
      <c r="J130" s="479" t="str">
        <f t="shared" si="319"/>
        <v>2 кв. 2021</v>
      </c>
      <c r="K130" s="479" t="str">
        <f t="shared" si="319"/>
        <v>3 кв. 2021</v>
      </c>
      <c r="L130" s="479" t="str">
        <f t="shared" si="319"/>
        <v>4 кв. 2021</v>
      </c>
      <c r="M130" s="479" t="str">
        <f t="shared" si="319"/>
        <v>1 кв. 2022</v>
      </c>
      <c r="N130" s="479" t="str">
        <f t="shared" si="319"/>
        <v>2 кв. 2022</v>
      </c>
      <c r="O130" s="479" t="str">
        <f t="shared" si="319"/>
        <v>3 кв. 2022</v>
      </c>
      <c r="P130" s="479" t="str">
        <f t="shared" si="319"/>
        <v>4 кв. 2022</v>
      </c>
      <c r="Q130" s="479" t="str">
        <f t="shared" si="319"/>
        <v>1 кв. 2023</v>
      </c>
      <c r="R130" s="479" t="str">
        <f t="shared" si="319"/>
        <v>2 кв. 2023</v>
      </c>
      <c r="S130" s="479" t="str">
        <f t="shared" si="319"/>
        <v>3 кв. 2023</v>
      </c>
      <c r="T130" s="479" t="str">
        <f t="shared" si="319"/>
        <v>4 кв. 2023</v>
      </c>
      <c r="U130" s="479" t="str">
        <f t="shared" si="319"/>
        <v>1 кв. 2024</v>
      </c>
      <c r="V130" s="479" t="str">
        <f t="shared" si="319"/>
        <v>2 кв. 2024</v>
      </c>
      <c r="W130" s="479" t="str">
        <f t="shared" si="319"/>
        <v>3 кв. 2024</v>
      </c>
      <c r="X130" s="479" t="str">
        <f t="shared" si="319"/>
        <v>4 кв. 2024</v>
      </c>
      <c r="Y130" s="479" t="str">
        <f t="shared" si="319"/>
        <v>1 кв. 2025</v>
      </c>
      <c r="Z130" s="479" t="str">
        <f t="shared" si="319"/>
        <v>2 кв. 2025</v>
      </c>
      <c r="AA130" s="479" t="str">
        <f t="shared" si="319"/>
        <v>3 кв. 2025</v>
      </c>
      <c r="AB130" s="479" t="str">
        <f t="shared" si="319"/>
        <v>4 кв. 2025</v>
      </c>
      <c r="AC130" s="479" t="str">
        <f t="shared" si="319"/>
        <v>1 кв. 2026</v>
      </c>
      <c r="AD130" s="479" t="str">
        <f t="shared" si="319"/>
        <v>2 кв. 2026</v>
      </c>
      <c r="AE130" s="479" t="str">
        <f t="shared" si="319"/>
        <v>3 кв. 2026</v>
      </c>
      <c r="AF130" s="479" t="str">
        <f t="shared" si="319"/>
        <v>4 кв. 2026</v>
      </c>
      <c r="AG130" s="479" t="str">
        <f t="shared" si="319"/>
        <v>1 кв. 2027</v>
      </c>
      <c r="AH130" s="479" t="str">
        <f t="shared" si="319"/>
        <v>2 кв. 2027</v>
      </c>
      <c r="AI130" s="479" t="str">
        <f t="shared" si="319"/>
        <v>3 кв. 2027</v>
      </c>
      <c r="AJ130" s="479" t="str">
        <f t="shared" si="319"/>
        <v>4 кв. 2027</v>
      </c>
      <c r="AK130" s="479" t="str">
        <f t="shared" si="319"/>
        <v>1 кв. 2028</v>
      </c>
      <c r="AL130" s="479" t="str">
        <f t="shared" si="319"/>
        <v>2 кв. 2028</v>
      </c>
      <c r="AM130" s="479" t="str">
        <f t="shared" si="319"/>
        <v>3 кв. 2028</v>
      </c>
      <c r="AN130" s="479" t="str">
        <f t="shared" si="319"/>
        <v>4 кв. 2028</v>
      </c>
      <c r="AO130" s="479" t="str">
        <f t="shared" si="319"/>
        <v>1 кв. 2029</v>
      </c>
      <c r="AP130" s="479" t="str">
        <f t="shared" si="319"/>
        <v>2 кв. 2029</v>
      </c>
      <c r="AQ130" s="479" t="str">
        <f t="shared" si="319"/>
        <v>3 кв. 2029</v>
      </c>
      <c r="AR130" s="479" t="str">
        <f t="shared" si="319"/>
        <v>4 кв. 2029</v>
      </c>
      <c r="AS130" s="480"/>
      <c r="AT130" s="480"/>
    </row>
    <row r="131" spans="1:46" x14ac:dyDescent="0.2">
      <c r="A131" s="44"/>
      <c r="D131" s="40"/>
    </row>
    <row r="132" spans="1:46" ht="22.5" x14ac:dyDescent="0.2">
      <c r="A132" s="61" t="s">
        <v>540</v>
      </c>
      <c r="B132" s="342">
        <v>1</v>
      </c>
      <c r="D132" s="40"/>
    </row>
    <row r="133" spans="1:46" x14ac:dyDescent="0.2">
      <c r="A133" s="44"/>
      <c r="D133" s="40"/>
    </row>
    <row r="134" spans="1:46" x14ac:dyDescent="0.2">
      <c r="A134" s="52" t="s">
        <v>36</v>
      </c>
      <c r="D134" s="40"/>
    </row>
    <row r="135" spans="1:46" ht="11.25" customHeight="1" outlineLevel="1" x14ac:dyDescent="0.2">
      <c r="A135" s="194" t="s">
        <v>306</v>
      </c>
      <c r="D135" s="40"/>
    </row>
    <row r="136" spans="1:46" ht="11.25" customHeight="1" outlineLevel="1" x14ac:dyDescent="0.2">
      <c r="A136" s="63" t="s">
        <v>18</v>
      </c>
      <c r="B136" s="340">
        <v>0.2</v>
      </c>
      <c r="C136" s="2" t="s">
        <v>1</v>
      </c>
      <c r="D136" s="40"/>
      <c r="E136" s="335">
        <f t="shared" ref="E136:AR136" si="320">IF(E46&lt;2019,18%,20%)</f>
        <v>0.2</v>
      </c>
      <c r="F136" s="335">
        <f t="shared" si="320"/>
        <v>0.2</v>
      </c>
      <c r="G136" s="335">
        <f t="shared" si="320"/>
        <v>0.2</v>
      </c>
      <c r="H136" s="335">
        <f t="shared" si="320"/>
        <v>0.2</v>
      </c>
      <c r="I136" s="335">
        <f t="shared" si="320"/>
        <v>0.2</v>
      </c>
      <c r="J136" s="335">
        <f t="shared" si="320"/>
        <v>0.2</v>
      </c>
      <c r="K136" s="335">
        <f t="shared" si="320"/>
        <v>0.2</v>
      </c>
      <c r="L136" s="335">
        <f t="shared" si="320"/>
        <v>0.2</v>
      </c>
      <c r="M136" s="335">
        <f t="shared" si="320"/>
        <v>0.2</v>
      </c>
      <c r="N136" s="335">
        <f t="shared" si="320"/>
        <v>0.2</v>
      </c>
      <c r="O136" s="335">
        <f t="shared" si="320"/>
        <v>0.2</v>
      </c>
      <c r="P136" s="335">
        <f t="shared" si="320"/>
        <v>0.2</v>
      </c>
      <c r="Q136" s="335">
        <f t="shared" si="320"/>
        <v>0.2</v>
      </c>
      <c r="R136" s="335">
        <f t="shared" si="320"/>
        <v>0.2</v>
      </c>
      <c r="S136" s="335">
        <f t="shared" si="320"/>
        <v>0.2</v>
      </c>
      <c r="T136" s="335">
        <f t="shared" si="320"/>
        <v>0.2</v>
      </c>
      <c r="U136" s="335">
        <f t="shared" si="320"/>
        <v>0.2</v>
      </c>
      <c r="V136" s="335">
        <f t="shared" si="320"/>
        <v>0.2</v>
      </c>
      <c r="W136" s="335">
        <f t="shared" si="320"/>
        <v>0.2</v>
      </c>
      <c r="X136" s="335">
        <f t="shared" si="320"/>
        <v>0.2</v>
      </c>
      <c r="Y136" s="335">
        <f t="shared" si="320"/>
        <v>0.2</v>
      </c>
      <c r="Z136" s="335">
        <f t="shared" si="320"/>
        <v>0.2</v>
      </c>
      <c r="AA136" s="335">
        <f t="shared" si="320"/>
        <v>0.2</v>
      </c>
      <c r="AB136" s="335">
        <f t="shared" si="320"/>
        <v>0.2</v>
      </c>
      <c r="AC136" s="335">
        <f t="shared" si="320"/>
        <v>0.2</v>
      </c>
      <c r="AD136" s="335">
        <f t="shared" si="320"/>
        <v>0.2</v>
      </c>
      <c r="AE136" s="335">
        <f t="shared" si="320"/>
        <v>0.2</v>
      </c>
      <c r="AF136" s="335">
        <f t="shared" si="320"/>
        <v>0.2</v>
      </c>
      <c r="AG136" s="335">
        <f t="shared" si="320"/>
        <v>0.2</v>
      </c>
      <c r="AH136" s="335">
        <f t="shared" si="320"/>
        <v>0.2</v>
      </c>
      <c r="AI136" s="335">
        <f t="shared" si="320"/>
        <v>0.2</v>
      </c>
      <c r="AJ136" s="335">
        <f t="shared" si="320"/>
        <v>0.2</v>
      </c>
      <c r="AK136" s="335">
        <f t="shared" si="320"/>
        <v>0.2</v>
      </c>
      <c r="AL136" s="335">
        <f t="shared" si="320"/>
        <v>0.2</v>
      </c>
      <c r="AM136" s="335">
        <f t="shared" si="320"/>
        <v>0.2</v>
      </c>
      <c r="AN136" s="335">
        <f t="shared" si="320"/>
        <v>0.2</v>
      </c>
      <c r="AO136" s="335">
        <f t="shared" si="320"/>
        <v>0.2</v>
      </c>
      <c r="AP136" s="335">
        <f t="shared" si="320"/>
        <v>0.2</v>
      </c>
      <c r="AQ136" s="335">
        <f t="shared" si="320"/>
        <v>0.2</v>
      </c>
      <c r="AR136" s="335">
        <f t="shared" si="320"/>
        <v>0.2</v>
      </c>
    </row>
    <row r="137" spans="1:46" ht="11.25" customHeight="1" outlineLevel="1" x14ac:dyDescent="0.2">
      <c r="A137" s="63" t="s">
        <v>39</v>
      </c>
      <c r="B137" s="341">
        <v>3</v>
      </c>
      <c r="C137" s="2" t="s">
        <v>17</v>
      </c>
      <c r="D137" s="40"/>
      <c r="E137" s="1"/>
    </row>
    <row r="138" spans="1:46" ht="33.75" customHeight="1" outlineLevel="1" x14ac:dyDescent="0.2">
      <c r="A138" s="154" t="s">
        <v>459</v>
      </c>
      <c r="B138" s="342">
        <v>1</v>
      </c>
      <c r="C138" s="57"/>
      <c r="D138" s="40"/>
      <c r="E138" s="1"/>
    </row>
    <row r="139" spans="1:46" ht="11.25" customHeight="1" outlineLevel="1" x14ac:dyDescent="0.2">
      <c r="A139" s="58" t="s">
        <v>497</v>
      </c>
      <c r="B139" s="341">
        <v>0</v>
      </c>
      <c r="C139" s="2" t="s">
        <v>97</v>
      </c>
      <c r="D139" s="40"/>
    </row>
    <row r="140" spans="1:46" ht="11.25" customHeight="1" outlineLevel="1" x14ac:dyDescent="0.2">
      <c r="A140" s="58" t="s">
        <v>496</v>
      </c>
      <c r="B140" s="341">
        <v>0</v>
      </c>
      <c r="C140" s="2" t="str">
        <f>Параметры!$B$64</f>
        <v>тыс. руб.</v>
      </c>
      <c r="D140" s="40"/>
    </row>
    <row r="141" spans="1:46" x14ac:dyDescent="0.2">
      <c r="A141" s="44"/>
      <c r="B141" s="6"/>
      <c r="D141" s="40"/>
    </row>
    <row r="142" spans="1:46" x14ac:dyDescent="0.2">
      <c r="A142" s="52" t="s">
        <v>37</v>
      </c>
      <c r="B142" s="6"/>
      <c r="D142" s="40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</row>
    <row r="143" spans="1:46" outlineLevel="1" x14ac:dyDescent="0.2">
      <c r="A143" s="44" t="s">
        <v>538</v>
      </c>
      <c r="B143" s="6"/>
      <c r="D143" s="40"/>
    </row>
    <row r="144" spans="1:46" outlineLevel="1" x14ac:dyDescent="0.2">
      <c r="A144" s="63" t="s">
        <v>304</v>
      </c>
      <c r="B144" s="59"/>
      <c r="C144" s="2" t="s">
        <v>1</v>
      </c>
      <c r="D144" s="40"/>
      <c r="E144" s="335">
        <f t="shared" ref="E144:AR144" si="321">IF(AND(E46&gt;=2017,E46&lt;=2024),3%,2%)</f>
        <v>0.03</v>
      </c>
      <c r="F144" s="335">
        <f t="shared" si="321"/>
        <v>0.03</v>
      </c>
      <c r="G144" s="335">
        <f t="shared" si="321"/>
        <v>0.03</v>
      </c>
      <c r="H144" s="335">
        <f t="shared" si="321"/>
        <v>0.03</v>
      </c>
      <c r="I144" s="335">
        <f t="shared" si="321"/>
        <v>0.03</v>
      </c>
      <c r="J144" s="335">
        <f t="shared" si="321"/>
        <v>0.03</v>
      </c>
      <c r="K144" s="335">
        <f t="shared" si="321"/>
        <v>0.03</v>
      </c>
      <c r="L144" s="335">
        <f t="shared" si="321"/>
        <v>0.03</v>
      </c>
      <c r="M144" s="335">
        <f t="shared" si="321"/>
        <v>0.03</v>
      </c>
      <c r="N144" s="335">
        <f t="shared" si="321"/>
        <v>0.03</v>
      </c>
      <c r="O144" s="335">
        <f t="shared" si="321"/>
        <v>0.03</v>
      </c>
      <c r="P144" s="335">
        <f t="shared" si="321"/>
        <v>0.03</v>
      </c>
      <c r="Q144" s="335">
        <f t="shared" si="321"/>
        <v>0.03</v>
      </c>
      <c r="R144" s="335">
        <f t="shared" si="321"/>
        <v>0.03</v>
      </c>
      <c r="S144" s="335">
        <f t="shared" si="321"/>
        <v>0.03</v>
      </c>
      <c r="T144" s="335">
        <f t="shared" si="321"/>
        <v>0.03</v>
      </c>
      <c r="U144" s="335">
        <f t="shared" si="321"/>
        <v>0.03</v>
      </c>
      <c r="V144" s="335">
        <f t="shared" si="321"/>
        <v>0.03</v>
      </c>
      <c r="W144" s="335">
        <f t="shared" si="321"/>
        <v>0.03</v>
      </c>
      <c r="X144" s="335">
        <f t="shared" si="321"/>
        <v>0.03</v>
      </c>
      <c r="Y144" s="335">
        <f t="shared" si="321"/>
        <v>0.02</v>
      </c>
      <c r="Z144" s="335">
        <f t="shared" si="321"/>
        <v>0.02</v>
      </c>
      <c r="AA144" s="335">
        <f t="shared" si="321"/>
        <v>0.02</v>
      </c>
      <c r="AB144" s="335">
        <f t="shared" si="321"/>
        <v>0.02</v>
      </c>
      <c r="AC144" s="335">
        <f t="shared" si="321"/>
        <v>0.02</v>
      </c>
      <c r="AD144" s="335">
        <f t="shared" si="321"/>
        <v>0.02</v>
      </c>
      <c r="AE144" s="335">
        <f t="shared" si="321"/>
        <v>0.02</v>
      </c>
      <c r="AF144" s="335">
        <f t="shared" si="321"/>
        <v>0.02</v>
      </c>
      <c r="AG144" s="335">
        <f t="shared" si="321"/>
        <v>0.02</v>
      </c>
      <c r="AH144" s="335">
        <f t="shared" si="321"/>
        <v>0.02</v>
      </c>
      <c r="AI144" s="335">
        <f t="shared" si="321"/>
        <v>0.02</v>
      </c>
      <c r="AJ144" s="335">
        <f t="shared" si="321"/>
        <v>0.02</v>
      </c>
      <c r="AK144" s="335">
        <f t="shared" si="321"/>
        <v>0.02</v>
      </c>
      <c r="AL144" s="335">
        <f t="shared" si="321"/>
        <v>0.02</v>
      </c>
      <c r="AM144" s="335">
        <f t="shared" si="321"/>
        <v>0.02</v>
      </c>
      <c r="AN144" s="335">
        <f t="shared" si="321"/>
        <v>0.02</v>
      </c>
      <c r="AO144" s="335">
        <f t="shared" si="321"/>
        <v>0.02</v>
      </c>
      <c r="AP144" s="335">
        <f t="shared" si="321"/>
        <v>0.02</v>
      </c>
      <c r="AQ144" s="335">
        <f t="shared" si="321"/>
        <v>0.02</v>
      </c>
      <c r="AR144" s="335">
        <f t="shared" si="321"/>
        <v>0.02</v>
      </c>
    </row>
    <row r="145" spans="1:46" outlineLevel="1" x14ac:dyDescent="0.2">
      <c r="A145" s="63" t="s">
        <v>305</v>
      </c>
      <c r="B145" s="59"/>
      <c r="C145" s="2" t="s">
        <v>1</v>
      </c>
      <c r="D145" s="40"/>
      <c r="E145" s="335">
        <f t="shared" ref="E145:AR145" si="322">IF(AND(E46&gt;=2017,E46&lt;=2024),17%,18%)</f>
        <v>0.17</v>
      </c>
      <c r="F145" s="335">
        <f t="shared" si="322"/>
        <v>0.17</v>
      </c>
      <c r="G145" s="335">
        <f t="shared" si="322"/>
        <v>0.17</v>
      </c>
      <c r="H145" s="335">
        <f t="shared" si="322"/>
        <v>0.17</v>
      </c>
      <c r="I145" s="335">
        <f t="shared" si="322"/>
        <v>0.17</v>
      </c>
      <c r="J145" s="335">
        <f t="shared" si="322"/>
        <v>0.17</v>
      </c>
      <c r="K145" s="335">
        <f t="shared" si="322"/>
        <v>0.17</v>
      </c>
      <c r="L145" s="335">
        <f t="shared" si="322"/>
        <v>0.17</v>
      </c>
      <c r="M145" s="335">
        <f t="shared" si="322"/>
        <v>0.17</v>
      </c>
      <c r="N145" s="335">
        <f t="shared" si="322"/>
        <v>0.17</v>
      </c>
      <c r="O145" s="335">
        <f t="shared" si="322"/>
        <v>0.17</v>
      </c>
      <c r="P145" s="335">
        <f t="shared" si="322"/>
        <v>0.17</v>
      </c>
      <c r="Q145" s="335">
        <f t="shared" si="322"/>
        <v>0.17</v>
      </c>
      <c r="R145" s="335">
        <f t="shared" si="322"/>
        <v>0.17</v>
      </c>
      <c r="S145" s="335">
        <f t="shared" si="322"/>
        <v>0.17</v>
      </c>
      <c r="T145" s="335">
        <f t="shared" si="322"/>
        <v>0.17</v>
      </c>
      <c r="U145" s="335">
        <f t="shared" si="322"/>
        <v>0.17</v>
      </c>
      <c r="V145" s="335">
        <f t="shared" si="322"/>
        <v>0.17</v>
      </c>
      <c r="W145" s="335">
        <f t="shared" si="322"/>
        <v>0.17</v>
      </c>
      <c r="X145" s="335">
        <f t="shared" si="322"/>
        <v>0.17</v>
      </c>
      <c r="Y145" s="335">
        <f t="shared" si="322"/>
        <v>0.18</v>
      </c>
      <c r="Z145" s="335">
        <f t="shared" si="322"/>
        <v>0.18</v>
      </c>
      <c r="AA145" s="335">
        <f t="shared" si="322"/>
        <v>0.18</v>
      </c>
      <c r="AB145" s="335">
        <f t="shared" si="322"/>
        <v>0.18</v>
      </c>
      <c r="AC145" s="335">
        <f t="shared" si="322"/>
        <v>0.18</v>
      </c>
      <c r="AD145" s="335">
        <f t="shared" si="322"/>
        <v>0.18</v>
      </c>
      <c r="AE145" s="335">
        <f t="shared" si="322"/>
        <v>0.18</v>
      </c>
      <c r="AF145" s="335">
        <f t="shared" si="322"/>
        <v>0.18</v>
      </c>
      <c r="AG145" s="335">
        <f t="shared" si="322"/>
        <v>0.18</v>
      </c>
      <c r="AH145" s="335">
        <f t="shared" si="322"/>
        <v>0.18</v>
      </c>
      <c r="AI145" s="335">
        <f t="shared" si="322"/>
        <v>0.18</v>
      </c>
      <c r="AJ145" s="335">
        <f t="shared" si="322"/>
        <v>0.18</v>
      </c>
      <c r="AK145" s="335">
        <f t="shared" si="322"/>
        <v>0.18</v>
      </c>
      <c r="AL145" s="335">
        <f t="shared" si="322"/>
        <v>0.18</v>
      </c>
      <c r="AM145" s="335">
        <f t="shared" si="322"/>
        <v>0.18</v>
      </c>
      <c r="AN145" s="335">
        <f t="shared" si="322"/>
        <v>0.18</v>
      </c>
      <c r="AO145" s="335">
        <f t="shared" si="322"/>
        <v>0.18</v>
      </c>
      <c r="AP145" s="335">
        <f t="shared" si="322"/>
        <v>0.18</v>
      </c>
      <c r="AQ145" s="335">
        <f t="shared" si="322"/>
        <v>0.18</v>
      </c>
      <c r="AR145" s="335">
        <f t="shared" si="322"/>
        <v>0.18</v>
      </c>
    </row>
    <row r="146" spans="1:46" outlineLevel="1" x14ac:dyDescent="0.2">
      <c r="A146" s="63" t="s">
        <v>16</v>
      </c>
      <c r="B146" s="59"/>
      <c r="C146" s="2" t="s">
        <v>1</v>
      </c>
      <c r="D146" s="40"/>
      <c r="E146" s="53">
        <f t="shared" ref="E146:P146" si="323">E144+E145</f>
        <v>0.2</v>
      </c>
      <c r="F146" s="53">
        <f t="shared" si="323"/>
        <v>0.2</v>
      </c>
      <c r="G146" s="53">
        <f t="shared" si="323"/>
        <v>0.2</v>
      </c>
      <c r="H146" s="53">
        <f t="shared" si="323"/>
        <v>0.2</v>
      </c>
      <c r="I146" s="53">
        <f t="shared" si="323"/>
        <v>0.2</v>
      </c>
      <c r="J146" s="53">
        <f t="shared" si="323"/>
        <v>0.2</v>
      </c>
      <c r="K146" s="53">
        <f t="shared" si="323"/>
        <v>0.2</v>
      </c>
      <c r="L146" s="53">
        <f t="shared" si="323"/>
        <v>0.2</v>
      </c>
      <c r="M146" s="53">
        <f t="shared" si="323"/>
        <v>0.2</v>
      </c>
      <c r="N146" s="53">
        <f t="shared" si="323"/>
        <v>0.2</v>
      </c>
      <c r="O146" s="53">
        <f t="shared" si="323"/>
        <v>0.2</v>
      </c>
      <c r="P146" s="53">
        <f t="shared" si="323"/>
        <v>0.2</v>
      </c>
      <c r="Q146" s="53">
        <f t="shared" ref="Q146:R146" si="324">Q144+Q145</f>
        <v>0.2</v>
      </c>
      <c r="R146" s="53">
        <f t="shared" si="324"/>
        <v>0.2</v>
      </c>
      <c r="S146" s="53">
        <f t="shared" ref="S146:T146" si="325">S144+S145</f>
        <v>0.2</v>
      </c>
      <c r="T146" s="53">
        <f t="shared" si="325"/>
        <v>0.2</v>
      </c>
      <c r="U146" s="53">
        <f t="shared" ref="U146:V146" si="326">U144+U145</f>
        <v>0.2</v>
      </c>
      <c r="V146" s="53">
        <f t="shared" si="326"/>
        <v>0.2</v>
      </c>
      <c r="W146" s="53">
        <f t="shared" ref="W146:X146" si="327">W144+W145</f>
        <v>0.2</v>
      </c>
      <c r="X146" s="53">
        <f t="shared" si="327"/>
        <v>0.2</v>
      </c>
      <c r="Y146" s="53">
        <f t="shared" ref="Y146:Z146" si="328">Y144+Y145</f>
        <v>0.19999999999999998</v>
      </c>
      <c r="Z146" s="53">
        <f t="shared" si="328"/>
        <v>0.19999999999999998</v>
      </c>
      <c r="AA146" s="53">
        <f t="shared" ref="AA146:AB146" si="329">AA144+AA145</f>
        <v>0.19999999999999998</v>
      </c>
      <c r="AB146" s="53">
        <f t="shared" si="329"/>
        <v>0.19999999999999998</v>
      </c>
      <c r="AC146" s="53">
        <f t="shared" ref="AC146:AD146" si="330">AC144+AC145</f>
        <v>0.19999999999999998</v>
      </c>
      <c r="AD146" s="53">
        <f t="shared" si="330"/>
        <v>0.19999999999999998</v>
      </c>
      <c r="AE146" s="53">
        <f t="shared" ref="AE146:AF146" si="331">AE144+AE145</f>
        <v>0.19999999999999998</v>
      </c>
      <c r="AF146" s="53">
        <f t="shared" si="331"/>
        <v>0.19999999999999998</v>
      </c>
      <c r="AG146" s="53">
        <f t="shared" ref="AG146:AH146" si="332">AG144+AG145</f>
        <v>0.19999999999999998</v>
      </c>
      <c r="AH146" s="53">
        <f t="shared" si="332"/>
        <v>0.19999999999999998</v>
      </c>
      <c r="AI146" s="53">
        <f t="shared" ref="AI146:AJ146" si="333">AI144+AI145</f>
        <v>0.19999999999999998</v>
      </c>
      <c r="AJ146" s="53">
        <f t="shared" si="333"/>
        <v>0.19999999999999998</v>
      </c>
      <c r="AK146" s="53">
        <f t="shared" ref="AK146:AL146" si="334">AK144+AK145</f>
        <v>0.19999999999999998</v>
      </c>
      <c r="AL146" s="53">
        <f t="shared" si="334"/>
        <v>0.19999999999999998</v>
      </c>
      <c r="AM146" s="53">
        <f t="shared" ref="AM146:AN146" si="335">AM144+AM145</f>
        <v>0.19999999999999998</v>
      </c>
      <c r="AN146" s="53">
        <f t="shared" si="335"/>
        <v>0.19999999999999998</v>
      </c>
      <c r="AO146" s="53">
        <f t="shared" ref="AO146:AP146" si="336">AO144+AO145</f>
        <v>0.19999999999999998</v>
      </c>
      <c r="AP146" s="53">
        <f t="shared" si="336"/>
        <v>0.19999999999999998</v>
      </c>
      <c r="AQ146" s="53">
        <f t="shared" ref="AQ146:AR146" si="337">AQ144+AQ145</f>
        <v>0.19999999999999998</v>
      </c>
      <c r="AR146" s="53">
        <f t="shared" si="337"/>
        <v>0.19999999999999998</v>
      </c>
    </row>
    <row r="147" spans="1:46" outlineLevel="1" x14ac:dyDescent="0.2">
      <c r="A147" s="63" t="s">
        <v>39</v>
      </c>
      <c r="B147" s="341">
        <v>3</v>
      </c>
      <c r="C147" s="2" t="s">
        <v>17</v>
      </c>
      <c r="D147" s="40"/>
    </row>
    <row r="148" spans="1:46" ht="11.25" customHeight="1" outlineLevel="1" x14ac:dyDescent="0.2">
      <c r="A148" s="146" t="s">
        <v>519</v>
      </c>
      <c r="B148" s="40"/>
      <c r="C148" s="2" t="s">
        <v>1</v>
      </c>
      <c r="D148" s="65"/>
      <c r="E148" s="358">
        <f>IF(AND(E$46&gt;=2017,E$46&lt;=2021),50%,100%)</f>
        <v>0.5</v>
      </c>
      <c r="F148" s="358">
        <f t="shared" ref="F148:AR148" si="338">IF(AND(F$46&gt;=2017,F$46&lt;=2021),50%,100%)</f>
        <v>0.5</v>
      </c>
      <c r="G148" s="358">
        <f t="shared" si="338"/>
        <v>0.5</v>
      </c>
      <c r="H148" s="358">
        <f t="shared" si="338"/>
        <v>0.5</v>
      </c>
      <c r="I148" s="358">
        <f t="shared" si="338"/>
        <v>0.5</v>
      </c>
      <c r="J148" s="358">
        <f t="shared" si="338"/>
        <v>0.5</v>
      </c>
      <c r="K148" s="358">
        <f t="shared" si="338"/>
        <v>0.5</v>
      </c>
      <c r="L148" s="358">
        <f t="shared" si="338"/>
        <v>0.5</v>
      </c>
      <c r="M148" s="358">
        <f t="shared" si="338"/>
        <v>1</v>
      </c>
      <c r="N148" s="358">
        <f t="shared" si="338"/>
        <v>1</v>
      </c>
      <c r="O148" s="358">
        <f t="shared" si="338"/>
        <v>1</v>
      </c>
      <c r="P148" s="358">
        <f t="shared" si="338"/>
        <v>1</v>
      </c>
      <c r="Q148" s="358">
        <f t="shared" si="338"/>
        <v>1</v>
      </c>
      <c r="R148" s="358">
        <f t="shared" si="338"/>
        <v>1</v>
      </c>
      <c r="S148" s="358">
        <f t="shared" si="338"/>
        <v>1</v>
      </c>
      <c r="T148" s="358">
        <f t="shared" si="338"/>
        <v>1</v>
      </c>
      <c r="U148" s="358">
        <f t="shared" si="338"/>
        <v>1</v>
      </c>
      <c r="V148" s="358">
        <f t="shared" si="338"/>
        <v>1</v>
      </c>
      <c r="W148" s="358">
        <f t="shared" si="338"/>
        <v>1</v>
      </c>
      <c r="X148" s="358">
        <f t="shared" si="338"/>
        <v>1</v>
      </c>
      <c r="Y148" s="358">
        <f t="shared" si="338"/>
        <v>1</v>
      </c>
      <c r="Z148" s="358">
        <f t="shared" si="338"/>
        <v>1</v>
      </c>
      <c r="AA148" s="358">
        <f t="shared" si="338"/>
        <v>1</v>
      </c>
      <c r="AB148" s="358">
        <f t="shared" si="338"/>
        <v>1</v>
      </c>
      <c r="AC148" s="358">
        <f t="shared" si="338"/>
        <v>1</v>
      </c>
      <c r="AD148" s="358">
        <f t="shared" si="338"/>
        <v>1</v>
      </c>
      <c r="AE148" s="358">
        <f t="shared" si="338"/>
        <v>1</v>
      </c>
      <c r="AF148" s="358">
        <f t="shared" si="338"/>
        <v>1</v>
      </c>
      <c r="AG148" s="358">
        <f t="shared" si="338"/>
        <v>1</v>
      </c>
      <c r="AH148" s="358">
        <f t="shared" si="338"/>
        <v>1</v>
      </c>
      <c r="AI148" s="358">
        <f t="shared" si="338"/>
        <v>1</v>
      </c>
      <c r="AJ148" s="358">
        <f t="shared" si="338"/>
        <v>1</v>
      </c>
      <c r="AK148" s="358">
        <f t="shared" si="338"/>
        <v>1</v>
      </c>
      <c r="AL148" s="358">
        <f t="shared" si="338"/>
        <v>1</v>
      </c>
      <c r="AM148" s="358">
        <f t="shared" si="338"/>
        <v>1</v>
      </c>
      <c r="AN148" s="358">
        <f t="shared" si="338"/>
        <v>1</v>
      </c>
      <c r="AO148" s="358">
        <f t="shared" si="338"/>
        <v>1</v>
      </c>
      <c r="AP148" s="358">
        <f t="shared" si="338"/>
        <v>1</v>
      </c>
      <c r="AQ148" s="358">
        <f t="shared" si="338"/>
        <v>1</v>
      </c>
      <c r="AR148" s="358">
        <f t="shared" si="338"/>
        <v>1</v>
      </c>
      <c r="AT148" s="84"/>
    </row>
    <row r="149" spans="1:46" ht="11.25" customHeight="1" outlineLevel="1" x14ac:dyDescent="0.2">
      <c r="A149" s="146"/>
      <c r="B149" s="40"/>
      <c r="C149" s="2"/>
      <c r="D149" s="40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T149" s="84"/>
    </row>
    <row r="150" spans="1:46" outlineLevel="1" x14ac:dyDescent="0.2">
      <c r="A150" s="466" t="s">
        <v>793</v>
      </c>
      <c r="D150" s="40"/>
    </row>
    <row r="151" spans="1:46" outlineLevel="1" x14ac:dyDescent="0.2">
      <c r="A151" s="63" t="s">
        <v>304</v>
      </c>
      <c r="B151" s="59"/>
      <c r="C151" s="2" t="s">
        <v>1</v>
      </c>
      <c r="D151" s="40"/>
      <c r="E151" s="335">
        <f t="shared" ref="E151:AR151" si="339">E144</f>
        <v>0.03</v>
      </c>
      <c r="F151" s="335">
        <f t="shared" si="339"/>
        <v>0.03</v>
      </c>
      <c r="G151" s="335">
        <f t="shared" si="339"/>
        <v>0.03</v>
      </c>
      <c r="H151" s="335">
        <f t="shared" si="339"/>
        <v>0.03</v>
      </c>
      <c r="I151" s="335">
        <f t="shared" si="339"/>
        <v>0.03</v>
      </c>
      <c r="J151" s="335">
        <f t="shared" si="339"/>
        <v>0.03</v>
      </c>
      <c r="K151" s="335">
        <f t="shared" si="339"/>
        <v>0.03</v>
      </c>
      <c r="L151" s="335">
        <f t="shared" si="339"/>
        <v>0.03</v>
      </c>
      <c r="M151" s="335">
        <f t="shared" si="339"/>
        <v>0.03</v>
      </c>
      <c r="N151" s="335">
        <f t="shared" si="339"/>
        <v>0.03</v>
      </c>
      <c r="O151" s="335">
        <f t="shared" si="339"/>
        <v>0.03</v>
      </c>
      <c r="P151" s="335">
        <f t="shared" si="339"/>
        <v>0.03</v>
      </c>
      <c r="Q151" s="335">
        <f t="shared" si="339"/>
        <v>0.03</v>
      </c>
      <c r="R151" s="335">
        <f t="shared" si="339"/>
        <v>0.03</v>
      </c>
      <c r="S151" s="335">
        <f t="shared" si="339"/>
        <v>0.03</v>
      </c>
      <c r="T151" s="335">
        <f t="shared" si="339"/>
        <v>0.03</v>
      </c>
      <c r="U151" s="335">
        <f t="shared" si="339"/>
        <v>0.03</v>
      </c>
      <c r="V151" s="335">
        <f t="shared" si="339"/>
        <v>0.03</v>
      </c>
      <c r="W151" s="335">
        <f t="shared" si="339"/>
        <v>0.03</v>
      </c>
      <c r="X151" s="335">
        <f t="shared" si="339"/>
        <v>0.03</v>
      </c>
      <c r="Y151" s="335">
        <f t="shared" si="339"/>
        <v>0.02</v>
      </c>
      <c r="Z151" s="335">
        <f t="shared" si="339"/>
        <v>0.02</v>
      </c>
      <c r="AA151" s="335">
        <f t="shared" si="339"/>
        <v>0.02</v>
      </c>
      <c r="AB151" s="335">
        <f t="shared" si="339"/>
        <v>0.02</v>
      </c>
      <c r="AC151" s="335">
        <f t="shared" si="339"/>
        <v>0.02</v>
      </c>
      <c r="AD151" s="335">
        <f t="shared" si="339"/>
        <v>0.02</v>
      </c>
      <c r="AE151" s="335">
        <f t="shared" si="339"/>
        <v>0.02</v>
      </c>
      <c r="AF151" s="335">
        <f t="shared" si="339"/>
        <v>0.02</v>
      </c>
      <c r="AG151" s="335">
        <f t="shared" si="339"/>
        <v>0.02</v>
      </c>
      <c r="AH151" s="335">
        <f t="shared" si="339"/>
        <v>0.02</v>
      </c>
      <c r="AI151" s="335">
        <f t="shared" si="339"/>
        <v>0.02</v>
      </c>
      <c r="AJ151" s="335">
        <f t="shared" si="339"/>
        <v>0.02</v>
      </c>
      <c r="AK151" s="335">
        <f t="shared" si="339"/>
        <v>0.02</v>
      </c>
      <c r="AL151" s="335">
        <f t="shared" si="339"/>
        <v>0.02</v>
      </c>
      <c r="AM151" s="335">
        <f t="shared" si="339"/>
        <v>0.02</v>
      </c>
      <c r="AN151" s="335">
        <f t="shared" si="339"/>
        <v>0.02</v>
      </c>
      <c r="AO151" s="335">
        <f t="shared" si="339"/>
        <v>0.02</v>
      </c>
      <c r="AP151" s="335">
        <f t="shared" si="339"/>
        <v>0.02</v>
      </c>
      <c r="AQ151" s="335">
        <f t="shared" si="339"/>
        <v>0.02</v>
      </c>
      <c r="AR151" s="335">
        <f t="shared" si="339"/>
        <v>0.02</v>
      </c>
    </row>
    <row r="152" spans="1:46" outlineLevel="1" x14ac:dyDescent="0.2">
      <c r="A152" s="63" t="s">
        <v>305</v>
      </c>
      <c r="B152" s="59"/>
      <c r="C152" s="2" t="s">
        <v>1</v>
      </c>
      <c r="D152" s="40"/>
      <c r="E152" s="335">
        <f>E145</f>
        <v>0.17</v>
      </c>
      <c r="F152" s="335">
        <f>F145</f>
        <v>0.17</v>
      </c>
      <c r="G152" s="335">
        <f>G145</f>
        <v>0.17</v>
      </c>
      <c r="H152" s="335">
        <f>H145</f>
        <v>0.17</v>
      </c>
      <c r="I152" s="335">
        <v>0.13500000000000001</v>
      </c>
      <c r="J152" s="335">
        <v>0.13500000000000001</v>
      </c>
      <c r="K152" s="335">
        <v>0.13500000000000001</v>
      </c>
      <c r="L152" s="335">
        <f>K152</f>
        <v>0.13500000000000001</v>
      </c>
      <c r="M152" s="335">
        <f t="shared" ref="M152:AE152" si="340">L152</f>
        <v>0.13500000000000001</v>
      </c>
      <c r="N152" s="335">
        <f t="shared" si="340"/>
        <v>0.13500000000000001</v>
      </c>
      <c r="O152" s="335">
        <f t="shared" si="340"/>
        <v>0.13500000000000001</v>
      </c>
      <c r="P152" s="335">
        <f t="shared" si="340"/>
        <v>0.13500000000000001</v>
      </c>
      <c r="Q152" s="335">
        <f t="shared" si="340"/>
        <v>0.13500000000000001</v>
      </c>
      <c r="R152" s="335">
        <f t="shared" si="340"/>
        <v>0.13500000000000001</v>
      </c>
      <c r="S152" s="335">
        <f t="shared" si="340"/>
        <v>0.13500000000000001</v>
      </c>
      <c r="T152" s="335">
        <f t="shared" si="340"/>
        <v>0.13500000000000001</v>
      </c>
      <c r="U152" s="335">
        <f t="shared" si="340"/>
        <v>0.13500000000000001</v>
      </c>
      <c r="V152" s="335">
        <f t="shared" si="340"/>
        <v>0.13500000000000001</v>
      </c>
      <c r="W152" s="335">
        <f t="shared" si="340"/>
        <v>0.13500000000000001</v>
      </c>
      <c r="X152" s="335">
        <f t="shared" si="340"/>
        <v>0.13500000000000001</v>
      </c>
      <c r="Y152" s="335">
        <f t="shared" si="340"/>
        <v>0.13500000000000001</v>
      </c>
      <c r="Z152" s="335">
        <f>Y152</f>
        <v>0.13500000000000001</v>
      </c>
      <c r="AA152" s="335">
        <f t="shared" si="340"/>
        <v>0.13500000000000001</v>
      </c>
      <c r="AB152" s="335">
        <f t="shared" si="340"/>
        <v>0.13500000000000001</v>
      </c>
      <c r="AC152" s="335">
        <f t="shared" si="340"/>
        <v>0.13500000000000001</v>
      </c>
      <c r="AD152" s="335">
        <f t="shared" si="340"/>
        <v>0.13500000000000001</v>
      </c>
      <c r="AE152" s="335">
        <f t="shared" si="340"/>
        <v>0.13500000000000001</v>
      </c>
      <c r="AF152" s="335">
        <f>AE152</f>
        <v>0.13500000000000001</v>
      </c>
      <c r="AG152" s="335">
        <f t="shared" ref="AG152:AR152" si="341">AG145</f>
        <v>0.18</v>
      </c>
      <c r="AH152" s="335">
        <f t="shared" si="341"/>
        <v>0.18</v>
      </c>
      <c r="AI152" s="335">
        <f t="shared" si="341"/>
        <v>0.18</v>
      </c>
      <c r="AJ152" s="335">
        <f t="shared" si="341"/>
        <v>0.18</v>
      </c>
      <c r="AK152" s="335">
        <f t="shared" si="341"/>
        <v>0.18</v>
      </c>
      <c r="AL152" s="335">
        <f t="shared" si="341"/>
        <v>0.18</v>
      </c>
      <c r="AM152" s="335">
        <f t="shared" si="341"/>
        <v>0.18</v>
      </c>
      <c r="AN152" s="335">
        <f t="shared" si="341"/>
        <v>0.18</v>
      </c>
      <c r="AO152" s="335">
        <f t="shared" si="341"/>
        <v>0.18</v>
      </c>
      <c r="AP152" s="335">
        <f t="shared" si="341"/>
        <v>0.18</v>
      </c>
      <c r="AQ152" s="335">
        <f t="shared" si="341"/>
        <v>0.18</v>
      </c>
      <c r="AR152" s="335">
        <f t="shared" si="341"/>
        <v>0.18</v>
      </c>
    </row>
    <row r="153" spans="1:46" outlineLevel="1" x14ac:dyDescent="0.2">
      <c r="A153" s="63" t="s">
        <v>16</v>
      </c>
      <c r="B153" s="59"/>
      <c r="C153" s="2" t="s">
        <v>1</v>
      </c>
      <c r="D153" s="40"/>
      <c r="E153" s="53">
        <f t="shared" ref="E153:AB153" si="342">E151+E152</f>
        <v>0.2</v>
      </c>
      <c r="F153" s="53">
        <f t="shared" si="342"/>
        <v>0.2</v>
      </c>
      <c r="G153" s="53">
        <f t="shared" si="342"/>
        <v>0.2</v>
      </c>
      <c r="H153" s="53">
        <f t="shared" si="342"/>
        <v>0.2</v>
      </c>
      <c r="I153" s="53">
        <f t="shared" si="342"/>
        <v>0.16500000000000001</v>
      </c>
      <c r="J153" s="53">
        <f t="shared" si="342"/>
        <v>0.16500000000000001</v>
      </c>
      <c r="K153" s="53">
        <f t="shared" si="342"/>
        <v>0.16500000000000001</v>
      </c>
      <c r="L153" s="53">
        <f t="shared" si="342"/>
        <v>0.16500000000000001</v>
      </c>
      <c r="M153" s="53">
        <f t="shared" si="342"/>
        <v>0.16500000000000001</v>
      </c>
      <c r="N153" s="53">
        <f t="shared" si="342"/>
        <v>0.16500000000000001</v>
      </c>
      <c r="O153" s="53">
        <f t="shared" si="342"/>
        <v>0.16500000000000001</v>
      </c>
      <c r="P153" s="53">
        <f t="shared" si="342"/>
        <v>0.16500000000000001</v>
      </c>
      <c r="Q153" s="53">
        <f t="shared" si="342"/>
        <v>0.16500000000000001</v>
      </c>
      <c r="R153" s="53">
        <f t="shared" si="342"/>
        <v>0.16500000000000001</v>
      </c>
      <c r="S153" s="53">
        <f t="shared" si="342"/>
        <v>0.16500000000000001</v>
      </c>
      <c r="T153" s="53">
        <f t="shared" si="342"/>
        <v>0.16500000000000001</v>
      </c>
      <c r="U153" s="53">
        <f t="shared" si="342"/>
        <v>0.16500000000000001</v>
      </c>
      <c r="V153" s="53">
        <f t="shared" si="342"/>
        <v>0.16500000000000001</v>
      </c>
      <c r="W153" s="53">
        <f t="shared" si="342"/>
        <v>0.16500000000000001</v>
      </c>
      <c r="X153" s="53">
        <f t="shared" si="342"/>
        <v>0.16500000000000001</v>
      </c>
      <c r="Y153" s="53">
        <f t="shared" si="342"/>
        <v>0.155</v>
      </c>
      <c r="Z153" s="53">
        <f t="shared" si="342"/>
        <v>0.155</v>
      </c>
      <c r="AA153" s="53">
        <f t="shared" si="342"/>
        <v>0.155</v>
      </c>
      <c r="AB153" s="53">
        <f t="shared" si="342"/>
        <v>0.155</v>
      </c>
      <c r="AC153" s="53">
        <f t="shared" ref="AC153:AD153" si="343">AC151+AC152</f>
        <v>0.155</v>
      </c>
      <c r="AD153" s="53">
        <f t="shared" si="343"/>
        <v>0.155</v>
      </c>
      <c r="AE153" s="53">
        <f t="shared" ref="AE153:AF153" si="344">AE151+AE152</f>
        <v>0.155</v>
      </c>
      <c r="AF153" s="53">
        <f t="shared" si="344"/>
        <v>0.155</v>
      </c>
      <c r="AG153" s="53">
        <f t="shared" ref="AG153:AH153" si="345">AG151+AG152</f>
        <v>0.19999999999999998</v>
      </c>
      <c r="AH153" s="53">
        <f t="shared" si="345"/>
        <v>0.19999999999999998</v>
      </c>
      <c r="AI153" s="53">
        <f t="shared" ref="AI153:AJ153" si="346">AI151+AI152</f>
        <v>0.19999999999999998</v>
      </c>
      <c r="AJ153" s="53">
        <f t="shared" si="346"/>
        <v>0.19999999999999998</v>
      </c>
      <c r="AK153" s="53">
        <f t="shared" ref="AK153:AL153" si="347">AK151+AK152</f>
        <v>0.19999999999999998</v>
      </c>
      <c r="AL153" s="53">
        <f t="shared" si="347"/>
        <v>0.19999999999999998</v>
      </c>
      <c r="AM153" s="53">
        <f t="shared" ref="AM153:AN153" si="348">AM151+AM152</f>
        <v>0.19999999999999998</v>
      </c>
      <c r="AN153" s="53">
        <f t="shared" si="348"/>
        <v>0.19999999999999998</v>
      </c>
      <c r="AO153" s="53">
        <f t="shared" ref="AO153:AP153" si="349">AO151+AO152</f>
        <v>0.19999999999999998</v>
      </c>
      <c r="AP153" s="53">
        <f t="shared" si="349"/>
        <v>0.19999999999999998</v>
      </c>
      <c r="AQ153" s="53">
        <f t="shared" ref="AQ153:AR153" si="350">AQ151+AQ152</f>
        <v>0.19999999999999998</v>
      </c>
      <c r="AR153" s="53">
        <f t="shared" si="350"/>
        <v>0.19999999999999998</v>
      </c>
    </row>
    <row r="154" spans="1:46" x14ac:dyDescent="0.2">
      <c r="A154" s="44"/>
      <c r="B154" s="6"/>
      <c r="D154" s="40"/>
    </row>
    <row r="155" spans="1:46" x14ac:dyDescent="0.2">
      <c r="A155" s="33" t="s">
        <v>792</v>
      </c>
      <c r="B155" s="266"/>
      <c r="D155" s="40"/>
    </row>
    <row r="156" spans="1:46" x14ac:dyDescent="0.2">
      <c r="A156" s="44"/>
      <c r="B156" s="266"/>
      <c r="D156" s="40"/>
    </row>
    <row r="157" spans="1:46" x14ac:dyDescent="0.2">
      <c r="A157" s="52" t="s">
        <v>398</v>
      </c>
      <c r="B157" s="6"/>
      <c r="D157" s="40"/>
    </row>
    <row r="158" spans="1:46" outlineLevel="1" x14ac:dyDescent="0.2">
      <c r="A158" s="44" t="s">
        <v>495</v>
      </c>
      <c r="B158" s="6"/>
      <c r="D158" s="40"/>
    </row>
    <row r="159" spans="1:46" outlineLevel="1" x14ac:dyDescent="0.2">
      <c r="A159" s="63" t="s">
        <v>206</v>
      </c>
      <c r="B159" s="59"/>
      <c r="C159" s="2" t="s">
        <v>1</v>
      </c>
      <c r="D159" s="40"/>
      <c r="E159" s="335">
        <f t="shared" ref="E159:AR159" si="351">IF(E46&lt;2020,22%,22%)</f>
        <v>0.22</v>
      </c>
      <c r="F159" s="335">
        <f t="shared" si="351"/>
        <v>0.22</v>
      </c>
      <c r="G159" s="335">
        <f t="shared" si="351"/>
        <v>0.22</v>
      </c>
      <c r="H159" s="335">
        <f t="shared" si="351"/>
        <v>0.22</v>
      </c>
      <c r="I159" s="335">
        <f t="shared" si="351"/>
        <v>0.22</v>
      </c>
      <c r="J159" s="335">
        <f t="shared" si="351"/>
        <v>0.22</v>
      </c>
      <c r="K159" s="335">
        <f t="shared" si="351"/>
        <v>0.22</v>
      </c>
      <c r="L159" s="335">
        <f t="shared" si="351"/>
        <v>0.22</v>
      </c>
      <c r="M159" s="335">
        <f t="shared" si="351"/>
        <v>0.22</v>
      </c>
      <c r="N159" s="335">
        <f t="shared" si="351"/>
        <v>0.22</v>
      </c>
      <c r="O159" s="335">
        <f t="shared" si="351"/>
        <v>0.22</v>
      </c>
      <c r="P159" s="335">
        <f t="shared" si="351"/>
        <v>0.22</v>
      </c>
      <c r="Q159" s="335">
        <f t="shared" si="351"/>
        <v>0.22</v>
      </c>
      <c r="R159" s="335">
        <f t="shared" si="351"/>
        <v>0.22</v>
      </c>
      <c r="S159" s="335">
        <f t="shared" si="351"/>
        <v>0.22</v>
      </c>
      <c r="T159" s="335">
        <f t="shared" si="351"/>
        <v>0.22</v>
      </c>
      <c r="U159" s="335">
        <f t="shared" si="351"/>
        <v>0.22</v>
      </c>
      <c r="V159" s="335">
        <f t="shared" si="351"/>
        <v>0.22</v>
      </c>
      <c r="W159" s="335">
        <f t="shared" si="351"/>
        <v>0.22</v>
      </c>
      <c r="X159" s="335">
        <f t="shared" si="351"/>
        <v>0.22</v>
      </c>
      <c r="Y159" s="335">
        <f t="shared" si="351"/>
        <v>0.22</v>
      </c>
      <c r="Z159" s="335">
        <f t="shared" si="351"/>
        <v>0.22</v>
      </c>
      <c r="AA159" s="335">
        <f t="shared" si="351"/>
        <v>0.22</v>
      </c>
      <c r="AB159" s="335">
        <f t="shared" si="351"/>
        <v>0.22</v>
      </c>
      <c r="AC159" s="335">
        <f t="shared" si="351"/>
        <v>0.22</v>
      </c>
      <c r="AD159" s="335">
        <f t="shared" si="351"/>
        <v>0.22</v>
      </c>
      <c r="AE159" s="335">
        <f t="shared" si="351"/>
        <v>0.22</v>
      </c>
      <c r="AF159" s="335">
        <f t="shared" si="351"/>
        <v>0.22</v>
      </c>
      <c r="AG159" s="335">
        <f t="shared" si="351"/>
        <v>0.22</v>
      </c>
      <c r="AH159" s="335">
        <f t="shared" si="351"/>
        <v>0.22</v>
      </c>
      <c r="AI159" s="335">
        <f t="shared" si="351"/>
        <v>0.22</v>
      </c>
      <c r="AJ159" s="335">
        <f t="shared" si="351"/>
        <v>0.22</v>
      </c>
      <c r="AK159" s="335">
        <f t="shared" si="351"/>
        <v>0.22</v>
      </c>
      <c r="AL159" s="335">
        <f t="shared" si="351"/>
        <v>0.22</v>
      </c>
      <c r="AM159" s="335">
        <f t="shared" si="351"/>
        <v>0.22</v>
      </c>
      <c r="AN159" s="335">
        <f t="shared" si="351"/>
        <v>0.22</v>
      </c>
      <c r="AO159" s="335">
        <f t="shared" si="351"/>
        <v>0.22</v>
      </c>
      <c r="AP159" s="335">
        <f t="shared" si="351"/>
        <v>0.22</v>
      </c>
      <c r="AQ159" s="335">
        <f t="shared" si="351"/>
        <v>0.22</v>
      </c>
      <c r="AR159" s="335">
        <f t="shared" si="351"/>
        <v>0.22</v>
      </c>
    </row>
    <row r="160" spans="1:46" outlineLevel="1" x14ac:dyDescent="0.2">
      <c r="A160" s="63" t="s">
        <v>207</v>
      </c>
      <c r="B160" s="59"/>
      <c r="C160" s="2" t="s">
        <v>1</v>
      </c>
      <c r="D160" s="40"/>
      <c r="E160" s="335">
        <v>5.0999999999999997E-2</v>
      </c>
      <c r="F160" s="335">
        <f t="shared" ref="F160:AR163" si="352">E160</f>
        <v>5.0999999999999997E-2</v>
      </c>
      <c r="G160" s="335">
        <f t="shared" si="352"/>
        <v>5.0999999999999997E-2</v>
      </c>
      <c r="H160" s="335">
        <f t="shared" si="352"/>
        <v>5.0999999999999997E-2</v>
      </c>
      <c r="I160" s="335">
        <f t="shared" si="352"/>
        <v>5.0999999999999997E-2</v>
      </c>
      <c r="J160" s="335">
        <f t="shared" si="352"/>
        <v>5.0999999999999997E-2</v>
      </c>
      <c r="K160" s="335">
        <f t="shared" si="352"/>
        <v>5.0999999999999997E-2</v>
      </c>
      <c r="L160" s="335">
        <f t="shared" si="352"/>
        <v>5.0999999999999997E-2</v>
      </c>
      <c r="M160" s="335">
        <f t="shared" si="352"/>
        <v>5.0999999999999997E-2</v>
      </c>
      <c r="N160" s="335">
        <f t="shared" si="352"/>
        <v>5.0999999999999997E-2</v>
      </c>
      <c r="O160" s="335">
        <f t="shared" si="352"/>
        <v>5.0999999999999997E-2</v>
      </c>
      <c r="P160" s="335">
        <f t="shared" si="352"/>
        <v>5.0999999999999997E-2</v>
      </c>
      <c r="Q160" s="335">
        <f t="shared" si="352"/>
        <v>5.0999999999999997E-2</v>
      </c>
      <c r="R160" s="335">
        <f t="shared" si="352"/>
        <v>5.0999999999999997E-2</v>
      </c>
      <c r="S160" s="335">
        <f t="shared" si="352"/>
        <v>5.0999999999999997E-2</v>
      </c>
      <c r="T160" s="335">
        <f t="shared" si="352"/>
        <v>5.0999999999999997E-2</v>
      </c>
      <c r="U160" s="335">
        <f t="shared" si="352"/>
        <v>5.0999999999999997E-2</v>
      </c>
      <c r="V160" s="335">
        <f t="shared" si="352"/>
        <v>5.0999999999999997E-2</v>
      </c>
      <c r="W160" s="335">
        <f t="shared" si="352"/>
        <v>5.0999999999999997E-2</v>
      </c>
      <c r="X160" s="335">
        <f t="shared" si="352"/>
        <v>5.0999999999999997E-2</v>
      </c>
      <c r="Y160" s="335">
        <f t="shared" si="352"/>
        <v>5.0999999999999997E-2</v>
      </c>
      <c r="Z160" s="335">
        <f t="shared" si="352"/>
        <v>5.0999999999999997E-2</v>
      </c>
      <c r="AA160" s="335">
        <f t="shared" si="352"/>
        <v>5.0999999999999997E-2</v>
      </c>
      <c r="AB160" s="335">
        <f t="shared" si="352"/>
        <v>5.0999999999999997E-2</v>
      </c>
      <c r="AC160" s="335">
        <f t="shared" si="352"/>
        <v>5.0999999999999997E-2</v>
      </c>
      <c r="AD160" s="335">
        <f t="shared" si="352"/>
        <v>5.0999999999999997E-2</v>
      </c>
      <c r="AE160" s="335">
        <f t="shared" si="352"/>
        <v>5.0999999999999997E-2</v>
      </c>
      <c r="AF160" s="335">
        <f t="shared" si="352"/>
        <v>5.0999999999999997E-2</v>
      </c>
      <c r="AG160" s="335">
        <f t="shared" si="352"/>
        <v>5.0999999999999997E-2</v>
      </c>
      <c r="AH160" s="335">
        <f t="shared" si="352"/>
        <v>5.0999999999999997E-2</v>
      </c>
      <c r="AI160" s="335">
        <f t="shared" si="352"/>
        <v>5.0999999999999997E-2</v>
      </c>
      <c r="AJ160" s="335">
        <f t="shared" si="352"/>
        <v>5.0999999999999997E-2</v>
      </c>
      <c r="AK160" s="335">
        <f t="shared" si="352"/>
        <v>5.0999999999999997E-2</v>
      </c>
      <c r="AL160" s="335">
        <f t="shared" si="352"/>
        <v>5.0999999999999997E-2</v>
      </c>
      <c r="AM160" s="335">
        <f t="shared" si="352"/>
        <v>5.0999999999999997E-2</v>
      </c>
      <c r="AN160" s="335">
        <f t="shared" si="352"/>
        <v>5.0999999999999997E-2</v>
      </c>
      <c r="AO160" s="335">
        <f t="shared" si="352"/>
        <v>5.0999999999999997E-2</v>
      </c>
      <c r="AP160" s="335">
        <f t="shared" si="352"/>
        <v>5.0999999999999997E-2</v>
      </c>
      <c r="AQ160" s="335">
        <f t="shared" si="352"/>
        <v>5.0999999999999997E-2</v>
      </c>
      <c r="AR160" s="335">
        <f t="shared" si="352"/>
        <v>5.0999999999999997E-2</v>
      </c>
    </row>
    <row r="161" spans="1:44" outlineLevel="1" x14ac:dyDescent="0.2">
      <c r="A161" s="63" t="s">
        <v>208</v>
      </c>
      <c r="B161" s="59"/>
      <c r="C161" s="2" t="s">
        <v>1</v>
      </c>
      <c r="D161" s="40"/>
      <c r="E161" s="335">
        <v>2.9000000000000001E-2</v>
      </c>
      <c r="F161" s="335">
        <f t="shared" si="352"/>
        <v>2.9000000000000001E-2</v>
      </c>
      <c r="G161" s="335">
        <f t="shared" si="352"/>
        <v>2.9000000000000001E-2</v>
      </c>
      <c r="H161" s="335">
        <f t="shared" si="352"/>
        <v>2.9000000000000001E-2</v>
      </c>
      <c r="I161" s="335">
        <f t="shared" si="352"/>
        <v>2.9000000000000001E-2</v>
      </c>
      <c r="J161" s="335">
        <f t="shared" si="352"/>
        <v>2.9000000000000001E-2</v>
      </c>
      <c r="K161" s="335">
        <f t="shared" si="352"/>
        <v>2.9000000000000001E-2</v>
      </c>
      <c r="L161" s="335">
        <f t="shared" si="352"/>
        <v>2.9000000000000001E-2</v>
      </c>
      <c r="M161" s="335">
        <f t="shared" si="352"/>
        <v>2.9000000000000001E-2</v>
      </c>
      <c r="N161" s="335">
        <f t="shared" si="352"/>
        <v>2.9000000000000001E-2</v>
      </c>
      <c r="O161" s="335">
        <f t="shared" si="352"/>
        <v>2.9000000000000001E-2</v>
      </c>
      <c r="P161" s="335">
        <f t="shared" si="352"/>
        <v>2.9000000000000001E-2</v>
      </c>
      <c r="Q161" s="335">
        <f t="shared" si="352"/>
        <v>2.9000000000000001E-2</v>
      </c>
      <c r="R161" s="335">
        <f t="shared" si="352"/>
        <v>2.9000000000000001E-2</v>
      </c>
      <c r="S161" s="335">
        <f t="shared" si="352"/>
        <v>2.9000000000000001E-2</v>
      </c>
      <c r="T161" s="335">
        <f t="shared" si="352"/>
        <v>2.9000000000000001E-2</v>
      </c>
      <c r="U161" s="335">
        <f t="shared" si="352"/>
        <v>2.9000000000000001E-2</v>
      </c>
      <c r="V161" s="335">
        <f t="shared" si="352"/>
        <v>2.9000000000000001E-2</v>
      </c>
      <c r="W161" s="335">
        <f t="shared" si="352"/>
        <v>2.9000000000000001E-2</v>
      </c>
      <c r="X161" s="335">
        <f t="shared" si="352"/>
        <v>2.9000000000000001E-2</v>
      </c>
      <c r="Y161" s="335">
        <f t="shared" si="352"/>
        <v>2.9000000000000001E-2</v>
      </c>
      <c r="Z161" s="335">
        <f t="shared" si="352"/>
        <v>2.9000000000000001E-2</v>
      </c>
      <c r="AA161" s="335">
        <f t="shared" si="352"/>
        <v>2.9000000000000001E-2</v>
      </c>
      <c r="AB161" s="335">
        <f t="shared" si="352"/>
        <v>2.9000000000000001E-2</v>
      </c>
      <c r="AC161" s="335">
        <f t="shared" si="352"/>
        <v>2.9000000000000001E-2</v>
      </c>
      <c r="AD161" s="335">
        <f t="shared" si="352"/>
        <v>2.9000000000000001E-2</v>
      </c>
      <c r="AE161" s="335">
        <f t="shared" si="352"/>
        <v>2.9000000000000001E-2</v>
      </c>
      <c r="AF161" s="335">
        <f t="shared" si="352"/>
        <v>2.9000000000000001E-2</v>
      </c>
      <c r="AG161" s="335">
        <f t="shared" si="352"/>
        <v>2.9000000000000001E-2</v>
      </c>
      <c r="AH161" s="335">
        <f t="shared" si="352"/>
        <v>2.9000000000000001E-2</v>
      </c>
      <c r="AI161" s="335">
        <f t="shared" si="352"/>
        <v>2.9000000000000001E-2</v>
      </c>
      <c r="AJ161" s="335">
        <f t="shared" si="352"/>
        <v>2.9000000000000001E-2</v>
      </c>
      <c r="AK161" s="335">
        <f t="shared" si="352"/>
        <v>2.9000000000000001E-2</v>
      </c>
      <c r="AL161" s="335">
        <f t="shared" si="352"/>
        <v>2.9000000000000001E-2</v>
      </c>
      <c r="AM161" s="335">
        <f t="shared" si="352"/>
        <v>2.9000000000000001E-2</v>
      </c>
      <c r="AN161" s="335">
        <f t="shared" si="352"/>
        <v>2.9000000000000001E-2</v>
      </c>
      <c r="AO161" s="335">
        <f t="shared" si="352"/>
        <v>2.9000000000000001E-2</v>
      </c>
      <c r="AP161" s="335">
        <f t="shared" si="352"/>
        <v>2.9000000000000001E-2</v>
      </c>
      <c r="AQ161" s="335">
        <f t="shared" si="352"/>
        <v>2.9000000000000001E-2</v>
      </c>
      <c r="AR161" s="335">
        <f t="shared" si="352"/>
        <v>2.9000000000000001E-2</v>
      </c>
    </row>
    <row r="162" spans="1:44" outlineLevel="1" x14ac:dyDescent="0.2">
      <c r="A162" s="63" t="s">
        <v>20</v>
      </c>
      <c r="B162" s="59"/>
      <c r="C162" s="2" t="s">
        <v>1</v>
      </c>
      <c r="D162" s="40"/>
      <c r="E162" s="335">
        <f>ИД!C20</f>
        <v>6.0000000000000001E-3</v>
      </c>
      <c r="F162" s="335">
        <f t="shared" si="352"/>
        <v>6.0000000000000001E-3</v>
      </c>
      <c r="G162" s="335">
        <f t="shared" si="352"/>
        <v>6.0000000000000001E-3</v>
      </c>
      <c r="H162" s="335">
        <f t="shared" si="352"/>
        <v>6.0000000000000001E-3</v>
      </c>
      <c r="I162" s="335">
        <f t="shared" si="352"/>
        <v>6.0000000000000001E-3</v>
      </c>
      <c r="J162" s="335">
        <f t="shared" si="352"/>
        <v>6.0000000000000001E-3</v>
      </c>
      <c r="K162" s="335">
        <f t="shared" si="352"/>
        <v>6.0000000000000001E-3</v>
      </c>
      <c r="L162" s="335">
        <f t="shared" si="352"/>
        <v>6.0000000000000001E-3</v>
      </c>
      <c r="M162" s="335">
        <f t="shared" si="352"/>
        <v>6.0000000000000001E-3</v>
      </c>
      <c r="N162" s="335">
        <f t="shared" si="352"/>
        <v>6.0000000000000001E-3</v>
      </c>
      <c r="O162" s="335">
        <f t="shared" si="352"/>
        <v>6.0000000000000001E-3</v>
      </c>
      <c r="P162" s="335">
        <f t="shared" si="352"/>
        <v>6.0000000000000001E-3</v>
      </c>
      <c r="Q162" s="335">
        <f t="shared" si="352"/>
        <v>6.0000000000000001E-3</v>
      </c>
      <c r="R162" s="335">
        <f t="shared" si="352"/>
        <v>6.0000000000000001E-3</v>
      </c>
      <c r="S162" s="335">
        <f t="shared" si="352"/>
        <v>6.0000000000000001E-3</v>
      </c>
      <c r="T162" s="335">
        <f t="shared" si="352"/>
        <v>6.0000000000000001E-3</v>
      </c>
      <c r="U162" s="335">
        <f t="shared" si="352"/>
        <v>6.0000000000000001E-3</v>
      </c>
      <c r="V162" s="335">
        <f t="shared" si="352"/>
        <v>6.0000000000000001E-3</v>
      </c>
      <c r="W162" s="335">
        <f t="shared" si="352"/>
        <v>6.0000000000000001E-3</v>
      </c>
      <c r="X162" s="335">
        <f t="shared" si="352"/>
        <v>6.0000000000000001E-3</v>
      </c>
      <c r="Y162" s="335">
        <f t="shared" si="352"/>
        <v>6.0000000000000001E-3</v>
      </c>
      <c r="Z162" s="335">
        <f t="shared" si="352"/>
        <v>6.0000000000000001E-3</v>
      </c>
      <c r="AA162" s="335">
        <f t="shared" si="352"/>
        <v>6.0000000000000001E-3</v>
      </c>
      <c r="AB162" s="335">
        <f t="shared" si="352"/>
        <v>6.0000000000000001E-3</v>
      </c>
      <c r="AC162" s="335">
        <f t="shared" si="352"/>
        <v>6.0000000000000001E-3</v>
      </c>
      <c r="AD162" s="335">
        <f t="shared" si="352"/>
        <v>6.0000000000000001E-3</v>
      </c>
      <c r="AE162" s="335">
        <f t="shared" si="352"/>
        <v>6.0000000000000001E-3</v>
      </c>
      <c r="AF162" s="335">
        <f t="shared" si="352"/>
        <v>6.0000000000000001E-3</v>
      </c>
      <c r="AG162" s="335">
        <f t="shared" si="352"/>
        <v>6.0000000000000001E-3</v>
      </c>
      <c r="AH162" s="335">
        <f t="shared" si="352"/>
        <v>6.0000000000000001E-3</v>
      </c>
      <c r="AI162" s="335">
        <f t="shared" si="352"/>
        <v>6.0000000000000001E-3</v>
      </c>
      <c r="AJ162" s="335">
        <f t="shared" si="352"/>
        <v>6.0000000000000001E-3</v>
      </c>
      <c r="AK162" s="335">
        <f t="shared" si="352"/>
        <v>6.0000000000000001E-3</v>
      </c>
      <c r="AL162" s="335">
        <f t="shared" si="352"/>
        <v>6.0000000000000001E-3</v>
      </c>
      <c r="AM162" s="335">
        <f t="shared" si="352"/>
        <v>6.0000000000000001E-3</v>
      </c>
      <c r="AN162" s="335">
        <f t="shared" si="352"/>
        <v>6.0000000000000001E-3</v>
      </c>
      <c r="AO162" s="335">
        <f t="shared" si="352"/>
        <v>6.0000000000000001E-3</v>
      </c>
      <c r="AP162" s="335">
        <f t="shared" si="352"/>
        <v>6.0000000000000001E-3</v>
      </c>
      <c r="AQ162" s="335">
        <f t="shared" si="352"/>
        <v>6.0000000000000001E-3</v>
      </c>
      <c r="AR162" s="335">
        <f t="shared" si="352"/>
        <v>6.0000000000000001E-3</v>
      </c>
    </row>
    <row r="163" spans="1:44" outlineLevel="1" x14ac:dyDescent="0.2">
      <c r="A163" s="63" t="s">
        <v>209</v>
      </c>
      <c r="B163" s="59"/>
      <c r="C163" s="2" t="s">
        <v>1</v>
      </c>
      <c r="D163" s="40"/>
      <c r="E163" s="335">
        <v>0</v>
      </c>
      <c r="F163" s="335">
        <f t="shared" si="352"/>
        <v>0</v>
      </c>
      <c r="G163" s="335">
        <f t="shared" si="352"/>
        <v>0</v>
      </c>
      <c r="H163" s="335">
        <f t="shared" si="352"/>
        <v>0</v>
      </c>
      <c r="I163" s="335">
        <f t="shared" si="352"/>
        <v>0</v>
      </c>
      <c r="J163" s="335">
        <f t="shared" si="352"/>
        <v>0</v>
      </c>
      <c r="K163" s="335">
        <f t="shared" si="352"/>
        <v>0</v>
      </c>
      <c r="L163" s="335">
        <f t="shared" si="352"/>
        <v>0</v>
      </c>
      <c r="M163" s="335">
        <f t="shared" si="352"/>
        <v>0</v>
      </c>
      <c r="N163" s="335">
        <f t="shared" si="352"/>
        <v>0</v>
      </c>
      <c r="O163" s="335">
        <f t="shared" si="352"/>
        <v>0</v>
      </c>
      <c r="P163" s="335">
        <f t="shared" si="352"/>
        <v>0</v>
      </c>
      <c r="Q163" s="335">
        <f t="shared" si="352"/>
        <v>0</v>
      </c>
      <c r="R163" s="335">
        <f t="shared" si="352"/>
        <v>0</v>
      </c>
      <c r="S163" s="335">
        <f t="shared" si="352"/>
        <v>0</v>
      </c>
      <c r="T163" s="335">
        <f t="shared" si="352"/>
        <v>0</v>
      </c>
      <c r="U163" s="335">
        <f t="shared" si="352"/>
        <v>0</v>
      </c>
      <c r="V163" s="335">
        <f t="shared" si="352"/>
        <v>0</v>
      </c>
      <c r="W163" s="335">
        <f t="shared" si="352"/>
        <v>0</v>
      </c>
      <c r="X163" s="335">
        <f t="shared" si="352"/>
        <v>0</v>
      </c>
      <c r="Y163" s="335">
        <f t="shared" si="352"/>
        <v>0</v>
      </c>
      <c r="Z163" s="335">
        <f t="shared" si="352"/>
        <v>0</v>
      </c>
      <c r="AA163" s="335">
        <f t="shared" si="352"/>
        <v>0</v>
      </c>
      <c r="AB163" s="335">
        <f t="shared" si="352"/>
        <v>0</v>
      </c>
      <c r="AC163" s="335">
        <f t="shared" si="352"/>
        <v>0</v>
      </c>
      <c r="AD163" s="335">
        <f t="shared" si="352"/>
        <v>0</v>
      </c>
      <c r="AE163" s="335">
        <f t="shared" si="352"/>
        <v>0</v>
      </c>
      <c r="AF163" s="335">
        <f t="shared" si="352"/>
        <v>0</v>
      </c>
      <c r="AG163" s="335">
        <f t="shared" si="352"/>
        <v>0</v>
      </c>
      <c r="AH163" s="335">
        <f t="shared" si="352"/>
        <v>0</v>
      </c>
      <c r="AI163" s="335">
        <f t="shared" si="352"/>
        <v>0</v>
      </c>
      <c r="AJ163" s="335">
        <f t="shared" si="352"/>
        <v>0</v>
      </c>
      <c r="AK163" s="335">
        <f t="shared" si="352"/>
        <v>0</v>
      </c>
      <c r="AL163" s="335">
        <f t="shared" si="352"/>
        <v>0</v>
      </c>
      <c r="AM163" s="335">
        <f t="shared" si="352"/>
        <v>0</v>
      </c>
      <c r="AN163" s="335">
        <f t="shared" si="352"/>
        <v>0</v>
      </c>
      <c r="AO163" s="335">
        <f t="shared" si="352"/>
        <v>0</v>
      </c>
      <c r="AP163" s="335">
        <f t="shared" si="352"/>
        <v>0</v>
      </c>
      <c r="AQ163" s="335">
        <f t="shared" si="352"/>
        <v>0</v>
      </c>
      <c r="AR163" s="335">
        <f t="shared" si="352"/>
        <v>0</v>
      </c>
    </row>
    <row r="164" spans="1:44" s="60" customFormat="1" outlineLevel="1" x14ac:dyDescent="0.2">
      <c r="A164" s="63" t="s">
        <v>210</v>
      </c>
      <c r="B164" s="59"/>
      <c r="C164" s="2" t="s">
        <v>1</v>
      </c>
      <c r="D164" s="40"/>
      <c r="E164" s="56">
        <f t="shared" ref="E164:I164" si="353">SUM(E159:E163)</f>
        <v>0.30600000000000005</v>
      </c>
      <c r="F164" s="56">
        <f t="shared" si="353"/>
        <v>0.30600000000000005</v>
      </c>
      <c r="G164" s="56">
        <f t="shared" si="353"/>
        <v>0.30600000000000005</v>
      </c>
      <c r="H164" s="56">
        <f t="shared" si="353"/>
        <v>0.30600000000000005</v>
      </c>
      <c r="I164" s="56">
        <f t="shared" si="353"/>
        <v>0.30600000000000005</v>
      </c>
      <c r="J164" s="56">
        <f t="shared" ref="J164:K164" si="354">SUM(J159:J163)</f>
        <v>0.30600000000000005</v>
      </c>
      <c r="K164" s="56">
        <f t="shared" si="354"/>
        <v>0.30600000000000005</v>
      </c>
      <c r="L164" s="56">
        <f t="shared" ref="L164:M164" si="355">SUM(L159:L163)</f>
        <v>0.30600000000000005</v>
      </c>
      <c r="M164" s="56">
        <f t="shared" si="355"/>
        <v>0.30600000000000005</v>
      </c>
      <c r="N164" s="56">
        <f t="shared" ref="N164:O164" si="356">SUM(N159:N163)</f>
        <v>0.30600000000000005</v>
      </c>
      <c r="O164" s="56">
        <f t="shared" si="356"/>
        <v>0.30600000000000005</v>
      </c>
      <c r="P164" s="56">
        <f t="shared" ref="P164:Q164" si="357">SUM(P159:P163)</f>
        <v>0.30600000000000005</v>
      </c>
      <c r="Q164" s="56">
        <f t="shared" si="357"/>
        <v>0.30600000000000005</v>
      </c>
      <c r="R164" s="56">
        <f t="shared" ref="R164:S164" si="358">SUM(R159:R163)</f>
        <v>0.30600000000000005</v>
      </c>
      <c r="S164" s="56">
        <f t="shared" si="358"/>
        <v>0.30600000000000005</v>
      </c>
      <c r="T164" s="56">
        <f t="shared" ref="T164:U164" si="359">SUM(T159:T163)</f>
        <v>0.30600000000000005</v>
      </c>
      <c r="U164" s="56">
        <f t="shared" si="359"/>
        <v>0.30600000000000005</v>
      </c>
      <c r="V164" s="56">
        <f t="shared" ref="V164:W164" si="360">SUM(V159:V163)</f>
        <v>0.30600000000000005</v>
      </c>
      <c r="W164" s="56">
        <f t="shared" si="360"/>
        <v>0.30600000000000005</v>
      </c>
      <c r="X164" s="56">
        <f t="shared" ref="X164:Y164" si="361">SUM(X159:X163)</f>
        <v>0.30600000000000005</v>
      </c>
      <c r="Y164" s="56">
        <f t="shared" si="361"/>
        <v>0.30600000000000005</v>
      </c>
      <c r="Z164" s="56">
        <f t="shared" ref="Z164:AA164" si="362">SUM(Z159:Z163)</f>
        <v>0.30600000000000005</v>
      </c>
      <c r="AA164" s="56">
        <f t="shared" si="362"/>
        <v>0.30600000000000005</v>
      </c>
      <c r="AB164" s="56">
        <f t="shared" ref="AB164:AC164" si="363">SUM(AB159:AB163)</f>
        <v>0.30600000000000005</v>
      </c>
      <c r="AC164" s="56">
        <f t="shared" si="363"/>
        <v>0.30600000000000005</v>
      </c>
      <c r="AD164" s="56">
        <f t="shared" ref="AD164:AE164" si="364">SUM(AD159:AD163)</f>
        <v>0.30600000000000005</v>
      </c>
      <c r="AE164" s="56">
        <f t="shared" si="364"/>
        <v>0.30600000000000005</v>
      </c>
      <c r="AF164" s="56">
        <f t="shared" ref="AF164:AG164" si="365">SUM(AF159:AF163)</f>
        <v>0.30600000000000005</v>
      </c>
      <c r="AG164" s="56">
        <f t="shared" si="365"/>
        <v>0.30600000000000005</v>
      </c>
      <c r="AH164" s="56">
        <f t="shared" ref="AH164:AI164" si="366">SUM(AH159:AH163)</f>
        <v>0.30600000000000005</v>
      </c>
      <c r="AI164" s="56">
        <f t="shared" si="366"/>
        <v>0.30600000000000005</v>
      </c>
      <c r="AJ164" s="56">
        <f t="shared" ref="AJ164:AK164" si="367">SUM(AJ159:AJ163)</f>
        <v>0.30600000000000005</v>
      </c>
      <c r="AK164" s="56">
        <f t="shared" si="367"/>
        <v>0.30600000000000005</v>
      </c>
      <c r="AL164" s="56">
        <f t="shared" ref="AL164:AM164" si="368">SUM(AL159:AL163)</f>
        <v>0.30600000000000005</v>
      </c>
      <c r="AM164" s="56">
        <f t="shared" si="368"/>
        <v>0.30600000000000005</v>
      </c>
      <c r="AN164" s="56">
        <f t="shared" ref="AN164:AO164" si="369">SUM(AN159:AN163)</f>
        <v>0.30600000000000005</v>
      </c>
      <c r="AO164" s="56">
        <f t="shared" si="369"/>
        <v>0.30600000000000005</v>
      </c>
      <c r="AP164" s="56">
        <f t="shared" ref="AP164:AQ164" si="370">SUM(AP159:AP163)</f>
        <v>0.30600000000000005</v>
      </c>
      <c r="AQ164" s="56">
        <f t="shared" si="370"/>
        <v>0.30600000000000005</v>
      </c>
      <c r="AR164" s="56">
        <f t="shared" ref="AR164" si="371">SUM(AR159:AR163)</f>
        <v>0.30600000000000005</v>
      </c>
    </row>
    <row r="165" spans="1:44" outlineLevel="1" x14ac:dyDescent="0.2">
      <c r="A165" s="63" t="s">
        <v>39</v>
      </c>
      <c r="B165" s="341">
        <v>1</v>
      </c>
      <c r="C165" s="2" t="s">
        <v>17</v>
      </c>
      <c r="D165" s="40"/>
    </row>
    <row r="166" spans="1:44" x14ac:dyDescent="0.2">
      <c r="A166" s="44"/>
      <c r="B166" s="6"/>
      <c r="D166" s="40"/>
    </row>
    <row r="167" spans="1:44" x14ac:dyDescent="0.2">
      <c r="A167" s="52" t="s">
        <v>38</v>
      </c>
      <c r="B167" s="6"/>
      <c r="D167" s="40"/>
    </row>
    <row r="168" spans="1:44" outlineLevel="1" x14ac:dyDescent="0.2">
      <c r="A168" s="194" t="s">
        <v>307</v>
      </c>
      <c r="B168" s="6"/>
      <c r="D168" s="40"/>
    </row>
    <row r="169" spans="1:44" outlineLevel="1" x14ac:dyDescent="0.2">
      <c r="A169" s="44" t="s">
        <v>538</v>
      </c>
      <c r="B169" s="266"/>
      <c r="D169" s="40"/>
    </row>
    <row r="170" spans="1:44" ht="22.5" outlineLevel="1" x14ac:dyDescent="0.2">
      <c r="A170" s="154" t="s">
        <v>303</v>
      </c>
      <c r="B170" s="59"/>
      <c r="C170" s="2" t="s">
        <v>1</v>
      </c>
      <c r="D170" s="40"/>
      <c r="E170" s="335">
        <v>0.02</v>
      </c>
      <c r="F170" s="335">
        <f t="shared" ref="F170:AR171" si="372">E170</f>
        <v>0.02</v>
      </c>
      <c r="G170" s="335">
        <f t="shared" si="372"/>
        <v>0.02</v>
      </c>
      <c r="H170" s="335">
        <f t="shared" si="372"/>
        <v>0.02</v>
      </c>
      <c r="I170" s="335">
        <f t="shared" si="372"/>
        <v>0.02</v>
      </c>
      <c r="J170" s="335">
        <f t="shared" si="372"/>
        <v>0.02</v>
      </c>
      <c r="K170" s="335">
        <f t="shared" si="372"/>
        <v>0.02</v>
      </c>
      <c r="L170" s="335">
        <f t="shared" si="372"/>
        <v>0.02</v>
      </c>
      <c r="M170" s="335">
        <f t="shared" si="372"/>
        <v>0.02</v>
      </c>
      <c r="N170" s="335">
        <f t="shared" si="372"/>
        <v>0.02</v>
      </c>
      <c r="O170" s="335">
        <f t="shared" si="372"/>
        <v>0.02</v>
      </c>
      <c r="P170" s="335">
        <f t="shared" si="372"/>
        <v>0.02</v>
      </c>
      <c r="Q170" s="335">
        <f t="shared" si="372"/>
        <v>0.02</v>
      </c>
      <c r="R170" s="335">
        <f t="shared" si="372"/>
        <v>0.02</v>
      </c>
      <c r="S170" s="335">
        <f t="shared" si="372"/>
        <v>0.02</v>
      </c>
      <c r="T170" s="335">
        <f t="shared" si="372"/>
        <v>0.02</v>
      </c>
      <c r="U170" s="335">
        <f t="shared" si="372"/>
        <v>0.02</v>
      </c>
      <c r="V170" s="335">
        <f t="shared" si="372"/>
        <v>0.02</v>
      </c>
      <c r="W170" s="335">
        <f t="shared" si="372"/>
        <v>0.02</v>
      </c>
      <c r="X170" s="335">
        <f t="shared" si="372"/>
        <v>0.02</v>
      </c>
      <c r="Y170" s="335">
        <f t="shared" si="372"/>
        <v>0.02</v>
      </c>
      <c r="Z170" s="335">
        <f t="shared" si="372"/>
        <v>0.02</v>
      </c>
      <c r="AA170" s="335">
        <f t="shared" si="372"/>
        <v>0.02</v>
      </c>
      <c r="AB170" s="335">
        <f t="shared" si="372"/>
        <v>0.02</v>
      </c>
      <c r="AC170" s="335">
        <f t="shared" si="372"/>
        <v>0.02</v>
      </c>
      <c r="AD170" s="335">
        <f t="shared" si="372"/>
        <v>0.02</v>
      </c>
      <c r="AE170" s="335">
        <f t="shared" si="372"/>
        <v>0.02</v>
      </c>
      <c r="AF170" s="335">
        <f t="shared" si="372"/>
        <v>0.02</v>
      </c>
      <c r="AG170" s="335">
        <f t="shared" si="372"/>
        <v>0.02</v>
      </c>
      <c r="AH170" s="335">
        <f t="shared" si="372"/>
        <v>0.02</v>
      </c>
      <c r="AI170" s="335">
        <f t="shared" si="372"/>
        <v>0.02</v>
      </c>
      <c r="AJ170" s="335">
        <f t="shared" si="372"/>
        <v>0.02</v>
      </c>
      <c r="AK170" s="335">
        <f t="shared" si="372"/>
        <v>0.02</v>
      </c>
      <c r="AL170" s="335">
        <f t="shared" si="372"/>
        <v>0.02</v>
      </c>
      <c r="AM170" s="335">
        <f t="shared" si="372"/>
        <v>0.02</v>
      </c>
      <c r="AN170" s="335">
        <f t="shared" si="372"/>
        <v>0.02</v>
      </c>
      <c r="AO170" s="335">
        <f t="shared" si="372"/>
        <v>0.02</v>
      </c>
      <c r="AP170" s="335">
        <f t="shared" si="372"/>
        <v>0.02</v>
      </c>
      <c r="AQ170" s="335">
        <f t="shared" si="372"/>
        <v>0.02</v>
      </c>
      <c r="AR170" s="335">
        <f t="shared" si="372"/>
        <v>0.02</v>
      </c>
    </row>
    <row r="171" spans="1:44" ht="22.5" outlineLevel="1" x14ac:dyDescent="0.2">
      <c r="A171" s="154" t="s">
        <v>408</v>
      </c>
      <c r="B171" s="59"/>
      <c r="C171" s="2" t="s">
        <v>1</v>
      </c>
      <c r="D171" s="40"/>
      <c r="E171" s="335">
        <v>2.1999999999999999E-2</v>
      </c>
      <c r="F171" s="335">
        <f t="shared" si="372"/>
        <v>2.1999999999999999E-2</v>
      </c>
      <c r="G171" s="335">
        <f t="shared" si="372"/>
        <v>2.1999999999999999E-2</v>
      </c>
      <c r="H171" s="335">
        <f t="shared" si="372"/>
        <v>2.1999999999999999E-2</v>
      </c>
      <c r="I171" s="335">
        <f t="shared" si="372"/>
        <v>2.1999999999999999E-2</v>
      </c>
      <c r="J171" s="335">
        <f t="shared" si="372"/>
        <v>2.1999999999999999E-2</v>
      </c>
      <c r="K171" s="335">
        <f t="shared" si="372"/>
        <v>2.1999999999999999E-2</v>
      </c>
      <c r="L171" s="335">
        <f t="shared" si="372"/>
        <v>2.1999999999999999E-2</v>
      </c>
      <c r="M171" s="335">
        <f t="shared" si="372"/>
        <v>2.1999999999999999E-2</v>
      </c>
      <c r="N171" s="335">
        <f t="shared" si="372"/>
        <v>2.1999999999999999E-2</v>
      </c>
      <c r="O171" s="335">
        <f t="shared" si="372"/>
        <v>2.1999999999999999E-2</v>
      </c>
      <c r="P171" s="335">
        <f t="shared" si="372"/>
        <v>2.1999999999999999E-2</v>
      </c>
      <c r="Q171" s="335">
        <f t="shared" si="372"/>
        <v>2.1999999999999999E-2</v>
      </c>
      <c r="R171" s="335">
        <f t="shared" si="372"/>
        <v>2.1999999999999999E-2</v>
      </c>
      <c r="S171" s="335">
        <f t="shared" si="372"/>
        <v>2.1999999999999999E-2</v>
      </c>
      <c r="T171" s="335">
        <f t="shared" si="372"/>
        <v>2.1999999999999999E-2</v>
      </c>
      <c r="U171" s="335">
        <f t="shared" si="372"/>
        <v>2.1999999999999999E-2</v>
      </c>
      <c r="V171" s="335">
        <f t="shared" si="372"/>
        <v>2.1999999999999999E-2</v>
      </c>
      <c r="W171" s="335">
        <f t="shared" si="372"/>
        <v>2.1999999999999999E-2</v>
      </c>
      <c r="X171" s="335">
        <f t="shared" si="372"/>
        <v>2.1999999999999999E-2</v>
      </c>
      <c r="Y171" s="335">
        <f t="shared" si="372"/>
        <v>2.1999999999999999E-2</v>
      </c>
      <c r="Z171" s="335">
        <f t="shared" si="372"/>
        <v>2.1999999999999999E-2</v>
      </c>
      <c r="AA171" s="335">
        <f t="shared" si="372"/>
        <v>2.1999999999999999E-2</v>
      </c>
      <c r="AB171" s="335">
        <f t="shared" si="372"/>
        <v>2.1999999999999999E-2</v>
      </c>
      <c r="AC171" s="335">
        <f t="shared" si="372"/>
        <v>2.1999999999999999E-2</v>
      </c>
      <c r="AD171" s="335">
        <f t="shared" si="372"/>
        <v>2.1999999999999999E-2</v>
      </c>
      <c r="AE171" s="335">
        <f t="shared" si="372"/>
        <v>2.1999999999999999E-2</v>
      </c>
      <c r="AF171" s="335">
        <f t="shared" si="372"/>
        <v>2.1999999999999999E-2</v>
      </c>
      <c r="AG171" s="335">
        <f t="shared" si="372"/>
        <v>2.1999999999999999E-2</v>
      </c>
      <c r="AH171" s="335">
        <f t="shared" si="372"/>
        <v>2.1999999999999999E-2</v>
      </c>
      <c r="AI171" s="335">
        <f t="shared" si="372"/>
        <v>2.1999999999999999E-2</v>
      </c>
      <c r="AJ171" s="335">
        <f t="shared" si="372"/>
        <v>2.1999999999999999E-2</v>
      </c>
      <c r="AK171" s="335">
        <f t="shared" si="372"/>
        <v>2.1999999999999999E-2</v>
      </c>
      <c r="AL171" s="335">
        <f t="shared" si="372"/>
        <v>2.1999999999999999E-2</v>
      </c>
      <c r="AM171" s="335">
        <f t="shared" si="372"/>
        <v>2.1999999999999999E-2</v>
      </c>
      <c r="AN171" s="335">
        <f t="shared" si="372"/>
        <v>2.1999999999999999E-2</v>
      </c>
      <c r="AO171" s="335">
        <f t="shared" si="372"/>
        <v>2.1999999999999999E-2</v>
      </c>
      <c r="AP171" s="335">
        <f t="shared" si="372"/>
        <v>2.1999999999999999E-2</v>
      </c>
      <c r="AQ171" s="335">
        <f t="shared" si="372"/>
        <v>2.1999999999999999E-2</v>
      </c>
      <c r="AR171" s="335">
        <f t="shared" si="372"/>
        <v>2.1999999999999999E-2</v>
      </c>
    </row>
    <row r="172" spans="1:44" outlineLevel="1" x14ac:dyDescent="0.2">
      <c r="A172" s="154" t="s">
        <v>409</v>
      </c>
      <c r="B172" s="59"/>
      <c r="C172" s="2" t="s">
        <v>1</v>
      </c>
      <c r="D172" s="40"/>
      <c r="E172" s="335">
        <f t="shared" ref="E172:AR172" si="373">IF(E$46&lt;2019,1.1%,0)</f>
        <v>0</v>
      </c>
      <c r="F172" s="335">
        <f t="shared" si="373"/>
        <v>0</v>
      </c>
      <c r="G172" s="335">
        <f t="shared" si="373"/>
        <v>0</v>
      </c>
      <c r="H172" s="335">
        <f t="shared" si="373"/>
        <v>0</v>
      </c>
      <c r="I172" s="335">
        <f t="shared" si="373"/>
        <v>0</v>
      </c>
      <c r="J172" s="335">
        <f t="shared" si="373"/>
        <v>0</v>
      </c>
      <c r="K172" s="335">
        <f t="shared" si="373"/>
        <v>0</v>
      </c>
      <c r="L172" s="335">
        <f t="shared" si="373"/>
        <v>0</v>
      </c>
      <c r="M172" s="335">
        <f t="shared" si="373"/>
        <v>0</v>
      </c>
      <c r="N172" s="335">
        <f t="shared" si="373"/>
        <v>0</v>
      </c>
      <c r="O172" s="335">
        <f t="shared" si="373"/>
        <v>0</v>
      </c>
      <c r="P172" s="335">
        <f t="shared" si="373"/>
        <v>0</v>
      </c>
      <c r="Q172" s="335">
        <f t="shared" si="373"/>
        <v>0</v>
      </c>
      <c r="R172" s="335">
        <f t="shared" si="373"/>
        <v>0</v>
      </c>
      <c r="S172" s="335">
        <f t="shared" si="373"/>
        <v>0</v>
      </c>
      <c r="T172" s="335">
        <f t="shared" si="373"/>
        <v>0</v>
      </c>
      <c r="U172" s="335">
        <f t="shared" si="373"/>
        <v>0</v>
      </c>
      <c r="V172" s="335">
        <f t="shared" si="373"/>
        <v>0</v>
      </c>
      <c r="W172" s="335">
        <f t="shared" si="373"/>
        <v>0</v>
      </c>
      <c r="X172" s="335">
        <f t="shared" si="373"/>
        <v>0</v>
      </c>
      <c r="Y172" s="335">
        <f t="shared" si="373"/>
        <v>0</v>
      </c>
      <c r="Z172" s="335">
        <f t="shared" si="373"/>
        <v>0</v>
      </c>
      <c r="AA172" s="335">
        <f t="shared" si="373"/>
        <v>0</v>
      </c>
      <c r="AB172" s="335">
        <f t="shared" si="373"/>
        <v>0</v>
      </c>
      <c r="AC172" s="335">
        <f t="shared" si="373"/>
        <v>0</v>
      </c>
      <c r="AD172" s="335">
        <f t="shared" si="373"/>
        <v>0</v>
      </c>
      <c r="AE172" s="335">
        <f t="shared" si="373"/>
        <v>0</v>
      </c>
      <c r="AF172" s="335">
        <f t="shared" si="373"/>
        <v>0</v>
      </c>
      <c r="AG172" s="335">
        <f t="shared" si="373"/>
        <v>0</v>
      </c>
      <c r="AH172" s="335">
        <f t="shared" si="373"/>
        <v>0</v>
      </c>
      <c r="AI172" s="335">
        <f t="shared" si="373"/>
        <v>0</v>
      </c>
      <c r="AJ172" s="335">
        <f t="shared" si="373"/>
        <v>0</v>
      </c>
      <c r="AK172" s="335">
        <f t="shared" si="373"/>
        <v>0</v>
      </c>
      <c r="AL172" s="335">
        <f t="shared" si="373"/>
        <v>0</v>
      </c>
      <c r="AM172" s="335">
        <f t="shared" si="373"/>
        <v>0</v>
      </c>
      <c r="AN172" s="335">
        <f t="shared" si="373"/>
        <v>0</v>
      </c>
      <c r="AO172" s="335">
        <f t="shared" si="373"/>
        <v>0</v>
      </c>
      <c r="AP172" s="335">
        <f t="shared" si="373"/>
        <v>0</v>
      </c>
      <c r="AQ172" s="335">
        <f t="shared" si="373"/>
        <v>0</v>
      </c>
      <c r="AR172" s="335">
        <f t="shared" si="373"/>
        <v>0</v>
      </c>
    </row>
    <row r="173" spans="1:44" outlineLevel="1" x14ac:dyDescent="0.2">
      <c r="A173" s="63" t="s">
        <v>39</v>
      </c>
      <c r="B173" s="341">
        <v>3</v>
      </c>
      <c r="C173" s="2" t="s">
        <v>17</v>
      </c>
      <c r="D173" s="40"/>
    </row>
    <row r="174" spans="1:44" outlineLevel="1" x14ac:dyDescent="0.2">
      <c r="A174" s="146"/>
      <c r="B174" s="40"/>
      <c r="C174" s="2"/>
      <c r="D174" s="40"/>
    </row>
    <row r="175" spans="1:44" outlineLevel="1" x14ac:dyDescent="0.2">
      <c r="A175" s="44" t="s">
        <v>793</v>
      </c>
      <c r="B175" s="266"/>
      <c r="D175" s="40"/>
    </row>
    <row r="176" spans="1:44" ht="22.5" outlineLevel="1" x14ac:dyDescent="0.2">
      <c r="A176" s="154" t="s">
        <v>408</v>
      </c>
      <c r="B176" s="59"/>
      <c r="C176" s="2" t="s">
        <v>1</v>
      </c>
      <c r="D176" s="40"/>
      <c r="E176" s="335">
        <f>E171</f>
        <v>2.1999999999999999E-2</v>
      </c>
      <c r="F176" s="335">
        <f t="shared" ref="F176:AR176" si="374">F171</f>
        <v>2.1999999999999999E-2</v>
      </c>
      <c r="G176" s="335">
        <f t="shared" si="374"/>
        <v>2.1999999999999999E-2</v>
      </c>
      <c r="H176" s="335">
        <f t="shared" si="374"/>
        <v>2.1999999999999999E-2</v>
      </c>
      <c r="I176" s="335">
        <v>0</v>
      </c>
      <c r="J176" s="335">
        <f>I176</f>
        <v>0</v>
      </c>
      <c r="K176" s="335">
        <f t="shared" ref="K176:AE176" si="375">J176</f>
        <v>0</v>
      </c>
      <c r="L176" s="335">
        <f t="shared" si="375"/>
        <v>0</v>
      </c>
      <c r="M176" s="335">
        <f t="shared" si="375"/>
        <v>0</v>
      </c>
      <c r="N176" s="335">
        <f t="shared" si="375"/>
        <v>0</v>
      </c>
      <c r="O176" s="335">
        <f t="shared" si="375"/>
        <v>0</v>
      </c>
      <c r="P176" s="335">
        <f t="shared" si="375"/>
        <v>0</v>
      </c>
      <c r="Q176" s="335">
        <f t="shared" si="375"/>
        <v>0</v>
      </c>
      <c r="R176" s="335">
        <f t="shared" si="375"/>
        <v>0</v>
      </c>
      <c r="S176" s="335">
        <f t="shared" si="375"/>
        <v>0</v>
      </c>
      <c r="T176" s="335">
        <f t="shared" si="375"/>
        <v>0</v>
      </c>
      <c r="U176" s="335">
        <f t="shared" si="375"/>
        <v>0</v>
      </c>
      <c r="V176" s="335">
        <f t="shared" si="375"/>
        <v>0</v>
      </c>
      <c r="W176" s="335">
        <f t="shared" si="375"/>
        <v>0</v>
      </c>
      <c r="X176" s="335">
        <f t="shared" si="375"/>
        <v>0</v>
      </c>
      <c r="Y176" s="335">
        <f t="shared" si="375"/>
        <v>0</v>
      </c>
      <c r="Z176" s="335">
        <f t="shared" si="375"/>
        <v>0</v>
      </c>
      <c r="AA176" s="335">
        <f t="shared" si="375"/>
        <v>0</v>
      </c>
      <c r="AB176" s="335">
        <f t="shared" si="375"/>
        <v>0</v>
      </c>
      <c r="AC176" s="335">
        <f t="shared" si="375"/>
        <v>0</v>
      </c>
      <c r="AD176" s="335">
        <f t="shared" si="375"/>
        <v>0</v>
      </c>
      <c r="AE176" s="335">
        <f t="shared" si="375"/>
        <v>0</v>
      </c>
      <c r="AF176" s="335">
        <f>AE176</f>
        <v>0</v>
      </c>
      <c r="AG176" s="335">
        <f t="shared" si="374"/>
        <v>2.1999999999999999E-2</v>
      </c>
      <c r="AH176" s="335">
        <f t="shared" si="374"/>
        <v>2.1999999999999999E-2</v>
      </c>
      <c r="AI176" s="335">
        <f t="shared" si="374"/>
        <v>2.1999999999999999E-2</v>
      </c>
      <c r="AJ176" s="335">
        <f t="shared" si="374"/>
        <v>2.1999999999999999E-2</v>
      </c>
      <c r="AK176" s="335">
        <f t="shared" si="374"/>
        <v>2.1999999999999999E-2</v>
      </c>
      <c r="AL176" s="335">
        <f t="shared" si="374"/>
        <v>2.1999999999999999E-2</v>
      </c>
      <c r="AM176" s="335">
        <f t="shared" si="374"/>
        <v>2.1999999999999999E-2</v>
      </c>
      <c r="AN176" s="335">
        <f t="shared" si="374"/>
        <v>2.1999999999999999E-2</v>
      </c>
      <c r="AO176" s="335">
        <f t="shared" si="374"/>
        <v>2.1999999999999999E-2</v>
      </c>
      <c r="AP176" s="335">
        <f t="shared" si="374"/>
        <v>2.1999999999999999E-2</v>
      </c>
      <c r="AQ176" s="335">
        <f t="shared" si="374"/>
        <v>2.1999999999999999E-2</v>
      </c>
      <c r="AR176" s="335">
        <f t="shared" si="374"/>
        <v>2.1999999999999999E-2</v>
      </c>
    </row>
    <row r="177" spans="1:44" outlineLevel="1" x14ac:dyDescent="0.2">
      <c r="A177" s="154"/>
      <c r="B177" s="59"/>
      <c r="C177" s="2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</row>
    <row r="178" spans="1:44" outlineLevel="1" x14ac:dyDescent="0.2">
      <c r="A178" s="33" t="s">
        <v>792</v>
      </c>
      <c r="B178" s="59"/>
      <c r="C178" s="2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</row>
    <row r="179" spans="1:44" s="1" customFormat="1" x14ac:dyDescent="0.2">
      <c r="B179" s="59"/>
      <c r="C179" s="16"/>
      <c r="D179" s="15"/>
      <c r="E179" s="264"/>
      <c r="F179" s="264"/>
      <c r="G179" s="264"/>
      <c r="H179" s="264"/>
      <c r="I179" s="264"/>
      <c r="J179" s="264"/>
      <c r="K179" s="264"/>
      <c r="L179" s="264"/>
      <c r="M179" s="264"/>
      <c r="N179" s="264"/>
      <c r="O179" s="264"/>
      <c r="P179" s="264"/>
      <c r="Q179" s="264"/>
      <c r="R179" s="264"/>
      <c r="S179" s="264"/>
      <c r="T179" s="264"/>
      <c r="U179" s="264"/>
      <c r="V179" s="264"/>
      <c r="W179" s="264"/>
      <c r="X179" s="264"/>
      <c r="Y179" s="264"/>
      <c r="Z179" s="264"/>
      <c r="AA179" s="264"/>
      <c r="AB179" s="264"/>
      <c r="AC179" s="264"/>
      <c r="AD179" s="264"/>
      <c r="AE179" s="264"/>
      <c r="AF179" s="264"/>
      <c r="AG179" s="264"/>
      <c r="AH179" s="264"/>
      <c r="AI179" s="264"/>
      <c r="AJ179" s="264"/>
      <c r="AK179" s="264"/>
      <c r="AL179" s="264"/>
      <c r="AM179" s="264"/>
      <c r="AN179" s="264"/>
      <c r="AO179" s="264"/>
      <c r="AP179" s="264"/>
      <c r="AQ179" s="264"/>
      <c r="AR179" s="264"/>
    </row>
    <row r="180" spans="1:44" s="1" customFormat="1" x14ac:dyDescent="0.2">
      <c r="A180" s="62" t="s">
        <v>319</v>
      </c>
      <c r="B180" s="59"/>
      <c r="C180" s="16"/>
      <c r="D180" s="15"/>
      <c r="E180" s="264"/>
      <c r="F180" s="264"/>
      <c r="G180" s="264"/>
      <c r="H180" s="264"/>
      <c r="I180" s="264"/>
      <c r="J180" s="264"/>
      <c r="K180" s="264"/>
      <c r="L180" s="264"/>
      <c r="M180" s="264"/>
      <c r="N180" s="264"/>
      <c r="O180" s="264"/>
      <c r="P180" s="264"/>
      <c r="Q180" s="264"/>
      <c r="R180" s="264"/>
      <c r="S180" s="264"/>
      <c r="T180" s="264"/>
      <c r="U180" s="264"/>
      <c r="V180" s="264"/>
      <c r="W180" s="264"/>
      <c r="X180" s="264"/>
      <c r="Y180" s="264"/>
      <c r="Z180" s="264"/>
      <c r="AA180" s="264"/>
      <c r="AB180" s="264"/>
      <c r="AC180" s="264"/>
      <c r="AD180" s="264"/>
      <c r="AE180" s="264"/>
      <c r="AF180" s="264"/>
      <c r="AG180" s="264"/>
      <c r="AH180" s="264"/>
      <c r="AI180" s="264"/>
      <c r="AJ180" s="264"/>
      <c r="AK180" s="264"/>
      <c r="AL180" s="264"/>
      <c r="AM180" s="264"/>
      <c r="AN180" s="264"/>
      <c r="AO180" s="264"/>
      <c r="AP180" s="264"/>
      <c r="AQ180" s="264"/>
      <c r="AR180" s="264"/>
    </row>
    <row r="181" spans="1:44" s="1" customFormat="1" outlineLevel="1" x14ac:dyDescent="0.2">
      <c r="A181" s="207" t="s">
        <v>308</v>
      </c>
      <c r="B181" s="59"/>
      <c r="C181" s="16"/>
      <c r="D181" s="15"/>
      <c r="E181" s="264"/>
      <c r="F181" s="264"/>
      <c r="G181" s="264"/>
      <c r="H181" s="264"/>
      <c r="I181" s="264"/>
      <c r="J181" s="264"/>
      <c r="K181" s="264"/>
      <c r="L181" s="264"/>
      <c r="M181" s="264"/>
      <c r="N181" s="264"/>
      <c r="O181" s="264"/>
      <c r="P181" s="264"/>
      <c r="Q181" s="264"/>
      <c r="R181" s="264"/>
      <c r="S181" s="264"/>
      <c r="T181" s="264"/>
      <c r="U181" s="264"/>
      <c r="V181" s="264"/>
      <c r="W181" s="264"/>
      <c r="X181" s="264"/>
      <c r="Y181" s="264"/>
      <c r="Z181" s="264"/>
      <c r="AA181" s="264"/>
      <c r="AB181" s="264"/>
      <c r="AC181" s="264"/>
      <c r="AD181" s="264"/>
      <c r="AE181" s="264"/>
      <c r="AF181" s="264"/>
      <c r="AG181" s="264"/>
      <c r="AH181" s="264"/>
      <c r="AI181" s="264"/>
      <c r="AJ181" s="264"/>
      <c r="AK181" s="264"/>
      <c r="AL181" s="264"/>
      <c r="AM181" s="264"/>
      <c r="AN181" s="264"/>
      <c r="AO181" s="264"/>
      <c r="AP181" s="264"/>
      <c r="AQ181" s="264"/>
      <c r="AR181" s="264"/>
    </row>
    <row r="182" spans="1:44" s="1" customFormat="1" outlineLevel="1" x14ac:dyDescent="0.2">
      <c r="A182" s="44" t="s">
        <v>538</v>
      </c>
      <c r="B182" s="59"/>
      <c r="C182" s="16"/>
      <c r="D182" s="15"/>
      <c r="E182" s="264"/>
      <c r="F182" s="264"/>
      <c r="G182" s="264"/>
      <c r="H182" s="264"/>
      <c r="I182" s="264"/>
      <c r="J182" s="264"/>
      <c r="K182" s="264"/>
      <c r="L182" s="264"/>
      <c r="M182" s="264"/>
      <c r="N182" s="264"/>
      <c r="O182" s="264"/>
      <c r="P182" s="264"/>
      <c r="Q182" s="264"/>
      <c r="R182" s="264"/>
      <c r="S182" s="264"/>
      <c r="T182" s="264"/>
      <c r="U182" s="264"/>
      <c r="V182" s="264"/>
      <c r="W182" s="264"/>
      <c r="X182" s="264"/>
      <c r="Y182" s="264"/>
      <c r="Z182" s="264"/>
      <c r="AA182" s="264"/>
      <c r="AB182" s="264"/>
      <c r="AC182" s="264"/>
      <c r="AD182" s="264"/>
      <c r="AE182" s="264"/>
      <c r="AF182" s="264"/>
      <c r="AG182" s="264"/>
      <c r="AH182" s="264"/>
      <c r="AI182" s="264"/>
      <c r="AJ182" s="264"/>
      <c r="AK182" s="264"/>
      <c r="AL182" s="264"/>
      <c r="AM182" s="264"/>
      <c r="AN182" s="264"/>
      <c r="AO182" s="264"/>
      <c r="AP182" s="264"/>
      <c r="AQ182" s="264"/>
      <c r="AR182" s="264"/>
    </row>
    <row r="183" spans="1:44" s="1" customFormat="1" outlineLevel="1" x14ac:dyDescent="0.2">
      <c r="A183" s="63" t="s">
        <v>40</v>
      </c>
      <c r="B183" s="59"/>
      <c r="C183" s="2" t="s">
        <v>1</v>
      </c>
      <c r="D183" s="40"/>
      <c r="E183" s="335">
        <f>ИД!C19</f>
        <v>1.4999999999999999E-2</v>
      </c>
      <c r="F183" s="335">
        <f t="shared" ref="F183" si="376">E183</f>
        <v>1.4999999999999999E-2</v>
      </c>
      <c r="G183" s="335">
        <f t="shared" ref="G183" si="377">F183</f>
        <v>1.4999999999999999E-2</v>
      </c>
      <c r="H183" s="335">
        <f t="shared" ref="H183" si="378">G183</f>
        <v>1.4999999999999999E-2</v>
      </c>
      <c r="I183" s="335">
        <f t="shared" ref="I183" si="379">H183</f>
        <v>1.4999999999999999E-2</v>
      </c>
      <c r="J183" s="335">
        <f t="shared" ref="J183" si="380">I183</f>
        <v>1.4999999999999999E-2</v>
      </c>
      <c r="K183" s="335">
        <f t="shared" ref="K183" si="381">J183</f>
        <v>1.4999999999999999E-2</v>
      </c>
      <c r="L183" s="335">
        <f t="shared" ref="L183" si="382">K183</f>
        <v>1.4999999999999999E-2</v>
      </c>
      <c r="M183" s="335">
        <f t="shared" ref="M183" si="383">L183</f>
        <v>1.4999999999999999E-2</v>
      </c>
      <c r="N183" s="335">
        <f t="shared" ref="N183" si="384">M183</f>
        <v>1.4999999999999999E-2</v>
      </c>
      <c r="O183" s="335">
        <f t="shared" ref="O183" si="385">N183</f>
        <v>1.4999999999999999E-2</v>
      </c>
      <c r="P183" s="335">
        <f t="shared" ref="P183:AR183" si="386">O183</f>
        <v>1.4999999999999999E-2</v>
      </c>
      <c r="Q183" s="335">
        <f t="shared" si="386"/>
        <v>1.4999999999999999E-2</v>
      </c>
      <c r="R183" s="335">
        <f t="shared" si="386"/>
        <v>1.4999999999999999E-2</v>
      </c>
      <c r="S183" s="335">
        <f t="shared" si="386"/>
        <v>1.4999999999999999E-2</v>
      </c>
      <c r="T183" s="335">
        <f t="shared" si="386"/>
        <v>1.4999999999999999E-2</v>
      </c>
      <c r="U183" s="335">
        <f t="shared" si="386"/>
        <v>1.4999999999999999E-2</v>
      </c>
      <c r="V183" s="335">
        <f t="shared" si="386"/>
        <v>1.4999999999999999E-2</v>
      </c>
      <c r="W183" s="335">
        <f t="shared" si="386"/>
        <v>1.4999999999999999E-2</v>
      </c>
      <c r="X183" s="335">
        <f t="shared" si="386"/>
        <v>1.4999999999999999E-2</v>
      </c>
      <c r="Y183" s="335">
        <f t="shared" si="386"/>
        <v>1.4999999999999999E-2</v>
      </c>
      <c r="Z183" s="335">
        <f t="shared" si="386"/>
        <v>1.4999999999999999E-2</v>
      </c>
      <c r="AA183" s="335">
        <f t="shared" si="386"/>
        <v>1.4999999999999999E-2</v>
      </c>
      <c r="AB183" s="335">
        <f t="shared" si="386"/>
        <v>1.4999999999999999E-2</v>
      </c>
      <c r="AC183" s="335">
        <f t="shared" si="386"/>
        <v>1.4999999999999999E-2</v>
      </c>
      <c r="AD183" s="335">
        <f t="shared" si="386"/>
        <v>1.4999999999999999E-2</v>
      </c>
      <c r="AE183" s="335">
        <f t="shared" si="386"/>
        <v>1.4999999999999999E-2</v>
      </c>
      <c r="AF183" s="335">
        <f t="shared" si="386"/>
        <v>1.4999999999999999E-2</v>
      </c>
      <c r="AG183" s="335">
        <f t="shared" si="386"/>
        <v>1.4999999999999999E-2</v>
      </c>
      <c r="AH183" s="335">
        <f t="shared" si="386"/>
        <v>1.4999999999999999E-2</v>
      </c>
      <c r="AI183" s="335">
        <f t="shared" si="386"/>
        <v>1.4999999999999999E-2</v>
      </c>
      <c r="AJ183" s="335">
        <f t="shared" si="386"/>
        <v>1.4999999999999999E-2</v>
      </c>
      <c r="AK183" s="335">
        <f t="shared" si="386"/>
        <v>1.4999999999999999E-2</v>
      </c>
      <c r="AL183" s="335">
        <f t="shared" si="386"/>
        <v>1.4999999999999999E-2</v>
      </c>
      <c r="AM183" s="335">
        <f t="shared" si="386"/>
        <v>1.4999999999999999E-2</v>
      </c>
      <c r="AN183" s="335">
        <f t="shared" si="386"/>
        <v>1.4999999999999999E-2</v>
      </c>
      <c r="AO183" s="335">
        <f t="shared" si="386"/>
        <v>1.4999999999999999E-2</v>
      </c>
      <c r="AP183" s="335">
        <f t="shared" si="386"/>
        <v>1.4999999999999999E-2</v>
      </c>
      <c r="AQ183" s="335">
        <f t="shared" si="386"/>
        <v>1.4999999999999999E-2</v>
      </c>
      <c r="AR183" s="335">
        <f t="shared" si="386"/>
        <v>1.4999999999999999E-2</v>
      </c>
    </row>
    <row r="184" spans="1:44" s="1" customFormat="1" outlineLevel="1" x14ac:dyDescent="0.2">
      <c r="A184" s="63" t="s">
        <v>39</v>
      </c>
      <c r="B184" s="341">
        <v>3</v>
      </c>
      <c r="C184" s="2" t="str">
        <f>$C$137</f>
        <v>мес.</v>
      </c>
      <c r="D184" s="40"/>
      <c r="E184" s="264"/>
      <c r="F184" s="264"/>
      <c r="G184" s="264"/>
      <c r="H184" s="264"/>
      <c r="I184" s="264"/>
      <c r="J184" s="264"/>
      <c r="K184" s="264"/>
      <c r="L184" s="264"/>
      <c r="M184" s="264"/>
      <c r="N184" s="264"/>
      <c r="O184" s="264"/>
      <c r="P184" s="264"/>
      <c r="Q184" s="264"/>
      <c r="R184" s="264"/>
      <c r="S184" s="264"/>
      <c r="T184" s="264"/>
      <c r="U184" s="264"/>
      <c r="V184" s="264"/>
      <c r="W184" s="264"/>
      <c r="X184" s="264"/>
      <c r="Y184" s="264"/>
      <c r="Z184" s="264"/>
      <c r="AA184" s="264"/>
      <c r="AB184" s="264"/>
      <c r="AC184" s="264"/>
      <c r="AD184" s="264"/>
      <c r="AE184" s="264"/>
      <c r="AF184" s="264"/>
      <c r="AG184" s="264"/>
      <c r="AH184" s="264"/>
      <c r="AI184" s="264"/>
      <c r="AJ184" s="264"/>
      <c r="AK184" s="264"/>
      <c r="AL184" s="264"/>
      <c r="AM184" s="264"/>
      <c r="AN184" s="264"/>
      <c r="AO184" s="264"/>
      <c r="AP184" s="264"/>
      <c r="AQ184" s="264"/>
      <c r="AR184" s="264"/>
    </row>
    <row r="185" spans="1:44" s="1" customFormat="1" outlineLevel="1" x14ac:dyDescent="0.2">
      <c r="A185" s="44" t="s">
        <v>539</v>
      </c>
      <c r="B185" s="63"/>
      <c r="C185" s="2"/>
      <c r="D185" s="40"/>
      <c r="E185" s="264"/>
      <c r="F185" s="264"/>
      <c r="G185" s="264"/>
      <c r="H185" s="264"/>
      <c r="I185" s="264"/>
      <c r="J185" s="264"/>
      <c r="K185" s="264"/>
      <c r="L185" s="264"/>
      <c r="M185" s="264"/>
      <c r="N185" s="264"/>
      <c r="O185" s="264"/>
      <c r="P185" s="264"/>
      <c r="Q185" s="264"/>
      <c r="R185" s="264"/>
      <c r="S185" s="264"/>
      <c r="T185" s="264"/>
      <c r="U185" s="264"/>
      <c r="V185" s="264"/>
      <c r="W185" s="264"/>
      <c r="X185" s="264"/>
      <c r="Y185" s="264"/>
      <c r="Z185" s="264"/>
      <c r="AA185" s="264"/>
      <c r="AB185" s="264"/>
      <c r="AC185" s="264"/>
      <c r="AD185" s="264"/>
      <c r="AE185" s="264"/>
      <c r="AF185" s="264"/>
      <c r="AG185" s="264"/>
      <c r="AH185" s="264"/>
      <c r="AI185" s="264"/>
      <c r="AJ185" s="264"/>
      <c r="AK185" s="264"/>
      <c r="AL185" s="264"/>
      <c r="AM185" s="264"/>
      <c r="AN185" s="264"/>
      <c r="AO185" s="264"/>
      <c r="AP185" s="264"/>
      <c r="AQ185" s="264"/>
      <c r="AR185" s="264"/>
    </row>
    <row r="186" spans="1:44" s="1" customFormat="1" outlineLevel="1" x14ac:dyDescent="0.2">
      <c r="A186" s="63" t="s">
        <v>40</v>
      </c>
      <c r="B186" s="59"/>
      <c r="C186" s="2" t="s">
        <v>1</v>
      </c>
      <c r="D186" s="40"/>
      <c r="E186" s="335">
        <f>E183</f>
        <v>1.4999999999999999E-2</v>
      </c>
      <c r="F186" s="335">
        <f t="shared" ref="F186:AR186" si="387">F183</f>
        <v>1.4999999999999999E-2</v>
      </c>
      <c r="G186" s="335">
        <f t="shared" si="387"/>
        <v>1.4999999999999999E-2</v>
      </c>
      <c r="H186" s="335">
        <f t="shared" si="387"/>
        <v>1.4999999999999999E-2</v>
      </c>
      <c r="I186" s="335">
        <f t="shared" si="387"/>
        <v>1.4999999999999999E-2</v>
      </c>
      <c r="J186" s="335">
        <f t="shared" si="387"/>
        <v>1.4999999999999999E-2</v>
      </c>
      <c r="K186" s="335">
        <f t="shared" si="387"/>
        <v>1.4999999999999999E-2</v>
      </c>
      <c r="L186" s="335">
        <f t="shared" si="387"/>
        <v>1.4999999999999999E-2</v>
      </c>
      <c r="M186" s="335">
        <f t="shared" si="387"/>
        <v>1.4999999999999999E-2</v>
      </c>
      <c r="N186" s="335">
        <f t="shared" si="387"/>
        <v>1.4999999999999999E-2</v>
      </c>
      <c r="O186" s="335">
        <f t="shared" si="387"/>
        <v>1.4999999999999999E-2</v>
      </c>
      <c r="P186" s="335">
        <f t="shared" si="387"/>
        <v>1.4999999999999999E-2</v>
      </c>
      <c r="Q186" s="335">
        <f t="shared" si="387"/>
        <v>1.4999999999999999E-2</v>
      </c>
      <c r="R186" s="335">
        <f t="shared" si="387"/>
        <v>1.4999999999999999E-2</v>
      </c>
      <c r="S186" s="335">
        <f t="shared" si="387"/>
        <v>1.4999999999999999E-2</v>
      </c>
      <c r="T186" s="335">
        <f t="shared" si="387"/>
        <v>1.4999999999999999E-2</v>
      </c>
      <c r="U186" s="335">
        <f t="shared" si="387"/>
        <v>1.4999999999999999E-2</v>
      </c>
      <c r="V186" s="335">
        <f t="shared" si="387"/>
        <v>1.4999999999999999E-2</v>
      </c>
      <c r="W186" s="335">
        <f t="shared" si="387"/>
        <v>1.4999999999999999E-2</v>
      </c>
      <c r="X186" s="335">
        <f t="shared" si="387"/>
        <v>1.4999999999999999E-2</v>
      </c>
      <c r="Y186" s="335">
        <f t="shared" si="387"/>
        <v>1.4999999999999999E-2</v>
      </c>
      <c r="Z186" s="335">
        <f t="shared" si="387"/>
        <v>1.4999999999999999E-2</v>
      </c>
      <c r="AA186" s="335">
        <f t="shared" si="387"/>
        <v>1.4999999999999999E-2</v>
      </c>
      <c r="AB186" s="335">
        <f t="shared" si="387"/>
        <v>1.4999999999999999E-2</v>
      </c>
      <c r="AC186" s="335">
        <f t="shared" si="387"/>
        <v>1.4999999999999999E-2</v>
      </c>
      <c r="AD186" s="335">
        <f t="shared" si="387"/>
        <v>1.4999999999999999E-2</v>
      </c>
      <c r="AE186" s="335">
        <f t="shared" si="387"/>
        <v>1.4999999999999999E-2</v>
      </c>
      <c r="AF186" s="335">
        <f t="shared" si="387"/>
        <v>1.4999999999999999E-2</v>
      </c>
      <c r="AG186" s="335">
        <f t="shared" si="387"/>
        <v>1.4999999999999999E-2</v>
      </c>
      <c r="AH186" s="335">
        <f t="shared" si="387"/>
        <v>1.4999999999999999E-2</v>
      </c>
      <c r="AI186" s="335">
        <f t="shared" si="387"/>
        <v>1.4999999999999999E-2</v>
      </c>
      <c r="AJ186" s="335">
        <f t="shared" si="387"/>
        <v>1.4999999999999999E-2</v>
      </c>
      <c r="AK186" s="335">
        <f t="shared" si="387"/>
        <v>1.4999999999999999E-2</v>
      </c>
      <c r="AL186" s="335">
        <f t="shared" si="387"/>
        <v>1.4999999999999999E-2</v>
      </c>
      <c r="AM186" s="335">
        <f t="shared" si="387"/>
        <v>1.4999999999999999E-2</v>
      </c>
      <c r="AN186" s="335">
        <f t="shared" si="387"/>
        <v>1.4999999999999999E-2</v>
      </c>
      <c r="AO186" s="335">
        <f t="shared" si="387"/>
        <v>1.4999999999999999E-2</v>
      </c>
      <c r="AP186" s="335">
        <f t="shared" si="387"/>
        <v>1.4999999999999999E-2</v>
      </c>
      <c r="AQ186" s="335">
        <f t="shared" si="387"/>
        <v>1.4999999999999999E-2</v>
      </c>
      <c r="AR186" s="335">
        <f t="shared" si="387"/>
        <v>1.4999999999999999E-2</v>
      </c>
    </row>
    <row r="187" spans="1:44" s="1" customFormat="1" x14ac:dyDescent="0.2">
      <c r="B187" s="59"/>
      <c r="C187" s="16"/>
      <c r="D187" s="15"/>
      <c r="E187" s="264"/>
      <c r="F187" s="264"/>
      <c r="G187" s="264"/>
      <c r="H187" s="264"/>
      <c r="I187" s="264"/>
      <c r="J187" s="264"/>
      <c r="K187" s="264"/>
      <c r="L187" s="264"/>
      <c r="M187" s="264"/>
      <c r="N187" s="264"/>
      <c r="O187" s="264"/>
      <c r="P187" s="264"/>
      <c r="Q187" s="264"/>
      <c r="R187" s="264"/>
      <c r="S187" s="264"/>
      <c r="T187" s="264"/>
      <c r="U187" s="264"/>
      <c r="V187" s="264"/>
      <c r="W187" s="264"/>
      <c r="X187" s="264"/>
      <c r="Y187" s="264"/>
      <c r="Z187" s="264"/>
      <c r="AA187" s="264"/>
      <c r="AB187" s="264"/>
      <c r="AC187" s="264"/>
      <c r="AD187" s="264"/>
      <c r="AE187" s="264"/>
      <c r="AF187" s="264"/>
      <c r="AG187" s="264"/>
      <c r="AH187" s="264"/>
      <c r="AI187" s="264"/>
      <c r="AJ187" s="264"/>
      <c r="AK187" s="264"/>
      <c r="AL187" s="264"/>
      <c r="AM187" s="264"/>
      <c r="AN187" s="264"/>
      <c r="AO187" s="264"/>
      <c r="AP187" s="264"/>
      <c r="AQ187" s="264"/>
      <c r="AR187" s="264"/>
    </row>
    <row r="188" spans="1:44" s="1" customFormat="1" x14ac:dyDescent="0.2">
      <c r="A188" s="62" t="s">
        <v>323</v>
      </c>
      <c r="B188" s="59"/>
      <c r="C188" s="16"/>
      <c r="D188" s="15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264"/>
      <c r="P188" s="264"/>
      <c r="Q188" s="264"/>
      <c r="R188" s="264"/>
      <c r="S188" s="264"/>
      <c r="T188" s="264"/>
      <c r="U188" s="264"/>
      <c r="V188" s="264"/>
      <c r="W188" s="264"/>
      <c r="X188" s="264"/>
      <c r="Y188" s="264"/>
      <c r="Z188" s="264"/>
      <c r="AA188" s="264"/>
      <c r="AB188" s="264"/>
      <c r="AC188" s="264"/>
      <c r="AD188" s="264"/>
      <c r="AE188" s="264"/>
      <c r="AF188" s="264"/>
      <c r="AG188" s="264"/>
      <c r="AH188" s="264"/>
      <c r="AI188" s="264"/>
      <c r="AJ188" s="264"/>
      <c r="AK188" s="264"/>
      <c r="AL188" s="264"/>
      <c r="AM188" s="264"/>
      <c r="AN188" s="264"/>
      <c r="AO188" s="264"/>
      <c r="AP188" s="264"/>
      <c r="AQ188" s="264"/>
      <c r="AR188" s="264"/>
    </row>
    <row r="189" spans="1:44" s="1" customFormat="1" outlineLevel="1" x14ac:dyDescent="0.2">
      <c r="A189" s="194"/>
      <c r="B189" s="59"/>
      <c r="C189" s="16"/>
      <c r="D189" s="15"/>
      <c r="E189" s="264"/>
      <c r="F189" s="264"/>
      <c r="G189" s="264"/>
      <c r="H189" s="264"/>
      <c r="I189" s="264"/>
      <c r="J189" s="264"/>
      <c r="K189" s="264"/>
      <c r="L189" s="264"/>
      <c r="M189" s="264"/>
      <c r="N189" s="264"/>
      <c r="O189" s="264"/>
      <c r="P189" s="264"/>
      <c r="Q189" s="264"/>
      <c r="R189" s="264"/>
      <c r="S189" s="264"/>
      <c r="T189" s="264"/>
      <c r="U189" s="264"/>
      <c r="V189" s="264"/>
      <c r="W189" s="264"/>
      <c r="X189" s="264"/>
      <c r="Y189" s="264"/>
      <c r="Z189" s="264"/>
      <c r="AA189" s="264"/>
      <c r="AB189" s="264"/>
      <c r="AC189" s="264"/>
      <c r="AD189" s="264"/>
      <c r="AE189" s="264"/>
      <c r="AF189" s="264"/>
      <c r="AG189" s="264"/>
      <c r="AH189" s="264"/>
      <c r="AI189" s="264"/>
      <c r="AJ189" s="264"/>
      <c r="AK189" s="264"/>
      <c r="AL189" s="264"/>
      <c r="AM189" s="264"/>
      <c r="AN189" s="264"/>
      <c r="AO189" s="264"/>
      <c r="AP189" s="264"/>
      <c r="AQ189" s="264"/>
      <c r="AR189" s="264"/>
    </row>
    <row r="190" spans="1:44" s="1" customFormat="1" outlineLevel="1" x14ac:dyDescent="0.2">
      <c r="A190" s="63" t="s">
        <v>40</v>
      </c>
      <c r="B190" s="59"/>
      <c r="C190" s="2" t="s">
        <v>1</v>
      </c>
      <c r="D190" s="40"/>
      <c r="E190" s="335">
        <v>0.13</v>
      </c>
      <c r="F190" s="335">
        <f t="shared" ref="F190" si="388">E190</f>
        <v>0.13</v>
      </c>
      <c r="G190" s="335">
        <f t="shared" ref="G190" si="389">F190</f>
        <v>0.13</v>
      </c>
      <c r="H190" s="335">
        <f t="shared" ref="H190" si="390">G190</f>
        <v>0.13</v>
      </c>
      <c r="I190" s="335">
        <f t="shared" ref="I190" si="391">H190</f>
        <v>0.13</v>
      </c>
      <c r="J190" s="335">
        <f t="shared" ref="J190" si="392">I190</f>
        <v>0.13</v>
      </c>
      <c r="K190" s="335">
        <f t="shared" ref="K190" si="393">J190</f>
        <v>0.13</v>
      </c>
      <c r="L190" s="335">
        <f t="shared" ref="L190" si="394">K190</f>
        <v>0.13</v>
      </c>
      <c r="M190" s="335">
        <f t="shared" ref="M190" si="395">L190</f>
        <v>0.13</v>
      </c>
      <c r="N190" s="335">
        <f t="shared" ref="N190" si="396">M190</f>
        <v>0.13</v>
      </c>
      <c r="O190" s="335">
        <f t="shared" ref="O190" si="397">N190</f>
        <v>0.13</v>
      </c>
      <c r="P190" s="335">
        <f t="shared" ref="P190:AR190" si="398">O190</f>
        <v>0.13</v>
      </c>
      <c r="Q190" s="335">
        <f t="shared" si="398"/>
        <v>0.13</v>
      </c>
      <c r="R190" s="335">
        <f t="shared" si="398"/>
        <v>0.13</v>
      </c>
      <c r="S190" s="335">
        <f t="shared" si="398"/>
        <v>0.13</v>
      </c>
      <c r="T190" s="335">
        <f t="shared" si="398"/>
        <v>0.13</v>
      </c>
      <c r="U190" s="335">
        <f t="shared" si="398"/>
        <v>0.13</v>
      </c>
      <c r="V190" s="335">
        <f t="shared" si="398"/>
        <v>0.13</v>
      </c>
      <c r="W190" s="335">
        <f t="shared" si="398"/>
        <v>0.13</v>
      </c>
      <c r="X190" s="335">
        <f t="shared" si="398"/>
        <v>0.13</v>
      </c>
      <c r="Y190" s="335">
        <f t="shared" si="398"/>
        <v>0.13</v>
      </c>
      <c r="Z190" s="335">
        <f t="shared" si="398"/>
        <v>0.13</v>
      </c>
      <c r="AA190" s="335">
        <f t="shared" si="398"/>
        <v>0.13</v>
      </c>
      <c r="AB190" s="335">
        <f t="shared" si="398"/>
        <v>0.13</v>
      </c>
      <c r="AC190" s="335">
        <f t="shared" si="398"/>
        <v>0.13</v>
      </c>
      <c r="AD190" s="335">
        <f t="shared" si="398"/>
        <v>0.13</v>
      </c>
      <c r="AE190" s="335">
        <f t="shared" si="398"/>
        <v>0.13</v>
      </c>
      <c r="AF190" s="335">
        <f t="shared" si="398"/>
        <v>0.13</v>
      </c>
      <c r="AG190" s="335">
        <f t="shared" si="398"/>
        <v>0.13</v>
      </c>
      <c r="AH190" s="335">
        <f t="shared" si="398"/>
        <v>0.13</v>
      </c>
      <c r="AI190" s="335">
        <f t="shared" si="398"/>
        <v>0.13</v>
      </c>
      <c r="AJ190" s="335">
        <f t="shared" si="398"/>
        <v>0.13</v>
      </c>
      <c r="AK190" s="335">
        <f t="shared" si="398"/>
        <v>0.13</v>
      </c>
      <c r="AL190" s="335">
        <f t="shared" si="398"/>
        <v>0.13</v>
      </c>
      <c r="AM190" s="335">
        <f t="shared" si="398"/>
        <v>0.13</v>
      </c>
      <c r="AN190" s="335">
        <f t="shared" si="398"/>
        <v>0.13</v>
      </c>
      <c r="AO190" s="335">
        <f t="shared" si="398"/>
        <v>0.13</v>
      </c>
      <c r="AP190" s="335">
        <f t="shared" si="398"/>
        <v>0.13</v>
      </c>
      <c r="AQ190" s="335">
        <f t="shared" si="398"/>
        <v>0.13</v>
      </c>
      <c r="AR190" s="335">
        <f t="shared" si="398"/>
        <v>0.13</v>
      </c>
    </row>
    <row r="191" spans="1:44" s="1" customFormat="1" outlineLevel="1" x14ac:dyDescent="0.2">
      <c r="A191" s="63" t="s">
        <v>39</v>
      </c>
      <c r="B191" s="341">
        <v>1</v>
      </c>
      <c r="C191" s="2" t="str">
        <f>$C$137</f>
        <v>мес.</v>
      </c>
      <c r="D191" s="40"/>
      <c r="E191" s="264"/>
      <c r="F191" s="264"/>
      <c r="G191" s="264"/>
      <c r="H191" s="264"/>
      <c r="I191" s="264"/>
      <c r="J191" s="264"/>
      <c r="K191" s="264"/>
      <c r="L191" s="264"/>
      <c r="M191" s="264"/>
      <c r="N191" s="264"/>
      <c r="O191" s="264"/>
      <c r="P191" s="264"/>
      <c r="Q191" s="264"/>
      <c r="R191" s="264"/>
      <c r="S191" s="264"/>
      <c r="T191" s="264"/>
      <c r="U191" s="264"/>
      <c r="V191" s="264"/>
      <c r="W191" s="264"/>
      <c r="X191" s="264"/>
      <c r="Y191" s="264"/>
      <c r="Z191" s="264"/>
      <c r="AA191" s="264"/>
      <c r="AB191" s="264"/>
      <c r="AC191" s="264"/>
      <c r="AD191" s="264"/>
      <c r="AE191" s="264"/>
      <c r="AF191" s="264"/>
      <c r="AG191" s="264"/>
      <c r="AH191" s="264"/>
      <c r="AI191" s="264"/>
      <c r="AJ191" s="264"/>
      <c r="AK191" s="264"/>
      <c r="AL191" s="264"/>
      <c r="AM191" s="264"/>
      <c r="AN191" s="264"/>
      <c r="AO191" s="264"/>
      <c r="AP191" s="264"/>
      <c r="AQ191" s="264"/>
      <c r="AR191" s="264"/>
    </row>
    <row r="192" spans="1:44" s="1" customFormat="1" outlineLevel="1" x14ac:dyDescent="0.2">
      <c r="A192" s="63" t="s">
        <v>309</v>
      </c>
      <c r="B192" s="2"/>
      <c r="C192" s="2" t="s">
        <v>1</v>
      </c>
      <c r="D192" s="40"/>
      <c r="E192" s="335">
        <f>1-E193</f>
        <v>0.85</v>
      </c>
      <c r="F192" s="335">
        <f t="shared" ref="F192:AR192" si="399">1-F193</f>
        <v>0.85</v>
      </c>
      <c r="G192" s="335">
        <f t="shared" si="399"/>
        <v>0.85</v>
      </c>
      <c r="H192" s="335">
        <f t="shared" si="399"/>
        <v>0.85</v>
      </c>
      <c r="I192" s="335">
        <f t="shared" si="399"/>
        <v>0.85</v>
      </c>
      <c r="J192" s="335">
        <f t="shared" si="399"/>
        <v>0.85</v>
      </c>
      <c r="K192" s="335">
        <f t="shared" si="399"/>
        <v>0.85</v>
      </c>
      <c r="L192" s="335">
        <f t="shared" si="399"/>
        <v>0.85</v>
      </c>
      <c r="M192" s="335">
        <f t="shared" si="399"/>
        <v>0.85</v>
      </c>
      <c r="N192" s="335">
        <f t="shared" si="399"/>
        <v>0.85</v>
      </c>
      <c r="O192" s="335">
        <f t="shared" si="399"/>
        <v>0.85</v>
      </c>
      <c r="P192" s="335">
        <f t="shared" si="399"/>
        <v>0.85</v>
      </c>
      <c r="Q192" s="335">
        <f t="shared" si="399"/>
        <v>0.85</v>
      </c>
      <c r="R192" s="335">
        <f t="shared" si="399"/>
        <v>0.85</v>
      </c>
      <c r="S192" s="335">
        <f t="shared" si="399"/>
        <v>0.85</v>
      </c>
      <c r="T192" s="335">
        <f t="shared" si="399"/>
        <v>0.85</v>
      </c>
      <c r="U192" s="335">
        <f t="shared" si="399"/>
        <v>0.85</v>
      </c>
      <c r="V192" s="335">
        <f t="shared" si="399"/>
        <v>0.85</v>
      </c>
      <c r="W192" s="335">
        <f t="shared" si="399"/>
        <v>0.85</v>
      </c>
      <c r="X192" s="335">
        <f t="shared" si="399"/>
        <v>0.85</v>
      </c>
      <c r="Y192" s="335">
        <f t="shared" si="399"/>
        <v>0.85</v>
      </c>
      <c r="Z192" s="335">
        <f t="shared" si="399"/>
        <v>0.85</v>
      </c>
      <c r="AA192" s="335">
        <f t="shared" si="399"/>
        <v>0.85</v>
      </c>
      <c r="AB192" s="335">
        <f t="shared" si="399"/>
        <v>0.85</v>
      </c>
      <c r="AC192" s="335">
        <f t="shared" si="399"/>
        <v>0.85</v>
      </c>
      <c r="AD192" s="335">
        <f t="shared" si="399"/>
        <v>0.85</v>
      </c>
      <c r="AE192" s="335">
        <f t="shared" si="399"/>
        <v>0.85</v>
      </c>
      <c r="AF192" s="335">
        <f t="shared" si="399"/>
        <v>0.85</v>
      </c>
      <c r="AG192" s="335">
        <f t="shared" si="399"/>
        <v>0.85</v>
      </c>
      <c r="AH192" s="335">
        <f t="shared" si="399"/>
        <v>0.85</v>
      </c>
      <c r="AI192" s="335">
        <f t="shared" si="399"/>
        <v>0.85</v>
      </c>
      <c r="AJ192" s="335">
        <f t="shared" si="399"/>
        <v>0.85</v>
      </c>
      <c r="AK192" s="335">
        <f t="shared" si="399"/>
        <v>0.85</v>
      </c>
      <c r="AL192" s="335">
        <f t="shared" si="399"/>
        <v>0.85</v>
      </c>
      <c r="AM192" s="335">
        <f t="shared" si="399"/>
        <v>0.85</v>
      </c>
      <c r="AN192" s="335">
        <f t="shared" si="399"/>
        <v>0.85</v>
      </c>
      <c r="AO192" s="335">
        <f t="shared" si="399"/>
        <v>0.85</v>
      </c>
      <c r="AP192" s="335">
        <f t="shared" si="399"/>
        <v>0.85</v>
      </c>
      <c r="AQ192" s="335">
        <f t="shared" si="399"/>
        <v>0.85</v>
      </c>
      <c r="AR192" s="335">
        <f t="shared" si="399"/>
        <v>0.85</v>
      </c>
    </row>
    <row r="193" spans="1:46" s="1" customFormat="1" outlineLevel="1" x14ac:dyDescent="0.2">
      <c r="A193" s="63" t="s">
        <v>310</v>
      </c>
      <c r="B193" s="2"/>
      <c r="C193" s="2" t="s">
        <v>1</v>
      </c>
      <c r="D193" s="40"/>
      <c r="E193" s="335">
        <v>0.15</v>
      </c>
      <c r="F193" s="335">
        <f t="shared" ref="F193" si="400">E193</f>
        <v>0.15</v>
      </c>
      <c r="G193" s="335">
        <f t="shared" ref="G193" si="401">F193</f>
        <v>0.15</v>
      </c>
      <c r="H193" s="335">
        <f t="shared" ref="H193" si="402">G193</f>
        <v>0.15</v>
      </c>
      <c r="I193" s="335">
        <f t="shared" ref="I193" si="403">H193</f>
        <v>0.15</v>
      </c>
      <c r="J193" s="335">
        <f t="shared" ref="J193" si="404">I193</f>
        <v>0.15</v>
      </c>
      <c r="K193" s="335">
        <f t="shared" ref="K193" si="405">J193</f>
        <v>0.15</v>
      </c>
      <c r="L193" s="335">
        <f t="shared" ref="L193" si="406">K193</f>
        <v>0.15</v>
      </c>
      <c r="M193" s="335">
        <f t="shared" ref="M193" si="407">L193</f>
        <v>0.15</v>
      </c>
      <c r="N193" s="335">
        <f t="shared" ref="N193" si="408">M193</f>
        <v>0.15</v>
      </c>
      <c r="O193" s="335">
        <f t="shared" ref="O193" si="409">N193</f>
        <v>0.15</v>
      </c>
      <c r="P193" s="335">
        <f t="shared" ref="P193:AR193" si="410">O193</f>
        <v>0.15</v>
      </c>
      <c r="Q193" s="335">
        <f t="shared" si="410"/>
        <v>0.15</v>
      </c>
      <c r="R193" s="335">
        <f t="shared" si="410"/>
        <v>0.15</v>
      </c>
      <c r="S193" s="335">
        <f t="shared" si="410"/>
        <v>0.15</v>
      </c>
      <c r="T193" s="335">
        <f t="shared" si="410"/>
        <v>0.15</v>
      </c>
      <c r="U193" s="335">
        <f t="shared" si="410"/>
        <v>0.15</v>
      </c>
      <c r="V193" s="335">
        <f t="shared" si="410"/>
        <v>0.15</v>
      </c>
      <c r="W193" s="335">
        <f t="shared" si="410"/>
        <v>0.15</v>
      </c>
      <c r="X193" s="335">
        <f t="shared" si="410"/>
        <v>0.15</v>
      </c>
      <c r="Y193" s="335">
        <f t="shared" si="410"/>
        <v>0.15</v>
      </c>
      <c r="Z193" s="335">
        <f t="shared" si="410"/>
        <v>0.15</v>
      </c>
      <c r="AA193" s="335">
        <f t="shared" si="410"/>
        <v>0.15</v>
      </c>
      <c r="AB193" s="335">
        <f t="shared" si="410"/>
        <v>0.15</v>
      </c>
      <c r="AC193" s="335">
        <f t="shared" si="410"/>
        <v>0.15</v>
      </c>
      <c r="AD193" s="335">
        <f t="shared" si="410"/>
        <v>0.15</v>
      </c>
      <c r="AE193" s="335">
        <f t="shared" si="410"/>
        <v>0.15</v>
      </c>
      <c r="AF193" s="335">
        <f t="shared" si="410"/>
        <v>0.15</v>
      </c>
      <c r="AG193" s="335">
        <f t="shared" si="410"/>
        <v>0.15</v>
      </c>
      <c r="AH193" s="335">
        <f t="shared" si="410"/>
        <v>0.15</v>
      </c>
      <c r="AI193" s="335">
        <f t="shared" si="410"/>
        <v>0.15</v>
      </c>
      <c r="AJ193" s="335">
        <f t="shared" si="410"/>
        <v>0.15</v>
      </c>
      <c r="AK193" s="335">
        <f t="shared" si="410"/>
        <v>0.15</v>
      </c>
      <c r="AL193" s="335">
        <f t="shared" si="410"/>
        <v>0.15</v>
      </c>
      <c r="AM193" s="335">
        <f t="shared" si="410"/>
        <v>0.15</v>
      </c>
      <c r="AN193" s="335">
        <f t="shared" si="410"/>
        <v>0.15</v>
      </c>
      <c r="AO193" s="335">
        <f t="shared" si="410"/>
        <v>0.15</v>
      </c>
      <c r="AP193" s="335">
        <f t="shared" si="410"/>
        <v>0.15</v>
      </c>
      <c r="AQ193" s="335">
        <f t="shared" si="410"/>
        <v>0.15</v>
      </c>
      <c r="AR193" s="335">
        <f t="shared" si="410"/>
        <v>0.15</v>
      </c>
    </row>
    <row r="194" spans="1:46" s="1" customFormat="1" x14ac:dyDescent="0.2">
      <c r="A194" s="44"/>
      <c r="B194" s="2"/>
      <c r="C194" s="2"/>
      <c r="D194" s="15"/>
      <c r="E194" s="264"/>
      <c r="F194" s="264"/>
      <c r="G194" s="264"/>
      <c r="H194" s="264"/>
      <c r="I194" s="264"/>
      <c r="J194" s="264"/>
      <c r="K194" s="264"/>
      <c r="L194" s="264"/>
      <c r="M194" s="264"/>
      <c r="N194" s="264"/>
      <c r="O194" s="264"/>
      <c r="P194" s="264"/>
      <c r="Q194" s="264"/>
      <c r="R194" s="264"/>
      <c r="S194" s="264"/>
      <c r="T194" s="264"/>
      <c r="U194" s="264"/>
      <c r="V194" s="264"/>
      <c r="W194" s="264"/>
      <c r="X194" s="264"/>
      <c r="Y194" s="264"/>
      <c r="Z194" s="264"/>
      <c r="AA194" s="264"/>
      <c r="AB194" s="264"/>
      <c r="AC194" s="264"/>
      <c r="AD194" s="264"/>
      <c r="AE194" s="264"/>
      <c r="AF194" s="264"/>
      <c r="AG194" s="264"/>
      <c r="AH194" s="264"/>
      <c r="AI194" s="264"/>
      <c r="AJ194" s="264"/>
      <c r="AK194" s="264"/>
      <c r="AL194" s="264"/>
      <c r="AM194" s="264"/>
      <c r="AN194" s="264"/>
      <c r="AO194" s="264"/>
      <c r="AP194" s="264"/>
      <c r="AQ194" s="264"/>
      <c r="AR194" s="264"/>
    </row>
    <row r="195" spans="1:46" s="1" customFormat="1" collapsed="1" x14ac:dyDescent="0.2">
      <c r="A195" s="62" t="s">
        <v>425</v>
      </c>
      <c r="B195" s="59"/>
      <c r="C195" s="16"/>
      <c r="D195" s="15"/>
      <c r="E195" s="264"/>
      <c r="F195" s="264"/>
      <c r="G195" s="264"/>
      <c r="H195" s="264"/>
      <c r="I195" s="264"/>
      <c r="J195" s="264"/>
      <c r="K195" s="264"/>
      <c r="L195" s="264"/>
      <c r="M195" s="264"/>
      <c r="N195" s="264"/>
      <c r="O195" s="264"/>
      <c r="P195" s="264"/>
      <c r="Q195" s="264"/>
      <c r="R195" s="264"/>
      <c r="S195" s="264"/>
      <c r="T195" s="264"/>
      <c r="U195" s="264"/>
      <c r="V195" s="264"/>
      <c r="W195" s="264"/>
      <c r="X195" s="264"/>
      <c r="Y195" s="264"/>
      <c r="Z195" s="264"/>
      <c r="AA195" s="264"/>
      <c r="AB195" s="264"/>
      <c r="AC195" s="264"/>
      <c r="AD195" s="264"/>
      <c r="AE195" s="264"/>
      <c r="AF195" s="264"/>
      <c r="AG195" s="264"/>
      <c r="AH195" s="264"/>
      <c r="AI195" s="264"/>
      <c r="AJ195" s="264"/>
      <c r="AK195" s="264"/>
      <c r="AL195" s="264"/>
      <c r="AM195" s="264"/>
      <c r="AN195" s="264"/>
      <c r="AO195" s="264"/>
      <c r="AP195" s="264"/>
      <c r="AQ195" s="264"/>
      <c r="AR195" s="264"/>
    </row>
    <row r="196" spans="1:46" s="1" customFormat="1" outlineLevel="1" x14ac:dyDescent="0.2">
      <c r="A196" s="194" t="s">
        <v>306</v>
      </c>
      <c r="B196" s="59"/>
      <c r="C196" s="16"/>
      <c r="D196" s="15"/>
      <c r="E196" s="264"/>
      <c r="F196" s="264"/>
      <c r="G196" s="264"/>
      <c r="H196" s="264"/>
      <c r="I196" s="264"/>
      <c r="J196" s="264"/>
      <c r="K196" s="264"/>
      <c r="L196" s="264"/>
      <c r="M196" s="264"/>
      <c r="N196" s="264"/>
      <c r="O196" s="264"/>
      <c r="P196" s="264"/>
      <c r="Q196" s="264"/>
      <c r="R196" s="264"/>
      <c r="S196" s="264"/>
      <c r="T196" s="264"/>
      <c r="U196" s="264"/>
      <c r="V196" s="264"/>
      <c r="W196" s="264"/>
      <c r="X196" s="264"/>
      <c r="Y196" s="264"/>
      <c r="Z196" s="264"/>
      <c r="AA196" s="264"/>
      <c r="AB196" s="264"/>
      <c r="AC196" s="264"/>
      <c r="AD196" s="264"/>
      <c r="AE196" s="264"/>
      <c r="AF196" s="264"/>
      <c r="AG196" s="264"/>
      <c r="AH196" s="264"/>
      <c r="AI196" s="264"/>
      <c r="AJ196" s="264"/>
      <c r="AK196" s="264"/>
      <c r="AL196" s="264"/>
      <c r="AM196" s="264"/>
      <c r="AN196" s="264"/>
      <c r="AO196" s="264"/>
      <c r="AP196" s="264"/>
      <c r="AQ196" s="264"/>
      <c r="AR196" s="264"/>
    </row>
    <row r="197" spans="1:46" s="1" customFormat="1" outlineLevel="1" x14ac:dyDescent="0.2">
      <c r="A197" s="63" t="s">
        <v>426</v>
      </c>
      <c r="B197" s="59"/>
      <c r="C197" s="2" t="s">
        <v>1</v>
      </c>
      <c r="D197" s="40"/>
      <c r="E197" s="335">
        <v>0.13</v>
      </c>
      <c r="F197" s="335">
        <f t="shared" ref="F197" si="411">E197</f>
        <v>0.13</v>
      </c>
      <c r="G197" s="335">
        <f t="shared" ref="G197:G198" si="412">F197</f>
        <v>0.13</v>
      </c>
      <c r="H197" s="335">
        <f t="shared" ref="H197:H198" si="413">G197</f>
        <v>0.13</v>
      </c>
      <c r="I197" s="335">
        <f t="shared" ref="I197:I198" si="414">H197</f>
        <v>0.13</v>
      </c>
      <c r="J197" s="335">
        <f t="shared" ref="J197:J198" si="415">I197</f>
        <v>0.13</v>
      </c>
      <c r="K197" s="335">
        <f t="shared" ref="K197:K198" si="416">J197</f>
        <v>0.13</v>
      </c>
      <c r="L197" s="335">
        <f t="shared" ref="L197:L198" si="417">K197</f>
        <v>0.13</v>
      </c>
      <c r="M197" s="335">
        <f t="shared" ref="M197:M198" si="418">L197</f>
        <v>0.13</v>
      </c>
      <c r="N197" s="335">
        <f t="shared" ref="N197:N198" si="419">M197</f>
        <v>0.13</v>
      </c>
      <c r="O197" s="335">
        <f t="shared" ref="O197:O198" si="420">N197</f>
        <v>0.13</v>
      </c>
      <c r="P197" s="335">
        <f t="shared" ref="P197:P198" si="421">O197</f>
        <v>0.13</v>
      </c>
      <c r="Q197" s="335">
        <f t="shared" ref="Q197:Q198" si="422">P197</f>
        <v>0.13</v>
      </c>
      <c r="R197" s="335">
        <f t="shared" ref="R197:R198" si="423">Q197</f>
        <v>0.13</v>
      </c>
      <c r="S197" s="335">
        <f t="shared" ref="S197:S198" si="424">R197</f>
        <v>0.13</v>
      </c>
      <c r="T197" s="335">
        <f t="shared" ref="T197:T198" si="425">S197</f>
        <v>0.13</v>
      </c>
      <c r="U197" s="335">
        <f t="shared" ref="U197:U198" si="426">T197</f>
        <v>0.13</v>
      </c>
      <c r="V197" s="335">
        <f t="shared" ref="V197:V198" si="427">U197</f>
        <v>0.13</v>
      </c>
      <c r="W197" s="335">
        <f t="shared" ref="W197:W198" si="428">V197</f>
        <v>0.13</v>
      </c>
      <c r="X197" s="335">
        <f t="shared" ref="X197:X198" si="429">W197</f>
        <v>0.13</v>
      </c>
      <c r="Y197" s="335">
        <f t="shared" ref="Y197:Y198" si="430">X197</f>
        <v>0.13</v>
      </c>
      <c r="Z197" s="335">
        <f t="shared" ref="Z197:Z198" si="431">Y197</f>
        <v>0.13</v>
      </c>
      <c r="AA197" s="335">
        <f t="shared" ref="AA197:AA198" si="432">Z197</f>
        <v>0.13</v>
      </c>
      <c r="AB197" s="335">
        <f t="shared" ref="AB197:AR198" si="433">AA197</f>
        <v>0.13</v>
      </c>
      <c r="AC197" s="335">
        <f t="shared" si="433"/>
        <v>0.13</v>
      </c>
      <c r="AD197" s="335">
        <f t="shared" si="433"/>
        <v>0.13</v>
      </c>
      <c r="AE197" s="335">
        <f t="shared" si="433"/>
        <v>0.13</v>
      </c>
      <c r="AF197" s="335">
        <f t="shared" si="433"/>
        <v>0.13</v>
      </c>
      <c r="AG197" s="335">
        <f t="shared" si="433"/>
        <v>0.13</v>
      </c>
      <c r="AH197" s="335">
        <f t="shared" si="433"/>
        <v>0.13</v>
      </c>
      <c r="AI197" s="335">
        <f t="shared" si="433"/>
        <v>0.13</v>
      </c>
      <c r="AJ197" s="335">
        <f t="shared" si="433"/>
        <v>0.13</v>
      </c>
      <c r="AK197" s="335">
        <f t="shared" si="433"/>
        <v>0.13</v>
      </c>
      <c r="AL197" s="335">
        <f t="shared" si="433"/>
        <v>0.13</v>
      </c>
      <c r="AM197" s="335">
        <f t="shared" si="433"/>
        <v>0.13</v>
      </c>
      <c r="AN197" s="335">
        <f t="shared" si="433"/>
        <v>0.13</v>
      </c>
      <c r="AO197" s="335">
        <f t="shared" si="433"/>
        <v>0.13</v>
      </c>
      <c r="AP197" s="335">
        <f t="shared" si="433"/>
        <v>0.13</v>
      </c>
      <c r="AQ197" s="335">
        <f t="shared" si="433"/>
        <v>0.13</v>
      </c>
      <c r="AR197" s="335">
        <f t="shared" si="433"/>
        <v>0.13</v>
      </c>
    </row>
    <row r="198" spans="1:46" s="1" customFormat="1" outlineLevel="1" x14ac:dyDescent="0.2">
      <c r="A198" s="63" t="s">
        <v>427</v>
      </c>
      <c r="B198" s="59"/>
      <c r="C198" s="2"/>
      <c r="D198" s="40"/>
      <c r="E198" s="335">
        <v>0.15</v>
      </c>
      <c r="F198" s="335">
        <f>E198</f>
        <v>0.15</v>
      </c>
      <c r="G198" s="335">
        <f t="shared" si="412"/>
        <v>0.15</v>
      </c>
      <c r="H198" s="335">
        <f t="shared" si="413"/>
        <v>0.15</v>
      </c>
      <c r="I198" s="335">
        <f t="shared" si="414"/>
        <v>0.15</v>
      </c>
      <c r="J198" s="335">
        <f t="shared" si="415"/>
        <v>0.15</v>
      </c>
      <c r="K198" s="335">
        <f t="shared" si="416"/>
        <v>0.15</v>
      </c>
      <c r="L198" s="335">
        <f t="shared" si="417"/>
        <v>0.15</v>
      </c>
      <c r="M198" s="335">
        <f t="shared" si="418"/>
        <v>0.15</v>
      </c>
      <c r="N198" s="335">
        <f t="shared" si="419"/>
        <v>0.15</v>
      </c>
      <c r="O198" s="335">
        <f t="shared" si="420"/>
        <v>0.15</v>
      </c>
      <c r="P198" s="335">
        <f t="shared" si="421"/>
        <v>0.15</v>
      </c>
      <c r="Q198" s="335">
        <f t="shared" si="422"/>
        <v>0.15</v>
      </c>
      <c r="R198" s="335">
        <f t="shared" si="423"/>
        <v>0.15</v>
      </c>
      <c r="S198" s="335">
        <f t="shared" si="424"/>
        <v>0.15</v>
      </c>
      <c r="T198" s="335">
        <f t="shared" si="425"/>
        <v>0.15</v>
      </c>
      <c r="U198" s="335">
        <f t="shared" si="426"/>
        <v>0.15</v>
      </c>
      <c r="V198" s="335">
        <f t="shared" si="427"/>
        <v>0.15</v>
      </c>
      <c r="W198" s="335">
        <f t="shared" si="428"/>
        <v>0.15</v>
      </c>
      <c r="X198" s="335">
        <f t="shared" si="429"/>
        <v>0.15</v>
      </c>
      <c r="Y198" s="335">
        <f t="shared" si="430"/>
        <v>0.15</v>
      </c>
      <c r="Z198" s="335">
        <f t="shared" si="431"/>
        <v>0.15</v>
      </c>
      <c r="AA198" s="335">
        <f t="shared" si="432"/>
        <v>0.15</v>
      </c>
      <c r="AB198" s="335">
        <f t="shared" si="433"/>
        <v>0.15</v>
      </c>
      <c r="AC198" s="335">
        <f t="shared" si="433"/>
        <v>0.15</v>
      </c>
      <c r="AD198" s="335">
        <f t="shared" si="433"/>
        <v>0.15</v>
      </c>
      <c r="AE198" s="335">
        <f t="shared" si="433"/>
        <v>0.15</v>
      </c>
      <c r="AF198" s="335">
        <f t="shared" si="433"/>
        <v>0.15</v>
      </c>
      <c r="AG198" s="335">
        <f t="shared" si="433"/>
        <v>0.15</v>
      </c>
      <c r="AH198" s="335">
        <f t="shared" si="433"/>
        <v>0.15</v>
      </c>
      <c r="AI198" s="335">
        <f t="shared" si="433"/>
        <v>0.15</v>
      </c>
      <c r="AJ198" s="335">
        <f t="shared" si="433"/>
        <v>0.15</v>
      </c>
      <c r="AK198" s="335">
        <f t="shared" si="433"/>
        <v>0.15</v>
      </c>
      <c r="AL198" s="335">
        <f t="shared" si="433"/>
        <v>0.15</v>
      </c>
      <c r="AM198" s="335">
        <f t="shared" si="433"/>
        <v>0.15</v>
      </c>
      <c r="AN198" s="335">
        <f t="shared" si="433"/>
        <v>0.15</v>
      </c>
      <c r="AO198" s="335">
        <f t="shared" si="433"/>
        <v>0.15</v>
      </c>
      <c r="AP198" s="335">
        <f t="shared" si="433"/>
        <v>0.15</v>
      </c>
      <c r="AQ198" s="335">
        <f t="shared" si="433"/>
        <v>0.15</v>
      </c>
      <c r="AR198" s="335">
        <f t="shared" si="433"/>
        <v>0.15</v>
      </c>
    </row>
    <row r="199" spans="1:46" s="1" customFormat="1" outlineLevel="1" x14ac:dyDescent="0.2">
      <c r="A199" s="63" t="s">
        <v>39</v>
      </c>
      <c r="B199" s="341">
        <v>1</v>
      </c>
      <c r="C199" s="2" t="str">
        <f>$C$137</f>
        <v>мес.</v>
      </c>
      <c r="D199" s="40"/>
      <c r="E199" s="264"/>
      <c r="F199" s="264"/>
      <c r="G199" s="264"/>
      <c r="H199" s="264"/>
      <c r="I199" s="264"/>
      <c r="J199" s="264"/>
      <c r="K199" s="264"/>
      <c r="L199" s="264"/>
      <c r="M199" s="264"/>
      <c r="N199" s="264"/>
      <c r="O199" s="264"/>
      <c r="P199" s="264"/>
      <c r="Q199" s="264"/>
      <c r="R199" s="264"/>
      <c r="S199" s="264"/>
      <c r="T199" s="264"/>
      <c r="U199" s="264"/>
      <c r="V199" s="264"/>
      <c r="W199" s="264"/>
      <c r="X199" s="264"/>
      <c r="Y199" s="264"/>
      <c r="Z199" s="264"/>
      <c r="AA199" s="264"/>
      <c r="AB199" s="264"/>
      <c r="AC199" s="264"/>
      <c r="AD199" s="264"/>
      <c r="AE199" s="264"/>
      <c r="AF199" s="264"/>
      <c r="AG199" s="264"/>
      <c r="AH199" s="264"/>
      <c r="AI199" s="264"/>
      <c r="AJ199" s="264"/>
      <c r="AK199" s="264"/>
      <c r="AL199" s="264"/>
      <c r="AM199" s="264"/>
      <c r="AN199" s="264"/>
      <c r="AO199" s="264"/>
      <c r="AP199" s="264"/>
      <c r="AQ199" s="264"/>
      <c r="AR199" s="264"/>
    </row>
    <row r="200" spans="1:46" s="1" customFormat="1" x14ac:dyDescent="0.2">
      <c r="A200" s="44"/>
      <c r="B200" s="2"/>
      <c r="C200" s="2"/>
      <c r="D200" s="15"/>
      <c r="E200" s="264"/>
      <c r="F200" s="264"/>
      <c r="G200" s="264"/>
      <c r="H200" s="264"/>
      <c r="I200" s="264"/>
      <c r="J200" s="264"/>
      <c r="K200" s="264"/>
      <c r="L200" s="264"/>
      <c r="M200" s="264"/>
      <c r="N200" s="264"/>
      <c r="O200" s="264"/>
      <c r="P200" s="264"/>
      <c r="Q200" s="264"/>
      <c r="R200" s="264"/>
      <c r="S200" s="264"/>
      <c r="T200" s="264"/>
      <c r="U200" s="264"/>
      <c r="V200" s="264"/>
      <c r="W200" s="264"/>
      <c r="X200" s="264"/>
      <c r="Y200" s="264"/>
      <c r="Z200" s="264"/>
      <c r="AA200" s="264"/>
      <c r="AB200" s="264"/>
      <c r="AC200" s="264"/>
      <c r="AD200" s="264"/>
      <c r="AE200" s="264"/>
      <c r="AF200" s="264"/>
      <c r="AG200" s="264"/>
      <c r="AH200" s="264"/>
      <c r="AI200" s="264"/>
      <c r="AJ200" s="264"/>
      <c r="AK200" s="264"/>
      <c r="AL200" s="264"/>
      <c r="AM200" s="264"/>
      <c r="AN200" s="264"/>
      <c r="AO200" s="264"/>
      <c r="AP200" s="264"/>
      <c r="AQ200" s="264"/>
      <c r="AR200" s="264"/>
    </row>
    <row r="201" spans="1:46" s="1" customFormat="1" x14ac:dyDescent="0.2">
      <c r="A201" s="44"/>
      <c r="B201" s="2"/>
      <c r="C201" s="2"/>
      <c r="D201" s="15"/>
      <c r="E201" s="264"/>
      <c r="F201" s="264"/>
      <c r="G201" s="264"/>
      <c r="H201" s="264"/>
      <c r="I201" s="264"/>
      <c r="J201" s="264"/>
      <c r="K201" s="264"/>
      <c r="L201" s="264"/>
      <c r="M201" s="264"/>
      <c r="N201" s="264"/>
      <c r="O201" s="264"/>
      <c r="P201" s="264"/>
      <c r="Q201" s="264"/>
      <c r="R201" s="264"/>
      <c r="S201" s="264"/>
      <c r="T201" s="264"/>
      <c r="U201" s="264"/>
      <c r="V201" s="264"/>
      <c r="W201" s="264"/>
      <c r="X201" s="264"/>
      <c r="Y201" s="264"/>
      <c r="Z201" s="264"/>
      <c r="AA201" s="264"/>
      <c r="AB201" s="264"/>
      <c r="AC201" s="264"/>
      <c r="AD201" s="264"/>
      <c r="AE201" s="264"/>
      <c r="AF201" s="264"/>
      <c r="AG201" s="264"/>
      <c r="AH201" s="264"/>
      <c r="AI201" s="264"/>
      <c r="AJ201" s="264"/>
      <c r="AK201" s="264"/>
      <c r="AL201" s="264"/>
      <c r="AM201" s="264"/>
      <c r="AN201" s="264"/>
      <c r="AO201" s="264"/>
      <c r="AP201" s="264"/>
      <c r="AQ201" s="264"/>
      <c r="AR201" s="264"/>
    </row>
    <row r="202" spans="1:46" s="1" customFormat="1" x14ac:dyDescent="0.2">
      <c r="A202" s="44"/>
      <c r="B202" s="2"/>
      <c r="C202" s="2"/>
      <c r="D202" s="15"/>
      <c r="E202" s="264"/>
      <c r="F202" s="264"/>
      <c r="G202" s="264"/>
      <c r="H202" s="264"/>
      <c r="I202" s="264"/>
      <c r="J202" s="264"/>
      <c r="K202" s="264"/>
      <c r="L202" s="264"/>
      <c r="M202" s="264"/>
      <c r="N202" s="264"/>
      <c r="O202" s="264"/>
      <c r="P202" s="264"/>
      <c r="Q202" s="264"/>
      <c r="R202" s="264"/>
      <c r="S202" s="264"/>
      <c r="T202" s="264"/>
      <c r="U202" s="264"/>
      <c r="V202" s="264"/>
      <c r="W202" s="264"/>
      <c r="X202" s="264"/>
      <c r="Y202" s="264"/>
      <c r="Z202" s="264"/>
      <c r="AA202" s="264"/>
      <c r="AB202" s="264"/>
      <c r="AC202" s="264"/>
      <c r="AD202" s="264"/>
      <c r="AE202" s="264"/>
      <c r="AF202" s="264"/>
      <c r="AG202" s="264"/>
      <c r="AH202" s="264"/>
      <c r="AI202" s="264"/>
      <c r="AJ202" s="264"/>
      <c r="AK202" s="264"/>
      <c r="AL202" s="264"/>
      <c r="AM202" s="264"/>
      <c r="AN202" s="264"/>
      <c r="AO202" s="264"/>
      <c r="AP202" s="264"/>
      <c r="AQ202" s="264"/>
      <c r="AR202" s="264"/>
    </row>
    <row r="203" spans="1:46" s="1" customFormat="1" ht="36.75" customHeight="1" x14ac:dyDescent="0.2">
      <c r="A203" s="1025" t="s">
        <v>365</v>
      </c>
      <c r="B203" s="1025"/>
      <c r="C203" s="1025"/>
      <c r="D203" s="15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264"/>
      <c r="P203" s="264"/>
      <c r="Q203" s="264"/>
      <c r="R203" s="264"/>
      <c r="S203" s="264"/>
      <c r="T203" s="264"/>
      <c r="U203" s="264"/>
      <c r="V203" s="264"/>
      <c r="W203" s="264"/>
      <c r="X203" s="264"/>
      <c r="Y203" s="264"/>
      <c r="Z203" s="264"/>
      <c r="AA203" s="264"/>
      <c r="AB203" s="264"/>
      <c r="AC203" s="264"/>
      <c r="AD203" s="264"/>
      <c r="AE203" s="264"/>
      <c r="AF203" s="264"/>
      <c r="AG203" s="264"/>
      <c r="AH203" s="264"/>
      <c r="AI203" s="264"/>
      <c r="AJ203" s="264"/>
      <c r="AK203" s="264"/>
      <c r="AL203" s="264"/>
      <c r="AM203" s="264"/>
      <c r="AN203" s="264"/>
      <c r="AO203" s="264"/>
      <c r="AP203" s="264"/>
      <c r="AQ203" s="264"/>
      <c r="AR203" s="264"/>
    </row>
    <row r="204" spans="1:46" s="1" customFormat="1" x14ac:dyDescent="0.2">
      <c r="B204" s="59"/>
      <c r="C204" s="16"/>
      <c r="D204" s="15"/>
      <c r="E204" s="264"/>
      <c r="F204" s="264"/>
      <c r="G204" s="264"/>
      <c r="H204" s="264"/>
      <c r="I204" s="264"/>
      <c r="J204" s="264"/>
      <c r="K204" s="264"/>
      <c r="L204" s="264"/>
      <c r="M204" s="264"/>
      <c r="N204" s="264"/>
      <c r="O204" s="264"/>
      <c r="P204" s="264"/>
      <c r="Q204" s="264"/>
      <c r="R204" s="264"/>
      <c r="S204" s="264"/>
      <c r="T204" s="264"/>
      <c r="U204" s="264"/>
      <c r="V204" s="264"/>
      <c r="W204" s="264"/>
      <c r="X204" s="264"/>
      <c r="Y204" s="264"/>
      <c r="Z204" s="264"/>
      <c r="AA204" s="264"/>
      <c r="AB204" s="264"/>
      <c r="AC204" s="264"/>
      <c r="AD204" s="264"/>
      <c r="AE204" s="264"/>
      <c r="AF204" s="264"/>
      <c r="AG204" s="264"/>
      <c r="AH204" s="264"/>
      <c r="AI204" s="264"/>
      <c r="AJ204" s="264"/>
      <c r="AK204" s="264"/>
      <c r="AL204" s="264"/>
      <c r="AM204" s="264"/>
      <c r="AN204" s="264"/>
      <c r="AO204" s="264"/>
      <c r="AP204" s="264"/>
      <c r="AQ204" s="264"/>
      <c r="AR204" s="264"/>
    </row>
    <row r="205" spans="1:46" x14ac:dyDescent="0.2">
      <c r="A205" s="45"/>
      <c r="B205" s="46"/>
      <c r="C205" s="46"/>
      <c r="D205" s="47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</row>
    <row r="206" spans="1:46" x14ac:dyDescent="0.2">
      <c r="D206" s="40"/>
    </row>
    <row r="207" spans="1:46" ht="12" thickBot="1" x14ac:dyDescent="0.25">
      <c r="D207" s="40"/>
    </row>
    <row r="208" spans="1:46" s="43" customFormat="1" ht="25.5" customHeight="1" thickBot="1" x14ac:dyDescent="0.25">
      <c r="A208" s="476" t="s">
        <v>21</v>
      </c>
      <c r="B208" s="477"/>
      <c r="C208" s="477"/>
      <c r="D208" s="478"/>
      <c r="E208" s="479" t="str">
        <f t="shared" ref="E208:AR208" si="434">CHOOSE($B$16,E$53,E$54)</f>
        <v>1 кв. 2020</v>
      </c>
      <c r="F208" s="479" t="str">
        <f t="shared" si="434"/>
        <v>2 кв. 2020</v>
      </c>
      <c r="G208" s="479" t="str">
        <f t="shared" si="434"/>
        <v>3 кв. 2020</v>
      </c>
      <c r="H208" s="479" t="str">
        <f t="shared" si="434"/>
        <v>4 кв. 2020</v>
      </c>
      <c r="I208" s="479" t="str">
        <f t="shared" si="434"/>
        <v>1 кв. 2021</v>
      </c>
      <c r="J208" s="479" t="str">
        <f t="shared" si="434"/>
        <v>2 кв. 2021</v>
      </c>
      <c r="K208" s="479" t="str">
        <f t="shared" si="434"/>
        <v>3 кв. 2021</v>
      </c>
      <c r="L208" s="479" t="str">
        <f t="shared" si="434"/>
        <v>4 кв. 2021</v>
      </c>
      <c r="M208" s="479" t="str">
        <f t="shared" si="434"/>
        <v>1 кв. 2022</v>
      </c>
      <c r="N208" s="479" t="str">
        <f t="shared" si="434"/>
        <v>2 кв. 2022</v>
      </c>
      <c r="O208" s="479" t="str">
        <f t="shared" si="434"/>
        <v>3 кв. 2022</v>
      </c>
      <c r="P208" s="479" t="str">
        <f t="shared" si="434"/>
        <v>4 кв. 2022</v>
      </c>
      <c r="Q208" s="479" t="str">
        <f t="shared" si="434"/>
        <v>1 кв. 2023</v>
      </c>
      <c r="R208" s="479" t="str">
        <f t="shared" si="434"/>
        <v>2 кв. 2023</v>
      </c>
      <c r="S208" s="479" t="str">
        <f t="shared" si="434"/>
        <v>3 кв. 2023</v>
      </c>
      <c r="T208" s="479" t="str">
        <f t="shared" si="434"/>
        <v>4 кв. 2023</v>
      </c>
      <c r="U208" s="479" t="str">
        <f t="shared" si="434"/>
        <v>1 кв. 2024</v>
      </c>
      <c r="V208" s="479" t="str">
        <f t="shared" si="434"/>
        <v>2 кв. 2024</v>
      </c>
      <c r="W208" s="479" t="str">
        <f t="shared" si="434"/>
        <v>3 кв. 2024</v>
      </c>
      <c r="X208" s="479" t="str">
        <f t="shared" si="434"/>
        <v>4 кв. 2024</v>
      </c>
      <c r="Y208" s="479" t="str">
        <f t="shared" si="434"/>
        <v>1 кв. 2025</v>
      </c>
      <c r="Z208" s="479" t="str">
        <f t="shared" si="434"/>
        <v>2 кв. 2025</v>
      </c>
      <c r="AA208" s="479" t="str">
        <f t="shared" si="434"/>
        <v>3 кв. 2025</v>
      </c>
      <c r="AB208" s="479" t="str">
        <f t="shared" si="434"/>
        <v>4 кв. 2025</v>
      </c>
      <c r="AC208" s="479" t="str">
        <f t="shared" si="434"/>
        <v>1 кв. 2026</v>
      </c>
      <c r="AD208" s="479" t="str">
        <f t="shared" si="434"/>
        <v>2 кв. 2026</v>
      </c>
      <c r="AE208" s="479" t="str">
        <f t="shared" si="434"/>
        <v>3 кв. 2026</v>
      </c>
      <c r="AF208" s="479" t="str">
        <f t="shared" si="434"/>
        <v>4 кв. 2026</v>
      </c>
      <c r="AG208" s="479" t="str">
        <f t="shared" si="434"/>
        <v>1 кв. 2027</v>
      </c>
      <c r="AH208" s="479" t="str">
        <f t="shared" si="434"/>
        <v>2 кв. 2027</v>
      </c>
      <c r="AI208" s="479" t="str">
        <f t="shared" si="434"/>
        <v>3 кв. 2027</v>
      </c>
      <c r="AJ208" s="479" t="str">
        <f t="shared" si="434"/>
        <v>4 кв. 2027</v>
      </c>
      <c r="AK208" s="479" t="str">
        <f t="shared" si="434"/>
        <v>1 кв. 2028</v>
      </c>
      <c r="AL208" s="479" t="str">
        <f t="shared" si="434"/>
        <v>2 кв. 2028</v>
      </c>
      <c r="AM208" s="479" t="str">
        <f t="shared" si="434"/>
        <v>3 кв. 2028</v>
      </c>
      <c r="AN208" s="479" t="str">
        <f t="shared" si="434"/>
        <v>4 кв. 2028</v>
      </c>
      <c r="AO208" s="479" t="str">
        <f t="shared" si="434"/>
        <v>1 кв. 2029</v>
      </c>
      <c r="AP208" s="479" t="str">
        <f t="shared" si="434"/>
        <v>2 кв. 2029</v>
      </c>
      <c r="AQ208" s="479" t="str">
        <f t="shared" si="434"/>
        <v>3 кв. 2029</v>
      </c>
      <c r="AR208" s="479" t="str">
        <f t="shared" si="434"/>
        <v>4 кв. 2029</v>
      </c>
      <c r="AS208" s="480"/>
      <c r="AT208" s="480"/>
    </row>
    <row r="209" spans="1:44" x14ac:dyDescent="0.2">
      <c r="A209" s="44"/>
      <c r="D209" s="40"/>
    </row>
    <row r="210" spans="1:44" x14ac:dyDescent="0.2">
      <c r="A210" s="44" t="s">
        <v>28</v>
      </c>
      <c r="B210" s="3" t="str">
        <f>C126</f>
        <v>тыс. руб.</v>
      </c>
      <c r="D210" s="40"/>
    </row>
    <row r="211" spans="1:44" x14ac:dyDescent="0.2">
      <c r="A211" s="146" t="s">
        <v>200</v>
      </c>
      <c r="B211" s="58"/>
      <c r="D211" s="40"/>
    </row>
    <row r="212" spans="1:44" x14ac:dyDescent="0.2">
      <c r="A212" s="44"/>
      <c r="D212" s="40"/>
    </row>
    <row r="213" spans="1:44" x14ac:dyDescent="0.2">
      <c r="A213" s="44" t="s">
        <v>26</v>
      </c>
      <c r="D213" s="40"/>
    </row>
    <row r="214" spans="1:44" x14ac:dyDescent="0.2">
      <c r="A214" s="146" t="s">
        <v>527</v>
      </c>
      <c r="B214" s="365">
        <v>0.04</v>
      </c>
      <c r="C214" s="40" t="s">
        <v>808</v>
      </c>
      <c r="D214" s="40"/>
    </row>
    <row r="215" spans="1:44" x14ac:dyDescent="0.2">
      <c r="A215" s="146" t="s">
        <v>528</v>
      </c>
      <c r="B215" s="467">
        <v>4.2500000000000003E-2</v>
      </c>
      <c r="C215" s="40" t="s">
        <v>808</v>
      </c>
      <c r="D215" s="40"/>
    </row>
    <row r="216" spans="1:44" x14ac:dyDescent="0.2">
      <c r="A216" s="146" t="s">
        <v>529</v>
      </c>
      <c r="B216" s="365">
        <v>0.09</v>
      </c>
      <c r="C216" s="40" t="s">
        <v>530</v>
      </c>
      <c r="D216" s="40"/>
    </row>
    <row r="217" spans="1:44" x14ac:dyDescent="0.2">
      <c r="A217" s="44" t="s">
        <v>845</v>
      </c>
      <c r="B217" s="245">
        <f>(1+B215)/(1+B214)-1+B216</f>
        <v>9.2403846153846031E-2</v>
      </c>
      <c r="C217" s="104" t="s">
        <v>531</v>
      </c>
      <c r="D217" s="40"/>
    </row>
    <row r="218" spans="1:44" x14ac:dyDescent="0.2">
      <c r="A218" s="44" t="s">
        <v>846</v>
      </c>
      <c r="B218" s="245">
        <f>B215+B216</f>
        <v>0.13250000000000001</v>
      </c>
      <c r="C218" s="104" t="s">
        <v>844</v>
      </c>
      <c r="D218" s="40"/>
    </row>
    <row r="219" spans="1:44" x14ac:dyDescent="0.2">
      <c r="A219" s="44"/>
      <c r="D219" s="40"/>
    </row>
    <row r="220" spans="1:44" collapsed="1" x14ac:dyDescent="0.2">
      <c r="A220" s="44" t="s">
        <v>26</v>
      </c>
      <c r="B220" s="340">
        <f>CHOOSE(B62+1,B217,B218)</f>
        <v>0.13250000000000001</v>
      </c>
      <c r="D220" s="40"/>
    </row>
    <row r="221" spans="1:44" outlineLevel="1" x14ac:dyDescent="0.2">
      <c r="A221" s="63" t="s">
        <v>57</v>
      </c>
      <c r="B221" s="6"/>
      <c r="C221" s="2" t="s">
        <v>1</v>
      </c>
      <c r="D221" s="40"/>
      <c r="E221" s="53">
        <f>((1+$B220)/IF(Параметры!$B$62,1,1+CHOOSE(Параметры!$B$126,E$65,E$113,E$122)))^(E$40/12)-1</f>
        <v>3.1595770003753909E-2</v>
      </c>
      <c r="F221" s="53">
        <f>((1+$B220)/IF(Параметры!$B$62,1,1+CHOOSE(Параметры!$B$126,F$65,F$113,F$122)))^(F$40/12)-1</f>
        <v>3.1595770003753909E-2</v>
      </c>
      <c r="G221" s="53">
        <f>((1+$B220)/IF(Параметры!$B$62,1,1+CHOOSE(Параметры!$B$126,G$65,G$113,G$122)))^(G$40/12)-1</f>
        <v>3.1595770003753909E-2</v>
      </c>
      <c r="H221" s="53">
        <f>((1+$B220)/IF(Параметры!$B$62,1,1+CHOOSE(Параметры!$B$126,H$65,H$113,H$122)))^(H$40/12)-1</f>
        <v>3.1595770003753909E-2</v>
      </c>
      <c r="I221" s="53">
        <f>((1+$B220)/IF(Параметры!$B$62,1,1+CHOOSE(Параметры!$B$126,I$65,I$113,I$122)))^(I$40/12)-1</f>
        <v>3.1595770003753909E-2</v>
      </c>
      <c r="J221" s="53">
        <f>((1+$B220)/IF(Параметры!$B$62,1,1+CHOOSE(Параметры!$B$126,J$65,J$113,J$122)))^(J$40/12)-1</f>
        <v>3.1595770003753909E-2</v>
      </c>
      <c r="K221" s="53">
        <f>((1+$B220)/IF(Параметры!$B$62,1,1+CHOOSE(Параметры!$B$126,K$65,K$113,K$122)))^(K$40/12)-1</f>
        <v>3.1595770003753909E-2</v>
      </c>
      <c r="L221" s="53">
        <f>((1+$B220)/IF(Параметры!$B$62,1,1+CHOOSE(Параметры!$B$126,L$65,L$113,L$122)))^(L$40/12)-1</f>
        <v>3.1595770003753909E-2</v>
      </c>
      <c r="M221" s="53">
        <f>((1+$B220)/IF(Параметры!$B$62,1,1+CHOOSE(Параметры!$B$126,M$65,M$113,M$122)))^(M$40/12)-1</f>
        <v>3.1595770003753909E-2</v>
      </c>
      <c r="N221" s="53">
        <f>((1+$B220)/IF(Параметры!$B$62,1,1+CHOOSE(Параметры!$B$126,N$65,N$113,N$122)))^(N$40/12)-1</f>
        <v>3.1595770003753909E-2</v>
      </c>
      <c r="O221" s="53">
        <f>((1+$B220)/IF(Параметры!$B$62,1,1+CHOOSE(Параметры!$B$126,O$65,O$113,O$122)))^(O$40/12)-1</f>
        <v>3.1595770003753909E-2</v>
      </c>
      <c r="P221" s="53">
        <f>((1+$B220)/IF(Параметры!$B$62,1,1+CHOOSE(Параметры!$B$126,P$65,P$113,P$122)))^(P$40/12)-1</f>
        <v>3.1595770003753909E-2</v>
      </c>
      <c r="Q221" s="53">
        <f>((1+$B220)/IF(Параметры!$B$62,1,1+CHOOSE(Параметры!$B$126,Q$65,Q$113,Q$122)))^(Q$40/12)-1</f>
        <v>3.1595770003753909E-2</v>
      </c>
      <c r="R221" s="53">
        <f>((1+$B220)/IF(Параметры!$B$62,1,1+CHOOSE(Параметры!$B$126,R$65,R$113,R$122)))^(R$40/12)-1</f>
        <v>3.1595770003753909E-2</v>
      </c>
      <c r="S221" s="53">
        <f>((1+$B220)/IF(Параметры!$B$62,1,1+CHOOSE(Параметры!$B$126,S$65,S$113,S$122)))^(S$40/12)-1</f>
        <v>3.1595770003753909E-2</v>
      </c>
      <c r="T221" s="53">
        <f>((1+$B220)/IF(Параметры!$B$62,1,1+CHOOSE(Параметры!$B$126,T$65,T$113,T$122)))^(T$40/12)-1</f>
        <v>3.1595770003753909E-2</v>
      </c>
      <c r="U221" s="53">
        <f>((1+$B220)/IF(Параметры!$B$62,1,1+CHOOSE(Параметры!$B$126,U$65,U$113,U$122)))^(U$40/12)-1</f>
        <v>3.1595770003753909E-2</v>
      </c>
      <c r="V221" s="53">
        <f>((1+$B220)/IF(Параметры!$B$62,1,1+CHOOSE(Параметры!$B$126,V$65,V$113,V$122)))^(V$40/12)-1</f>
        <v>3.1595770003753909E-2</v>
      </c>
      <c r="W221" s="53">
        <f>((1+$B220)/IF(Параметры!$B$62,1,1+CHOOSE(Параметры!$B$126,W$65,W$113,W$122)))^(W$40/12)-1</f>
        <v>3.1595770003753909E-2</v>
      </c>
      <c r="X221" s="53">
        <f>((1+$B220)/IF(Параметры!$B$62,1,1+CHOOSE(Параметры!$B$126,X$65,X$113,X$122)))^(X$40/12)-1</f>
        <v>3.1595770003753909E-2</v>
      </c>
      <c r="Y221" s="53">
        <f>((1+$B220)/IF(Параметры!$B$62,1,1+CHOOSE(Параметры!$B$126,Y$65,Y$113,Y$122)))^(Y$40/12)-1</f>
        <v>3.1595770003753909E-2</v>
      </c>
      <c r="Z221" s="53">
        <f>((1+$B220)/IF(Параметры!$B$62,1,1+CHOOSE(Параметры!$B$126,Z$65,Z$113,Z$122)))^(Z$40/12)-1</f>
        <v>3.1595770003753909E-2</v>
      </c>
      <c r="AA221" s="53">
        <f>((1+$B220)/IF(Параметры!$B$62,1,1+CHOOSE(Параметры!$B$126,AA$65,AA$113,AA$122)))^(AA$40/12)-1</f>
        <v>3.1595770003753909E-2</v>
      </c>
      <c r="AB221" s="53">
        <f>((1+$B220)/IF(Параметры!$B$62,1,1+CHOOSE(Параметры!$B$126,AB$65,AB$113,AB$122)))^(AB$40/12)-1</f>
        <v>3.1595770003753909E-2</v>
      </c>
      <c r="AC221" s="53">
        <f>((1+$B220)/IF(Параметры!$B$62,1,1+CHOOSE(Параметры!$B$126,AC$65,AC$113,AC$122)))^(AC$40/12)-1</f>
        <v>3.1595770003753909E-2</v>
      </c>
      <c r="AD221" s="53">
        <f>((1+$B220)/IF(Параметры!$B$62,1,1+CHOOSE(Параметры!$B$126,AD$65,AD$113,AD$122)))^(AD$40/12)-1</f>
        <v>3.1595770003753909E-2</v>
      </c>
      <c r="AE221" s="53">
        <f>((1+$B220)/IF(Параметры!$B$62,1,1+CHOOSE(Параметры!$B$126,AE$65,AE$113,AE$122)))^(AE$40/12)-1</f>
        <v>3.1595770003753909E-2</v>
      </c>
      <c r="AF221" s="53">
        <f>((1+$B220)/IF(Параметры!$B$62,1,1+CHOOSE(Параметры!$B$126,AF$65,AF$113,AF$122)))^(AF$40/12)-1</f>
        <v>3.1595770003753909E-2</v>
      </c>
      <c r="AG221" s="53">
        <f>((1+$B220)/IF(Параметры!$B$62,1,1+CHOOSE(Параметры!$B$126,AG$65,AG$113,AG$122)))^(AG$40/12)-1</f>
        <v>3.1595770003753909E-2</v>
      </c>
      <c r="AH221" s="53">
        <f>((1+$B220)/IF(Параметры!$B$62,1,1+CHOOSE(Параметры!$B$126,AH$65,AH$113,AH$122)))^(AH$40/12)-1</f>
        <v>3.1595770003753909E-2</v>
      </c>
      <c r="AI221" s="53">
        <f>((1+$B220)/IF(Параметры!$B$62,1,1+CHOOSE(Параметры!$B$126,AI$65,AI$113,AI$122)))^(AI$40/12)-1</f>
        <v>3.1595770003753909E-2</v>
      </c>
      <c r="AJ221" s="53">
        <f>((1+$B220)/IF(Параметры!$B$62,1,1+CHOOSE(Параметры!$B$126,AJ$65,AJ$113,AJ$122)))^(AJ$40/12)-1</f>
        <v>3.1595770003753909E-2</v>
      </c>
      <c r="AK221" s="53">
        <f>((1+$B220)/IF(Параметры!$B$62,1,1+CHOOSE(Параметры!$B$126,AK$65,AK$113,AK$122)))^(AK$40/12)-1</f>
        <v>3.1595770003753909E-2</v>
      </c>
      <c r="AL221" s="53">
        <f>((1+$B220)/IF(Параметры!$B$62,1,1+CHOOSE(Параметры!$B$126,AL$65,AL$113,AL$122)))^(AL$40/12)-1</f>
        <v>3.1595770003753909E-2</v>
      </c>
      <c r="AM221" s="53">
        <f>((1+$B220)/IF(Параметры!$B$62,1,1+CHOOSE(Параметры!$B$126,AM$65,AM$113,AM$122)))^(AM$40/12)-1</f>
        <v>3.1595770003753909E-2</v>
      </c>
      <c r="AN221" s="53">
        <f>((1+$B220)/IF(Параметры!$B$62,1,1+CHOOSE(Параметры!$B$126,AN$65,AN$113,AN$122)))^(AN$40/12)-1</f>
        <v>3.1595770003753909E-2</v>
      </c>
      <c r="AO221" s="53">
        <f>((1+$B220)/IF(Параметры!$B$62,1,1+CHOOSE(Параметры!$B$126,AO$65,AO$113,AO$122)))^(AO$40/12)-1</f>
        <v>3.1595770003753909E-2</v>
      </c>
      <c r="AP221" s="53">
        <f>((1+$B220)/IF(Параметры!$B$62,1,1+CHOOSE(Параметры!$B$126,AP$65,AP$113,AP$122)))^(AP$40/12)-1</f>
        <v>3.1595770003753909E-2</v>
      </c>
      <c r="AQ221" s="53">
        <f>((1+$B220)/IF(Параметры!$B$62,1,1+CHOOSE(Параметры!$B$126,AQ$65,AQ$113,AQ$122)))^(AQ$40/12)-1</f>
        <v>3.1595770003753909E-2</v>
      </c>
      <c r="AR221" s="53">
        <f>((1+$B220)/IF(Параметры!$B$62,1,1+CHOOSE(Параметры!$B$126,AR$65,AR$113,AR$122)))^(AR$40/12)-1</f>
        <v>3.1595770003753909E-2</v>
      </c>
    </row>
    <row r="222" spans="1:44" outlineLevel="1" x14ac:dyDescent="0.2">
      <c r="A222" s="63" t="s">
        <v>229</v>
      </c>
      <c r="B222" s="6"/>
      <c r="D222" s="40"/>
      <c r="E222" s="55">
        <f>IF(E$2=1,1,D222*(1+D221))</f>
        <v>1</v>
      </c>
      <c r="F222" s="55">
        <f>IF(F$2=1,1,E222*(1+E221))</f>
        <v>1.0315957700037539</v>
      </c>
      <c r="G222" s="55">
        <f t="shared" ref="G222:AR222" si="435">IF(G$2=1,1,F222*(1+F221))</f>
        <v>1.064189832689638</v>
      </c>
      <c r="H222" s="55">
        <f t="shared" si="435"/>
        <v>1.097813729883633</v>
      </c>
      <c r="I222" s="55">
        <f t="shared" si="435"/>
        <v>1.1324999999999994</v>
      </c>
      <c r="J222" s="55">
        <f t="shared" si="435"/>
        <v>1.1682822095292507</v>
      </c>
      <c r="K222" s="55">
        <f t="shared" si="435"/>
        <v>1.2051949855210142</v>
      </c>
      <c r="L222" s="55">
        <f t="shared" si="435"/>
        <v>1.2432740490932137</v>
      </c>
      <c r="M222" s="55">
        <f t="shared" si="435"/>
        <v>1.2825562499999987</v>
      </c>
      <c r="N222" s="55">
        <f t="shared" si="435"/>
        <v>1.3230796022918758</v>
      </c>
      <c r="O222" s="55">
        <f t="shared" si="435"/>
        <v>1.3648833211025482</v>
      </c>
      <c r="P222" s="55">
        <f t="shared" si="435"/>
        <v>1.4080078605980642</v>
      </c>
      <c r="Q222" s="55">
        <f t="shared" si="435"/>
        <v>1.4524949531249982</v>
      </c>
      <c r="R222" s="55">
        <f t="shared" si="435"/>
        <v>1.498387649595549</v>
      </c>
      <c r="S222" s="55">
        <f t="shared" si="435"/>
        <v>1.5457303611486355</v>
      </c>
      <c r="T222" s="55">
        <f t="shared" si="435"/>
        <v>1.5945689021273073</v>
      </c>
      <c r="U222" s="55">
        <f t="shared" si="435"/>
        <v>1.64495053441406</v>
      </c>
      <c r="V222" s="55">
        <f t="shared" si="435"/>
        <v>1.6969240131669587</v>
      </c>
      <c r="W222" s="55">
        <f t="shared" si="435"/>
        <v>1.750539634000829</v>
      </c>
      <c r="X222" s="55">
        <f t="shared" si="435"/>
        <v>1.8058492816591747</v>
      </c>
      <c r="Y222" s="55">
        <f t="shared" si="435"/>
        <v>1.8629064802239221</v>
      </c>
      <c r="Z222" s="55">
        <f t="shared" si="435"/>
        <v>1.9217664449115799</v>
      </c>
      <c r="AA222" s="55">
        <f t="shared" si="435"/>
        <v>1.982486135505938</v>
      </c>
      <c r="AB222" s="55">
        <f t="shared" si="435"/>
        <v>2.0451243114790145</v>
      </c>
      <c r="AC222" s="55">
        <f t="shared" si="435"/>
        <v>2.1097415888535909</v>
      </c>
      <c r="AD222" s="55">
        <f t="shared" si="435"/>
        <v>2.1764004988623631</v>
      </c>
      <c r="AE222" s="55">
        <f t="shared" si="435"/>
        <v>2.2451655484604736</v>
      </c>
      <c r="AF222" s="55">
        <f t="shared" si="435"/>
        <v>2.3161032827499826</v>
      </c>
      <c r="AG222" s="55">
        <f t="shared" si="435"/>
        <v>2.3892823493766904</v>
      </c>
      <c r="AH222" s="55">
        <f t="shared" si="435"/>
        <v>2.4647735649616251</v>
      </c>
      <c r="AI222" s="55">
        <f t="shared" si="435"/>
        <v>2.5426499836314851</v>
      </c>
      <c r="AJ222" s="55">
        <f t="shared" si="435"/>
        <v>2.622986967714354</v>
      </c>
      <c r="AK222" s="55">
        <f t="shared" si="435"/>
        <v>2.7058622606691007</v>
      </c>
      <c r="AL222" s="55">
        <f t="shared" si="435"/>
        <v>2.7913560623190392</v>
      </c>
      <c r="AM222" s="55">
        <f t="shared" si="435"/>
        <v>2.8795511064626558</v>
      </c>
      <c r="AN222" s="55">
        <f t="shared" si="435"/>
        <v>2.970532740936505</v>
      </c>
      <c r="AO222" s="55">
        <f t="shared" si="435"/>
        <v>3.0643890102077553</v>
      </c>
      <c r="AP222" s="55">
        <f t="shared" si="435"/>
        <v>3.1612107405763106</v>
      </c>
      <c r="AQ222" s="55">
        <f t="shared" si="435"/>
        <v>3.2610916280689564</v>
      </c>
      <c r="AR222" s="55">
        <f t="shared" si="435"/>
        <v>3.3641283291105903</v>
      </c>
    </row>
    <row r="223" spans="1:44" collapsed="1" x14ac:dyDescent="0.2">
      <c r="A223" s="44" t="s">
        <v>284</v>
      </c>
      <c r="B223" s="340">
        <f ca="1">Деятельность_УК!B647</f>
        <v>8.4197013538173215E-2</v>
      </c>
      <c r="C223" s="104" t="s">
        <v>1005</v>
      </c>
      <c r="D223" s="40"/>
    </row>
    <row r="224" spans="1:44" outlineLevel="1" x14ac:dyDescent="0.2">
      <c r="A224" s="63" t="s">
        <v>57</v>
      </c>
      <c r="B224" s="6"/>
      <c r="C224" s="2" t="s">
        <v>1</v>
      </c>
      <c r="D224" s="40"/>
      <c r="E224" s="53">
        <f ca="1">((1+$B223)/IF(Параметры!$B$62,1,1+CHOOSE(Параметры!$B$126,E$65,E$113,E$122)))^(E$40/12)-1</f>
        <v>2.0415511261114627E-2</v>
      </c>
      <c r="F224" s="53">
        <f ca="1">((1+$B223)/IF(Параметры!$B$62,1,1+CHOOSE(Параметры!$B$126,F$65,F$113,F$122)))^(F$40/12)-1</f>
        <v>2.0415511261114627E-2</v>
      </c>
      <c r="G224" s="53">
        <f ca="1">((1+$B223)/IF(Параметры!$B$62,1,1+CHOOSE(Параметры!$B$126,G$65,G$113,G$122)))^(G$40/12)-1</f>
        <v>2.0415511261114627E-2</v>
      </c>
      <c r="H224" s="53">
        <f ca="1">((1+$B223)/IF(Параметры!$B$62,1,1+CHOOSE(Параметры!$B$126,H$65,H$113,H$122)))^(H$40/12)-1</f>
        <v>2.0415511261114627E-2</v>
      </c>
      <c r="I224" s="53">
        <f ca="1">((1+$B223)/IF(Параметры!$B$62,1,1+CHOOSE(Параметры!$B$126,I$65,I$113,I$122)))^(I$40/12)-1</f>
        <v>2.0415511261114627E-2</v>
      </c>
      <c r="J224" s="53">
        <f ca="1">((1+$B223)/IF(Параметры!$B$62,1,1+CHOOSE(Параметры!$B$126,J$65,J$113,J$122)))^(J$40/12)-1</f>
        <v>2.0415511261114627E-2</v>
      </c>
      <c r="K224" s="53">
        <f ca="1">((1+$B223)/IF(Параметры!$B$62,1,1+CHOOSE(Параметры!$B$126,K$65,K$113,K$122)))^(K$40/12)-1</f>
        <v>2.0415511261114627E-2</v>
      </c>
      <c r="L224" s="53">
        <f ca="1">((1+$B223)/IF(Параметры!$B$62,1,1+CHOOSE(Параметры!$B$126,L$65,L$113,L$122)))^(L$40/12)-1</f>
        <v>2.0415511261114627E-2</v>
      </c>
      <c r="M224" s="53">
        <f ca="1">((1+$B223)/IF(Параметры!$B$62,1,1+CHOOSE(Параметры!$B$126,M$65,M$113,M$122)))^(M$40/12)-1</f>
        <v>2.0415511261114627E-2</v>
      </c>
      <c r="N224" s="53">
        <f ca="1">((1+$B223)/IF(Параметры!$B$62,1,1+CHOOSE(Параметры!$B$126,N$65,N$113,N$122)))^(N$40/12)-1</f>
        <v>2.0415511261114627E-2</v>
      </c>
      <c r="O224" s="53">
        <f ca="1">((1+$B223)/IF(Параметры!$B$62,1,1+CHOOSE(Параметры!$B$126,O$65,O$113,O$122)))^(O$40/12)-1</f>
        <v>2.0415511261114627E-2</v>
      </c>
      <c r="P224" s="53">
        <f ca="1">((1+$B223)/IF(Параметры!$B$62,1,1+CHOOSE(Параметры!$B$126,P$65,P$113,P$122)))^(P$40/12)-1</f>
        <v>2.0415511261114627E-2</v>
      </c>
      <c r="Q224" s="53">
        <f ca="1">((1+$B223)/IF(Параметры!$B$62,1,1+CHOOSE(Параметры!$B$126,Q$65,Q$113,Q$122)))^(Q$40/12)-1</f>
        <v>2.0415511261114627E-2</v>
      </c>
      <c r="R224" s="53">
        <f ca="1">((1+$B223)/IF(Параметры!$B$62,1,1+CHOOSE(Параметры!$B$126,R$65,R$113,R$122)))^(R$40/12)-1</f>
        <v>2.0415511261114627E-2</v>
      </c>
      <c r="S224" s="53">
        <f ca="1">((1+$B223)/IF(Параметры!$B$62,1,1+CHOOSE(Параметры!$B$126,S$65,S$113,S$122)))^(S$40/12)-1</f>
        <v>2.0415511261114627E-2</v>
      </c>
      <c r="T224" s="53">
        <f ca="1">((1+$B223)/IF(Параметры!$B$62,1,1+CHOOSE(Параметры!$B$126,T$65,T$113,T$122)))^(T$40/12)-1</f>
        <v>2.0415511261114627E-2</v>
      </c>
      <c r="U224" s="53">
        <f ca="1">((1+$B223)/IF(Параметры!$B$62,1,1+CHOOSE(Параметры!$B$126,U$65,U$113,U$122)))^(U$40/12)-1</f>
        <v>2.0415511261114627E-2</v>
      </c>
      <c r="V224" s="53">
        <f ca="1">((1+$B223)/IF(Параметры!$B$62,1,1+CHOOSE(Параметры!$B$126,V$65,V$113,V$122)))^(V$40/12)-1</f>
        <v>2.0415511261114627E-2</v>
      </c>
      <c r="W224" s="53">
        <f ca="1">((1+$B223)/IF(Параметры!$B$62,1,1+CHOOSE(Параметры!$B$126,W$65,W$113,W$122)))^(W$40/12)-1</f>
        <v>2.0415511261114627E-2</v>
      </c>
      <c r="X224" s="53">
        <f ca="1">((1+$B223)/IF(Параметры!$B$62,1,1+CHOOSE(Параметры!$B$126,X$65,X$113,X$122)))^(X$40/12)-1</f>
        <v>2.0415511261114627E-2</v>
      </c>
      <c r="Y224" s="53">
        <f ca="1">((1+$B223)/IF(Параметры!$B$62,1,1+CHOOSE(Параметры!$B$126,Y$65,Y$113,Y$122)))^(Y$40/12)-1</f>
        <v>2.0415511261114627E-2</v>
      </c>
      <c r="Z224" s="53">
        <f ca="1">((1+$B223)/IF(Параметры!$B$62,1,1+CHOOSE(Параметры!$B$126,Z$65,Z$113,Z$122)))^(Z$40/12)-1</f>
        <v>2.0415511261114627E-2</v>
      </c>
      <c r="AA224" s="53">
        <f ca="1">((1+$B223)/IF(Параметры!$B$62,1,1+CHOOSE(Параметры!$B$126,AA$65,AA$113,AA$122)))^(AA$40/12)-1</f>
        <v>2.0415511261114627E-2</v>
      </c>
      <c r="AB224" s="53">
        <f ca="1">((1+$B223)/IF(Параметры!$B$62,1,1+CHOOSE(Параметры!$B$126,AB$65,AB$113,AB$122)))^(AB$40/12)-1</f>
        <v>2.0415511261114627E-2</v>
      </c>
      <c r="AC224" s="53">
        <f ca="1">((1+$B223)/IF(Параметры!$B$62,1,1+CHOOSE(Параметры!$B$126,AC$65,AC$113,AC$122)))^(AC$40/12)-1</f>
        <v>2.0415511261114627E-2</v>
      </c>
      <c r="AD224" s="53">
        <f ca="1">((1+$B223)/IF(Параметры!$B$62,1,1+CHOOSE(Параметры!$B$126,AD$65,AD$113,AD$122)))^(AD$40/12)-1</f>
        <v>2.0415511261114627E-2</v>
      </c>
      <c r="AE224" s="53">
        <f ca="1">((1+$B223)/IF(Параметры!$B$62,1,1+CHOOSE(Параметры!$B$126,AE$65,AE$113,AE$122)))^(AE$40/12)-1</f>
        <v>2.0415511261114627E-2</v>
      </c>
      <c r="AF224" s="53">
        <f ca="1">((1+$B223)/IF(Параметры!$B$62,1,1+CHOOSE(Параметры!$B$126,AF$65,AF$113,AF$122)))^(AF$40/12)-1</f>
        <v>2.0415511261114627E-2</v>
      </c>
      <c r="AG224" s="53">
        <f ca="1">((1+$B223)/IF(Параметры!$B$62,1,1+CHOOSE(Параметры!$B$126,AG$65,AG$113,AG$122)))^(AG$40/12)-1</f>
        <v>2.0415511261114627E-2</v>
      </c>
      <c r="AH224" s="53">
        <f ca="1">((1+$B223)/IF(Параметры!$B$62,1,1+CHOOSE(Параметры!$B$126,AH$65,AH$113,AH$122)))^(AH$40/12)-1</f>
        <v>2.0415511261114627E-2</v>
      </c>
      <c r="AI224" s="53">
        <f ca="1">((1+$B223)/IF(Параметры!$B$62,1,1+CHOOSE(Параметры!$B$126,AI$65,AI$113,AI$122)))^(AI$40/12)-1</f>
        <v>2.0415511261114627E-2</v>
      </c>
      <c r="AJ224" s="53">
        <f ca="1">((1+$B223)/IF(Параметры!$B$62,1,1+CHOOSE(Параметры!$B$126,AJ$65,AJ$113,AJ$122)))^(AJ$40/12)-1</f>
        <v>2.0415511261114627E-2</v>
      </c>
      <c r="AK224" s="53">
        <f ca="1">((1+$B223)/IF(Параметры!$B$62,1,1+CHOOSE(Параметры!$B$126,AK$65,AK$113,AK$122)))^(AK$40/12)-1</f>
        <v>2.0415511261114627E-2</v>
      </c>
      <c r="AL224" s="53">
        <f ca="1">((1+$B223)/IF(Параметры!$B$62,1,1+CHOOSE(Параметры!$B$126,AL$65,AL$113,AL$122)))^(AL$40/12)-1</f>
        <v>2.0415511261114627E-2</v>
      </c>
      <c r="AM224" s="53">
        <f ca="1">((1+$B223)/IF(Параметры!$B$62,1,1+CHOOSE(Параметры!$B$126,AM$65,AM$113,AM$122)))^(AM$40/12)-1</f>
        <v>2.0415511261114627E-2</v>
      </c>
      <c r="AN224" s="53">
        <f ca="1">((1+$B223)/IF(Параметры!$B$62,1,1+CHOOSE(Параметры!$B$126,AN$65,AN$113,AN$122)))^(AN$40/12)-1</f>
        <v>2.0415511261114627E-2</v>
      </c>
      <c r="AO224" s="53">
        <f ca="1">((1+$B223)/IF(Параметры!$B$62,1,1+CHOOSE(Параметры!$B$126,AO$65,AO$113,AO$122)))^(AO$40/12)-1</f>
        <v>2.0415511261114627E-2</v>
      </c>
      <c r="AP224" s="53">
        <f ca="1">((1+$B223)/IF(Параметры!$B$62,1,1+CHOOSE(Параметры!$B$126,AP$65,AP$113,AP$122)))^(AP$40/12)-1</f>
        <v>2.0415511261114627E-2</v>
      </c>
      <c r="AQ224" s="53">
        <f ca="1">((1+$B223)/IF(Параметры!$B$62,1,1+CHOOSE(Параметры!$B$126,AQ$65,AQ$113,AQ$122)))^(AQ$40/12)-1</f>
        <v>2.0415511261114627E-2</v>
      </c>
      <c r="AR224" s="53">
        <f ca="1">((1+$B223)/IF(Параметры!$B$62,1,1+CHOOSE(Параметры!$B$126,AR$65,AR$113,AR$122)))^(AR$40/12)-1</f>
        <v>2.0415511261114627E-2</v>
      </c>
    </row>
    <row r="225" spans="1:44" outlineLevel="1" x14ac:dyDescent="0.2">
      <c r="A225" s="63" t="s">
        <v>229</v>
      </c>
      <c r="B225" s="6"/>
      <c r="D225" s="40"/>
      <c r="E225" s="55">
        <f>IF(E$2=1,1,D225*(1+D224))</f>
        <v>1</v>
      </c>
      <c r="F225" s="55">
        <f ca="1">IF(F$2=1,1,E225*(1+E224))</f>
        <v>1.0204155112611146</v>
      </c>
      <c r="G225" s="55">
        <f t="shared" ref="G225:AR225" ca="1" si="436">IF(G$2=1,1,F225*(1+F224))</f>
        <v>1.041247815622282</v>
      </c>
      <c r="H225" s="55">
        <f t="shared" ca="1" si="436"/>
        <v>1.0625054221277297</v>
      </c>
      <c r="I225" s="55">
        <f t="shared" ca="1" si="436"/>
        <v>1.0841970135381738</v>
      </c>
      <c r="J225" s="55">
        <f t="shared" ca="1" si="436"/>
        <v>1.1063314498773291</v>
      </c>
      <c r="K225" s="55">
        <f t="shared" ca="1" si="436"/>
        <v>1.128917772050825</v>
      </c>
      <c r="L225" s="55">
        <f t="shared" ca="1" si="436"/>
        <v>1.1519652055390011</v>
      </c>
      <c r="M225" s="55">
        <f t="shared" ca="1" si="436"/>
        <v>1.1754831641650947</v>
      </c>
      <c r="N225" s="55">
        <f t="shared" ca="1" si="436"/>
        <v>1.1994812539403579</v>
      </c>
      <c r="O225" s="55">
        <f t="shared" ca="1" si="436"/>
        <v>1.2239692769876731</v>
      </c>
      <c r="P225" s="55">
        <f t="shared" ca="1" si="436"/>
        <v>1.2489572355452734</v>
      </c>
      <c r="Q225" s="55">
        <f t="shared" ca="1" si="436"/>
        <v>1.2744553360521984</v>
      </c>
      <c r="R225" s="55">
        <f t="shared" ca="1" si="436"/>
        <v>1.3004739933171596</v>
      </c>
      <c r="S225" s="55">
        <f t="shared" ca="1" si="436"/>
        <v>1.3270238347725127</v>
      </c>
      <c r="T225" s="55">
        <f t="shared" ca="1" si="436"/>
        <v>1.3541157048150785</v>
      </c>
      <c r="U225" s="55">
        <f t="shared" ca="1" si="436"/>
        <v>1.3817606692355828</v>
      </c>
      <c r="V225" s="55">
        <f t="shared" ca="1" si="436"/>
        <v>1.4099700197385272</v>
      </c>
      <c r="W225" s="55">
        <f t="shared" ca="1" si="436"/>
        <v>1.4387552785543332</v>
      </c>
      <c r="X225" s="55">
        <f t="shared" ca="1" si="436"/>
        <v>1.4681282031456473</v>
      </c>
      <c r="Y225" s="55">
        <f t="shared" ca="1" si="436"/>
        <v>1.4981007910097273</v>
      </c>
      <c r="Z225" s="55">
        <f t="shared" ca="1" si="436"/>
        <v>1.528685284578871</v>
      </c>
      <c r="AA225" s="55">
        <f t="shared" ca="1" si="436"/>
        <v>1.5598941762208911</v>
      </c>
      <c r="AB225" s="55">
        <f t="shared" ca="1" si="436"/>
        <v>1.5917402133416758</v>
      </c>
      <c r="AC225" s="55">
        <f t="shared" ca="1" si="436"/>
        <v>1.6242364035919219</v>
      </c>
      <c r="AD225" s="55">
        <f t="shared" ca="1" si="436"/>
        <v>1.6573960201801652</v>
      </c>
      <c r="AE225" s="55">
        <f t="shared" ca="1" si="436"/>
        <v>1.6912326072942798</v>
      </c>
      <c r="AF225" s="55">
        <f t="shared" ca="1" si="436"/>
        <v>1.7257599856336605</v>
      </c>
      <c r="AG225" s="55">
        <f t="shared" ca="1" si="436"/>
        <v>1.7609922580543456</v>
      </c>
      <c r="AH225" s="55">
        <f t="shared" ca="1" si="436"/>
        <v>1.7969438153293897</v>
      </c>
      <c r="AI225" s="55">
        <f t="shared" ca="1" si="436"/>
        <v>1.8336293420268373</v>
      </c>
      <c r="AJ225" s="55">
        <f t="shared" ca="1" si="436"/>
        <v>1.8710638225076963</v>
      </c>
      <c r="AK225" s="55">
        <f t="shared" ca="1" si="436"/>
        <v>1.9092625470463664</v>
      </c>
      <c r="AL225" s="55">
        <f t="shared" ca="1" si="436"/>
        <v>1.948241118076016</v>
      </c>
      <c r="AM225" s="55">
        <f t="shared" ca="1" si="436"/>
        <v>1.9880154565614634</v>
      </c>
      <c r="AN225" s="55">
        <f t="shared" ca="1" si="436"/>
        <v>2.028601808502164</v>
      </c>
      <c r="AO225" s="55">
        <f t="shared" ca="1" si="436"/>
        <v>2.0700167515679575</v>
      </c>
      <c r="AP225" s="55">
        <f t="shared" ca="1" si="436"/>
        <v>2.1122772018702891</v>
      </c>
      <c r="AQ225" s="55">
        <f t="shared" ca="1" si="436"/>
        <v>2.1554004208716675</v>
      </c>
      <c r="AR225" s="55">
        <f t="shared" ca="1" si="436"/>
        <v>2.1994040224361844</v>
      </c>
    </row>
    <row r="226" spans="1:44" x14ac:dyDescent="0.2">
      <c r="A226" s="44" t="s">
        <v>546</v>
      </c>
      <c r="B226" s="340">
        <f>B229</f>
        <v>8.6999999999999994E-2</v>
      </c>
      <c r="D226" s="40"/>
    </row>
    <row r="227" spans="1:44" ht="24.75" customHeight="1" x14ac:dyDescent="0.2">
      <c r="A227" s="390" t="s">
        <v>549</v>
      </c>
      <c r="B227" s="365">
        <v>6.2E-2</v>
      </c>
      <c r="C227" s="40" t="s">
        <v>808</v>
      </c>
      <c r="D227" s="40"/>
    </row>
    <row r="228" spans="1:44" ht="61.5" customHeight="1" x14ac:dyDescent="0.2">
      <c r="A228" s="390" t="s">
        <v>548</v>
      </c>
      <c r="B228" s="365">
        <v>2.5000000000000001E-2</v>
      </c>
      <c r="D228" s="40"/>
    </row>
    <row r="229" spans="1:44" collapsed="1" x14ac:dyDescent="0.2">
      <c r="A229" s="401" t="s">
        <v>550</v>
      </c>
      <c r="B229" s="377">
        <f>B228+B227</f>
        <v>8.6999999999999994E-2</v>
      </c>
      <c r="D229" s="40"/>
    </row>
    <row r="230" spans="1:44" outlineLevel="1" x14ac:dyDescent="0.2">
      <c r="A230" s="63" t="s">
        <v>57</v>
      </c>
      <c r="B230" s="6"/>
      <c r="C230" s="2" t="s">
        <v>1</v>
      </c>
      <c r="D230" s="40"/>
      <c r="E230" s="53">
        <f>((1+$B226)/IF(Параметры!$B$62,1,1+CHOOSE(Параметры!$B$126,E$65,E$113,E$122)))^(E$40/12)-1</f>
        <v>2.1074395682444402E-2</v>
      </c>
      <c r="F230" s="53">
        <f>((1+$B226)/IF(Параметры!$B$62,1,1+CHOOSE(Параметры!$B$126,F$65,F$113,F$122)))^(F$40/12)-1</f>
        <v>2.1074395682444402E-2</v>
      </c>
      <c r="G230" s="53">
        <f>((1+$B226)/IF(Параметры!$B$62,1,1+CHOOSE(Параметры!$B$126,G$65,G$113,G$122)))^(G$40/12)-1</f>
        <v>2.1074395682444402E-2</v>
      </c>
      <c r="H230" s="53">
        <f>((1+$B226)/IF(Параметры!$B$62,1,1+CHOOSE(Параметры!$B$126,H$65,H$113,H$122)))^(H$40/12)-1</f>
        <v>2.1074395682444402E-2</v>
      </c>
      <c r="I230" s="53">
        <f>((1+$B226)/IF(Параметры!$B$62,1,1+CHOOSE(Параметры!$B$126,I$65,I$113,I$122)))^(I$40/12)-1</f>
        <v>2.1074395682444402E-2</v>
      </c>
      <c r="J230" s="53">
        <f>((1+$B226)/IF(Параметры!$B$62,1,1+CHOOSE(Параметры!$B$126,J$65,J$113,J$122)))^(J$40/12)-1</f>
        <v>2.1074395682444402E-2</v>
      </c>
      <c r="K230" s="53">
        <f>((1+$B226)/IF(Параметры!$B$62,1,1+CHOOSE(Параметры!$B$126,K$65,K$113,K$122)))^(K$40/12)-1</f>
        <v>2.1074395682444402E-2</v>
      </c>
      <c r="L230" s="53">
        <f>((1+$B226)/IF(Параметры!$B$62,1,1+CHOOSE(Параметры!$B$126,L$65,L$113,L$122)))^(L$40/12)-1</f>
        <v>2.1074395682444402E-2</v>
      </c>
      <c r="M230" s="53">
        <f>((1+$B226)/IF(Параметры!$B$62,1,1+CHOOSE(Параметры!$B$126,M$65,M$113,M$122)))^(M$40/12)-1</f>
        <v>2.1074395682444402E-2</v>
      </c>
      <c r="N230" s="53">
        <f>((1+$B226)/IF(Параметры!$B$62,1,1+CHOOSE(Параметры!$B$126,N$65,N$113,N$122)))^(N$40/12)-1</f>
        <v>2.1074395682444402E-2</v>
      </c>
      <c r="O230" s="53">
        <f>((1+$B226)/IF(Параметры!$B$62,1,1+CHOOSE(Параметры!$B$126,O$65,O$113,O$122)))^(O$40/12)-1</f>
        <v>2.1074395682444402E-2</v>
      </c>
      <c r="P230" s="53">
        <f>((1+$B226)/IF(Параметры!$B$62,1,1+CHOOSE(Параметры!$B$126,P$65,P$113,P$122)))^(P$40/12)-1</f>
        <v>2.1074395682444402E-2</v>
      </c>
      <c r="Q230" s="53">
        <f>((1+$B226)/IF(Параметры!$B$62,1,1+CHOOSE(Параметры!$B$126,Q$65,Q$113,Q$122)))^(Q$40/12)-1</f>
        <v>2.1074395682444402E-2</v>
      </c>
      <c r="R230" s="53">
        <f>((1+$B226)/IF(Параметры!$B$62,1,1+CHOOSE(Параметры!$B$126,R$65,R$113,R$122)))^(R$40/12)-1</f>
        <v>2.1074395682444402E-2</v>
      </c>
      <c r="S230" s="53">
        <f>((1+$B226)/IF(Параметры!$B$62,1,1+CHOOSE(Параметры!$B$126,S$65,S$113,S$122)))^(S$40/12)-1</f>
        <v>2.1074395682444402E-2</v>
      </c>
      <c r="T230" s="53">
        <f>((1+$B226)/IF(Параметры!$B$62,1,1+CHOOSE(Параметры!$B$126,T$65,T$113,T$122)))^(T$40/12)-1</f>
        <v>2.1074395682444402E-2</v>
      </c>
      <c r="U230" s="53">
        <f>((1+$B226)/IF(Параметры!$B$62,1,1+CHOOSE(Параметры!$B$126,U$65,U$113,U$122)))^(U$40/12)-1</f>
        <v>2.1074395682444402E-2</v>
      </c>
      <c r="V230" s="53">
        <f>((1+$B226)/IF(Параметры!$B$62,1,1+CHOOSE(Параметры!$B$126,V$65,V$113,V$122)))^(V$40/12)-1</f>
        <v>2.1074395682444402E-2</v>
      </c>
      <c r="W230" s="53">
        <f>((1+$B226)/IF(Параметры!$B$62,1,1+CHOOSE(Параметры!$B$126,W$65,W$113,W$122)))^(W$40/12)-1</f>
        <v>2.1074395682444402E-2</v>
      </c>
      <c r="X230" s="53">
        <f>((1+$B226)/IF(Параметры!$B$62,1,1+CHOOSE(Параметры!$B$126,X$65,X$113,X$122)))^(X$40/12)-1</f>
        <v>2.1074395682444402E-2</v>
      </c>
      <c r="Y230" s="53">
        <f>((1+$B226)/IF(Параметры!$B$62,1,1+CHOOSE(Параметры!$B$126,Y$65,Y$113,Y$122)))^(Y$40/12)-1</f>
        <v>2.1074395682444402E-2</v>
      </c>
      <c r="Z230" s="53">
        <f>((1+$B226)/IF(Параметры!$B$62,1,1+CHOOSE(Параметры!$B$126,Z$65,Z$113,Z$122)))^(Z$40/12)-1</f>
        <v>2.1074395682444402E-2</v>
      </c>
      <c r="AA230" s="53">
        <f>((1+$B226)/IF(Параметры!$B$62,1,1+CHOOSE(Параметры!$B$126,AA$65,AA$113,AA$122)))^(AA$40/12)-1</f>
        <v>2.1074395682444402E-2</v>
      </c>
      <c r="AB230" s="53">
        <f>((1+$B226)/IF(Параметры!$B$62,1,1+CHOOSE(Параметры!$B$126,AB$65,AB$113,AB$122)))^(AB$40/12)-1</f>
        <v>2.1074395682444402E-2</v>
      </c>
      <c r="AC230" s="53">
        <f>((1+$B226)/IF(Параметры!$B$62,1,1+CHOOSE(Параметры!$B$126,AC$65,AC$113,AC$122)))^(AC$40/12)-1</f>
        <v>2.1074395682444402E-2</v>
      </c>
      <c r="AD230" s="53">
        <f>((1+$B226)/IF(Параметры!$B$62,1,1+CHOOSE(Параметры!$B$126,AD$65,AD$113,AD$122)))^(AD$40/12)-1</f>
        <v>2.1074395682444402E-2</v>
      </c>
      <c r="AE230" s="53">
        <f>((1+$B226)/IF(Параметры!$B$62,1,1+CHOOSE(Параметры!$B$126,AE$65,AE$113,AE$122)))^(AE$40/12)-1</f>
        <v>2.1074395682444402E-2</v>
      </c>
      <c r="AF230" s="53">
        <f>((1+$B226)/IF(Параметры!$B$62,1,1+CHOOSE(Параметры!$B$126,AF$65,AF$113,AF$122)))^(AF$40/12)-1</f>
        <v>2.1074395682444402E-2</v>
      </c>
      <c r="AG230" s="53">
        <f>((1+$B226)/IF(Параметры!$B$62,1,1+CHOOSE(Параметры!$B$126,AG$65,AG$113,AG$122)))^(AG$40/12)-1</f>
        <v>2.1074395682444402E-2</v>
      </c>
      <c r="AH230" s="53">
        <f>((1+$B226)/IF(Параметры!$B$62,1,1+CHOOSE(Параметры!$B$126,AH$65,AH$113,AH$122)))^(AH$40/12)-1</f>
        <v>2.1074395682444402E-2</v>
      </c>
      <c r="AI230" s="53">
        <f>((1+$B226)/IF(Параметры!$B$62,1,1+CHOOSE(Параметры!$B$126,AI$65,AI$113,AI$122)))^(AI$40/12)-1</f>
        <v>2.1074395682444402E-2</v>
      </c>
      <c r="AJ230" s="53">
        <f>((1+$B226)/IF(Параметры!$B$62,1,1+CHOOSE(Параметры!$B$126,AJ$65,AJ$113,AJ$122)))^(AJ$40/12)-1</f>
        <v>2.1074395682444402E-2</v>
      </c>
      <c r="AK230" s="53">
        <f>((1+$B226)/IF(Параметры!$B$62,1,1+CHOOSE(Параметры!$B$126,AK$65,AK$113,AK$122)))^(AK$40/12)-1</f>
        <v>2.1074395682444402E-2</v>
      </c>
      <c r="AL230" s="53">
        <f>((1+$B226)/IF(Параметры!$B$62,1,1+CHOOSE(Параметры!$B$126,AL$65,AL$113,AL$122)))^(AL$40/12)-1</f>
        <v>2.1074395682444402E-2</v>
      </c>
      <c r="AM230" s="53">
        <f>((1+$B226)/IF(Параметры!$B$62,1,1+CHOOSE(Параметры!$B$126,AM$65,AM$113,AM$122)))^(AM$40/12)-1</f>
        <v>2.1074395682444402E-2</v>
      </c>
      <c r="AN230" s="53">
        <f>((1+$B226)/IF(Параметры!$B$62,1,1+CHOOSE(Параметры!$B$126,AN$65,AN$113,AN$122)))^(AN$40/12)-1</f>
        <v>2.1074395682444402E-2</v>
      </c>
      <c r="AO230" s="53">
        <f>((1+$B226)/IF(Параметры!$B$62,1,1+CHOOSE(Параметры!$B$126,AO$65,AO$113,AO$122)))^(AO$40/12)-1</f>
        <v>2.1074395682444402E-2</v>
      </c>
      <c r="AP230" s="53">
        <f>((1+$B226)/IF(Параметры!$B$62,1,1+CHOOSE(Параметры!$B$126,AP$65,AP$113,AP$122)))^(AP$40/12)-1</f>
        <v>2.1074395682444402E-2</v>
      </c>
      <c r="AQ230" s="53">
        <f>((1+$B226)/IF(Параметры!$B$62,1,1+CHOOSE(Параметры!$B$126,AQ$65,AQ$113,AQ$122)))^(AQ$40/12)-1</f>
        <v>2.1074395682444402E-2</v>
      </c>
      <c r="AR230" s="53">
        <f>((1+$B226)/IF(Параметры!$B$62,1,1+CHOOSE(Параметры!$B$126,AR$65,AR$113,AR$122)))^(AR$40/12)-1</f>
        <v>2.1074395682444402E-2</v>
      </c>
    </row>
    <row r="231" spans="1:44" outlineLevel="1" x14ac:dyDescent="0.2">
      <c r="A231" s="63" t="s">
        <v>229</v>
      </c>
      <c r="B231" s="6"/>
      <c r="D231" s="40"/>
      <c r="E231" s="55">
        <f>IF(E$2=1,1,D231*(1+D230))</f>
        <v>1</v>
      </c>
      <c r="F231" s="55">
        <f>IF(F$2=1,1,E231*(1+E230))</f>
        <v>1.0210743956824444</v>
      </c>
      <c r="G231" s="55">
        <f t="shared" ref="G231" si="437">IF(G$2=1,1,F231*(1+F230))</f>
        <v>1.042592921518269</v>
      </c>
      <c r="H231" s="55">
        <f t="shared" ref="H231" si="438">IF(H$2=1,1,G231*(1+G230))</f>
        <v>1.0645649372820607</v>
      </c>
      <c r="I231" s="55">
        <f t="shared" ref="I231" si="439">IF(I$2=1,1,H231*(1+H230))</f>
        <v>1.0869999999999995</v>
      </c>
      <c r="J231" s="55">
        <f t="shared" ref="J231" si="440">IF(J$2=1,1,I231*(1+I230))</f>
        <v>1.1099078681068166</v>
      </c>
      <c r="K231" s="55">
        <f t="shared" ref="K231" si="441">IF(K$2=1,1,J231*(1+J230))</f>
        <v>1.1332985056903579</v>
      </c>
      <c r="L231" s="55">
        <f t="shared" ref="L231" si="442">IF(L$2=1,1,K231*(1+K230))</f>
        <v>1.1571820868255995</v>
      </c>
      <c r="M231" s="55">
        <f t="shared" ref="M231" si="443">IF(M$2=1,1,L231*(1+L230))</f>
        <v>1.181568999999999</v>
      </c>
      <c r="N231" s="55">
        <f t="shared" ref="N231" si="444">IF(N$2=1,1,M231*(1+M230))</f>
        <v>1.2064698526321092</v>
      </c>
      <c r="O231" s="55">
        <f t="shared" ref="O231" si="445">IF(O$2=1,1,N231*(1+N230))</f>
        <v>1.2318954756854186</v>
      </c>
      <c r="P231" s="55">
        <f t="shared" ref="P231:AR231" si="446">IF(P$2=1,1,O231*(1+O230))</f>
        <v>1.2578569283794261</v>
      </c>
      <c r="Q231" s="55">
        <f t="shared" si="446"/>
        <v>1.2843655029999983</v>
      </c>
      <c r="R231" s="55">
        <f t="shared" si="446"/>
        <v>1.3114327298111019</v>
      </c>
      <c r="S231" s="55">
        <f t="shared" si="446"/>
        <v>1.3390703820700494</v>
      </c>
      <c r="T231" s="55">
        <f t="shared" si="446"/>
        <v>1.3672904811484357</v>
      </c>
      <c r="U231" s="55">
        <f t="shared" si="446"/>
        <v>1.3961053017609977</v>
      </c>
      <c r="V231" s="55">
        <f t="shared" si="446"/>
        <v>1.4255273773046673</v>
      </c>
      <c r="W231" s="55">
        <f t="shared" si="446"/>
        <v>1.455569505310143</v>
      </c>
      <c r="X231" s="55">
        <f t="shared" si="446"/>
        <v>1.4862447530083487</v>
      </c>
      <c r="Y231" s="55">
        <f t="shared" si="446"/>
        <v>1.5175664630142034</v>
      </c>
      <c r="Z231" s="55">
        <f t="shared" si="446"/>
        <v>1.5495482591301724</v>
      </c>
      <c r="AA231" s="55">
        <f t="shared" si="446"/>
        <v>1.5822040522721246</v>
      </c>
      <c r="AB231" s="55">
        <f t="shared" si="446"/>
        <v>1.6155480465200742</v>
      </c>
      <c r="AC231" s="55">
        <f t="shared" si="446"/>
        <v>1.6495947452964383</v>
      </c>
      <c r="AD231" s="55">
        <f t="shared" si="446"/>
        <v>1.6843589576744966</v>
      </c>
      <c r="AE231" s="55">
        <f t="shared" si="446"/>
        <v>1.7198558048197985</v>
      </c>
      <c r="AF231" s="55">
        <f t="shared" si="446"/>
        <v>1.7561007265673199</v>
      </c>
      <c r="AG231" s="55">
        <f t="shared" si="446"/>
        <v>1.7931094881372276</v>
      </c>
      <c r="AH231" s="55">
        <f t="shared" si="446"/>
        <v>1.8308981869921768</v>
      </c>
      <c r="AI231" s="55">
        <f t="shared" si="446"/>
        <v>1.86948325983912</v>
      </c>
      <c r="AJ231" s="55">
        <f t="shared" si="446"/>
        <v>1.9088814897786757</v>
      </c>
      <c r="AK231" s="55">
        <f t="shared" si="446"/>
        <v>1.9491100136051653</v>
      </c>
      <c r="AL231" s="55">
        <f t="shared" si="446"/>
        <v>1.9901863292604951</v>
      </c>
      <c r="AM231" s="55">
        <f t="shared" si="446"/>
        <v>2.0321283034451225</v>
      </c>
      <c r="AN231" s="55">
        <f t="shared" si="446"/>
        <v>2.0749541793894193</v>
      </c>
      <c r="AO231" s="55">
        <f t="shared" si="446"/>
        <v>2.1186825847888135</v>
      </c>
      <c r="AP231" s="55">
        <f t="shared" si="446"/>
        <v>2.1633325399061571</v>
      </c>
      <c r="AQ231" s="55">
        <f t="shared" si="446"/>
        <v>2.2089234658448471</v>
      </c>
      <c r="AR231" s="55">
        <f t="shared" si="446"/>
        <v>2.2554751929962977</v>
      </c>
    </row>
    <row r="232" spans="1:44" x14ac:dyDescent="0.2">
      <c r="A232" s="44"/>
      <c r="B232" s="6"/>
      <c r="D232" s="40"/>
    </row>
    <row r="233" spans="1:44" x14ac:dyDescent="0.2">
      <c r="A233" s="44"/>
      <c r="B233" s="6"/>
      <c r="D233" s="40"/>
    </row>
    <row r="234" spans="1:44" x14ac:dyDescent="0.2">
      <c r="A234" s="44" t="s">
        <v>22</v>
      </c>
      <c r="B234" s="6"/>
      <c r="D234" s="40"/>
    </row>
    <row r="235" spans="1:44" x14ac:dyDescent="0.2">
      <c r="A235" s="63" t="s">
        <v>25</v>
      </c>
      <c r="B235" s="340">
        <f ca="1">AVERAGE($E153:OFFSET($E153,0,Параметры!$B$24-1))</f>
        <v>0.17700000000000007</v>
      </c>
      <c r="C235" s="104" t="s">
        <v>838</v>
      </c>
      <c r="D235" s="40"/>
    </row>
    <row r="236" spans="1:44" x14ac:dyDescent="0.2">
      <c r="A236" s="63" t="s">
        <v>24</v>
      </c>
      <c r="B236" s="340">
        <f ca="1">Результаты_УК!B148</f>
        <v>0.49388387287189744</v>
      </c>
      <c r="C236" s="391"/>
      <c r="D236" s="40"/>
    </row>
    <row r="237" spans="1:44" x14ac:dyDescent="0.2">
      <c r="A237" s="63" t="s">
        <v>547</v>
      </c>
      <c r="B237" s="340">
        <v>0</v>
      </c>
      <c r="D237" s="40"/>
    </row>
    <row r="238" spans="1:44" x14ac:dyDescent="0.2">
      <c r="A238" s="63" t="s">
        <v>23</v>
      </c>
      <c r="B238" s="59">
        <f ca="1">100%-B236-B237</f>
        <v>0.5061161271281025</v>
      </c>
      <c r="D238" s="40"/>
    </row>
    <row r="239" spans="1:44" x14ac:dyDescent="0.2">
      <c r="A239" s="66" t="s">
        <v>317</v>
      </c>
      <c r="B239" s="344">
        <f ca="1">(B220*B238+B226*B237+B223*B236*(1-B235))</f>
        <v>0.10128364613285909</v>
      </c>
      <c r="C239" s="64"/>
      <c r="D239" s="65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</row>
    <row r="240" spans="1:44" ht="53.25" customHeight="1" collapsed="1" x14ac:dyDescent="0.2">
      <c r="A240" s="1026" t="s">
        <v>318</v>
      </c>
      <c r="B240" s="1026"/>
      <c r="C240" s="1026"/>
      <c r="D240" s="65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64"/>
      <c r="AR240" s="64"/>
    </row>
    <row r="241" spans="1:44" outlineLevel="1" x14ac:dyDescent="0.2">
      <c r="A241" s="66" t="s">
        <v>57</v>
      </c>
      <c r="B241" s="35"/>
      <c r="C241" s="21" t="s">
        <v>1</v>
      </c>
      <c r="D241" s="65"/>
      <c r="E241" s="67">
        <f ca="1">((1+$B239)/IF(Параметры!$B$62,1,1+CHOOSE(Параметры!$B$126,E$65,E$113,E$122)))^(E$40/12)-1</f>
        <v>2.4412331059534331E-2</v>
      </c>
      <c r="F241" s="67">
        <f ca="1">((1+$B239)/IF(Параметры!$B$62,1,1+CHOOSE(Параметры!$B$126,F$65,F$113,F$122)))^(F$40/12)-1</f>
        <v>2.4412331059534331E-2</v>
      </c>
      <c r="G241" s="67">
        <f ca="1">((1+$B239)/IF(Параметры!$B$62,1,1+CHOOSE(Параметры!$B$126,G$65,G$113,G$122)))^(G$40/12)-1</f>
        <v>2.4412331059534331E-2</v>
      </c>
      <c r="H241" s="67">
        <f ca="1">((1+$B239)/IF(Параметры!$B$62,1,1+CHOOSE(Параметры!$B$126,H$65,H$113,H$122)))^(H$40/12)-1</f>
        <v>2.4412331059534331E-2</v>
      </c>
      <c r="I241" s="67">
        <f ca="1">((1+$B239)/IF(Параметры!$B$62,1,1+CHOOSE(Параметры!$B$126,I$65,I$113,I$122)))^(I$40/12)-1</f>
        <v>2.4412331059534331E-2</v>
      </c>
      <c r="J241" s="67">
        <f ca="1">((1+$B239)/IF(Параметры!$B$62,1,1+CHOOSE(Параметры!$B$126,J$65,J$113,J$122)))^(J$40/12)-1</f>
        <v>2.4412331059534331E-2</v>
      </c>
      <c r="K241" s="67">
        <f ca="1">((1+$B239)/IF(Параметры!$B$62,1,1+CHOOSE(Параметры!$B$126,K$65,K$113,K$122)))^(K$40/12)-1</f>
        <v>2.4412331059534331E-2</v>
      </c>
      <c r="L241" s="67">
        <f ca="1">((1+$B239)/IF(Параметры!$B$62,1,1+CHOOSE(Параметры!$B$126,L$65,L$113,L$122)))^(L$40/12)-1</f>
        <v>2.4412331059534331E-2</v>
      </c>
      <c r="M241" s="67">
        <f ca="1">((1+$B239)/IF(Параметры!$B$62,1,1+CHOOSE(Параметры!$B$126,M$65,M$113,M$122)))^(M$40/12)-1</f>
        <v>2.4412331059534331E-2</v>
      </c>
      <c r="N241" s="67">
        <f ca="1">((1+$B239)/IF(Параметры!$B$62,1,1+CHOOSE(Параметры!$B$126,N$65,N$113,N$122)))^(N$40/12)-1</f>
        <v>2.4412331059534331E-2</v>
      </c>
      <c r="O241" s="67">
        <f ca="1">((1+$B239)/IF(Параметры!$B$62,1,1+CHOOSE(Параметры!$B$126,O$65,O$113,O$122)))^(O$40/12)-1</f>
        <v>2.4412331059534331E-2</v>
      </c>
      <c r="P241" s="67">
        <f ca="1">((1+$B239)/IF(Параметры!$B$62,1,1+CHOOSE(Параметры!$B$126,P$65,P$113,P$122)))^(P$40/12)-1</f>
        <v>2.4412331059534331E-2</v>
      </c>
      <c r="Q241" s="67">
        <f ca="1">((1+$B239)/IF(Параметры!$B$62,1,1+CHOOSE(Параметры!$B$126,Q$65,Q$113,Q$122)))^(Q$40/12)-1</f>
        <v>2.4412331059534331E-2</v>
      </c>
      <c r="R241" s="67">
        <f ca="1">((1+$B239)/IF(Параметры!$B$62,1,1+CHOOSE(Параметры!$B$126,R$65,R$113,R$122)))^(R$40/12)-1</f>
        <v>2.4412331059534331E-2</v>
      </c>
      <c r="S241" s="67">
        <f ca="1">((1+$B239)/IF(Параметры!$B$62,1,1+CHOOSE(Параметры!$B$126,S$65,S$113,S$122)))^(S$40/12)-1</f>
        <v>2.4412331059534331E-2</v>
      </c>
      <c r="T241" s="67">
        <f ca="1">((1+$B239)/IF(Параметры!$B$62,1,1+CHOOSE(Параметры!$B$126,T$65,T$113,T$122)))^(T$40/12)-1</f>
        <v>2.4412331059534331E-2</v>
      </c>
      <c r="U241" s="67">
        <f ca="1">((1+$B239)/IF(Параметры!$B$62,1,1+CHOOSE(Параметры!$B$126,U$65,U$113,U$122)))^(U$40/12)-1</f>
        <v>2.4412331059534331E-2</v>
      </c>
      <c r="V241" s="67">
        <f ca="1">((1+$B239)/IF(Параметры!$B$62,1,1+CHOOSE(Параметры!$B$126,V$65,V$113,V$122)))^(V$40/12)-1</f>
        <v>2.4412331059534331E-2</v>
      </c>
      <c r="W241" s="67">
        <f ca="1">((1+$B239)/IF(Параметры!$B$62,1,1+CHOOSE(Параметры!$B$126,W$65,W$113,W$122)))^(W$40/12)-1</f>
        <v>2.4412331059534331E-2</v>
      </c>
      <c r="X241" s="67">
        <f ca="1">((1+$B239)/IF(Параметры!$B$62,1,1+CHOOSE(Параметры!$B$126,X$65,X$113,X$122)))^(X$40/12)-1</f>
        <v>2.4412331059534331E-2</v>
      </c>
      <c r="Y241" s="67">
        <f ca="1">((1+$B239)/IF(Параметры!$B$62,1,1+CHOOSE(Параметры!$B$126,Y$65,Y$113,Y$122)))^(Y$40/12)-1</f>
        <v>2.4412331059534331E-2</v>
      </c>
      <c r="Z241" s="67">
        <f ca="1">((1+$B239)/IF(Параметры!$B$62,1,1+CHOOSE(Параметры!$B$126,Z$65,Z$113,Z$122)))^(Z$40/12)-1</f>
        <v>2.4412331059534331E-2</v>
      </c>
      <c r="AA241" s="67">
        <f ca="1">((1+$B239)/IF(Параметры!$B$62,1,1+CHOOSE(Параметры!$B$126,AA$65,AA$113,AA$122)))^(AA$40/12)-1</f>
        <v>2.4412331059534331E-2</v>
      </c>
      <c r="AB241" s="67">
        <f ca="1">((1+$B239)/IF(Параметры!$B$62,1,1+CHOOSE(Параметры!$B$126,AB$65,AB$113,AB$122)))^(AB$40/12)-1</f>
        <v>2.4412331059534331E-2</v>
      </c>
      <c r="AC241" s="67">
        <f ca="1">((1+$B239)/IF(Параметры!$B$62,1,1+CHOOSE(Параметры!$B$126,AC$65,AC$113,AC$122)))^(AC$40/12)-1</f>
        <v>2.4412331059534331E-2</v>
      </c>
      <c r="AD241" s="67">
        <f ca="1">((1+$B239)/IF(Параметры!$B$62,1,1+CHOOSE(Параметры!$B$126,AD$65,AD$113,AD$122)))^(AD$40/12)-1</f>
        <v>2.4412331059534331E-2</v>
      </c>
      <c r="AE241" s="67">
        <f ca="1">((1+$B239)/IF(Параметры!$B$62,1,1+CHOOSE(Параметры!$B$126,AE$65,AE$113,AE$122)))^(AE$40/12)-1</f>
        <v>2.4412331059534331E-2</v>
      </c>
      <c r="AF241" s="67">
        <f ca="1">((1+$B239)/IF(Параметры!$B$62,1,1+CHOOSE(Параметры!$B$126,AF$65,AF$113,AF$122)))^(AF$40/12)-1</f>
        <v>2.4412331059534331E-2</v>
      </c>
      <c r="AG241" s="67">
        <f ca="1">((1+$B239)/IF(Параметры!$B$62,1,1+CHOOSE(Параметры!$B$126,AG$65,AG$113,AG$122)))^(AG$40/12)-1</f>
        <v>2.4412331059534331E-2</v>
      </c>
      <c r="AH241" s="67">
        <f ca="1">((1+$B239)/IF(Параметры!$B$62,1,1+CHOOSE(Параметры!$B$126,AH$65,AH$113,AH$122)))^(AH$40/12)-1</f>
        <v>2.4412331059534331E-2</v>
      </c>
      <c r="AI241" s="67">
        <f ca="1">((1+$B239)/IF(Параметры!$B$62,1,1+CHOOSE(Параметры!$B$126,AI$65,AI$113,AI$122)))^(AI$40/12)-1</f>
        <v>2.4412331059534331E-2</v>
      </c>
      <c r="AJ241" s="67">
        <f ca="1">((1+$B239)/IF(Параметры!$B$62,1,1+CHOOSE(Параметры!$B$126,AJ$65,AJ$113,AJ$122)))^(AJ$40/12)-1</f>
        <v>2.4412331059534331E-2</v>
      </c>
      <c r="AK241" s="67">
        <f ca="1">((1+$B239)/IF(Параметры!$B$62,1,1+CHOOSE(Параметры!$B$126,AK$65,AK$113,AK$122)))^(AK$40/12)-1</f>
        <v>2.4412331059534331E-2</v>
      </c>
      <c r="AL241" s="67">
        <f ca="1">((1+$B239)/IF(Параметры!$B$62,1,1+CHOOSE(Параметры!$B$126,AL$65,AL$113,AL$122)))^(AL$40/12)-1</f>
        <v>2.4412331059534331E-2</v>
      </c>
      <c r="AM241" s="67">
        <f ca="1">((1+$B239)/IF(Параметры!$B$62,1,1+CHOOSE(Параметры!$B$126,AM$65,AM$113,AM$122)))^(AM$40/12)-1</f>
        <v>2.4412331059534331E-2</v>
      </c>
      <c r="AN241" s="67">
        <f ca="1">((1+$B239)/IF(Параметры!$B$62,1,1+CHOOSE(Параметры!$B$126,AN$65,AN$113,AN$122)))^(AN$40/12)-1</f>
        <v>2.4412331059534331E-2</v>
      </c>
      <c r="AO241" s="67">
        <f ca="1">((1+$B239)/IF(Параметры!$B$62,1,1+CHOOSE(Параметры!$B$126,AO$65,AO$113,AO$122)))^(AO$40/12)-1</f>
        <v>2.4412331059534331E-2</v>
      </c>
      <c r="AP241" s="67">
        <f ca="1">((1+$B239)/IF(Параметры!$B$62,1,1+CHOOSE(Параметры!$B$126,AP$65,AP$113,AP$122)))^(AP$40/12)-1</f>
        <v>2.4412331059534331E-2</v>
      </c>
      <c r="AQ241" s="67">
        <f ca="1">((1+$B239)/IF(Параметры!$B$62,1,1+CHOOSE(Параметры!$B$126,AQ$65,AQ$113,AQ$122)))^(AQ$40/12)-1</f>
        <v>2.4412331059534331E-2</v>
      </c>
      <c r="AR241" s="67">
        <f ca="1">((1+$B239)/IF(Параметры!$B$62,1,1+CHOOSE(Параметры!$B$126,AR$65,AR$113,AR$122)))^(AR$40/12)-1</f>
        <v>2.4412331059534331E-2</v>
      </c>
    </row>
    <row r="242" spans="1:44" outlineLevel="1" x14ac:dyDescent="0.2">
      <c r="A242" s="66" t="s">
        <v>229</v>
      </c>
      <c r="B242" s="35"/>
      <c r="C242" s="64"/>
      <c r="D242" s="65"/>
      <c r="E242" s="68">
        <f t="shared" ref="E242:AR242" si="447">IF(E$2=1,1,D242*(1+D241))</f>
        <v>1</v>
      </c>
      <c r="F242" s="68">
        <f t="shared" ca="1" si="447"/>
        <v>1.0244123310595343</v>
      </c>
      <c r="G242" s="68">
        <f t="shared" ca="1" si="447"/>
        <v>1.0494206240268289</v>
      </c>
      <c r="H242" s="68">
        <f t="shared" ca="1" si="447"/>
        <v>1.0750394277212749</v>
      </c>
      <c r="I242" s="68">
        <f t="shared" ca="1" si="447"/>
        <v>1.101283646132859</v>
      </c>
      <c r="J242" s="68">
        <f t="shared" ca="1" si="447"/>
        <v>1.1281685470927054</v>
      </c>
      <c r="K242" s="68">
        <f t="shared" ca="1" si="447"/>
        <v>1.1557097711552864</v>
      </c>
      <c r="L242" s="68">
        <f t="shared" ca="1" si="447"/>
        <v>1.1839233406974679</v>
      </c>
      <c r="M242" s="68">
        <f t="shared" ca="1" si="447"/>
        <v>1.2128256692396844</v>
      </c>
      <c r="N242" s="68">
        <f t="shared" ca="1" si="447"/>
        <v>1.2424335709946648</v>
      </c>
      <c r="O242" s="68">
        <f t="shared" ca="1" si="447"/>
        <v>1.2727642706492659</v>
      </c>
      <c r="P242" s="68">
        <f t="shared" ca="1" si="447"/>
        <v>1.3038354133851024</v>
      </c>
      <c r="Q242" s="68">
        <f t="shared" ca="1" si="447"/>
        <v>1.3356650751438044</v>
      </c>
      <c r="R242" s="68">
        <f t="shared" ca="1" si="447"/>
        <v>1.3682717731428728</v>
      </c>
      <c r="S242" s="68">
        <f t="shared" ca="1" si="447"/>
        <v>1.4016744766482527</v>
      </c>
      <c r="T242" s="68">
        <f t="shared" ca="1" si="447"/>
        <v>1.4358926180098894</v>
      </c>
      <c r="U242" s="68">
        <f t="shared" ca="1" si="447"/>
        <v>1.4709461039666882</v>
      </c>
      <c r="V242" s="68">
        <f t="shared" ca="1" si="447"/>
        <v>1.5068553272274552</v>
      </c>
      <c r="W242" s="68">
        <f t="shared" ca="1" si="447"/>
        <v>1.5436411783345547</v>
      </c>
      <c r="X242" s="68">
        <f t="shared" ca="1" si="447"/>
        <v>1.5813250578171876</v>
      </c>
      <c r="Y242" s="68">
        <f t="shared" ca="1" si="447"/>
        <v>1.6199288886413581</v>
      </c>
      <c r="Z242" s="68">
        <f t="shared" ca="1" si="447"/>
        <v>1.6594751289637744</v>
      </c>
      <c r="AA242" s="68">
        <f t="shared" ca="1" si="447"/>
        <v>1.6999867851971016</v>
      </c>
      <c r="AB242" s="68">
        <f t="shared" ca="1" si="447"/>
        <v>1.7414874253941668</v>
      </c>
      <c r="AC242" s="68">
        <f t="shared" ca="1" si="447"/>
        <v>1.7840011929589052</v>
      </c>
      <c r="AD242" s="68">
        <f t="shared" ca="1" si="447"/>
        <v>1.8275528206920222</v>
      </c>
      <c r="AE242" s="68">
        <f t="shared" ca="1" si="447"/>
        <v>1.8721676451795417</v>
      </c>
      <c r="AF242" s="68">
        <f t="shared" ca="1" si="447"/>
        <v>1.9178716215326135</v>
      </c>
      <c r="AG242" s="68">
        <f t="shared" ca="1" si="447"/>
        <v>1.9646913384871536</v>
      </c>
      <c r="AH242" s="68">
        <f t="shared" ca="1" si="447"/>
        <v>2.0126540338721015</v>
      </c>
      <c r="AI242" s="68">
        <f t="shared" ca="1" si="447"/>
        <v>2.0617876104552946</v>
      </c>
      <c r="AJ242" s="68">
        <f t="shared" ca="1" si="447"/>
        <v>2.1121206521761753</v>
      </c>
      <c r="AK242" s="68">
        <f t="shared" ca="1" si="447"/>
        <v>2.1636824407747794</v>
      </c>
      <c r="AL242" s="68">
        <f t="shared" ca="1" si="447"/>
        <v>2.2165029728266745</v>
      </c>
      <c r="AM242" s="68">
        <f t="shared" ca="1" si="447"/>
        <v>2.2706129771937613</v>
      </c>
      <c r="AN242" s="68">
        <f t="shared" ca="1" si="447"/>
        <v>2.3260439329010905</v>
      </c>
      <c r="AO242" s="68">
        <f t="shared" ca="1" si="447"/>
        <v>2.3828280874500933</v>
      </c>
      <c r="AP242" s="68">
        <f t="shared" ca="1" si="447"/>
        <v>2.4409984755788821</v>
      </c>
      <c r="AQ242" s="68">
        <f t="shared" ca="1" si="447"/>
        <v>2.5005889384805324</v>
      </c>
      <c r="AR242" s="68">
        <f t="shared" ca="1" si="447"/>
        <v>2.5616341434905285</v>
      </c>
    </row>
    <row r="243" spans="1:44" x14ac:dyDescent="0.2">
      <c r="A243" s="45"/>
      <c r="B243" s="69"/>
      <c r="C243" s="46"/>
      <c r="D243" s="47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</row>
    <row r="244" spans="1:44" x14ac:dyDescent="0.2">
      <c r="A244" s="49"/>
      <c r="B244" s="35"/>
      <c r="C244" s="64"/>
      <c r="D244" s="65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</row>
    <row r="245" spans="1:44" ht="33.75" x14ac:dyDescent="0.2">
      <c r="A245" s="461" t="s">
        <v>463</v>
      </c>
      <c r="B245" s="463">
        <v>1</v>
      </c>
      <c r="C245" s="35"/>
      <c r="D245" s="65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</row>
    <row r="246" spans="1:44" ht="33.75" x14ac:dyDescent="0.2">
      <c r="A246" s="461" t="s">
        <v>464</v>
      </c>
      <c r="B246" s="463">
        <v>0</v>
      </c>
      <c r="C246" s="35"/>
      <c r="D246" s="65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</row>
    <row r="247" spans="1:44" collapsed="1" x14ac:dyDescent="0.2">
      <c r="A247" s="462" t="s">
        <v>27</v>
      </c>
      <c r="B247" s="464">
        <f ca="1">OFFSET(CHOOSE($B$126,E65,E113,E122),0,B24-1)</f>
        <v>3.9549999999999974E-2</v>
      </c>
      <c r="C247" s="64"/>
      <c r="D247" s="65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</row>
    <row r="248" spans="1:44" outlineLevel="1" x14ac:dyDescent="0.2">
      <c r="A248" s="226" t="s">
        <v>275</v>
      </c>
      <c r="B248" s="465">
        <f ca="1">((1+$B247) / IF(Параметры!$B$62, 1, 1+OFFSET(CHOOSE($B$126,E65,E113,E122),0,B24-1))) ^ (E$40/12) -1</f>
        <v>9.7441498691959172E-3</v>
      </c>
      <c r="C248" s="64"/>
      <c r="D248" s="65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</row>
    <row r="249" spans="1:44" x14ac:dyDescent="0.2">
      <c r="A249" s="462" t="s">
        <v>29</v>
      </c>
      <c r="B249" s="464">
        <f>B220</f>
        <v>0.13250000000000001</v>
      </c>
      <c r="C249" s="92" t="s">
        <v>532</v>
      </c>
      <c r="D249" s="65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</row>
    <row r="250" spans="1:44" s="1" customFormat="1" x14ac:dyDescent="0.2">
      <c r="A250" s="71"/>
      <c r="B250" s="72"/>
      <c r="C250" s="73"/>
      <c r="D250" s="74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</row>
    <row r="251" spans="1:44" s="1" customFormat="1" x14ac:dyDescent="0.2">
      <c r="A251" s="57"/>
      <c r="B251" s="59"/>
      <c r="D251" s="15"/>
    </row>
    <row r="252" spans="1:44" collapsed="1" x14ac:dyDescent="0.2">
      <c r="A252" s="44" t="s">
        <v>837</v>
      </c>
      <c r="B252" s="345">
        <f ca="1">Параметры!$B$239</f>
        <v>0.10128364613285909</v>
      </c>
      <c r="C252" s="104" t="s">
        <v>836</v>
      </c>
      <c r="D252" s="40"/>
    </row>
    <row r="253" spans="1:44" outlineLevel="1" x14ac:dyDescent="0.2">
      <c r="A253" s="63" t="s">
        <v>57</v>
      </c>
      <c r="B253" s="6"/>
      <c r="C253" s="2" t="s">
        <v>1</v>
      </c>
      <c r="D253" s="40"/>
      <c r="E253" s="53">
        <f ca="1">((1+$B252)/IF(Параметры!$B$62,1,1+CHOOSE(Параметры!$B$126,E$65,E$113,E$122)))^(E$40/12)-1</f>
        <v>2.4412331059534331E-2</v>
      </c>
      <c r="F253" s="53">
        <f ca="1">((1+$B252)/IF(Параметры!$B$62,1,1+CHOOSE(Параметры!$B$126,F$65,F$113,F$122)))^(F$40/12)-1</f>
        <v>2.4412331059534331E-2</v>
      </c>
      <c r="G253" s="53">
        <f ca="1">((1+$B252)/IF(Параметры!$B$62,1,1+CHOOSE(Параметры!$B$126,G$65,G$113,G$122)))^(G$40/12)-1</f>
        <v>2.4412331059534331E-2</v>
      </c>
      <c r="H253" s="53">
        <f ca="1">((1+$B252)/IF(Параметры!$B$62,1,1+CHOOSE(Параметры!$B$126,H$65,H$113,H$122)))^(H$40/12)-1</f>
        <v>2.4412331059534331E-2</v>
      </c>
      <c r="I253" s="53">
        <f ca="1">((1+$B252)/IF(Параметры!$B$62,1,1+CHOOSE(Параметры!$B$126,I$65,I$113,I$122)))^(I$40/12)-1</f>
        <v>2.4412331059534331E-2</v>
      </c>
      <c r="J253" s="53">
        <f ca="1">((1+$B252)/IF(Параметры!$B$62,1,1+CHOOSE(Параметры!$B$126,J$65,J$113,J$122)))^(J$40/12)-1</f>
        <v>2.4412331059534331E-2</v>
      </c>
      <c r="K253" s="53">
        <f ca="1">((1+$B252)/IF(Параметры!$B$62,1,1+CHOOSE(Параметры!$B$126,K$65,K$113,K$122)))^(K$40/12)-1</f>
        <v>2.4412331059534331E-2</v>
      </c>
      <c r="L253" s="53">
        <f ca="1">((1+$B252)/IF(Параметры!$B$62,1,1+CHOOSE(Параметры!$B$126,L$65,L$113,L$122)))^(L$40/12)-1</f>
        <v>2.4412331059534331E-2</v>
      </c>
      <c r="M253" s="53">
        <f ca="1">((1+$B252)/IF(Параметры!$B$62,1,1+CHOOSE(Параметры!$B$126,M$65,M$113,M$122)))^(M$40/12)-1</f>
        <v>2.4412331059534331E-2</v>
      </c>
      <c r="N253" s="53">
        <f ca="1">((1+$B252)/IF(Параметры!$B$62,1,1+CHOOSE(Параметры!$B$126,N$65,N$113,N$122)))^(N$40/12)-1</f>
        <v>2.4412331059534331E-2</v>
      </c>
      <c r="O253" s="53">
        <f ca="1">((1+$B252)/IF(Параметры!$B$62,1,1+CHOOSE(Параметры!$B$126,O$65,O$113,O$122)))^(O$40/12)-1</f>
        <v>2.4412331059534331E-2</v>
      </c>
      <c r="P253" s="53">
        <f ca="1">((1+$B252)/IF(Параметры!$B$62,1,1+CHOOSE(Параметры!$B$126,P$65,P$113,P$122)))^(P$40/12)-1</f>
        <v>2.4412331059534331E-2</v>
      </c>
      <c r="Q253" s="53">
        <f ca="1">((1+$B252)/IF(Параметры!$B$62,1,1+CHOOSE(Параметры!$B$126,Q$65,Q$113,Q$122)))^(Q$40/12)-1</f>
        <v>2.4412331059534331E-2</v>
      </c>
      <c r="R253" s="53">
        <f ca="1">((1+$B252)/IF(Параметры!$B$62,1,1+CHOOSE(Параметры!$B$126,R$65,R$113,R$122)))^(R$40/12)-1</f>
        <v>2.4412331059534331E-2</v>
      </c>
      <c r="S253" s="53">
        <f ca="1">((1+$B252)/IF(Параметры!$B$62,1,1+CHOOSE(Параметры!$B$126,S$65,S$113,S$122)))^(S$40/12)-1</f>
        <v>2.4412331059534331E-2</v>
      </c>
      <c r="T253" s="53">
        <f ca="1">((1+$B252)/IF(Параметры!$B$62,1,1+CHOOSE(Параметры!$B$126,T$65,T$113,T$122)))^(T$40/12)-1</f>
        <v>2.4412331059534331E-2</v>
      </c>
      <c r="U253" s="53">
        <f ca="1">((1+$B252)/IF(Параметры!$B$62,1,1+CHOOSE(Параметры!$B$126,U$65,U$113,U$122)))^(U$40/12)-1</f>
        <v>2.4412331059534331E-2</v>
      </c>
      <c r="V253" s="53">
        <f ca="1">((1+$B252)/IF(Параметры!$B$62,1,1+CHOOSE(Параметры!$B$126,V$65,V$113,V$122)))^(V$40/12)-1</f>
        <v>2.4412331059534331E-2</v>
      </c>
      <c r="W253" s="53">
        <f ca="1">((1+$B252)/IF(Параметры!$B$62,1,1+CHOOSE(Параметры!$B$126,W$65,W$113,W$122)))^(W$40/12)-1</f>
        <v>2.4412331059534331E-2</v>
      </c>
      <c r="X253" s="53">
        <f ca="1">((1+$B252)/IF(Параметры!$B$62,1,1+CHOOSE(Параметры!$B$126,X$65,X$113,X$122)))^(X$40/12)-1</f>
        <v>2.4412331059534331E-2</v>
      </c>
      <c r="Y253" s="53">
        <f ca="1">((1+$B252)/IF(Параметры!$B$62,1,1+CHOOSE(Параметры!$B$126,Y$65,Y$113,Y$122)))^(Y$40/12)-1</f>
        <v>2.4412331059534331E-2</v>
      </c>
      <c r="Z253" s="53">
        <f ca="1">((1+$B252)/IF(Параметры!$B$62,1,1+CHOOSE(Параметры!$B$126,Z$65,Z$113,Z$122)))^(Z$40/12)-1</f>
        <v>2.4412331059534331E-2</v>
      </c>
      <c r="AA253" s="53">
        <f ca="1">((1+$B252)/IF(Параметры!$B$62,1,1+CHOOSE(Параметры!$B$126,AA$65,AA$113,AA$122)))^(AA$40/12)-1</f>
        <v>2.4412331059534331E-2</v>
      </c>
      <c r="AB253" s="53">
        <f ca="1">((1+$B252)/IF(Параметры!$B$62,1,1+CHOOSE(Параметры!$B$126,AB$65,AB$113,AB$122)))^(AB$40/12)-1</f>
        <v>2.4412331059534331E-2</v>
      </c>
      <c r="AC253" s="53">
        <f ca="1">((1+$B252)/IF(Параметры!$B$62,1,1+CHOOSE(Параметры!$B$126,AC$65,AC$113,AC$122)))^(AC$40/12)-1</f>
        <v>2.4412331059534331E-2</v>
      </c>
      <c r="AD253" s="53">
        <f ca="1">((1+$B252)/IF(Параметры!$B$62,1,1+CHOOSE(Параметры!$B$126,AD$65,AD$113,AD$122)))^(AD$40/12)-1</f>
        <v>2.4412331059534331E-2</v>
      </c>
      <c r="AE253" s="53">
        <f ca="1">((1+$B252)/IF(Параметры!$B$62,1,1+CHOOSE(Параметры!$B$126,AE$65,AE$113,AE$122)))^(AE$40/12)-1</f>
        <v>2.4412331059534331E-2</v>
      </c>
      <c r="AF253" s="53">
        <f ca="1">((1+$B252)/IF(Параметры!$B$62,1,1+CHOOSE(Параметры!$B$126,AF$65,AF$113,AF$122)))^(AF$40/12)-1</f>
        <v>2.4412331059534331E-2</v>
      </c>
      <c r="AG253" s="53">
        <f ca="1">((1+$B252)/IF(Параметры!$B$62,1,1+CHOOSE(Параметры!$B$126,AG$65,AG$113,AG$122)))^(AG$40/12)-1</f>
        <v>2.4412331059534331E-2</v>
      </c>
      <c r="AH253" s="53">
        <f ca="1">((1+$B252)/IF(Параметры!$B$62,1,1+CHOOSE(Параметры!$B$126,AH$65,AH$113,AH$122)))^(AH$40/12)-1</f>
        <v>2.4412331059534331E-2</v>
      </c>
      <c r="AI253" s="53">
        <f ca="1">((1+$B252)/IF(Параметры!$B$62,1,1+CHOOSE(Параметры!$B$126,AI$65,AI$113,AI$122)))^(AI$40/12)-1</f>
        <v>2.4412331059534331E-2</v>
      </c>
      <c r="AJ253" s="53">
        <f ca="1">((1+$B252)/IF(Параметры!$B$62,1,1+CHOOSE(Параметры!$B$126,AJ$65,AJ$113,AJ$122)))^(AJ$40/12)-1</f>
        <v>2.4412331059534331E-2</v>
      </c>
      <c r="AK253" s="53">
        <f ca="1">((1+$B252)/IF(Параметры!$B$62,1,1+CHOOSE(Параметры!$B$126,AK$65,AK$113,AK$122)))^(AK$40/12)-1</f>
        <v>2.4412331059534331E-2</v>
      </c>
      <c r="AL253" s="53">
        <f ca="1">((1+$B252)/IF(Параметры!$B$62,1,1+CHOOSE(Параметры!$B$126,AL$65,AL$113,AL$122)))^(AL$40/12)-1</f>
        <v>2.4412331059534331E-2</v>
      </c>
      <c r="AM253" s="53">
        <f ca="1">((1+$B252)/IF(Параметры!$B$62,1,1+CHOOSE(Параметры!$B$126,AM$65,AM$113,AM$122)))^(AM$40/12)-1</f>
        <v>2.4412331059534331E-2</v>
      </c>
      <c r="AN253" s="53">
        <f ca="1">((1+$B252)/IF(Параметры!$B$62,1,1+CHOOSE(Параметры!$B$126,AN$65,AN$113,AN$122)))^(AN$40/12)-1</f>
        <v>2.4412331059534331E-2</v>
      </c>
      <c r="AO253" s="53">
        <f ca="1">((1+$B252)/IF(Параметры!$B$62,1,1+CHOOSE(Параметры!$B$126,AO$65,AO$113,AO$122)))^(AO$40/12)-1</f>
        <v>2.4412331059534331E-2</v>
      </c>
      <c r="AP253" s="53">
        <f ca="1">((1+$B252)/IF(Параметры!$B$62,1,1+CHOOSE(Параметры!$B$126,AP$65,AP$113,AP$122)))^(AP$40/12)-1</f>
        <v>2.4412331059534331E-2</v>
      </c>
      <c r="AQ253" s="53">
        <f ca="1">((1+$B252)/IF(Параметры!$B$62,1,1+CHOOSE(Параметры!$B$126,AQ$65,AQ$113,AQ$122)))^(AQ$40/12)-1</f>
        <v>2.4412331059534331E-2</v>
      </c>
      <c r="AR253" s="53">
        <f ca="1">((1+$B252)/IF(Параметры!$B$62,1,1+CHOOSE(Параметры!$B$126,AR$65,AR$113,AR$122)))^(AR$40/12)-1</f>
        <v>2.4412331059534331E-2</v>
      </c>
    </row>
    <row r="254" spans="1:44" outlineLevel="1" x14ac:dyDescent="0.2">
      <c r="A254" s="63" t="s">
        <v>229</v>
      </c>
      <c r="B254" s="6"/>
      <c r="D254" s="40"/>
      <c r="E254" s="55">
        <f>IF(E$2=1,1,D254*(1+D253))</f>
        <v>1</v>
      </c>
      <c r="F254" s="55">
        <f ca="1">IF(F$2=1,1,E254*(1+E253))</f>
        <v>1.0244123310595343</v>
      </c>
      <c r="G254" s="55">
        <f t="shared" ref="G254" ca="1" si="448">IF(G$2=1,1,F254*(1+F253))</f>
        <v>1.0494206240268289</v>
      </c>
      <c r="H254" s="55">
        <f t="shared" ref="H254" ca="1" si="449">IF(H$2=1,1,G254*(1+G253))</f>
        <v>1.0750394277212749</v>
      </c>
      <c r="I254" s="55">
        <f t="shared" ref="I254:AR254" ca="1" si="450">IF(I$2=1,1,H254*(1+H253))</f>
        <v>1.101283646132859</v>
      </c>
      <c r="J254" s="55">
        <f t="shared" ca="1" si="450"/>
        <v>1.1281685470927054</v>
      </c>
      <c r="K254" s="55">
        <f t="shared" ca="1" si="450"/>
        <v>1.1557097711552864</v>
      </c>
      <c r="L254" s="55">
        <f t="shared" ca="1" si="450"/>
        <v>1.1839233406974679</v>
      </c>
      <c r="M254" s="55">
        <f t="shared" ca="1" si="450"/>
        <v>1.2128256692396844</v>
      </c>
      <c r="N254" s="55">
        <f t="shared" ca="1" si="450"/>
        <v>1.2424335709946648</v>
      </c>
      <c r="O254" s="55">
        <f t="shared" ca="1" si="450"/>
        <v>1.2727642706492659</v>
      </c>
      <c r="P254" s="55">
        <f t="shared" ca="1" si="450"/>
        <v>1.3038354133851024</v>
      </c>
      <c r="Q254" s="55">
        <f t="shared" ca="1" si="450"/>
        <v>1.3356650751438044</v>
      </c>
      <c r="R254" s="55">
        <f t="shared" ca="1" si="450"/>
        <v>1.3682717731428728</v>
      </c>
      <c r="S254" s="55">
        <f t="shared" ca="1" si="450"/>
        <v>1.4016744766482527</v>
      </c>
      <c r="T254" s="55">
        <f t="shared" ca="1" si="450"/>
        <v>1.4358926180098894</v>
      </c>
      <c r="U254" s="55">
        <f t="shared" ca="1" si="450"/>
        <v>1.4709461039666882</v>
      </c>
      <c r="V254" s="55">
        <f t="shared" ca="1" si="450"/>
        <v>1.5068553272274552</v>
      </c>
      <c r="W254" s="55">
        <f t="shared" ca="1" si="450"/>
        <v>1.5436411783345547</v>
      </c>
      <c r="X254" s="55">
        <f t="shared" ca="1" si="450"/>
        <v>1.5813250578171876</v>
      </c>
      <c r="Y254" s="55">
        <f t="shared" ca="1" si="450"/>
        <v>1.6199288886413581</v>
      </c>
      <c r="Z254" s="55">
        <f t="shared" ca="1" si="450"/>
        <v>1.6594751289637744</v>
      </c>
      <c r="AA254" s="55">
        <f t="shared" ca="1" si="450"/>
        <v>1.6999867851971016</v>
      </c>
      <c r="AB254" s="55">
        <f t="shared" ca="1" si="450"/>
        <v>1.7414874253941668</v>
      </c>
      <c r="AC254" s="55">
        <f t="shared" ca="1" si="450"/>
        <v>1.7840011929589052</v>
      </c>
      <c r="AD254" s="55">
        <f t="shared" ca="1" si="450"/>
        <v>1.8275528206920222</v>
      </c>
      <c r="AE254" s="55">
        <f t="shared" ca="1" si="450"/>
        <v>1.8721676451795417</v>
      </c>
      <c r="AF254" s="55">
        <f t="shared" ca="1" si="450"/>
        <v>1.9178716215326135</v>
      </c>
      <c r="AG254" s="55">
        <f t="shared" ca="1" si="450"/>
        <v>1.9646913384871536</v>
      </c>
      <c r="AH254" s="55">
        <f t="shared" ca="1" si="450"/>
        <v>2.0126540338721015</v>
      </c>
      <c r="AI254" s="55">
        <f t="shared" ca="1" si="450"/>
        <v>2.0617876104552946</v>
      </c>
      <c r="AJ254" s="55">
        <f t="shared" ca="1" si="450"/>
        <v>2.1121206521761753</v>
      </c>
      <c r="AK254" s="55">
        <f t="shared" ca="1" si="450"/>
        <v>2.1636824407747794</v>
      </c>
      <c r="AL254" s="55">
        <f t="shared" ca="1" si="450"/>
        <v>2.2165029728266745</v>
      </c>
      <c r="AM254" s="55">
        <f t="shared" ca="1" si="450"/>
        <v>2.2706129771937613</v>
      </c>
      <c r="AN254" s="55">
        <f t="shared" ca="1" si="450"/>
        <v>2.3260439329010905</v>
      </c>
      <c r="AO254" s="55">
        <f t="shared" ca="1" si="450"/>
        <v>2.3828280874500933</v>
      </c>
      <c r="AP254" s="55">
        <f t="shared" ca="1" si="450"/>
        <v>2.4409984755788821</v>
      </c>
      <c r="AQ254" s="55">
        <f t="shared" ca="1" si="450"/>
        <v>2.5005889384805324</v>
      </c>
      <c r="AR254" s="55">
        <f t="shared" ca="1" si="450"/>
        <v>2.5616341434905285</v>
      </c>
    </row>
    <row r="255" spans="1:44" x14ac:dyDescent="0.2">
      <c r="A255" s="45"/>
      <c r="B255" s="46"/>
      <c r="C255" s="46"/>
      <c r="D255" s="47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</row>
  </sheetData>
  <sheetProtection formatCells="0"/>
  <dataConsolidate/>
  <mergeCells count="3">
    <mergeCell ref="A1:C2"/>
    <mergeCell ref="A203:C203"/>
    <mergeCell ref="A240:C240"/>
  </mergeCells>
  <conditionalFormatting sqref="E6:AB6">
    <cfRule type="expression" dxfId="837" priority="349">
      <formula>E$2&lt;=Prj_Invest</formula>
    </cfRule>
  </conditionalFormatting>
  <conditionalFormatting sqref="E60:AB60">
    <cfRule type="expression" dxfId="836" priority="341">
      <formula>E$2&lt;=Prj_Invest</formula>
    </cfRule>
  </conditionalFormatting>
  <conditionalFormatting sqref="E130:AB130">
    <cfRule type="expression" dxfId="835" priority="340">
      <formula>E$2&lt;=Prj_Invest</formula>
    </cfRule>
  </conditionalFormatting>
  <conditionalFormatting sqref="E208:AB208">
    <cfRule type="expression" dxfId="834" priority="339">
      <formula>E$2&lt;=Prj_Invest</formula>
    </cfRule>
  </conditionalFormatting>
  <conditionalFormatting sqref="F136:AB136">
    <cfRule type="cellIs" dxfId="833" priority="336" operator="notEqual">
      <formula>E136</formula>
    </cfRule>
  </conditionalFormatting>
  <conditionalFormatting sqref="F159:AB163">
    <cfRule type="cellIs" dxfId="832" priority="335" operator="notEqual">
      <formula>E159</formula>
    </cfRule>
  </conditionalFormatting>
  <conditionalFormatting sqref="F170:AB172">
    <cfRule type="cellIs" dxfId="831" priority="333" operator="notEqual">
      <formula>E170</formula>
    </cfRule>
  </conditionalFormatting>
  <conditionalFormatting sqref="F183:AB183">
    <cfRule type="cellIs" dxfId="830" priority="329" operator="notEqual">
      <formula>E183</formula>
    </cfRule>
  </conditionalFormatting>
  <conditionalFormatting sqref="F190:AB190">
    <cfRule type="cellIs" dxfId="829" priority="327" operator="notEqual">
      <formula>E190</formula>
    </cfRule>
  </conditionalFormatting>
  <conditionalFormatting sqref="F192:AB193">
    <cfRule type="cellIs" dxfId="828" priority="326" operator="notEqual">
      <formula>E192</formula>
    </cfRule>
  </conditionalFormatting>
  <conditionalFormatting sqref="F197:AB198">
    <cfRule type="cellIs" dxfId="827" priority="325" operator="notEqual">
      <formula>E197</formula>
    </cfRule>
  </conditionalFormatting>
  <conditionalFormatting sqref="E34:AB34">
    <cfRule type="expression" dxfId="826" priority="324">
      <formula>E$2&lt;=Prj_Invest</formula>
    </cfRule>
  </conditionalFormatting>
  <conditionalFormatting sqref="F176:AF176">
    <cfRule type="cellIs" dxfId="825" priority="323" operator="notEqual">
      <formula>E176</formula>
    </cfRule>
  </conditionalFormatting>
  <conditionalFormatting sqref="F186:AB186">
    <cfRule type="cellIs" dxfId="824" priority="322" operator="notEqual">
      <formula>E186</formula>
    </cfRule>
  </conditionalFormatting>
  <conditionalFormatting sqref="AC6">
    <cfRule type="expression" dxfId="823" priority="321">
      <formula>AC$2&lt;=Prj_Invest</formula>
    </cfRule>
  </conditionalFormatting>
  <conditionalFormatting sqref="AC60">
    <cfRule type="expression" dxfId="822" priority="320">
      <formula>AC$2&lt;=Prj_Invest</formula>
    </cfRule>
  </conditionalFormatting>
  <conditionalFormatting sqref="AC130">
    <cfRule type="expression" dxfId="821" priority="319">
      <formula>AC$2&lt;=Prj_Invest</formula>
    </cfRule>
  </conditionalFormatting>
  <conditionalFormatting sqref="AC208">
    <cfRule type="expression" dxfId="820" priority="318">
      <formula>AC$2&lt;=Prj_Invest</formula>
    </cfRule>
  </conditionalFormatting>
  <conditionalFormatting sqref="AC136">
    <cfRule type="cellIs" dxfId="819" priority="316" operator="notEqual">
      <formula>AB136</formula>
    </cfRule>
  </conditionalFormatting>
  <conditionalFormatting sqref="AC159:AC163">
    <cfRule type="cellIs" dxfId="818" priority="315" operator="notEqual">
      <formula>AB159</formula>
    </cfRule>
  </conditionalFormatting>
  <conditionalFormatting sqref="AC170:AC172">
    <cfRule type="cellIs" dxfId="817" priority="313" operator="notEqual">
      <formula>AB170</formula>
    </cfRule>
  </conditionalFormatting>
  <conditionalFormatting sqref="AC183">
    <cfRule type="cellIs" dxfId="816" priority="309" operator="notEqual">
      <formula>AB183</formula>
    </cfRule>
  </conditionalFormatting>
  <conditionalFormatting sqref="AC190">
    <cfRule type="cellIs" dxfId="815" priority="307" operator="notEqual">
      <formula>AB190</formula>
    </cfRule>
  </conditionalFormatting>
  <conditionalFormatting sqref="AC192:AC193">
    <cfRule type="cellIs" dxfId="814" priority="306" operator="notEqual">
      <formula>AB192</formula>
    </cfRule>
  </conditionalFormatting>
  <conditionalFormatting sqref="AC197:AC198">
    <cfRule type="cellIs" dxfId="813" priority="305" operator="notEqual">
      <formula>AB197</formula>
    </cfRule>
  </conditionalFormatting>
  <conditionalFormatting sqref="AC34">
    <cfRule type="expression" dxfId="812" priority="304">
      <formula>AC$2&lt;=Prj_Invest</formula>
    </cfRule>
  </conditionalFormatting>
  <conditionalFormatting sqref="AC186">
    <cfRule type="cellIs" dxfId="811" priority="302" operator="notEqual">
      <formula>AB186</formula>
    </cfRule>
  </conditionalFormatting>
  <conditionalFormatting sqref="AD6">
    <cfRule type="expression" dxfId="810" priority="301">
      <formula>AD$2&lt;=Prj_Invest</formula>
    </cfRule>
  </conditionalFormatting>
  <conditionalFormatting sqref="AD60">
    <cfRule type="expression" dxfId="809" priority="300">
      <formula>AD$2&lt;=Prj_Invest</formula>
    </cfRule>
  </conditionalFormatting>
  <conditionalFormatting sqref="AD130">
    <cfRule type="expression" dxfId="808" priority="299">
      <formula>AD$2&lt;=Prj_Invest</formula>
    </cfRule>
  </conditionalFormatting>
  <conditionalFormatting sqref="AD208">
    <cfRule type="expression" dxfId="807" priority="298">
      <formula>AD$2&lt;=Prj_Invest</formula>
    </cfRule>
  </conditionalFormatting>
  <conditionalFormatting sqref="AD136">
    <cfRule type="cellIs" dxfId="806" priority="296" operator="notEqual">
      <formula>AC136</formula>
    </cfRule>
  </conditionalFormatting>
  <conditionalFormatting sqref="AD159:AD163">
    <cfRule type="cellIs" dxfId="805" priority="295" operator="notEqual">
      <formula>AC159</formula>
    </cfRule>
  </conditionalFormatting>
  <conditionalFormatting sqref="AD170:AD172">
    <cfRule type="cellIs" dxfId="804" priority="293" operator="notEqual">
      <formula>AC170</formula>
    </cfRule>
  </conditionalFormatting>
  <conditionalFormatting sqref="AD183">
    <cfRule type="cellIs" dxfId="803" priority="289" operator="notEqual">
      <formula>AC183</formula>
    </cfRule>
  </conditionalFormatting>
  <conditionalFormatting sqref="AD190">
    <cfRule type="cellIs" dxfId="802" priority="287" operator="notEqual">
      <formula>AC190</formula>
    </cfRule>
  </conditionalFormatting>
  <conditionalFormatting sqref="AD192:AD193">
    <cfRule type="cellIs" dxfId="801" priority="286" operator="notEqual">
      <formula>AC192</formula>
    </cfRule>
  </conditionalFormatting>
  <conditionalFormatting sqref="AD197:AD198">
    <cfRule type="cellIs" dxfId="800" priority="285" operator="notEqual">
      <formula>AC197</formula>
    </cfRule>
  </conditionalFormatting>
  <conditionalFormatting sqref="AD34">
    <cfRule type="expression" dxfId="799" priority="284">
      <formula>AD$2&lt;=Prj_Invest</formula>
    </cfRule>
  </conditionalFormatting>
  <conditionalFormatting sqref="AD186">
    <cfRule type="cellIs" dxfId="798" priority="282" operator="notEqual">
      <formula>AC186</formula>
    </cfRule>
  </conditionalFormatting>
  <conditionalFormatting sqref="AE6">
    <cfRule type="expression" dxfId="797" priority="281">
      <formula>AE$2&lt;=Prj_Invest</formula>
    </cfRule>
  </conditionalFormatting>
  <conditionalFormatting sqref="AE60">
    <cfRule type="expression" dxfId="796" priority="280">
      <formula>AE$2&lt;=Prj_Invest</formula>
    </cfRule>
  </conditionalFormatting>
  <conditionalFormatting sqref="AE130">
    <cfRule type="expression" dxfId="795" priority="279">
      <formula>AE$2&lt;=Prj_Invest</formula>
    </cfRule>
  </conditionalFormatting>
  <conditionalFormatting sqref="AE208">
    <cfRule type="expression" dxfId="794" priority="278">
      <formula>AE$2&lt;=Prj_Invest</formula>
    </cfRule>
  </conditionalFormatting>
  <conditionalFormatting sqref="AE136">
    <cfRule type="cellIs" dxfId="793" priority="276" operator="notEqual">
      <formula>AD136</formula>
    </cfRule>
  </conditionalFormatting>
  <conditionalFormatting sqref="AE159:AE163">
    <cfRule type="cellIs" dxfId="792" priority="275" operator="notEqual">
      <formula>AD159</formula>
    </cfRule>
  </conditionalFormatting>
  <conditionalFormatting sqref="AE170:AE172">
    <cfRule type="cellIs" dxfId="791" priority="273" operator="notEqual">
      <formula>AD170</formula>
    </cfRule>
  </conditionalFormatting>
  <conditionalFormatting sqref="AE183">
    <cfRule type="cellIs" dxfId="790" priority="269" operator="notEqual">
      <formula>AD183</formula>
    </cfRule>
  </conditionalFormatting>
  <conditionalFormatting sqref="AE190">
    <cfRule type="cellIs" dxfId="789" priority="267" operator="notEqual">
      <formula>AD190</formula>
    </cfRule>
  </conditionalFormatting>
  <conditionalFormatting sqref="AE192:AE193">
    <cfRule type="cellIs" dxfId="788" priority="266" operator="notEqual">
      <formula>AD192</formula>
    </cfRule>
  </conditionalFormatting>
  <conditionalFormatting sqref="AE197:AE198">
    <cfRule type="cellIs" dxfId="787" priority="265" operator="notEqual">
      <formula>AD197</formula>
    </cfRule>
  </conditionalFormatting>
  <conditionalFormatting sqref="AE34">
    <cfRule type="expression" dxfId="786" priority="264">
      <formula>AE$2&lt;=Prj_Invest</formula>
    </cfRule>
  </conditionalFormatting>
  <conditionalFormatting sqref="AE186">
    <cfRule type="cellIs" dxfId="785" priority="262" operator="notEqual">
      <formula>AD186</formula>
    </cfRule>
  </conditionalFormatting>
  <conditionalFormatting sqref="AF6">
    <cfRule type="expression" dxfId="784" priority="261">
      <formula>AF$2&lt;=Prj_Invest</formula>
    </cfRule>
  </conditionalFormatting>
  <conditionalFormatting sqref="AF60">
    <cfRule type="expression" dxfId="783" priority="260">
      <formula>AF$2&lt;=Prj_Invest</formula>
    </cfRule>
  </conditionalFormatting>
  <conditionalFormatting sqref="AF130">
    <cfRule type="expression" dxfId="782" priority="259">
      <formula>AF$2&lt;=Prj_Invest</formula>
    </cfRule>
  </conditionalFormatting>
  <conditionalFormatting sqref="AF208">
    <cfRule type="expression" dxfId="781" priority="258">
      <formula>AF$2&lt;=Prj_Invest</formula>
    </cfRule>
  </conditionalFormatting>
  <conditionalFormatting sqref="AF136">
    <cfRule type="cellIs" dxfId="780" priority="256" operator="notEqual">
      <formula>AE136</formula>
    </cfRule>
  </conditionalFormatting>
  <conditionalFormatting sqref="AF159:AF163">
    <cfRule type="cellIs" dxfId="779" priority="255" operator="notEqual">
      <formula>AE159</formula>
    </cfRule>
  </conditionalFormatting>
  <conditionalFormatting sqref="AF170:AF172">
    <cfRule type="cellIs" dxfId="778" priority="253" operator="notEqual">
      <formula>AE170</formula>
    </cfRule>
  </conditionalFormatting>
  <conditionalFormatting sqref="AF183">
    <cfRule type="cellIs" dxfId="777" priority="249" operator="notEqual">
      <formula>AE183</formula>
    </cfRule>
  </conditionalFormatting>
  <conditionalFormatting sqref="AF190">
    <cfRule type="cellIs" dxfId="776" priority="247" operator="notEqual">
      <formula>AE190</formula>
    </cfRule>
  </conditionalFormatting>
  <conditionalFormatting sqref="AF192:AF193">
    <cfRule type="cellIs" dxfId="775" priority="246" operator="notEqual">
      <formula>AE192</formula>
    </cfRule>
  </conditionalFormatting>
  <conditionalFormatting sqref="AF197:AF198">
    <cfRule type="cellIs" dxfId="774" priority="245" operator="notEqual">
      <formula>AE197</formula>
    </cfRule>
  </conditionalFormatting>
  <conditionalFormatting sqref="AF34">
    <cfRule type="expression" dxfId="773" priority="244">
      <formula>AF$2&lt;=Prj_Invest</formula>
    </cfRule>
  </conditionalFormatting>
  <conditionalFormatting sqref="AF186">
    <cfRule type="cellIs" dxfId="772" priority="242" operator="notEqual">
      <formula>AE186</formula>
    </cfRule>
  </conditionalFormatting>
  <conditionalFormatting sqref="AG6">
    <cfRule type="expression" dxfId="771" priority="241">
      <formula>AG$2&lt;=Prj_Invest</formula>
    </cfRule>
  </conditionalFormatting>
  <conditionalFormatting sqref="AG60">
    <cfRule type="expression" dxfId="770" priority="240">
      <formula>AG$2&lt;=Prj_Invest</formula>
    </cfRule>
  </conditionalFormatting>
  <conditionalFormatting sqref="AG130">
    <cfRule type="expression" dxfId="769" priority="239">
      <formula>AG$2&lt;=Prj_Invest</formula>
    </cfRule>
  </conditionalFormatting>
  <conditionalFormatting sqref="AG208">
    <cfRule type="expression" dxfId="768" priority="238">
      <formula>AG$2&lt;=Prj_Invest</formula>
    </cfRule>
  </conditionalFormatting>
  <conditionalFormatting sqref="AG136">
    <cfRule type="cellIs" dxfId="767" priority="236" operator="notEqual">
      <formula>AF136</formula>
    </cfRule>
  </conditionalFormatting>
  <conditionalFormatting sqref="AG159:AG163">
    <cfRule type="cellIs" dxfId="766" priority="235" operator="notEqual">
      <formula>AF159</formula>
    </cfRule>
  </conditionalFormatting>
  <conditionalFormatting sqref="AG170:AG172">
    <cfRule type="cellIs" dxfId="765" priority="233" operator="notEqual">
      <formula>AF170</formula>
    </cfRule>
  </conditionalFormatting>
  <conditionalFormatting sqref="AG183">
    <cfRule type="cellIs" dxfId="764" priority="229" operator="notEqual">
      <formula>AF183</formula>
    </cfRule>
  </conditionalFormatting>
  <conditionalFormatting sqref="AG190">
    <cfRule type="cellIs" dxfId="763" priority="227" operator="notEqual">
      <formula>AF190</formula>
    </cfRule>
  </conditionalFormatting>
  <conditionalFormatting sqref="AG192:AG193">
    <cfRule type="cellIs" dxfId="762" priority="226" operator="notEqual">
      <formula>AF192</formula>
    </cfRule>
  </conditionalFormatting>
  <conditionalFormatting sqref="AG197:AG198">
    <cfRule type="cellIs" dxfId="761" priority="225" operator="notEqual">
      <formula>AF197</formula>
    </cfRule>
  </conditionalFormatting>
  <conditionalFormatting sqref="AG34">
    <cfRule type="expression" dxfId="760" priority="224">
      <formula>AG$2&lt;=Prj_Invest</formula>
    </cfRule>
  </conditionalFormatting>
  <conditionalFormatting sqref="AG176">
    <cfRule type="cellIs" dxfId="759" priority="223" operator="notEqual">
      <formula>AF176</formula>
    </cfRule>
  </conditionalFormatting>
  <conditionalFormatting sqref="AG186">
    <cfRule type="cellIs" dxfId="758" priority="222" operator="notEqual">
      <formula>AF186</formula>
    </cfRule>
  </conditionalFormatting>
  <conditionalFormatting sqref="AH6">
    <cfRule type="expression" dxfId="757" priority="221">
      <formula>AH$2&lt;=Prj_Invest</formula>
    </cfRule>
  </conditionalFormatting>
  <conditionalFormatting sqref="AH60">
    <cfRule type="expression" dxfId="756" priority="220">
      <formula>AH$2&lt;=Prj_Invest</formula>
    </cfRule>
  </conditionalFormatting>
  <conditionalFormatting sqref="AH130">
    <cfRule type="expression" dxfId="755" priority="219">
      <formula>AH$2&lt;=Prj_Invest</formula>
    </cfRule>
  </conditionalFormatting>
  <conditionalFormatting sqref="AH208">
    <cfRule type="expression" dxfId="754" priority="218">
      <formula>AH$2&lt;=Prj_Invest</formula>
    </cfRule>
  </conditionalFormatting>
  <conditionalFormatting sqref="AH136">
    <cfRule type="cellIs" dxfId="753" priority="216" operator="notEqual">
      <formula>AG136</formula>
    </cfRule>
  </conditionalFormatting>
  <conditionalFormatting sqref="AH159:AH163">
    <cfRule type="cellIs" dxfId="752" priority="215" operator="notEqual">
      <formula>AG159</formula>
    </cfRule>
  </conditionalFormatting>
  <conditionalFormatting sqref="AH170:AH172">
    <cfRule type="cellIs" dxfId="751" priority="213" operator="notEqual">
      <formula>AG170</formula>
    </cfRule>
  </conditionalFormatting>
  <conditionalFormatting sqref="AH183">
    <cfRule type="cellIs" dxfId="750" priority="209" operator="notEqual">
      <formula>AG183</formula>
    </cfRule>
  </conditionalFormatting>
  <conditionalFormatting sqref="AH190">
    <cfRule type="cellIs" dxfId="749" priority="207" operator="notEqual">
      <formula>AG190</formula>
    </cfRule>
  </conditionalFormatting>
  <conditionalFormatting sqref="AH192:AH193">
    <cfRule type="cellIs" dxfId="748" priority="206" operator="notEqual">
      <formula>AG192</formula>
    </cfRule>
  </conditionalFormatting>
  <conditionalFormatting sqref="AH197:AH198">
    <cfRule type="cellIs" dxfId="747" priority="205" operator="notEqual">
      <formula>AG197</formula>
    </cfRule>
  </conditionalFormatting>
  <conditionalFormatting sqref="AH34">
    <cfRule type="expression" dxfId="746" priority="204">
      <formula>AH$2&lt;=Prj_Invest</formula>
    </cfRule>
  </conditionalFormatting>
  <conditionalFormatting sqref="AH176">
    <cfRule type="cellIs" dxfId="745" priority="203" operator="notEqual">
      <formula>AG176</formula>
    </cfRule>
  </conditionalFormatting>
  <conditionalFormatting sqref="AH186">
    <cfRule type="cellIs" dxfId="744" priority="202" operator="notEqual">
      <formula>AG186</formula>
    </cfRule>
  </conditionalFormatting>
  <conditionalFormatting sqref="AI6">
    <cfRule type="expression" dxfId="743" priority="201">
      <formula>AI$2&lt;=Prj_Invest</formula>
    </cfRule>
  </conditionalFormatting>
  <conditionalFormatting sqref="AI60">
    <cfRule type="expression" dxfId="742" priority="200">
      <formula>AI$2&lt;=Prj_Invest</formula>
    </cfRule>
  </conditionalFormatting>
  <conditionalFormatting sqref="AI130">
    <cfRule type="expression" dxfId="741" priority="199">
      <formula>AI$2&lt;=Prj_Invest</formula>
    </cfRule>
  </conditionalFormatting>
  <conditionalFormatting sqref="AI208">
    <cfRule type="expression" dxfId="740" priority="198">
      <formula>AI$2&lt;=Prj_Invest</formula>
    </cfRule>
  </conditionalFormatting>
  <conditionalFormatting sqref="AI136">
    <cfRule type="cellIs" dxfId="739" priority="196" operator="notEqual">
      <formula>AH136</formula>
    </cfRule>
  </conditionalFormatting>
  <conditionalFormatting sqref="AI159:AI163">
    <cfRule type="cellIs" dxfId="738" priority="195" operator="notEqual">
      <formula>AH159</formula>
    </cfRule>
  </conditionalFormatting>
  <conditionalFormatting sqref="AI170:AI172">
    <cfRule type="cellIs" dxfId="737" priority="193" operator="notEqual">
      <formula>AH170</formula>
    </cfRule>
  </conditionalFormatting>
  <conditionalFormatting sqref="AI183">
    <cfRule type="cellIs" dxfId="736" priority="189" operator="notEqual">
      <formula>AH183</formula>
    </cfRule>
  </conditionalFormatting>
  <conditionalFormatting sqref="AI190">
    <cfRule type="cellIs" dxfId="735" priority="187" operator="notEqual">
      <formula>AH190</formula>
    </cfRule>
  </conditionalFormatting>
  <conditionalFormatting sqref="AI192:AI193">
    <cfRule type="cellIs" dxfId="734" priority="186" operator="notEqual">
      <formula>AH192</formula>
    </cfRule>
  </conditionalFormatting>
  <conditionalFormatting sqref="AI197:AI198">
    <cfRule type="cellIs" dxfId="733" priority="185" operator="notEqual">
      <formula>AH197</formula>
    </cfRule>
  </conditionalFormatting>
  <conditionalFormatting sqref="AI34">
    <cfRule type="expression" dxfId="732" priority="184">
      <formula>AI$2&lt;=Prj_Invest</formula>
    </cfRule>
  </conditionalFormatting>
  <conditionalFormatting sqref="AI176">
    <cfRule type="cellIs" dxfId="731" priority="183" operator="notEqual">
      <formula>AH176</formula>
    </cfRule>
  </conditionalFormatting>
  <conditionalFormatting sqref="AI186">
    <cfRule type="cellIs" dxfId="730" priority="182" operator="notEqual">
      <formula>AH186</formula>
    </cfRule>
  </conditionalFormatting>
  <conditionalFormatting sqref="AJ6">
    <cfRule type="expression" dxfId="729" priority="181">
      <formula>AJ$2&lt;=Prj_Invest</formula>
    </cfRule>
  </conditionalFormatting>
  <conditionalFormatting sqref="AJ60">
    <cfRule type="expression" dxfId="728" priority="180">
      <formula>AJ$2&lt;=Prj_Invest</formula>
    </cfRule>
  </conditionalFormatting>
  <conditionalFormatting sqref="AJ130">
    <cfRule type="expression" dxfId="727" priority="179">
      <formula>AJ$2&lt;=Prj_Invest</formula>
    </cfRule>
  </conditionalFormatting>
  <conditionalFormatting sqref="AJ208">
    <cfRule type="expression" dxfId="726" priority="178">
      <formula>AJ$2&lt;=Prj_Invest</formula>
    </cfRule>
  </conditionalFormatting>
  <conditionalFormatting sqref="AJ136">
    <cfRule type="cellIs" dxfId="725" priority="176" operator="notEqual">
      <formula>AI136</formula>
    </cfRule>
  </conditionalFormatting>
  <conditionalFormatting sqref="AJ159:AJ163">
    <cfRule type="cellIs" dxfId="724" priority="175" operator="notEqual">
      <formula>AI159</formula>
    </cfRule>
  </conditionalFormatting>
  <conditionalFormatting sqref="AJ170:AJ172">
    <cfRule type="cellIs" dxfId="723" priority="173" operator="notEqual">
      <formula>AI170</formula>
    </cfRule>
  </conditionalFormatting>
  <conditionalFormatting sqref="AJ183">
    <cfRule type="cellIs" dxfId="722" priority="169" operator="notEqual">
      <formula>AI183</formula>
    </cfRule>
  </conditionalFormatting>
  <conditionalFormatting sqref="AJ190">
    <cfRule type="cellIs" dxfId="721" priority="167" operator="notEqual">
      <formula>AI190</formula>
    </cfRule>
  </conditionalFormatting>
  <conditionalFormatting sqref="AJ192:AJ193">
    <cfRule type="cellIs" dxfId="720" priority="166" operator="notEqual">
      <formula>AI192</formula>
    </cfRule>
  </conditionalFormatting>
  <conditionalFormatting sqref="AJ197:AJ198">
    <cfRule type="cellIs" dxfId="719" priority="165" operator="notEqual">
      <formula>AI197</formula>
    </cfRule>
  </conditionalFormatting>
  <conditionalFormatting sqref="AJ34">
    <cfRule type="expression" dxfId="718" priority="164">
      <formula>AJ$2&lt;=Prj_Invest</formula>
    </cfRule>
  </conditionalFormatting>
  <conditionalFormatting sqref="AJ176">
    <cfRule type="cellIs" dxfId="717" priority="163" operator="notEqual">
      <formula>AI176</formula>
    </cfRule>
  </conditionalFormatting>
  <conditionalFormatting sqref="AJ186">
    <cfRule type="cellIs" dxfId="716" priority="162" operator="notEqual">
      <formula>AI186</formula>
    </cfRule>
  </conditionalFormatting>
  <conditionalFormatting sqref="AK6">
    <cfRule type="expression" dxfId="715" priority="161">
      <formula>AK$2&lt;=Prj_Invest</formula>
    </cfRule>
  </conditionalFormatting>
  <conditionalFormatting sqref="AK60">
    <cfRule type="expression" dxfId="714" priority="160">
      <formula>AK$2&lt;=Prj_Invest</formula>
    </cfRule>
  </conditionalFormatting>
  <conditionalFormatting sqref="AK130">
    <cfRule type="expression" dxfId="713" priority="159">
      <formula>AK$2&lt;=Prj_Invest</formula>
    </cfRule>
  </conditionalFormatting>
  <conditionalFormatting sqref="AK208">
    <cfRule type="expression" dxfId="712" priority="158">
      <formula>AK$2&lt;=Prj_Invest</formula>
    </cfRule>
  </conditionalFormatting>
  <conditionalFormatting sqref="AK136">
    <cfRule type="cellIs" dxfId="711" priority="156" operator="notEqual">
      <formula>AJ136</formula>
    </cfRule>
  </conditionalFormatting>
  <conditionalFormatting sqref="AK159:AK163">
    <cfRule type="cellIs" dxfId="710" priority="155" operator="notEqual">
      <formula>AJ159</formula>
    </cfRule>
  </conditionalFormatting>
  <conditionalFormatting sqref="AK170:AK172">
    <cfRule type="cellIs" dxfId="709" priority="153" operator="notEqual">
      <formula>AJ170</formula>
    </cfRule>
  </conditionalFormatting>
  <conditionalFormatting sqref="AK183">
    <cfRule type="cellIs" dxfId="708" priority="149" operator="notEqual">
      <formula>AJ183</formula>
    </cfRule>
  </conditionalFormatting>
  <conditionalFormatting sqref="AK190">
    <cfRule type="cellIs" dxfId="707" priority="147" operator="notEqual">
      <formula>AJ190</formula>
    </cfRule>
  </conditionalFormatting>
  <conditionalFormatting sqref="AK192:AK193">
    <cfRule type="cellIs" dxfId="706" priority="146" operator="notEqual">
      <formula>AJ192</formula>
    </cfRule>
  </conditionalFormatting>
  <conditionalFormatting sqref="AK197:AK198">
    <cfRule type="cellIs" dxfId="705" priority="145" operator="notEqual">
      <formula>AJ197</formula>
    </cfRule>
  </conditionalFormatting>
  <conditionalFormatting sqref="AK34">
    <cfRule type="expression" dxfId="704" priority="144">
      <formula>AK$2&lt;=Prj_Invest</formula>
    </cfRule>
  </conditionalFormatting>
  <conditionalFormatting sqref="AK176">
    <cfRule type="cellIs" dxfId="703" priority="143" operator="notEqual">
      <formula>AJ176</formula>
    </cfRule>
  </conditionalFormatting>
  <conditionalFormatting sqref="AK186">
    <cfRule type="cellIs" dxfId="702" priority="142" operator="notEqual">
      <formula>AJ186</formula>
    </cfRule>
  </conditionalFormatting>
  <conditionalFormatting sqref="AL6">
    <cfRule type="expression" dxfId="701" priority="141">
      <formula>AL$2&lt;=Prj_Invest</formula>
    </cfRule>
  </conditionalFormatting>
  <conditionalFormatting sqref="AL60">
    <cfRule type="expression" dxfId="700" priority="140">
      <formula>AL$2&lt;=Prj_Invest</formula>
    </cfRule>
  </conditionalFormatting>
  <conditionalFormatting sqref="AL130">
    <cfRule type="expression" dxfId="699" priority="139">
      <formula>AL$2&lt;=Prj_Invest</formula>
    </cfRule>
  </conditionalFormatting>
  <conditionalFormatting sqref="AL208">
    <cfRule type="expression" dxfId="698" priority="138">
      <formula>AL$2&lt;=Prj_Invest</formula>
    </cfRule>
  </conditionalFormatting>
  <conditionalFormatting sqref="AL136">
    <cfRule type="cellIs" dxfId="697" priority="136" operator="notEqual">
      <formula>AK136</formula>
    </cfRule>
  </conditionalFormatting>
  <conditionalFormatting sqref="AL159:AL163">
    <cfRule type="cellIs" dxfId="696" priority="135" operator="notEqual">
      <formula>AK159</formula>
    </cfRule>
  </conditionalFormatting>
  <conditionalFormatting sqref="AL170:AL172">
    <cfRule type="cellIs" dxfId="695" priority="133" operator="notEqual">
      <formula>AK170</formula>
    </cfRule>
  </conditionalFormatting>
  <conditionalFormatting sqref="AL183">
    <cfRule type="cellIs" dxfId="694" priority="129" operator="notEqual">
      <formula>AK183</formula>
    </cfRule>
  </conditionalFormatting>
  <conditionalFormatting sqref="AL190">
    <cfRule type="cellIs" dxfId="693" priority="127" operator="notEqual">
      <formula>AK190</formula>
    </cfRule>
  </conditionalFormatting>
  <conditionalFormatting sqref="AL192:AL193">
    <cfRule type="cellIs" dxfId="692" priority="126" operator="notEqual">
      <formula>AK192</formula>
    </cfRule>
  </conditionalFormatting>
  <conditionalFormatting sqref="AL197:AL198">
    <cfRule type="cellIs" dxfId="691" priority="125" operator="notEqual">
      <formula>AK197</formula>
    </cfRule>
  </conditionalFormatting>
  <conditionalFormatting sqref="AL34">
    <cfRule type="expression" dxfId="690" priority="124">
      <formula>AL$2&lt;=Prj_Invest</formula>
    </cfRule>
  </conditionalFormatting>
  <conditionalFormatting sqref="AL176">
    <cfRule type="cellIs" dxfId="689" priority="123" operator="notEqual">
      <formula>AK176</formula>
    </cfRule>
  </conditionalFormatting>
  <conditionalFormatting sqref="AL186">
    <cfRule type="cellIs" dxfId="688" priority="122" operator="notEqual">
      <formula>AK186</formula>
    </cfRule>
  </conditionalFormatting>
  <conditionalFormatting sqref="AM6">
    <cfRule type="expression" dxfId="687" priority="121">
      <formula>AM$2&lt;=Prj_Invest</formula>
    </cfRule>
  </conditionalFormatting>
  <conditionalFormatting sqref="AM60">
    <cfRule type="expression" dxfId="686" priority="120">
      <formula>AM$2&lt;=Prj_Invest</formula>
    </cfRule>
  </conditionalFormatting>
  <conditionalFormatting sqref="AM130">
    <cfRule type="expression" dxfId="685" priority="119">
      <formula>AM$2&lt;=Prj_Invest</formula>
    </cfRule>
  </conditionalFormatting>
  <conditionalFormatting sqref="AM208">
    <cfRule type="expression" dxfId="684" priority="118">
      <formula>AM$2&lt;=Prj_Invest</formula>
    </cfRule>
  </conditionalFormatting>
  <conditionalFormatting sqref="AM136">
    <cfRule type="cellIs" dxfId="683" priority="116" operator="notEqual">
      <formula>AL136</formula>
    </cfRule>
  </conditionalFormatting>
  <conditionalFormatting sqref="AM159:AM163">
    <cfRule type="cellIs" dxfId="682" priority="115" operator="notEqual">
      <formula>AL159</formula>
    </cfRule>
  </conditionalFormatting>
  <conditionalFormatting sqref="AM170:AM172">
    <cfRule type="cellIs" dxfId="681" priority="113" operator="notEqual">
      <formula>AL170</formula>
    </cfRule>
  </conditionalFormatting>
  <conditionalFormatting sqref="AM183">
    <cfRule type="cellIs" dxfId="680" priority="109" operator="notEqual">
      <formula>AL183</formula>
    </cfRule>
  </conditionalFormatting>
  <conditionalFormatting sqref="AM190">
    <cfRule type="cellIs" dxfId="679" priority="107" operator="notEqual">
      <formula>AL190</formula>
    </cfRule>
  </conditionalFormatting>
  <conditionalFormatting sqref="AM192:AM193">
    <cfRule type="cellIs" dxfId="678" priority="106" operator="notEqual">
      <formula>AL192</formula>
    </cfRule>
  </conditionalFormatting>
  <conditionalFormatting sqref="AM197:AM198">
    <cfRule type="cellIs" dxfId="677" priority="105" operator="notEqual">
      <formula>AL197</formula>
    </cfRule>
  </conditionalFormatting>
  <conditionalFormatting sqref="AM34">
    <cfRule type="expression" dxfId="676" priority="104">
      <formula>AM$2&lt;=Prj_Invest</formula>
    </cfRule>
  </conditionalFormatting>
  <conditionalFormatting sqref="AM176">
    <cfRule type="cellIs" dxfId="675" priority="103" operator="notEqual">
      <formula>AL176</formula>
    </cfRule>
  </conditionalFormatting>
  <conditionalFormatting sqref="AM186">
    <cfRule type="cellIs" dxfId="674" priority="102" operator="notEqual">
      <formula>AL186</formula>
    </cfRule>
  </conditionalFormatting>
  <conditionalFormatting sqref="AN6">
    <cfRule type="expression" dxfId="673" priority="101">
      <formula>AN$2&lt;=Prj_Invest</formula>
    </cfRule>
  </conditionalFormatting>
  <conditionalFormatting sqref="AN60">
    <cfRule type="expression" dxfId="672" priority="100">
      <formula>AN$2&lt;=Prj_Invest</formula>
    </cfRule>
  </conditionalFormatting>
  <conditionalFormatting sqref="AN130">
    <cfRule type="expression" dxfId="671" priority="99">
      <formula>AN$2&lt;=Prj_Invest</formula>
    </cfRule>
  </conditionalFormatting>
  <conditionalFormatting sqref="AN208">
    <cfRule type="expression" dxfId="670" priority="98">
      <formula>AN$2&lt;=Prj_Invest</formula>
    </cfRule>
  </conditionalFormatting>
  <conditionalFormatting sqref="AN136">
    <cfRule type="cellIs" dxfId="669" priority="96" operator="notEqual">
      <formula>AM136</formula>
    </cfRule>
  </conditionalFormatting>
  <conditionalFormatting sqref="AN159:AN163">
    <cfRule type="cellIs" dxfId="668" priority="95" operator="notEqual">
      <formula>AM159</formula>
    </cfRule>
  </conditionalFormatting>
  <conditionalFormatting sqref="AN170:AN172">
    <cfRule type="cellIs" dxfId="667" priority="93" operator="notEqual">
      <formula>AM170</formula>
    </cfRule>
  </conditionalFormatting>
  <conditionalFormatting sqref="AN183">
    <cfRule type="cellIs" dxfId="666" priority="89" operator="notEqual">
      <formula>AM183</formula>
    </cfRule>
  </conditionalFormatting>
  <conditionalFormatting sqref="AN190">
    <cfRule type="cellIs" dxfId="665" priority="87" operator="notEqual">
      <formula>AM190</formula>
    </cfRule>
  </conditionalFormatting>
  <conditionalFormatting sqref="AN192:AN193">
    <cfRule type="cellIs" dxfId="664" priority="86" operator="notEqual">
      <formula>AM192</formula>
    </cfRule>
  </conditionalFormatting>
  <conditionalFormatting sqref="AN197:AN198">
    <cfRule type="cellIs" dxfId="663" priority="85" operator="notEqual">
      <formula>AM197</formula>
    </cfRule>
  </conditionalFormatting>
  <conditionalFormatting sqref="AN34">
    <cfRule type="expression" dxfId="662" priority="84">
      <formula>AN$2&lt;=Prj_Invest</formula>
    </cfRule>
  </conditionalFormatting>
  <conditionalFormatting sqref="AN176">
    <cfRule type="cellIs" dxfId="661" priority="83" operator="notEqual">
      <formula>AM176</formula>
    </cfRule>
  </conditionalFormatting>
  <conditionalFormatting sqref="AN186">
    <cfRule type="cellIs" dxfId="660" priority="82" operator="notEqual">
      <formula>AM186</formula>
    </cfRule>
  </conditionalFormatting>
  <conditionalFormatting sqref="AO6">
    <cfRule type="expression" dxfId="659" priority="81">
      <formula>AO$2&lt;=Prj_Invest</formula>
    </cfRule>
  </conditionalFormatting>
  <conditionalFormatting sqref="AO60">
    <cfRule type="expression" dxfId="658" priority="80">
      <formula>AO$2&lt;=Prj_Invest</formula>
    </cfRule>
  </conditionalFormatting>
  <conditionalFormatting sqref="AO130">
    <cfRule type="expression" dxfId="657" priority="79">
      <formula>AO$2&lt;=Prj_Invest</formula>
    </cfRule>
  </conditionalFormatting>
  <conditionalFormatting sqref="AO208">
    <cfRule type="expression" dxfId="656" priority="78">
      <formula>AO$2&lt;=Prj_Invest</formula>
    </cfRule>
  </conditionalFormatting>
  <conditionalFormatting sqref="AO136">
    <cfRule type="cellIs" dxfId="655" priority="76" operator="notEqual">
      <formula>AN136</formula>
    </cfRule>
  </conditionalFormatting>
  <conditionalFormatting sqref="AO159:AO163">
    <cfRule type="cellIs" dxfId="654" priority="75" operator="notEqual">
      <formula>AN159</formula>
    </cfRule>
  </conditionalFormatting>
  <conditionalFormatting sqref="AO170:AO172">
    <cfRule type="cellIs" dxfId="653" priority="73" operator="notEqual">
      <formula>AN170</formula>
    </cfRule>
  </conditionalFormatting>
  <conditionalFormatting sqref="AO183">
    <cfRule type="cellIs" dxfId="652" priority="69" operator="notEqual">
      <formula>AN183</formula>
    </cfRule>
  </conditionalFormatting>
  <conditionalFormatting sqref="AO190">
    <cfRule type="cellIs" dxfId="651" priority="67" operator="notEqual">
      <formula>AN190</formula>
    </cfRule>
  </conditionalFormatting>
  <conditionalFormatting sqref="AO192:AO193">
    <cfRule type="cellIs" dxfId="650" priority="66" operator="notEqual">
      <formula>AN192</formula>
    </cfRule>
  </conditionalFormatting>
  <conditionalFormatting sqref="AO197:AO198">
    <cfRule type="cellIs" dxfId="649" priority="65" operator="notEqual">
      <formula>AN197</formula>
    </cfRule>
  </conditionalFormatting>
  <conditionalFormatting sqref="AO34">
    <cfRule type="expression" dxfId="648" priority="64">
      <formula>AO$2&lt;=Prj_Invest</formula>
    </cfRule>
  </conditionalFormatting>
  <conditionalFormatting sqref="AO176">
    <cfRule type="cellIs" dxfId="647" priority="63" operator="notEqual">
      <formula>AN176</formula>
    </cfRule>
  </conditionalFormatting>
  <conditionalFormatting sqref="AO186">
    <cfRule type="cellIs" dxfId="646" priority="62" operator="notEqual">
      <formula>AN186</formula>
    </cfRule>
  </conditionalFormatting>
  <conditionalFormatting sqref="AP6">
    <cfRule type="expression" dxfId="645" priority="61">
      <formula>AP$2&lt;=Prj_Invest</formula>
    </cfRule>
  </conditionalFormatting>
  <conditionalFormatting sqref="AP60">
    <cfRule type="expression" dxfId="644" priority="60">
      <formula>AP$2&lt;=Prj_Invest</formula>
    </cfRule>
  </conditionalFormatting>
  <conditionalFormatting sqref="AP130">
    <cfRule type="expression" dxfId="643" priority="59">
      <formula>AP$2&lt;=Prj_Invest</formula>
    </cfRule>
  </conditionalFormatting>
  <conditionalFormatting sqref="AP208">
    <cfRule type="expression" dxfId="642" priority="58">
      <formula>AP$2&lt;=Prj_Invest</formula>
    </cfRule>
  </conditionalFormatting>
  <conditionalFormatting sqref="AP136">
    <cfRule type="cellIs" dxfId="641" priority="56" operator="notEqual">
      <formula>AO136</formula>
    </cfRule>
  </conditionalFormatting>
  <conditionalFormatting sqref="AP159:AP163">
    <cfRule type="cellIs" dxfId="640" priority="55" operator="notEqual">
      <formula>AO159</formula>
    </cfRule>
  </conditionalFormatting>
  <conditionalFormatting sqref="AP170:AP172">
    <cfRule type="cellIs" dxfId="639" priority="53" operator="notEqual">
      <formula>AO170</formula>
    </cfRule>
  </conditionalFormatting>
  <conditionalFormatting sqref="AP183">
    <cfRule type="cellIs" dxfId="638" priority="49" operator="notEqual">
      <formula>AO183</formula>
    </cfRule>
  </conditionalFormatting>
  <conditionalFormatting sqref="AP190">
    <cfRule type="cellIs" dxfId="637" priority="47" operator="notEqual">
      <formula>AO190</formula>
    </cfRule>
  </conditionalFormatting>
  <conditionalFormatting sqref="AP192:AP193">
    <cfRule type="cellIs" dxfId="636" priority="46" operator="notEqual">
      <formula>AO192</formula>
    </cfRule>
  </conditionalFormatting>
  <conditionalFormatting sqref="AP197:AP198">
    <cfRule type="cellIs" dxfId="635" priority="45" operator="notEqual">
      <formula>AO197</formula>
    </cfRule>
  </conditionalFormatting>
  <conditionalFormatting sqref="AP34">
    <cfRule type="expression" dxfId="634" priority="44">
      <formula>AP$2&lt;=Prj_Invest</formula>
    </cfRule>
  </conditionalFormatting>
  <conditionalFormatting sqref="AP176">
    <cfRule type="cellIs" dxfId="633" priority="43" operator="notEqual">
      <formula>AO176</formula>
    </cfRule>
  </conditionalFormatting>
  <conditionalFormatting sqref="AP186">
    <cfRule type="cellIs" dxfId="632" priority="42" operator="notEqual">
      <formula>AO186</formula>
    </cfRule>
  </conditionalFormatting>
  <conditionalFormatting sqref="AQ6">
    <cfRule type="expression" dxfId="631" priority="41">
      <formula>AQ$2&lt;=Prj_Invest</formula>
    </cfRule>
  </conditionalFormatting>
  <conditionalFormatting sqref="AQ60">
    <cfRule type="expression" dxfId="630" priority="40">
      <formula>AQ$2&lt;=Prj_Invest</formula>
    </cfRule>
  </conditionalFormatting>
  <conditionalFormatting sqref="AQ130">
    <cfRule type="expression" dxfId="629" priority="39">
      <formula>AQ$2&lt;=Prj_Invest</formula>
    </cfRule>
  </conditionalFormatting>
  <conditionalFormatting sqref="AQ208">
    <cfRule type="expression" dxfId="628" priority="38">
      <formula>AQ$2&lt;=Prj_Invest</formula>
    </cfRule>
  </conditionalFormatting>
  <conditionalFormatting sqref="AQ136">
    <cfRule type="cellIs" dxfId="627" priority="36" operator="notEqual">
      <formula>AP136</formula>
    </cfRule>
  </conditionalFormatting>
  <conditionalFormatting sqref="AQ159:AQ163">
    <cfRule type="cellIs" dxfId="626" priority="35" operator="notEqual">
      <formula>AP159</formula>
    </cfRule>
  </conditionalFormatting>
  <conditionalFormatting sqref="AQ170:AQ172">
    <cfRule type="cellIs" dxfId="625" priority="33" operator="notEqual">
      <formula>AP170</formula>
    </cfRule>
  </conditionalFormatting>
  <conditionalFormatting sqref="AQ183">
    <cfRule type="cellIs" dxfId="624" priority="29" operator="notEqual">
      <formula>AP183</formula>
    </cfRule>
  </conditionalFormatting>
  <conditionalFormatting sqref="AQ190">
    <cfRule type="cellIs" dxfId="623" priority="27" operator="notEqual">
      <formula>AP190</formula>
    </cfRule>
  </conditionalFormatting>
  <conditionalFormatting sqref="AQ192:AQ193">
    <cfRule type="cellIs" dxfId="622" priority="26" operator="notEqual">
      <formula>AP192</formula>
    </cfRule>
  </conditionalFormatting>
  <conditionalFormatting sqref="AQ197:AQ198">
    <cfRule type="cellIs" dxfId="621" priority="25" operator="notEqual">
      <formula>AP197</formula>
    </cfRule>
  </conditionalFormatting>
  <conditionalFormatting sqref="AQ34">
    <cfRule type="expression" dxfId="620" priority="24">
      <formula>AQ$2&lt;=Prj_Invest</formula>
    </cfRule>
  </conditionalFormatting>
  <conditionalFormatting sqref="AQ176">
    <cfRule type="cellIs" dxfId="619" priority="23" operator="notEqual">
      <formula>AP176</formula>
    </cfRule>
  </conditionalFormatting>
  <conditionalFormatting sqref="AQ186">
    <cfRule type="cellIs" dxfId="618" priority="22" operator="notEqual">
      <formula>AP186</formula>
    </cfRule>
  </conditionalFormatting>
  <conditionalFormatting sqref="AR6">
    <cfRule type="expression" dxfId="617" priority="21">
      <formula>AR$2&lt;=Prj_Invest</formula>
    </cfRule>
  </conditionalFormatting>
  <conditionalFormatting sqref="AR60">
    <cfRule type="expression" dxfId="616" priority="20">
      <formula>AR$2&lt;=Prj_Invest</formula>
    </cfRule>
  </conditionalFormatting>
  <conditionalFormatting sqref="AR130">
    <cfRule type="expression" dxfId="615" priority="19">
      <formula>AR$2&lt;=Prj_Invest</formula>
    </cfRule>
  </conditionalFormatting>
  <conditionalFormatting sqref="AR208">
    <cfRule type="expression" dxfId="614" priority="18">
      <formula>AR$2&lt;=Prj_Invest</formula>
    </cfRule>
  </conditionalFormatting>
  <conditionalFormatting sqref="AR136">
    <cfRule type="cellIs" dxfId="613" priority="16" operator="notEqual">
      <formula>AQ136</formula>
    </cfRule>
  </conditionalFormatting>
  <conditionalFormatting sqref="AR159:AR163">
    <cfRule type="cellIs" dxfId="612" priority="15" operator="notEqual">
      <formula>AQ159</formula>
    </cfRule>
  </conditionalFormatting>
  <conditionalFormatting sqref="AR170:AR172">
    <cfRule type="cellIs" dxfId="611" priority="13" operator="notEqual">
      <formula>AQ170</formula>
    </cfRule>
  </conditionalFormatting>
  <conditionalFormatting sqref="AR183">
    <cfRule type="cellIs" dxfId="610" priority="9" operator="notEqual">
      <formula>AQ183</formula>
    </cfRule>
  </conditionalFormatting>
  <conditionalFormatting sqref="AR190">
    <cfRule type="cellIs" dxfId="609" priority="7" operator="notEqual">
      <formula>AQ190</formula>
    </cfRule>
  </conditionalFormatting>
  <conditionalFormatting sqref="AR192:AR193">
    <cfRule type="cellIs" dxfId="608" priority="6" operator="notEqual">
      <formula>AQ192</formula>
    </cfRule>
  </conditionalFormatting>
  <conditionalFormatting sqref="AR197:AR198">
    <cfRule type="cellIs" dxfId="607" priority="5" operator="notEqual">
      <formula>AQ197</formula>
    </cfRule>
  </conditionalFormatting>
  <conditionalFormatting sqref="AR34">
    <cfRule type="expression" dxfId="606" priority="4">
      <formula>AR$2&lt;=Prj_Invest</formula>
    </cfRule>
  </conditionalFormatting>
  <conditionalFormatting sqref="AR176">
    <cfRule type="cellIs" dxfId="605" priority="3" operator="notEqual">
      <formula>AQ176</formula>
    </cfRule>
  </conditionalFormatting>
  <conditionalFormatting sqref="AR186">
    <cfRule type="cellIs" dxfId="604" priority="2" operator="notEqual">
      <formula>AQ186</formula>
    </cfRule>
  </conditionalFormatting>
  <conditionalFormatting sqref="F151:AR152">
    <cfRule type="cellIs" dxfId="603" priority="1" operator="notEqual">
      <formula>E151</formula>
    </cfRule>
  </conditionalFormatting>
  <dataValidations count="5">
    <dataValidation type="list" allowBlank="1" showInputMessage="1" showErrorMessage="1" sqref="B245:B246 B132" xr:uid="{00000000-0002-0000-0200-000000000000}">
      <formula1>"0,1"</formula1>
    </dataValidation>
    <dataValidation type="list" allowBlank="1" showInputMessage="1" showErrorMessage="1" promptTitle="Зачет переплаченного НДС" prompt="1: зачитывать при будущих расчетах_x000a_2: возмещать из бюджета" sqref="B138" xr:uid="{00000000-0002-0000-0200-000001000000}">
      <formula1>"1,2"</formula1>
    </dataValidation>
    <dataValidation type="list" allowBlank="1" showInputMessage="1" showErrorMessage="1" promptTitle="Режим расчетов" prompt="0: Постоянные цены_x000a_1: Прогнозные (текущие) цены" sqref="B62" xr:uid="{00000000-0002-0000-0200-000002000000}">
      <formula1>"0,1"</formula1>
    </dataValidation>
    <dataValidation type="list" allowBlank="1" showInputMessage="1" showErrorMessage="1" sqref="B126" xr:uid="{00000000-0002-0000-0200-000003000000}">
      <formula1>"1,2,3"</formula1>
    </dataValidation>
    <dataValidation type="list" allowBlank="1" showInputMessage="1" showErrorMessage="1" sqref="B16" xr:uid="{00000000-0002-0000-0200-000004000000}">
      <formula1>"1,2"</formula1>
    </dataValidation>
  </dataValidation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44"/>
  <dimension ref="A1:N66"/>
  <sheetViews>
    <sheetView workbookViewId="0"/>
  </sheetViews>
  <sheetFormatPr defaultRowHeight="12.75" x14ac:dyDescent="0.2"/>
  <cols>
    <col min="1" max="1" width="68.7109375" customWidth="1"/>
    <col min="2" max="2" width="11" customWidth="1"/>
    <col min="3" max="3" width="9.85546875" customWidth="1"/>
    <col min="4" max="13" width="8.7109375" customWidth="1"/>
    <col min="14" max="14" width="10.42578125" customWidth="1"/>
  </cols>
  <sheetData>
    <row r="1" spans="1:14" s="301" customFormat="1" ht="26.1" customHeight="1" x14ac:dyDescent="0.2">
      <c r="A1" s="613" t="str">
        <f>Резиденты!$A$71</f>
        <v>РАСЧЕТ НАЛОГА НА ПРИБЫЛЬ РЕЗИДЕНТОВ И АМОРТИЗАЦИИ ИМУЩЕСТВА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Резиденты!$AT$71</f>
        <v>ИТОГО</v>
      </c>
    </row>
    <row r="2" spans="1:14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682"/>
    </row>
    <row r="3" spans="1:14" ht="22.5" customHeight="1" x14ac:dyDescent="0.2">
      <c r="A3" s="674" t="str">
        <f>Резиденты!$A$73</f>
        <v>Прирост расчетного капитала резидентов за период (оборудование)*</v>
      </c>
      <c r="B3" s="711"/>
      <c r="C3" s="717" t="str">
        <f>Резиденты!$C$73</f>
        <v>тыс. руб.</v>
      </c>
      <c r="D3" s="712">
        <f ca="1">SUM(Резиденты!$E$73:'Резиденты'!$H$73)</f>
        <v>1475381.298088856</v>
      </c>
      <c r="E3" s="712">
        <f ca="1">SUM(Резиденты!$I$73:'Резиденты'!$L$73)</f>
        <v>0</v>
      </c>
      <c r="F3" s="712">
        <f ca="1">SUM(Резиденты!$M$73:'Резиденты'!$P$73)</f>
        <v>765769.98212909361</v>
      </c>
      <c r="G3" s="712">
        <f ca="1">SUM(Резиденты!$Q$73:'Резиденты'!$T$73)</f>
        <v>399425.83385768166</v>
      </c>
      <c r="H3" s="712">
        <f ca="1">SUM(Резиденты!$U$73:'Резиденты'!$X$73)</f>
        <v>6381466.7697360618</v>
      </c>
      <c r="I3" s="712">
        <f ca="1">SUM(Резиденты!$Y$73:'Резиденты'!$AB$73)</f>
        <v>0</v>
      </c>
      <c r="J3" s="712">
        <f ca="1">SUM(Резиденты!$AC$73:'Резиденты'!$AF$73)</f>
        <v>0</v>
      </c>
      <c r="K3" s="712">
        <f ca="1">SUM(Резиденты!$AG$73:'Резиденты'!$AJ$73)</f>
        <v>0</v>
      </c>
      <c r="L3" s="712">
        <f ca="1">SUM(Резиденты!$AK$73:'Резиденты'!$AN$73)</f>
        <v>0</v>
      </c>
      <c r="M3" s="712">
        <f ca="1">SUM(Резиденты!$AO$73:'Резиденты'!$AR$73)</f>
        <v>0</v>
      </c>
      <c r="N3" s="746">
        <f ca="1">Резиденты!$AT$73</f>
        <v>9022043.8838116936</v>
      </c>
    </row>
    <row r="4" spans="1:14" ht="22.5" customHeight="1" x14ac:dyDescent="0.2">
      <c r="A4" s="674" t="str">
        <f>Резиденты!$A$74</f>
        <v>Прирост расчетного капитала резидентов за период (недвижимость)</v>
      </c>
      <c r="B4" s="711"/>
      <c r="C4" s="717" t="str">
        <f>Резиденты!$C$74</f>
        <v>тыс. руб.</v>
      </c>
      <c r="D4" s="712">
        <f ca="1">SUM(Резиденты!$E$74:'Резиденты'!$H$74)</f>
        <v>0</v>
      </c>
      <c r="E4" s="712">
        <f ca="1">SUM(Резиденты!$I$74:'Резиденты'!$L$74)</f>
        <v>0</v>
      </c>
      <c r="F4" s="712">
        <f ca="1">SUM(Резиденты!$M$74:'Резиденты'!$P$74)</f>
        <v>0</v>
      </c>
      <c r="G4" s="712">
        <f ca="1">SUM(Резиденты!$Q$74:'Резиденты'!$T$74)</f>
        <v>0</v>
      </c>
      <c r="H4" s="712">
        <f ca="1">SUM(Резиденты!$U$74:'Резиденты'!$X$74)</f>
        <v>0</v>
      </c>
      <c r="I4" s="712">
        <f ca="1">SUM(Резиденты!$Y$74:'Резиденты'!$AB$74)</f>
        <v>0</v>
      </c>
      <c r="J4" s="712">
        <f ca="1">SUM(Резиденты!$AC$74:'Резиденты'!$AF$74)</f>
        <v>0</v>
      </c>
      <c r="K4" s="712">
        <f ca="1">SUM(Резиденты!$AG$74:'Резиденты'!$AJ$74)</f>
        <v>0</v>
      </c>
      <c r="L4" s="712">
        <f ca="1">SUM(Резиденты!$AK$74:'Резиденты'!$AN$74)</f>
        <v>409429.66220429027</v>
      </c>
      <c r="M4" s="712">
        <f ca="1">SUM(Резиденты!$AO$74:'Резиденты'!$AR$74)</f>
        <v>6376700.9574672151</v>
      </c>
      <c r="N4" s="746">
        <f ca="1">Резиденты!$AT$74</f>
        <v>6786130.6196715049</v>
      </c>
    </row>
    <row r="5" spans="1:14" ht="11.25" customHeight="1" x14ac:dyDescent="0.2">
      <c r="A5" s="929" t="str">
        <f>Резиденты!$A$75</f>
        <v>Итого прирост расчетного капитала резидентов за период</v>
      </c>
      <c r="B5" s="711"/>
      <c r="C5" s="717" t="str">
        <f>Резиденты!$C$75</f>
        <v>тыс. руб.</v>
      </c>
      <c r="D5" s="712">
        <f ca="1">SUM(Резиденты!$E$75:'Резиденты'!$H$75)</f>
        <v>1475381.298088856</v>
      </c>
      <c r="E5" s="712">
        <f ca="1">SUM(Резиденты!$I$75:'Резиденты'!$L$75)</f>
        <v>0</v>
      </c>
      <c r="F5" s="712">
        <f ca="1">SUM(Резиденты!$M$75:'Резиденты'!$P$75)</f>
        <v>765769.98212909361</v>
      </c>
      <c r="G5" s="712">
        <f ca="1">SUM(Резиденты!$Q$75:'Резиденты'!$T$75)</f>
        <v>399425.83385768166</v>
      </c>
      <c r="H5" s="712">
        <f ca="1">SUM(Резиденты!$U$75:'Резиденты'!$X$75)</f>
        <v>6381466.7697360618</v>
      </c>
      <c r="I5" s="712">
        <f ca="1">SUM(Резиденты!$Y$75:'Резиденты'!$AB$75)</f>
        <v>0</v>
      </c>
      <c r="J5" s="712">
        <f ca="1">SUM(Резиденты!$AC$75:'Резиденты'!$AF$75)</f>
        <v>0</v>
      </c>
      <c r="K5" s="712">
        <f ca="1">SUM(Резиденты!$AG$75:'Резиденты'!$AJ$75)</f>
        <v>0</v>
      </c>
      <c r="L5" s="712">
        <f ca="1">SUM(Резиденты!$AK$75:'Резиденты'!$AN$75)</f>
        <v>409429.66220429027</v>
      </c>
      <c r="M5" s="712">
        <f ca="1">SUM(Резиденты!$AO$75:'Резиденты'!$AR$75)</f>
        <v>6376700.9574672151</v>
      </c>
      <c r="N5" s="744">
        <f ca="1">Резиденты!$AT$75</f>
        <v>15808174.503483199</v>
      </c>
    </row>
    <row r="6" spans="1:14" ht="11.25" customHeight="1" x14ac:dyDescent="0.2">
      <c r="A6" s="666" t="str">
        <f>Резиденты!$A$76</f>
        <v>Расчетный капитал резидентов нарастающим итогом (без НДС)</v>
      </c>
      <c r="B6" s="711"/>
      <c r="C6" s="664" t="str">
        <f>Резиденты!$C$76</f>
        <v>тыс. руб.</v>
      </c>
      <c r="D6" s="713">
        <f ca="1">Резиденты!$H$76</f>
        <v>1475381.298088856</v>
      </c>
      <c r="E6" s="713">
        <f ca="1">Резиденты!$L$76</f>
        <v>1475381.298088856</v>
      </c>
      <c r="F6" s="713">
        <f ca="1">Резиденты!$P$76</f>
        <v>2241151.2802179498</v>
      </c>
      <c r="G6" s="713">
        <f ca="1">Резиденты!$T$76</f>
        <v>2640577.1140756314</v>
      </c>
      <c r="H6" s="713">
        <f ca="1">Резиденты!$X$76</f>
        <v>9022043.8838116936</v>
      </c>
      <c r="I6" s="713">
        <f ca="1">Резиденты!$AB$76</f>
        <v>9022043.8838116936</v>
      </c>
      <c r="J6" s="713">
        <f ca="1">Резиденты!$AF$76</f>
        <v>9022043.8838116936</v>
      </c>
      <c r="K6" s="713">
        <f ca="1">Резиденты!$AJ$76</f>
        <v>9022043.8838116936</v>
      </c>
      <c r="L6" s="713">
        <f ca="1">Резиденты!$AN$76</f>
        <v>9431473.5460159834</v>
      </c>
      <c r="M6" s="714">
        <f ca="1">Резиденты!$AR$76</f>
        <v>15808174.503483199</v>
      </c>
      <c r="N6" s="682"/>
    </row>
    <row r="7" spans="1:14" ht="11.25" customHeight="1" x14ac:dyDescent="0.2">
      <c r="A7" s="398"/>
      <c r="B7" s="599"/>
      <c r="C7" s="399"/>
      <c r="D7" s="651"/>
      <c r="E7" s="651"/>
      <c r="F7" s="651"/>
      <c r="G7" s="651"/>
      <c r="H7" s="651"/>
      <c r="I7" s="651"/>
      <c r="J7" s="651"/>
      <c r="K7" s="651"/>
      <c r="L7" s="651"/>
      <c r="M7" s="651"/>
      <c r="N7" s="682"/>
    </row>
    <row r="8" spans="1:14" ht="33.75" customHeight="1" x14ac:dyDescent="0.2">
      <c r="A8" s="930" t="str">
        <f>Резиденты!$A$78</f>
        <v>* - длительность периода оснащения оборудованием (инвестиционная фаза резидентов до начала производственной деятельности) составляет:</v>
      </c>
      <c r="B8" s="931">
        <f>Резиденты!$B$78</f>
        <v>1</v>
      </c>
      <c r="C8" s="664" t="str">
        <f>Резиденты!$C$78</f>
        <v>кварталов</v>
      </c>
      <c r="D8" s="651"/>
      <c r="E8" s="651"/>
      <c r="F8" s="651"/>
      <c r="G8" s="651"/>
      <c r="H8" s="651"/>
      <c r="I8" s="651"/>
      <c r="J8" s="651"/>
      <c r="K8" s="651"/>
      <c r="L8" s="651"/>
      <c r="M8" s="651"/>
      <c r="N8" s="682"/>
    </row>
    <row r="9" spans="1:14" ht="11.25" customHeight="1" x14ac:dyDescent="0.2">
      <c r="A9" s="599"/>
      <c r="B9" s="599"/>
      <c r="C9" s="599"/>
      <c r="D9" s="599"/>
      <c r="E9" s="599"/>
      <c r="F9" s="599"/>
      <c r="G9" s="599"/>
      <c r="H9" s="599"/>
      <c r="I9" s="599"/>
      <c r="J9" s="599"/>
      <c r="K9" s="599"/>
      <c r="L9" s="599"/>
      <c r="M9" s="599"/>
      <c r="N9" s="682"/>
    </row>
    <row r="10" spans="1:14" ht="11.25" customHeight="1" x14ac:dyDescent="0.2">
      <c r="A10" s="665" t="str">
        <f>Резиденты!$A$80</f>
        <v>Рентабельность активов</v>
      </c>
      <c r="B10" s="932">
        <f>Резиденты!$B$80</f>
        <v>7.2300000000000003E-2</v>
      </c>
      <c r="C10" s="399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682"/>
    </row>
    <row r="11" spans="1:14" ht="11.25" customHeight="1" x14ac:dyDescent="0.2">
      <c r="A11" s="929" t="str">
        <f>Резиденты!$A$81</f>
        <v>Финансовый результат</v>
      </c>
      <c r="B11" s="729"/>
      <c r="C11" s="717" t="str">
        <f>Резиденты!$C$81</f>
        <v>тыс. руб.</v>
      </c>
      <c r="D11" s="712">
        <f ca="1">SUM(Резиденты!$E$81:'Резиденты'!$H$81)</f>
        <v>26667.516962956073</v>
      </c>
      <c r="E11" s="712">
        <f ca="1">SUM(Резиденты!$I$81:'Резиденты'!$L$81)</f>
        <v>106670.06785182429</v>
      </c>
      <c r="F11" s="712">
        <f ca="1">SUM(Резиденты!$M$81:'Резиденты'!$P$81)</f>
        <v>148193.94513277442</v>
      </c>
      <c r="G11" s="712">
        <f ca="1">SUM(Резиденты!$Q$81:'Резиденты'!$T$81)</f>
        <v>183694.10340069057</v>
      </c>
      <c r="H11" s="712">
        <f ca="1">SUM(Резиденты!$U$81:'Резиденты'!$X$81)</f>
        <v>536948.76093660621</v>
      </c>
      <c r="I11" s="712">
        <f ca="1">SUM(Резиденты!$Y$81:'Резиденты'!$AB$81)</f>
        <v>652293.77279958548</v>
      </c>
      <c r="J11" s="712">
        <f ca="1">SUM(Резиденты!$AC$81:'Резиденты'!$AF$81)</f>
        <v>652293.77279958548</v>
      </c>
      <c r="K11" s="712">
        <f ca="1">SUM(Резиденты!$AG$81:'Резиденты'!$AJ$81)</f>
        <v>652293.77279958548</v>
      </c>
      <c r="L11" s="712">
        <f ca="1">SUM(Резиденты!$AK$81:'Резиденты'!$AN$81)</f>
        <v>667094.65508827055</v>
      </c>
      <c r="M11" s="712">
        <f ca="1">SUM(Резиденты!$AO$81:'Резиденты'!$AR$81)</f>
        <v>912413.2769893955</v>
      </c>
      <c r="N11" s="744">
        <f ca="1">Резиденты!$AT$81</f>
        <v>4538563.6447612718</v>
      </c>
    </row>
    <row r="12" spans="1:14" ht="11.25" customHeight="1" x14ac:dyDescent="0.2">
      <c r="A12" s="918" t="str">
        <f>Резиденты!$A$82</f>
        <v>Изменение цен в обрабатывающей промышленности</v>
      </c>
      <c r="B12" s="933" t="str">
        <f>Резиденты!$B$82</f>
        <v>дефлятор</v>
      </c>
      <c r="C12" s="617" t="str">
        <f>Резиденты!$C$82</f>
        <v>% в год</v>
      </c>
      <c r="D12" s="670">
        <f>IFERROR(AVERAGE(Резиденты!$E$82:'Резиденты'!$H$82),"0")</f>
        <v>0</v>
      </c>
      <c r="E12" s="670">
        <f>IFERROR(AVERAGE(Резиденты!$I$82:'Резиденты'!$L$82),"0")</f>
        <v>3.8172838559912936E-2</v>
      </c>
      <c r="F12" s="670">
        <f>IFERROR(AVERAGE(Резиденты!$M$82:'Резиденты'!$P$82),"0")</f>
        <v>4.5348049235927501E-2</v>
      </c>
      <c r="G12" s="670">
        <f>IFERROR(AVERAGE(Резиденты!$Q$82:'Резиденты'!$T$82),"0")</f>
        <v>4.6206517341587539E-2</v>
      </c>
      <c r="H12" s="670">
        <f>IFERROR(AVERAGE(Резиденты!$U$82:'Резиденты'!$X$82),"0")</f>
        <v>4.7372407398639682E-2</v>
      </c>
      <c r="I12" s="670">
        <f>IFERROR(AVERAGE(Резиденты!$Y$82:'Резиденты'!$AB$82),"0")</f>
        <v>4.4829452381167423E-2</v>
      </c>
      <c r="J12" s="670">
        <f>IFERROR(AVERAGE(Резиденты!$AC$82:'Резиденты'!$AF$82),"0")</f>
        <v>4.4391125969701406E-2</v>
      </c>
      <c r="K12" s="670">
        <f>IFERROR(AVERAGE(Резиденты!$AG$82:'Резиденты'!$AJ$82),"0")</f>
        <v>4.4593580638013997E-2</v>
      </c>
      <c r="L12" s="670">
        <f>IFERROR(AVERAGE(Резиденты!$AK$82:'Резиденты'!$AN$82),"0")</f>
        <v>4.5915873363622683E-2</v>
      </c>
      <c r="M12" s="671">
        <f>IFERROR(AVERAGE(Резиденты!$AO$82:'Резиденты'!$AR$82),"0")</f>
        <v>4.5962256408293101E-2</v>
      </c>
      <c r="N12" s="721"/>
    </row>
    <row r="13" spans="1:14" ht="11.25" customHeight="1" x14ac:dyDescent="0.2">
      <c r="A13" s="665" t="str">
        <f>Резиденты!$A$85</f>
        <v>Финансовый результат с учетом инфляции</v>
      </c>
      <c r="B13" s="711"/>
      <c r="C13" s="717" t="str">
        <f>Резиденты!$C$85</f>
        <v>тыс. руб.</v>
      </c>
      <c r="D13" s="712">
        <f ca="1">SUM(Резиденты!$E$85:'Резиденты'!$H$85)</f>
        <v>26667.516962956073</v>
      </c>
      <c r="E13" s="712">
        <f ca="1">SUM(Резиденты!$I$85:'Резиденты'!$L$85)</f>
        <v>108185.11298403583</v>
      </c>
      <c r="F13" s="712">
        <f ca="1">SUM(Резиденты!$M$85:'Резиденты'!$P$85)</f>
        <v>156685.17640839753</v>
      </c>
      <c r="G13" s="712">
        <f ca="1">SUM(Резиденты!$Q$85:'Резиденты'!$T$85)</f>
        <v>202910.6651784452</v>
      </c>
      <c r="H13" s="712">
        <f ca="1">SUM(Резиденты!$U$85:'Резиденты'!$X$85)</f>
        <v>622680.23843429796</v>
      </c>
      <c r="I13" s="712">
        <f ca="1">SUM(Резиденты!$Y$85:'Резиденты'!$AB$85)</f>
        <v>788618.58878793905</v>
      </c>
      <c r="J13" s="712">
        <f ca="1">SUM(Резиденты!$AC$85:'Резиденты'!$AF$85)</f>
        <v>823841.10547715984</v>
      </c>
      <c r="K13" s="712">
        <f ca="1">SUM(Резиденты!$AG$85:'Резиденты'!$AJ$85)</f>
        <v>860475.44960809615</v>
      </c>
      <c r="L13" s="712">
        <f ca="1">SUM(Резиденты!$AK$85:'Резиденты'!$AN$85)</f>
        <v>919911.64443328034</v>
      </c>
      <c r="M13" s="712">
        <f ca="1">SUM(Резиденты!$AO$85:'Резиденты'!$AR$85)</f>
        <v>1319401.6817662637</v>
      </c>
      <c r="N13" s="746">
        <f ca="1">Резиденты!$AT$85</f>
        <v>5829377.1800408708</v>
      </c>
    </row>
    <row r="14" spans="1:14" ht="11.25" customHeight="1" x14ac:dyDescent="0.2">
      <c r="A14" s="636" t="str">
        <f>Резиденты!$A$86</f>
        <v>Налог на прибыль начисленный</v>
      </c>
      <c r="B14" s="711"/>
      <c r="C14" s="717" t="str">
        <f>Резиденты!$C$86</f>
        <v>тыс. руб.</v>
      </c>
      <c r="D14" s="712">
        <f ca="1">SUM(Резиденты!$E$86:'Резиденты'!$H$86)</f>
        <v>6666.8792407390174</v>
      </c>
      <c r="E14" s="712">
        <f ca="1">SUM(Резиденты!$I$86:'Резиденты'!$L$86)</f>
        <v>27046.278246008951</v>
      </c>
      <c r="F14" s="712">
        <f ca="1">SUM(Резиденты!$M$86:'Резиденты'!$P$86)</f>
        <v>39171.294102099375</v>
      </c>
      <c r="G14" s="712">
        <f ca="1">SUM(Резиденты!$Q$86:'Резиденты'!$T$86)</f>
        <v>50727.666294611285</v>
      </c>
      <c r="H14" s="712">
        <f ca="1">SUM(Резиденты!$U$86:'Резиденты'!$X$86)</f>
        <v>155670.05960857446</v>
      </c>
      <c r="I14" s="712">
        <f ca="1">SUM(Резиденты!$Y$86:'Резиденты'!$AB$86)</f>
        <v>197154.64719698476</v>
      </c>
      <c r="J14" s="712">
        <f ca="1">SUM(Резиденты!$AC$86:'Резиденты'!$AF$86)</f>
        <v>205960.27636928987</v>
      </c>
      <c r="K14" s="712">
        <f ca="1">SUM(Резиденты!$AG$86:'Резиденты'!$AJ$86)</f>
        <v>215118.86240202392</v>
      </c>
      <c r="L14" s="712">
        <f ca="1">SUM(Резиденты!$AK$86:'Резиденты'!$AN$86)</f>
        <v>229977.91110832006</v>
      </c>
      <c r="M14" s="712">
        <f ca="1">SUM(Резиденты!$AO$86:'Резиденты'!$AR$86)</f>
        <v>329850.4204415658</v>
      </c>
      <c r="N14" s="746">
        <f ca="1">Резиденты!$AT$86</f>
        <v>1457344.2950102177</v>
      </c>
    </row>
    <row r="15" spans="1:14" ht="11.25" customHeight="1" x14ac:dyDescent="0.2">
      <c r="A15" s="636" t="str">
        <f>Резиденты!$A$87</f>
        <v>Налог на прибыль уплаченный в федеральный бюджет</v>
      </c>
      <c r="B15" s="711"/>
      <c r="C15" s="717" t="str">
        <f>Резиденты!$C$87</f>
        <v>тыс. руб.</v>
      </c>
      <c r="D15" s="712">
        <f ca="1">SUM(Резиденты!$E$87:'Резиденты'!$H$87)</f>
        <v>0</v>
      </c>
      <c r="E15" s="712">
        <f ca="1">SUM(Резиденты!$I$87:'Резиденты'!$L$87)</f>
        <v>4028.4456813671281</v>
      </c>
      <c r="F15" s="712">
        <f ca="1">SUM(Резиденты!$M$87:'Резиденты'!$P$87)</f>
        <v>5273.8148222678728</v>
      </c>
      <c r="G15" s="712">
        <f ca="1">SUM(Резиденты!$Q$87:'Резиденты'!$T$87)</f>
        <v>7230.2234706406234</v>
      </c>
      <c r="H15" s="712">
        <f ca="1">SUM(Резиденты!$U$87:'Резиденты'!$X$87)</f>
        <v>18171.341412326183</v>
      </c>
      <c r="I15" s="712">
        <f ca="1">SUM(Резиденты!$Y$87:'Резиденты'!$AB$87)</f>
        <v>21893.75018701551</v>
      </c>
      <c r="J15" s="712">
        <f ca="1">SUM(Резиденты!$AC$87:'Резиденты'!$AF$87)</f>
        <v>20373.069576465838</v>
      </c>
      <c r="K15" s="712">
        <f ca="1">SUM(Резиденты!$AG$87:'Резиденты'!$AJ$87)</f>
        <v>21278.785170376774</v>
      </c>
      <c r="L15" s="712">
        <f ca="1">SUM(Резиденты!$AK$87:'Резиденты'!$AN$87)</f>
        <v>22489.23690224993</v>
      </c>
      <c r="M15" s="712">
        <f ca="1">SUM(Резиденты!$AO$87:'Резиденты'!$AR$87)</f>
        <v>28485.237150539462</v>
      </c>
      <c r="N15" s="746">
        <f ca="1">Резиденты!$AT$87</f>
        <v>149223.9043732493</v>
      </c>
    </row>
    <row r="16" spans="1:14" ht="11.25" customHeight="1" x14ac:dyDescent="0.2">
      <c r="A16" s="637" t="str">
        <f>Резиденты!$A$88</f>
        <v>Налог на прибыль уплаченный в бюджет субъекта РФ</v>
      </c>
      <c r="B16" s="711"/>
      <c r="C16" s="664" t="str">
        <f>Резиденты!$C$88</f>
        <v>тыс. руб.</v>
      </c>
      <c r="D16" s="713">
        <f ca="1">SUM(Резиденты!$E$88:'Резиденты'!$H$88)</f>
        <v>0</v>
      </c>
      <c r="E16" s="713">
        <f ca="1">SUM(Резиденты!$I$88:'Резиденты'!$L$88)</f>
        <v>22827.858861080393</v>
      </c>
      <c r="F16" s="713">
        <f ca="1">SUM(Резиденты!$M$88:'Резиденты'!$P$88)</f>
        <v>29884.950659517948</v>
      </c>
      <c r="G16" s="713">
        <f ca="1">SUM(Резиденты!$Q$88:'Резиденты'!$T$88)</f>
        <v>40971.266333630207</v>
      </c>
      <c r="H16" s="713">
        <f ca="1">SUM(Резиденты!$U$88:'Резиденты'!$X$88)</f>
        <v>102970.93466984837</v>
      </c>
      <c r="I16" s="713">
        <f ca="1">SUM(Резиденты!$Y$88:'Резиденты'!$AB$88)</f>
        <v>173082.08089246243</v>
      </c>
      <c r="J16" s="713">
        <f ca="1">SUM(Резиденты!$AC$88:'Резиденты'!$AF$88)</f>
        <v>183357.62618819255</v>
      </c>
      <c r="K16" s="713">
        <f ca="1">SUM(Резиденты!$AG$88:'Резиденты'!$AJ$88)</f>
        <v>191509.06653339096</v>
      </c>
      <c r="L16" s="713">
        <f ca="1">SUM(Резиденты!$AK$88:'Резиденты'!$AN$88)</f>
        <v>202403.13212024939</v>
      </c>
      <c r="M16" s="713">
        <f ca="1">SUM(Резиденты!$AO$88:'Резиденты'!$AR$88)</f>
        <v>256367.13435485517</v>
      </c>
      <c r="N16" s="744">
        <f ca="1">Резиденты!$AT$88</f>
        <v>1203374.0506132275</v>
      </c>
    </row>
    <row r="17" spans="1:14" ht="11.25" customHeight="1" x14ac:dyDescent="0.2">
      <c r="A17" s="599"/>
      <c r="B17" s="599"/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682"/>
    </row>
    <row r="18" spans="1:14" ht="11.25" customHeight="1" x14ac:dyDescent="0.2">
      <c r="A18" s="635" t="str">
        <f>Резиденты!$A$90</f>
        <v>Расчет амортизации оборудования</v>
      </c>
      <c r="B18" s="599"/>
      <c r="C18" s="399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82"/>
    </row>
    <row r="19" spans="1:14" ht="11.25" customHeight="1" x14ac:dyDescent="0.2">
      <c r="A19" s="636" t="str">
        <f>Резиденты!$A$91</f>
        <v>Ввод основных средств по годам:</v>
      </c>
      <c r="B19" s="686">
        <f>Резиденты!$B$91</f>
        <v>2020</v>
      </c>
      <c r="C19" s="717" t="str">
        <f>Резиденты!$C$91</f>
        <v>тыс. руб.</v>
      </c>
      <c r="D19" s="712">
        <f ca="1">SUM(Резиденты!$E$91:'Резиденты'!$H$91)</f>
        <v>1475381.298088856</v>
      </c>
      <c r="E19" s="712">
        <f>SUM(Резиденты!$I$91:'Резиденты'!$L$91)</f>
        <v>0</v>
      </c>
      <c r="F19" s="712">
        <f>SUM(Резиденты!$M$91:'Резиденты'!$P$91)</f>
        <v>0</v>
      </c>
      <c r="G19" s="712">
        <f>SUM(Резиденты!$Q$91:'Резиденты'!$T$91)</f>
        <v>0</v>
      </c>
      <c r="H19" s="712">
        <f>SUM(Резиденты!$U$91:'Резиденты'!$X$91)</f>
        <v>0</v>
      </c>
      <c r="I19" s="712">
        <f>SUM(Резиденты!$Y$91:'Резиденты'!$AB$91)</f>
        <v>0</v>
      </c>
      <c r="J19" s="712">
        <f>SUM(Резиденты!$AC$91:'Резиденты'!$AF$91)</f>
        <v>0</v>
      </c>
      <c r="K19" s="712">
        <f>SUM(Резиденты!$AG$91:'Резиденты'!$AJ$91)</f>
        <v>0</v>
      </c>
      <c r="L19" s="712">
        <f>SUM(Резиденты!$AK$91:'Резиденты'!$AN$91)</f>
        <v>0</v>
      </c>
      <c r="M19" s="712">
        <f>SUM(Резиденты!$AO$91:'Резиденты'!$AR$91)</f>
        <v>0</v>
      </c>
      <c r="N19" s="746">
        <f ca="1">Резиденты!$AT$91</f>
        <v>1475381.298088856</v>
      </c>
    </row>
    <row r="20" spans="1:14" ht="11.25" customHeight="1" x14ac:dyDescent="0.2">
      <c r="A20" s="636" t="str">
        <f>Резиденты!$A$92</f>
        <v>Ввод основных средств по годам:</v>
      </c>
      <c r="B20" s="686">
        <f>Резиденты!$B$92</f>
        <v>2021</v>
      </c>
      <c r="C20" s="717" t="str">
        <f>Резиденты!$C$92</f>
        <v>тыс. руб.</v>
      </c>
      <c r="D20" s="712">
        <f>SUM(Резиденты!$E$92:'Резиденты'!$H$92)</f>
        <v>0</v>
      </c>
      <c r="E20" s="712">
        <f ca="1">SUM(Резиденты!$I$92:'Резиденты'!$L$92)</f>
        <v>0</v>
      </c>
      <c r="F20" s="712">
        <f>SUM(Резиденты!$M$92:'Резиденты'!$P$92)</f>
        <v>0</v>
      </c>
      <c r="G20" s="712">
        <f>SUM(Резиденты!$Q$92:'Резиденты'!$T$92)</f>
        <v>0</v>
      </c>
      <c r="H20" s="712">
        <f>SUM(Резиденты!$U$92:'Резиденты'!$X$92)</f>
        <v>0</v>
      </c>
      <c r="I20" s="712">
        <f>SUM(Резиденты!$Y$92:'Резиденты'!$AB$92)</f>
        <v>0</v>
      </c>
      <c r="J20" s="712">
        <f>SUM(Резиденты!$AC$92:'Резиденты'!$AF$92)</f>
        <v>0</v>
      </c>
      <c r="K20" s="712">
        <f>SUM(Резиденты!$AG$92:'Резиденты'!$AJ$92)</f>
        <v>0</v>
      </c>
      <c r="L20" s="712">
        <f>SUM(Резиденты!$AK$92:'Резиденты'!$AN$92)</f>
        <v>0</v>
      </c>
      <c r="M20" s="712">
        <f>SUM(Резиденты!$AO$92:'Резиденты'!$AR$92)</f>
        <v>0</v>
      </c>
      <c r="N20" s="746">
        <f ca="1">Резиденты!$AT$92</f>
        <v>0</v>
      </c>
    </row>
    <row r="21" spans="1:14" ht="11.25" customHeight="1" x14ac:dyDescent="0.2">
      <c r="A21" s="636" t="str">
        <f>Резиденты!$A$93</f>
        <v>Ввод основных средств по годам:</v>
      </c>
      <c r="B21" s="686">
        <f>Резиденты!$B$93</f>
        <v>2022</v>
      </c>
      <c r="C21" s="717" t="str">
        <f>Резиденты!$C$93</f>
        <v>тыс. руб.</v>
      </c>
      <c r="D21" s="712">
        <f>SUM(Резиденты!$E$93:'Резиденты'!$H$93)</f>
        <v>0</v>
      </c>
      <c r="E21" s="712">
        <f>SUM(Резиденты!$I$93:'Резиденты'!$L$93)</f>
        <v>0</v>
      </c>
      <c r="F21" s="712">
        <f ca="1">SUM(Резиденты!$M$93:'Резиденты'!$P$93)</f>
        <v>765769.98212909361</v>
      </c>
      <c r="G21" s="712">
        <f>SUM(Резиденты!$Q$93:'Резиденты'!$T$93)</f>
        <v>0</v>
      </c>
      <c r="H21" s="712">
        <f>SUM(Резиденты!$U$93:'Резиденты'!$X$93)</f>
        <v>0</v>
      </c>
      <c r="I21" s="712">
        <f>SUM(Резиденты!$Y$93:'Резиденты'!$AB$93)</f>
        <v>0</v>
      </c>
      <c r="J21" s="712">
        <f>SUM(Резиденты!$AC$93:'Резиденты'!$AF$93)</f>
        <v>0</v>
      </c>
      <c r="K21" s="712">
        <f>SUM(Резиденты!$AG$93:'Резиденты'!$AJ$93)</f>
        <v>0</v>
      </c>
      <c r="L21" s="712">
        <f>SUM(Резиденты!$AK$93:'Резиденты'!$AN$93)</f>
        <v>0</v>
      </c>
      <c r="M21" s="712">
        <f>SUM(Резиденты!$AO$93:'Резиденты'!$AR$93)</f>
        <v>0</v>
      </c>
      <c r="N21" s="746">
        <f ca="1">Резиденты!$AT$93</f>
        <v>765769.98212909361</v>
      </c>
    </row>
    <row r="22" spans="1:14" ht="11.25" customHeight="1" x14ac:dyDescent="0.2">
      <c r="A22" s="636" t="str">
        <f>Резиденты!$A$94</f>
        <v>Ввод основных средств по годам:</v>
      </c>
      <c r="B22" s="686">
        <f>Резиденты!$B$94</f>
        <v>2023</v>
      </c>
      <c r="C22" s="717" t="str">
        <f>Резиденты!$C$94</f>
        <v>тыс. руб.</v>
      </c>
      <c r="D22" s="712">
        <f>SUM(Резиденты!$E$94:'Резиденты'!$H$94)</f>
        <v>0</v>
      </c>
      <c r="E22" s="712">
        <f>SUM(Резиденты!$I$94:'Резиденты'!$L$94)</f>
        <v>0</v>
      </c>
      <c r="F22" s="712">
        <f>SUM(Резиденты!$M$94:'Резиденты'!$P$94)</f>
        <v>0</v>
      </c>
      <c r="G22" s="712">
        <f ca="1">SUM(Резиденты!$Q$94:'Резиденты'!$T$94)</f>
        <v>399425.83385768166</v>
      </c>
      <c r="H22" s="712">
        <f>SUM(Резиденты!$U$94:'Резиденты'!$X$94)</f>
        <v>0</v>
      </c>
      <c r="I22" s="712">
        <f>SUM(Резиденты!$Y$94:'Резиденты'!$AB$94)</f>
        <v>0</v>
      </c>
      <c r="J22" s="712">
        <f>SUM(Резиденты!$AC$94:'Резиденты'!$AF$94)</f>
        <v>0</v>
      </c>
      <c r="K22" s="712">
        <f>SUM(Резиденты!$AG$94:'Резиденты'!$AJ$94)</f>
        <v>0</v>
      </c>
      <c r="L22" s="712">
        <f>SUM(Резиденты!$AK$94:'Резиденты'!$AN$94)</f>
        <v>0</v>
      </c>
      <c r="M22" s="712">
        <f>SUM(Резиденты!$AO$94:'Резиденты'!$AR$94)</f>
        <v>0</v>
      </c>
      <c r="N22" s="746">
        <f ca="1">Резиденты!$AT$94</f>
        <v>399425.83385768166</v>
      </c>
    </row>
    <row r="23" spans="1:14" ht="11.25" customHeight="1" x14ac:dyDescent="0.2">
      <c r="A23" s="636" t="str">
        <f>Резиденты!$A$95</f>
        <v>Ввод основных средств по годам:</v>
      </c>
      <c r="B23" s="686">
        <f>Резиденты!$B$95</f>
        <v>2024</v>
      </c>
      <c r="C23" s="717" t="str">
        <f>Резиденты!$C$95</f>
        <v>тыс. руб.</v>
      </c>
      <c r="D23" s="712">
        <f>SUM(Резиденты!$E$95:'Резиденты'!$H$95)</f>
        <v>0</v>
      </c>
      <c r="E23" s="712">
        <f>SUM(Резиденты!$I$95:'Резиденты'!$L$95)</f>
        <v>0</v>
      </c>
      <c r="F23" s="712">
        <f>SUM(Резиденты!$M$95:'Резиденты'!$P$95)</f>
        <v>0</v>
      </c>
      <c r="G23" s="712">
        <f>SUM(Резиденты!$Q$95:'Резиденты'!$T$95)</f>
        <v>0</v>
      </c>
      <c r="H23" s="712">
        <f ca="1">SUM(Резиденты!$U$95:'Резиденты'!$X$95)</f>
        <v>6381466.7697360618</v>
      </c>
      <c r="I23" s="712">
        <f>SUM(Резиденты!$Y$95:'Резиденты'!$AB$95)</f>
        <v>0</v>
      </c>
      <c r="J23" s="712">
        <f>SUM(Резиденты!$AC$95:'Резиденты'!$AF$95)</f>
        <v>0</v>
      </c>
      <c r="K23" s="712">
        <f>SUM(Резиденты!$AG$95:'Резиденты'!$AJ$95)</f>
        <v>0</v>
      </c>
      <c r="L23" s="712">
        <f>SUM(Резиденты!$AK$95:'Резиденты'!$AN$95)</f>
        <v>0</v>
      </c>
      <c r="M23" s="712">
        <f>SUM(Резиденты!$AO$95:'Резиденты'!$AR$95)</f>
        <v>0</v>
      </c>
      <c r="N23" s="746">
        <f ca="1">Резиденты!$AT$95</f>
        <v>6381466.7697360618</v>
      </c>
    </row>
    <row r="24" spans="1:14" ht="11.25" customHeight="1" x14ac:dyDescent="0.2">
      <c r="A24" s="636" t="str">
        <f>Резиденты!$A$96</f>
        <v>Ввод основных средств по годам:</v>
      </c>
      <c r="B24" s="686">
        <f>Резиденты!$B$96</f>
        <v>2025</v>
      </c>
      <c r="C24" s="717" t="str">
        <f>Резиденты!$C$96</f>
        <v>тыс. руб.</v>
      </c>
      <c r="D24" s="712">
        <f>SUM(Резиденты!$E$96:'Резиденты'!$H$96)</f>
        <v>0</v>
      </c>
      <c r="E24" s="712">
        <f>SUM(Резиденты!$I$96:'Резиденты'!$L$96)</f>
        <v>0</v>
      </c>
      <c r="F24" s="712">
        <f>SUM(Резиденты!$M$96:'Резиденты'!$P$96)</f>
        <v>0</v>
      </c>
      <c r="G24" s="712">
        <f>SUM(Резиденты!$Q$96:'Резиденты'!$T$96)</f>
        <v>0</v>
      </c>
      <c r="H24" s="712">
        <f>SUM(Резиденты!$U$96:'Резиденты'!$X$96)</f>
        <v>0</v>
      </c>
      <c r="I24" s="712">
        <f ca="1">SUM(Резиденты!$Y$96:'Резиденты'!$AB$96)</f>
        <v>0</v>
      </c>
      <c r="J24" s="712">
        <f>SUM(Резиденты!$AC$96:'Резиденты'!$AF$96)</f>
        <v>0</v>
      </c>
      <c r="K24" s="712">
        <f>SUM(Резиденты!$AG$96:'Резиденты'!$AJ$96)</f>
        <v>0</v>
      </c>
      <c r="L24" s="712">
        <f>SUM(Резиденты!$AK$96:'Резиденты'!$AN$96)</f>
        <v>0</v>
      </c>
      <c r="M24" s="712">
        <f>SUM(Резиденты!$AO$96:'Резиденты'!$AR$96)</f>
        <v>0</v>
      </c>
      <c r="N24" s="746">
        <f ca="1">Резиденты!$AT$96</f>
        <v>0</v>
      </c>
    </row>
    <row r="25" spans="1:14" ht="11.25" customHeight="1" x14ac:dyDescent="0.2">
      <c r="A25" s="636" t="str">
        <f>Резиденты!$A$97</f>
        <v>Ввод основных средств по годам:</v>
      </c>
      <c r="B25" s="686">
        <f>Резиденты!$B$97</f>
        <v>2026</v>
      </c>
      <c r="C25" s="717" t="str">
        <f>Резиденты!$C$97</f>
        <v>тыс. руб.</v>
      </c>
      <c r="D25" s="712">
        <f>SUM(Резиденты!$E$97:'Резиденты'!$H$97)</f>
        <v>0</v>
      </c>
      <c r="E25" s="712">
        <f>SUM(Резиденты!$I$97:'Резиденты'!$L$97)</f>
        <v>0</v>
      </c>
      <c r="F25" s="712">
        <f>SUM(Резиденты!$M$97:'Резиденты'!$P$97)</f>
        <v>0</v>
      </c>
      <c r="G25" s="712">
        <f>SUM(Резиденты!$Q$97:'Резиденты'!$T$97)</f>
        <v>0</v>
      </c>
      <c r="H25" s="712">
        <f>SUM(Резиденты!$U$97:'Резиденты'!$X$97)</f>
        <v>0</v>
      </c>
      <c r="I25" s="712">
        <f>SUM(Резиденты!$Y$97:'Резиденты'!$AB$97)</f>
        <v>0</v>
      </c>
      <c r="J25" s="712">
        <f ca="1">SUM(Резиденты!$AC$97:'Резиденты'!$AF$97)</f>
        <v>0</v>
      </c>
      <c r="K25" s="712">
        <f>SUM(Резиденты!$AG$97:'Резиденты'!$AJ$97)</f>
        <v>0</v>
      </c>
      <c r="L25" s="712">
        <f>SUM(Резиденты!$AK$97:'Резиденты'!$AN$97)</f>
        <v>0</v>
      </c>
      <c r="M25" s="712">
        <f>SUM(Резиденты!$AO$97:'Резиденты'!$AR$97)</f>
        <v>0</v>
      </c>
      <c r="N25" s="746">
        <f ca="1">Резиденты!$AT$97</f>
        <v>0</v>
      </c>
    </row>
    <row r="26" spans="1:14" ht="11.25" customHeight="1" x14ac:dyDescent="0.2">
      <c r="A26" s="636" t="str">
        <f>Резиденты!$A$98</f>
        <v>Ввод основных средств по годам:</v>
      </c>
      <c r="B26" s="686">
        <f>Резиденты!$B$98</f>
        <v>2027</v>
      </c>
      <c r="C26" s="717" t="str">
        <f>Резиденты!$C$98</f>
        <v>тыс. руб.</v>
      </c>
      <c r="D26" s="712">
        <f>SUM(Резиденты!$E$98:'Резиденты'!$H$98)</f>
        <v>0</v>
      </c>
      <c r="E26" s="712">
        <f>SUM(Резиденты!$I$98:'Резиденты'!$L$98)</f>
        <v>0</v>
      </c>
      <c r="F26" s="712">
        <f>SUM(Резиденты!$M$98:'Резиденты'!$P$98)</f>
        <v>0</v>
      </c>
      <c r="G26" s="712">
        <f>SUM(Резиденты!$Q$98:'Резиденты'!$T$98)</f>
        <v>0</v>
      </c>
      <c r="H26" s="712">
        <f>SUM(Резиденты!$U$98:'Резиденты'!$X$98)</f>
        <v>0</v>
      </c>
      <c r="I26" s="712">
        <f>SUM(Резиденты!$Y$98:'Резиденты'!$AB$98)</f>
        <v>0</v>
      </c>
      <c r="J26" s="712">
        <f>SUM(Резиденты!$AC$98:'Резиденты'!$AF$98)</f>
        <v>0</v>
      </c>
      <c r="K26" s="712">
        <f ca="1">SUM(Резиденты!$AG$98:'Резиденты'!$AJ$98)</f>
        <v>0</v>
      </c>
      <c r="L26" s="712">
        <f>SUM(Резиденты!$AK$98:'Резиденты'!$AN$98)</f>
        <v>0</v>
      </c>
      <c r="M26" s="712">
        <f>SUM(Резиденты!$AO$98:'Резиденты'!$AR$98)</f>
        <v>0</v>
      </c>
      <c r="N26" s="746">
        <f ca="1">Резиденты!$AT$98</f>
        <v>0</v>
      </c>
    </row>
    <row r="27" spans="1:14" ht="11.25" customHeight="1" x14ac:dyDescent="0.2">
      <c r="A27" s="636" t="str">
        <f>Резиденты!$A$99</f>
        <v>Ввод основных средств по годам:</v>
      </c>
      <c r="B27" s="686">
        <f>Резиденты!$B$99</f>
        <v>2028</v>
      </c>
      <c r="C27" s="717" t="str">
        <f>Резиденты!$C$99</f>
        <v>тыс. руб.</v>
      </c>
      <c r="D27" s="712">
        <f>SUM(Резиденты!$E$99:'Резиденты'!$H$99)</f>
        <v>0</v>
      </c>
      <c r="E27" s="712">
        <f>SUM(Резиденты!$I$99:'Резиденты'!$L$99)</f>
        <v>0</v>
      </c>
      <c r="F27" s="712">
        <f>SUM(Резиденты!$M$99:'Резиденты'!$P$99)</f>
        <v>0</v>
      </c>
      <c r="G27" s="712">
        <f>SUM(Резиденты!$Q$99:'Резиденты'!$T$99)</f>
        <v>0</v>
      </c>
      <c r="H27" s="712">
        <f>SUM(Резиденты!$U$99:'Резиденты'!$X$99)</f>
        <v>0</v>
      </c>
      <c r="I27" s="712">
        <f>SUM(Резиденты!$Y$99:'Резиденты'!$AB$99)</f>
        <v>0</v>
      </c>
      <c r="J27" s="712">
        <f>SUM(Резиденты!$AC$99:'Резиденты'!$AF$99)</f>
        <v>0</v>
      </c>
      <c r="K27" s="712">
        <f>SUM(Резиденты!$AG$99:'Резиденты'!$AJ$99)</f>
        <v>0</v>
      </c>
      <c r="L27" s="712">
        <f ca="1">SUM(Резиденты!$AK$99:'Резиденты'!$AN$99)</f>
        <v>0</v>
      </c>
      <c r="M27" s="712">
        <f>SUM(Резиденты!$AO$99:'Резиденты'!$AR$99)</f>
        <v>0</v>
      </c>
      <c r="N27" s="746">
        <f ca="1">Резиденты!$AT$99</f>
        <v>0</v>
      </c>
    </row>
    <row r="28" spans="1:14" ht="11.25" customHeight="1" x14ac:dyDescent="0.2">
      <c r="A28" s="636" t="str">
        <f>Резиденты!$A$100</f>
        <v>Ввод основных средств по годам:</v>
      </c>
      <c r="B28" s="686">
        <f>Резиденты!$B$100</f>
        <v>2029</v>
      </c>
      <c r="C28" s="717" t="str">
        <f>Резиденты!$C$100</f>
        <v>тыс. руб.</v>
      </c>
      <c r="D28" s="712">
        <f>SUM(Резиденты!$E$100:'Резиденты'!$H$100)</f>
        <v>0</v>
      </c>
      <c r="E28" s="712">
        <f>SUM(Резиденты!$I$100:'Резиденты'!$L$100)</f>
        <v>0</v>
      </c>
      <c r="F28" s="712">
        <f>SUM(Резиденты!$M$100:'Резиденты'!$P$100)</f>
        <v>0</v>
      </c>
      <c r="G28" s="712">
        <f>SUM(Резиденты!$Q$100:'Резиденты'!$T$100)</f>
        <v>0</v>
      </c>
      <c r="H28" s="712">
        <f>SUM(Резиденты!$U$100:'Резиденты'!$X$100)</f>
        <v>0</v>
      </c>
      <c r="I28" s="712">
        <f>SUM(Резиденты!$Y$100:'Резиденты'!$AB$100)</f>
        <v>0</v>
      </c>
      <c r="J28" s="712">
        <f>SUM(Резиденты!$AC$100:'Резиденты'!$AF$100)</f>
        <v>0</v>
      </c>
      <c r="K28" s="712">
        <f>SUM(Резиденты!$AG$100:'Резиденты'!$AJ$100)</f>
        <v>0</v>
      </c>
      <c r="L28" s="712">
        <f>SUM(Резиденты!$AK$100:'Резиденты'!$AN$100)</f>
        <v>0</v>
      </c>
      <c r="M28" s="712">
        <f ca="1">SUM(Резиденты!$AO$100:'Резиденты'!$AR$100)</f>
        <v>0</v>
      </c>
      <c r="N28" s="746">
        <f ca="1">Резиденты!$AT$100</f>
        <v>0</v>
      </c>
    </row>
    <row r="29" spans="1:14" ht="11.25" customHeight="1" x14ac:dyDescent="0.2">
      <c r="A29" s="632" t="str">
        <f>Резиденты!$A$101</f>
        <v>Начальная стоимость оборудования</v>
      </c>
      <c r="B29" s="909"/>
      <c r="C29" s="783" t="str">
        <f>Резиденты!$C$101</f>
        <v>тыс. руб.</v>
      </c>
      <c r="D29" s="780">
        <f ca="1">SUM(Резиденты!$E$101:'Резиденты'!$H$101)</f>
        <v>1475381.298088856</v>
      </c>
      <c r="E29" s="780">
        <f ca="1">SUM(Резиденты!$I$101:'Резиденты'!$L$101)</f>
        <v>0</v>
      </c>
      <c r="F29" s="780">
        <f ca="1">SUM(Резиденты!$M$101:'Резиденты'!$P$101)</f>
        <v>765769.98212909361</v>
      </c>
      <c r="G29" s="780">
        <f ca="1">SUM(Резиденты!$Q$101:'Резиденты'!$T$101)</f>
        <v>399425.83385768166</v>
      </c>
      <c r="H29" s="780">
        <f ca="1">SUM(Резиденты!$U$101:'Резиденты'!$X$101)</f>
        <v>6381466.7697360618</v>
      </c>
      <c r="I29" s="780">
        <f ca="1">SUM(Резиденты!$Y$101:'Резиденты'!$AB$101)</f>
        <v>0</v>
      </c>
      <c r="J29" s="780">
        <f ca="1">SUM(Резиденты!$AC$101:'Резиденты'!$AF$101)</f>
        <v>0</v>
      </c>
      <c r="K29" s="780">
        <f ca="1">SUM(Резиденты!$AG$101:'Резиденты'!$AJ$101)</f>
        <v>0</v>
      </c>
      <c r="L29" s="780">
        <f ca="1">SUM(Резиденты!$AK$101:'Резиденты'!$AN$101)</f>
        <v>0</v>
      </c>
      <c r="M29" s="780">
        <f ca="1">SUM(Резиденты!$AO$101:'Резиденты'!$AR$101)</f>
        <v>0</v>
      </c>
      <c r="N29" s="782">
        <f ca="1">Резиденты!$AT$101</f>
        <v>9022043.8838116936</v>
      </c>
    </row>
    <row r="30" spans="1:14" ht="11.25" customHeight="1" x14ac:dyDescent="0.2">
      <c r="A30" s="665" t="str">
        <f>Резиденты!$A$102</f>
        <v>Срок амортизации</v>
      </c>
      <c r="B30" s="934">
        <f>Резиденты!$B$102</f>
        <v>7</v>
      </c>
      <c r="C30" s="717" t="str">
        <f>Резиденты!$C$102</f>
        <v>лет</v>
      </c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82"/>
    </row>
    <row r="31" spans="1:14" ht="11.25" customHeight="1" x14ac:dyDescent="0.2">
      <c r="A31" s="636" t="str">
        <f>Резиденты!$A$103</f>
        <v>Амортизация основных средств, введеных в году:</v>
      </c>
      <c r="B31" s="686">
        <f>Резиденты!$B$103</f>
        <v>2020</v>
      </c>
      <c r="C31" s="717" t="str">
        <f>Резиденты!$C$103</f>
        <v>тыс. руб.</v>
      </c>
      <c r="D31" s="712">
        <f ca="1">SUM(Резиденты!$E$103:'Резиденты'!$H$103)</f>
        <v>52692.189217459141</v>
      </c>
      <c r="E31" s="712">
        <f ca="1">SUM(Резиденты!$I$103:'Резиденты'!$L$103)</f>
        <v>210768.75686983656</v>
      </c>
      <c r="F31" s="712">
        <f ca="1">SUM(Резиденты!$M$103:'Резиденты'!$P$103)</f>
        <v>210768.75686983656</v>
      </c>
      <c r="G31" s="712">
        <f ca="1">SUM(Резиденты!$Q$103:'Резиденты'!$T$103)</f>
        <v>210768.75686983656</v>
      </c>
      <c r="H31" s="712">
        <f ca="1">SUM(Резиденты!$U$103:'Резиденты'!$X$103)</f>
        <v>210768.75686983656</v>
      </c>
      <c r="I31" s="712">
        <f ca="1">SUM(Резиденты!$Y$103:'Резиденты'!$AB$103)</f>
        <v>210768.75686983656</v>
      </c>
      <c r="J31" s="712">
        <f ca="1">SUM(Резиденты!$AC$103:'Резиденты'!$AF$103)</f>
        <v>210768.75686983656</v>
      </c>
      <c r="K31" s="712">
        <f ca="1">SUM(Резиденты!$AG$103:'Резиденты'!$AJ$103)</f>
        <v>158076.56765237701</v>
      </c>
      <c r="L31" s="712">
        <f ca="1">SUM(Резиденты!$AK$103:'Резиденты'!$AN$103)</f>
        <v>0</v>
      </c>
      <c r="M31" s="712">
        <f ca="1">SUM(Резиденты!$AO$103:'Резиденты'!$AR$103)</f>
        <v>0</v>
      </c>
      <c r="N31" s="746">
        <f ca="1">Резиденты!$AT$103</f>
        <v>1475381.298088856</v>
      </c>
    </row>
    <row r="32" spans="1:14" ht="11.25" customHeight="1" x14ac:dyDescent="0.2">
      <c r="A32" s="636" t="str">
        <f>Резиденты!$A$104</f>
        <v>Амортизация основных средств, введеных в году:</v>
      </c>
      <c r="B32" s="686">
        <f>Резиденты!$B$104</f>
        <v>2021</v>
      </c>
      <c r="C32" s="717" t="str">
        <f>Резиденты!$C$104</f>
        <v>тыс. руб.</v>
      </c>
      <c r="D32" s="712">
        <f ca="1">SUM(Резиденты!$E$104:'Резиденты'!$H$104)</f>
        <v>0</v>
      </c>
      <c r="E32" s="712">
        <f ca="1">SUM(Резиденты!$I$104:'Резиденты'!$L$104)</f>
        <v>0</v>
      </c>
      <c r="F32" s="712">
        <f ca="1">SUM(Резиденты!$M$104:'Резиденты'!$P$104)</f>
        <v>0</v>
      </c>
      <c r="G32" s="712">
        <f ca="1">SUM(Резиденты!$Q$104:'Резиденты'!$T$104)</f>
        <v>0</v>
      </c>
      <c r="H32" s="712">
        <f ca="1">SUM(Резиденты!$U$104:'Резиденты'!$X$104)</f>
        <v>0</v>
      </c>
      <c r="I32" s="712">
        <f ca="1">SUM(Резиденты!$Y$104:'Резиденты'!$AB$104)</f>
        <v>0</v>
      </c>
      <c r="J32" s="712">
        <f ca="1">SUM(Резиденты!$AC$104:'Резиденты'!$AF$104)</f>
        <v>0</v>
      </c>
      <c r="K32" s="712">
        <f ca="1">SUM(Резиденты!$AG$104:'Резиденты'!$AJ$104)</f>
        <v>0</v>
      </c>
      <c r="L32" s="712">
        <f ca="1">SUM(Резиденты!$AK$104:'Резиденты'!$AN$104)</f>
        <v>0</v>
      </c>
      <c r="M32" s="712">
        <f ca="1">SUM(Резиденты!$AO$104:'Резиденты'!$AR$104)</f>
        <v>0</v>
      </c>
      <c r="N32" s="746">
        <f ca="1">Резиденты!$AT$104</f>
        <v>0</v>
      </c>
    </row>
    <row r="33" spans="1:14" ht="11.25" customHeight="1" x14ac:dyDescent="0.2">
      <c r="A33" s="636" t="str">
        <f>Резиденты!$A$105</f>
        <v>Амортизация основных средств, введеных в году:</v>
      </c>
      <c r="B33" s="686">
        <f>Резиденты!$B$105</f>
        <v>2022</v>
      </c>
      <c r="C33" s="717" t="str">
        <f>Резиденты!$C$105</f>
        <v>тыс. руб.</v>
      </c>
      <c r="D33" s="712">
        <f ca="1">SUM(Резиденты!$E$105:'Резиденты'!$H$105)</f>
        <v>0</v>
      </c>
      <c r="E33" s="712">
        <f ca="1">SUM(Резиденты!$I$105:'Резиденты'!$L$105)</f>
        <v>0</v>
      </c>
      <c r="F33" s="712">
        <f ca="1">SUM(Резиденты!$M$105:'Резиденты'!$P$105)</f>
        <v>82046.783799545752</v>
      </c>
      <c r="G33" s="712">
        <f ca="1">SUM(Резиденты!$Q$105:'Резиденты'!$T$105)</f>
        <v>109395.71173272766</v>
      </c>
      <c r="H33" s="712">
        <f ca="1">SUM(Резиденты!$U$105:'Резиденты'!$X$105)</f>
        <v>109395.71173272766</v>
      </c>
      <c r="I33" s="712">
        <f ca="1">SUM(Резиденты!$Y$105:'Резиденты'!$AB$105)</f>
        <v>109395.71173272766</v>
      </c>
      <c r="J33" s="712">
        <f ca="1">SUM(Резиденты!$AC$105:'Резиденты'!$AF$105)</f>
        <v>109395.71173272766</v>
      </c>
      <c r="K33" s="712">
        <f ca="1">SUM(Резиденты!$AG$105:'Резиденты'!$AJ$105)</f>
        <v>109395.71173272766</v>
      </c>
      <c r="L33" s="712">
        <f ca="1">SUM(Резиденты!$AK$105:'Резиденты'!$AN$105)</f>
        <v>109395.71173272766</v>
      </c>
      <c r="M33" s="712">
        <f ca="1">SUM(Резиденты!$AO$105:'Резиденты'!$AR$105)</f>
        <v>27348.927933182149</v>
      </c>
      <c r="N33" s="746">
        <f ca="1">Резиденты!$AT$105</f>
        <v>765769.98212909361</v>
      </c>
    </row>
    <row r="34" spans="1:14" ht="11.25" customHeight="1" x14ac:dyDescent="0.2">
      <c r="A34" s="636" t="str">
        <f>Резиденты!$A$106</f>
        <v>Амортизация основных средств, введеных в году:</v>
      </c>
      <c r="B34" s="686">
        <f>Резиденты!$B$106</f>
        <v>2023</v>
      </c>
      <c r="C34" s="717" t="str">
        <f>Резиденты!$C$106</f>
        <v>тыс. руб.</v>
      </c>
      <c r="D34" s="712">
        <f ca="1">SUM(Резиденты!$E$106:'Резиденты'!$H$106)</f>
        <v>0</v>
      </c>
      <c r="E34" s="712">
        <f ca="1">SUM(Резиденты!$I$106:'Резиденты'!$L$106)</f>
        <v>0</v>
      </c>
      <c r="F34" s="712">
        <f ca="1">SUM(Резиденты!$M$106:'Резиденты'!$P$106)</f>
        <v>0</v>
      </c>
      <c r="G34" s="712">
        <f ca="1">SUM(Резиденты!$Q$106:'Резиденты'!$T$106)</f>
        <v>42795.625056180179</v>
      </c>
      <c r="H34" s="712">
        <f ca="1">SUM(Резиденты!$U$106:'Резиденты'!$X$106)</f>
        <v>57060.833408240236</v>
      </c>
      <c r="I34" s="712">
        <f ca="1">SUM(Резиденты!$Y$106:'Резиденты'!$AB$106)</f>
        <v>57060.833408240236</v>
      </c>
      <c r="J34" s="712">
        <f ca="1">SUM(Резиденты!$AC$106:'Резиденты'!$AF$106)</f>
        <v>57060.833408240236</v>
      </c>
      <c r="K34" s="712">
        <f ca="1">SUM(Резиденты!$AG$106:'Резиденты'!$AJ$106)</f>
        <v>57060.833408240236</v>
      </c>
      <c r="L34" s="712">
        <f ca="1">SUM(Резиденты!$AK$106:'Резиденты'!$AN$106)</f>
        <v>57060.833408240236</v>
      </c>
      <c r="M34" s="712">
        <f ca="1">SUM(Резиденты!$AO$106:'Резиденты'!$AR$106)</f>
        <v>57060.833408240236</v>
      </c>
      <c r="N34" s="746">
        <f ca="1">Резиденты!$AT$106</f>
        <v>385160.6255056216</v>
      </c>
    </row>
    <row r="35" spans="1:14" ht="11.25" customHeight="1" x14ac:dyDescent="0.2">
      <c r="A35" s="636" t="str">
        <f>Резиденты!$A$107</f>
        <v>Амортизация основных средств, введеных в году:</v>
      </c>
      <c r="B35" s="686">
        <f>Резиденты!$B$107</f>
        <v>2024</v>
      </c>
      <c r="C35" s="717" t="str">
        <f>Резиденты!$C$107</f>
        <v>тыс. руб.</v>
      </c>
      <c r="D35" s="712">
        <f ca="1">SUM(Резиденты!$E$107:'Резиденты'!$H$107)</f>
        <v>0</v>
      </c>
      <c r="E35" s="712">
        <f ca="1">SUM(Резиденты!$I$107:'Резиденты'!$L$107)</f>
        <v>0</v>
      </c>
      <c r="F35" s="712">
        <f ca="1">SUM(Резиденты!$M$107:'Резиденты'!$P$107)</f>
        <v>0</v>
      </c>
      <c r="G35" s="712">
        <f ca="1">SUM(Резиденты!$Q$107:'Резиденты'!$T$107)</f>
        <v>0</v>
      </c>
      <c r="H35" s="712">
        <f ca="1">SUM(Резиденты!$U$107:'Резиденты'!$X$107)</f>
        <v>683728.58247172087</v>
      </c>
      <c r="I35" s="712">
        <f ca="1">SUM(Резиденты!$Y$107:'Резиденты'!$AB$107)</f>
        <v>911638.10996229458</v>
      </c>
      <c r="J35" s="712">
        <f ca="1">SUM(Резиденты!$AC$107:'Резиденты'!$AF$107)</f>
        <v>911638.10996229458</v>
      </c>
      <c r="K35" s="712">
        <f ca="1">SUM(Резиденты!$AG$107:'Резиденты'!$AJ$107)</f>
        <v>911638.10996229458</v>
      </c>
      <c r="L35" s="712">
        <f ca="1">SUM(Резиденты!$AK$107:'Резиденты'!$AN$107)</f>
        <v>911638.10996229458</v>
      </c>
      <c r="M35" s="712">
        <f ca="1">SUM(Резиденты!$AO$107:'Резиденты'!$AR$107)</f>
        <v>911638.10996229458</v>
      </c>
      <c r="N35" s="746">
        <f ca="1">Резиденты!$AT$107</f>
        <v>5241919.132283194</v>
      </c>
    </row>
    <row r="36" spans="1:14" ht="11.25" customHeight="1" x14ac:dyDescent="0.2">
      <c r="A36" s="636" t="str">
        <f>Резиденты!$A$108</f>
        <v>Амортизация основных средств, введеных в году:</v>
      </c>
      <c r="B36" s="686">
        <f>Резиденты!$B$108</f>
        <v>2025</v>
      </c>
      <c r="C36" s="717" t="str">
        <f>Резиденты!$C$108</f>
        <v>тыс. руб.</v>
      </c>
      <c r="D36" s="712">
        <f ca="1">SUM(Резиденты!$E$108:'Резиденты'!$H$108)</f>
        <v>0</v>
      </c>
      <c r="E36" s="712">
        <f ca="1">SUM(Резиденты!$I$108:'Резиденты'!$L$108)</f>
        <v>0</v>
      </c>
      <c r="F36" s="712">
        <f ca="1">SUM(Резиденты!$M$108:'Резиденты'!$P$108)</f>
        <v>0</v>
      </c>
      <c r="G36" s="712">
        <f ca="1">SUM(Резиденты!$Q$108:'Резиденты'!$T$108)</f>
        <v>0</v>
      </c>
      <c r="H36" s="712">
        <f ca="1">SUM(Резиденты!$U$108:'Резиденты'!$X$108)</f>
        <v>0</v>
      </c>
      <c r="I36" s="712">
        <f ca="1">SUM(Резиденты!$Y$108:'Резиденты'!$AB$108)</f>
        <v>0</v>
      </c>
      <c r="J36" s="712">
        <f ca="1">SUM(Резиденты!$AC$108:'Резиденты'!$AF$108)</f>
        <v>0</v>
      </c>
      <c r="K36" s="712">
        <f ca="1">SUM(Резиденты!$AG$108:'Резиденты'!$AJ$108)</f>
        <v>0</v>
      </c>
      <c r="L36" s="712">
        <f ca="1">SUM(Резиденты!$AK$108:'Резиденты'!$AN$108)</f>
        <v>0</v>
      </c>
      <c r="M36" s="712">
        <f ca="1">SUM(Резиденты!$AO$108:'Резиденты'!$AR$108)</f>
        <v>0</v>
      </c>
      <c r="N36" s="746">
        <f ca="1">Резиденты!$AT$108</f>
        <v>0</v>
      </c>
    </row>
    <row r="37" spans="1:14" ht="11.25" customHeight="1" x14ac:dyDescent="0.2">
      <c r="A37" s="636" t="str">
        <f>Резиденты!$A$109</f>
        <v>Амортизация основных средств, введеных в году:</v>
      </c>
      <c r="B37" s="686">
        <f>Резиденты!$B$109</f>
        <v>2026</v>
      </c>
      <c r="C37" s="717" t="str">
        <f>Резиденты!$C$109</f>
        <v>тыс. руб.</v>
      </c>
      <c r="D37" s="712">
        <f ca="1">SUM(Резиденты!$E$109:'Резиденты'!$H$109)</f>
        <v>0</v>
      </c>
      <c r="E37" s="712">
        <f ca="1">SUM(Резиденты!$I$109:'Резиденты'!$L$109)</f>
        <v>0</v>
      </c>
      <c r="F37" s="712">
        <f ca="1">SUM(Резиденты!$M$109:'Резиденты'!$P$109)</f>
        <v>0</v>
      </c>
      <c r="G37" s="712">
        <f ca="1">SUM(Резиденты!$Q$109:'Резиденты'!$T$109)</f>
        <v>0</v>
      </c>
      <c r="H37" s="712">
        <f ca="1">SUM(Резиденты!$U$109:'Резиденты'!$X$109)</f>
        <v>0</v>
      </c>
      <c r="I37" s="712">
        <f ca="1">SUM(Резиденты!$Y$109:'Резиденты'!$AB$109)</f>
        <v>0</v>
      </c>
      <c r="J37" s="712">
        <f ca="1">SUM(Резиденты!$AC$109:'Резиденты'!$AF$109)</f>
        <v>0</v>
      </c>
      <c r="K37" s="712">
        <f ca="1">SUM(Резиденты!$AG$109:'Резиденты'!$AJ$109)</f>
        <v>0</v>
      </c>
      <c r="L37" s="712">
        <f ca="1">SUM(Резиденты!$AK$109:'Резиденты'!$AN$109)</f>
        <v>0</v>
      </c>
      <c r="M37" s="712">
        <f ca="1">SUM(Резиденты!$AO$109:'Резиденты'!$AR$109)</f>
        <v>0</v>
      </c>
      <c r="N37" s="746">
        <f ca="1">Резиденты!$AT$109</f>
        <v>0</v>
      </c>
    </row>
    <row r="38" spans="1:14" ht="11.25" customHeight="1" x14ac:dyDescent="0.2">
      <c r="A38" s="636" t="str">
        <f>Резиденты!$A$110</f>
        <v>Амортизация основных средств, введеных в году:</v>
      </c>
      <c r="B38" s="686">
        <f>Резиденты!$B$110</f>
        <v>2027</v>
      </c>
      <c r="C38" s="717" t="str">
        <f>Резиденты!$C$110</f>
        <v>тыс. руб.</v>
      </c>
      <c r="D38" s="712">
        <f ca="1">SUM(Резиденты!$E$110:'Резиденты'!$H$110)</f>
        <v>0</v>
      </c>
      <c r="E38" s="712">
        <f ca="1">SUM(Резиденты!$I$110:'Резиденты'!$L$110)</f>
        <v>0</v>
      </c>
      <c r="F38" s="712">
        <f ca="1">SUM(Резиденты!$M$110:'Резиденты'!$P$110)</f>
        <v>0</v>
      </c>
      <c r="G38" s="712">
        <f ca="1">SUM(Резиденты!$Q$110:'Резиденты'!$T$110)</f>
        <v>0</v>
      </c>
      <c r="H38" s="712">
        <f ca="1">SUM(Резиденты!$U$110:'Резиденты'!$X$110)</f>
        <v>0</v>
      </c>
      <c r="I38" s="712">
        <f ca="1">SUM(Резиденты!$Y$110:'Резиденты'!$AB$110)</f>
        <v>0</v>
      </c>
      <c r="J38" s="712">
        <f ca="1">SUM(Резиденты!$AC$110:'Резиденты'!$AF$110)</f>
        <v>0</v>
      </c>
      <c r="K38" s="712">
        <f ca="1">SUM(Резиденты!$AG$110:'Резиденты'!$AJ$110)</f>
        <v>0</v>
      </c>
      <c r="L38" s="712">
        <f ca="1">SUM(Резиденты!$AK$110:'Резиденты'!$AN$110)</f>
        <v>0</v>
      </c>
      <c r="M38" s="712">
        <f ca="1">SUM(Резиденты!$AO$110:'Резиденты'!$AR$110)</f>
        <v>0</v>
      </c>
      <c r="N38" s="746">
        <f ca="1">Резиденты!$AT$110</f>
        <v>0</v>
      </c>
    </row>
    <row r="39" spans="1:14" ht="11.25" customHeight="1" x14ac:dyDescent="0.2">
      <c r="A39" s="636" t="str">
        <f>Резиденты!$A$111</f>
        <v>Амортизация основных средств, введеных в году:</v>
      </c>
      <c r="B39" s="686">
        <f>Резиденты!$B$111</f>
        <v>2028</v>
      </c>
      <c r="C39" s="717" t="str">
        <f>Резиденты!$C$111</f>
        <v>тыс. руб.</v>
      </c>
      <c r="D39" s="712">
        <f ca="1">SUM(Резиденты!$E$111:'Резиденты'!$H$111)</f>
        <v>0</v>
      </c>
      <c r="E39" s="712">
        <f ca="1">SUM(Резиденты!$I$111:'Резиденты'!$L$111)</f>
        <v>0</v>
      </c>
      <c r="F39" s="712">
        <f ca="1">SUM(Резиденты!$M$111:'Резиденты'!$P$111)</f>
        <v>0</v>
      </c>
      <c r="G39" s="712">
        <f ca="1">SUM(Резиденты!$Q$111:'Резиденты'!$T$111)</f>
        <v>0</v>
      </c>
      <c r="H39" s="712">
        <f ca="1">SUM(Резиденты!$U$111:'Резиденты'!$X$111)</f>
        <v>0</v>
      </c>
      <c r="I39" s="712">
        <f ca="1">SUM(Резиденты!$Y$111:'Резиденты'!$AB$111)</f>
        <v>0</v>
      </c>
      <c r="J39" s="712">
        <f ca="1">SUM(Резиденты!$AC$111:'Резиденты'!$AF$111)</f>
        <v>0</v>
      </c>
      <c r="K39" s="712">
        <f ca="1">SUM(Резиденты!$AG$111:'Резиденты'!$AJ$111)</f>
        <v>0</v>
      </c>
      <c r="L39" s="712">
        <f ca="1">SUM(Резиденты!$AK$111:'Резиденты'!$AN$111)</f>
        <v>0</v>
      </c>
      <c r="M39" s="712">
        <f ca="1">SUM(Резиденты!$AO$111:'Резиденты'!$AR$111)</f>
        <v>0</v>
      </c>
      <c r="N39" s="746">
        <f ca="1">Резиденты!$AT$111</f>
        <v>0</v>
      </c>
    </row>
    <row r="40" spans="1:14" ht="11.25" customHeight="1" x14ac:dyDescent="0.2">
      <c r="A40" s="636" t="str">
        <f>Резиденты!$A$112</f>
        <v>Амортизация основных средств, введеных в году:</v>
      </c>
      <c r="B40" s="686">
        <f>Резиденты!$B$112</f>
        <v>2029</v>
      </c>
      <c r="C40" s="717" t="str">
        <f>Резиденты!$C$112</f>
        <v>тыс. руб.</v>
      </c>
      <c r="D40" s="712">
        <f ca="1">SUM(Резиденты!$E$112:'Резиденты'!$H$112)</f>
        <v>0</v>
      </c>
      <c r="E40" s="712">
        <f ca="1">SUM(Резиденты!$I$112:'Резиденты'!$L$112)</f>
        <v>0</v>
      </c>
      <c r="F40" s="712">
        <f ca="1">SUM(Резиденты!$M$112:'Резиденты'!$P$112)</f>
        <v>0</v>
      </c>
      <c r="G40" s="712">
        <f ca="1">SUM(Резиденты!$Q$112:'Резиденты'!$T$112)</f>
        <v>0</v>
      </c>
      <c r="H40" s="712">
        <f ca="1">SUM(Резиденты!$U$112:'Резиденты'!$X$112)</f>
        <v>0</v>
      </c>
      <c r="I40" s="712">
        <f ca="1">SUM(Резиденты!$Y$112:'Резиденты'!$AB$112)</f>
        <v>0</v>
      </c>
      <c r="J40" s="712">
        <f ca="1">SUM(Резиденты!$AC$112:'Резиденты'!$AF$112)</f>
        <v>0</v>
      </c>
      <c r="K40" s="712">
        <f ca="1">SUM(Резиденты!$AG$112:'Резиденты'!$AJ$112)</f>
        <v>0</v>
      </c>
      <c r="L40" s="712">
        <f ca="1">SUM(Резиденты!$AK$112:'Резиденты'!$AN$112)</f>
        <v>0</v>
      </c>
      <c r="M40" s="712">
        <f ca="1">SUM(Резиденты!$AO$112:'Резиденты'!$AR$112)</f>
        <v>0</v>
      </c>
      <c r="N40" s="746">
        <f ca="1">Резиденты!$AT$112</f>
        <v>0</v>
      </c>
    </row>
    <row r="41" spans="1:14" ht="11.25" customHeight="1" x14ac:dyDescent="0.2">
      <c r="A41" s="633" t="str">
        <f>Резиденты!$A$113</f>
        <v>Итого амортизация оборудования</v>
      </c>
      <c r="B41" s="916"/>
      <c r="C41" s="778" t="str">
        <f>Резиденты!$C$113</f>
        <v>тыс. руб.</v>
      </c>
      <c r="D41" s="780">
        <f ca="1">SUM(Резиденты!$E$113:'Резиденты'!$H$113)</f>
        <v>52692.189217459141</v>
      </c>
      <c r="E41" s="780">
        <f ca="1">SUM(Резиденты!$I$113:'Резиденты'!$L$113)</f>
        <v>210768.75686983656</v>
      </c>
      <c r="F41" s="780">
        <f ca="1">SUM(Резиденты!$M$113:'Резиденты'!$P$113)</f>
        <v>292815.54066938232</v>
      </c>
      <c r="G41" s="780">
        <f ca="1">SUM(Резиденты!$Q$113:'Резиденты'!$T$113)</f>
        <v>362960.09365874442</v>
      </c>
      <c r="H41" s="780">
        <f ca="1">SUM(Резиденты!$U$113:'Резиденты'!$X$113)</f>
        <v>1060953.8844825253</v>
      </c>
      <c r="I41" s="780">
        <f ca="1">SUM(Резиденты!$Y$113:'Резиденты'!$AB$113)</f>
        <v>1288863.411973099</v>
      </c>
      <c r="J41" s="780">
        <f ca="1">SUM(Резиденты!$AC$113:'Резиденты'!$AF$113)</f>
        <v>1288863.411973099</v>
      </c>
      <c r="K41" s="780">
        <f ca="1">SUM(Резиденты!$AG$113:'Резиденты'!$AJ$113)</f>
        <v>1236171.2227556393</v>
      </c>
      <c r="L41" s="780">
        <f ca="1">SUM(Резиденты!$AK$113:'Резиденты'!$AN$113)</f>
        <v>1078094.6551032625</v>
      </c>
      <c r="M41" s="780">
        <f ca="1">SUM(Резиденты!$AO$113:'Резиденты'!$AR$113)</f>
        <v>996047.87130371691</v>
      </c>
      <c r="N41" s="782">
        <f ca="1">Резиденты!$AT$113</f>
        <v>7868231.0380067648</v>
      </c>
    </row>
    <row r="42" spans="1:14" ht="11.25" customHeight="1" x14ac:dyDescent="0.2">
      <c r="A42" s="414"/>
      <c r="B42" s="414"/>
      <c r="C42" s="399"/>
      <c r="D42" s="651"/>
      <c r="E42" s="651"/>
      <c r="F42" s="651"/>
      <c r="G42" s="651"/>
      <c r="H42" s="651"/>
      <c r="I42" s="651"/>
      <c r="J42" s="651"/>
      <c r="K42" s="651"/>
      <c r="L42" s="651"/>
      <c r="M42" s="651"/>
      <c r="N42" s="682"/>
    </row>
    <row r="43" spans="1:14" ht="11.25" customHeight="1" x14ac:dyDescent="0.2">
      <c r="A43" s="635" t="str">
        <f>Резиденты!$A$115</f>
        <v>Расчет амортизации недвижимости</v>
      </c>
      <c r="B43" s="599"/>
      <c r="C43" s="399"/>
      <c r="D43" s="651"/>
      <c r="E43" s="651"/>
      <c r="F43" s="651"/>
      <c r="G43" s="651"/>
      <c r="H43" s="651"/>
      <c r="I43" s="651"/>
      <c r="J43" s="651"/>
      <c r="K43" s="651"/>
      <c r="L43" s="651"/>
      <c r="M43" s="651"/>
      <c r="N43" s="682"/>
    </row>
    <row r="44" spans="1:14" ht="11.25" customHeight="1" x14ac:dyDescent="0.2">
      <c r="A44" s="636" t="str">
        <f>Резиденты!$A$116</f>
        <v>Ввод основных средств по годам:</v>
      </c>
      <c r="B44" s="686">
        <f>Резиденты!$B$116</f>
        <v>2021</v>
      </c>
      <c r="C44" s="717" t="str">
        <f>Резиденты!$C$116</f>
        <v>тыс. руб.</v>
      </c>
      <c r="D44" s="712">
        <f>SUM(Резиденты!$E$116:'Резиденты'!$H$116)</f>
        <v>0</v>
      </c>
      <c r="E44" s="712">
        <f ca="1">SUM(Резиденты!$I$116:'Резиденты'!$L$116)</f>
        <v>0</v>
      </c>
      <c r="F44" s="712">
        <f>SUM(Резиденты!$M$116:'Резиденты'!$P$116)</f>
        <v>0</v>
      </c>
      <c r="G44" s="712">
        <f>SUM(Резиденты!$Q$116:'Резиденты'!$T$116)</f>
        <v>0</v>
      </c>
      <c r="H44" s="712">
        <f>SUM(Резиденты!$U$116:'Резиденты'!$X$116)</f>
        <v>0</v>
      </c>
      <c r="I44" s="712">
        <f>SUM(Резиденты!$Y$116:'Резиденты'!$AB$116)</f>
        <v>0</v>
      </c>
      <c r="J44" s="712">
        <f>SUM(Резиденты!$AC$116:'Резиденты'!$AF$116)</f>
        <v>0</v>
      </c>
      <c r="K44" s="712">
        <f>SUM(Резиденты!$AG$116:'Резиденты'!$AJ$116)</f>
        <v>0</v>
      </c>
      <c r="L44" s="712">
        <f>SUM(Резиденты!$AK$116:'Резиденты'!$AN$116)</f>
        <v>0</v>
      </c>
      <c r="M44" s="712">
        <f>SUM(Резиденты!$AO$116:'Резиденты'!$AR$116)</f>
        <v>0</v>
      </c>
      <c r="N44" s="746">
        <f ca="1">Резиденты!$AT$116</f>
        <v>0</v>
      </c>
    </row>
    <row r="45" spans="1:14" ht="11.25" customHeight="1" x14ac:dyDescent="0.2">
      <c r="A45" s="636" t="str">
        <f>Резиденты!$A$117</f>
        <v>Ввод основных средств по годам:</v>
      </c>
      <c r="B45" s="686">
        <f>Резиденты!$B$117</f>
        <v>2022</v>
      </c>
      <c r="C45" s="717" t="str">
        <f>Резиденты!$C$117</f>
        <v>тыс. руб.</v>
      </c>
      <c r="D45" s="712">
        <f>SUM(Резиденты!$E$117:'Резиденты'!$H$117)</f>
        <v>0</v>
      </c>
      <c r="E45" s="712">
        <f>SUM(Резиденты!$I$117:'Резиденты'!$L$117)</f>
        <v>0</v>
      </c>
      <c r="F45" s="712">
        <f ca="1">SUM(Резиденты!$M$117:'Резиденты'!$P$117)</f>
        <v>0</v>
      </c>
      <c r="G45" s="712">
        <f>SUM(Резиденты!$Q$117:'Резиденты'!$T$117)</f>
        <v>0</v>
      </c>
      <c r="H45" s="712">
        <f>SUM(Резиденты!$U$117:'Резиденты'!$X$117)</f>
        <v>0</v>
      </c>
      <c r="I45" s="712">
        <f>SUM(Резиденты!$Y$117:'Резиденты'!$AB$117)</f>
        <v>0</v>
      </c>
      <c r="J45" s="712">
        <f>SUM(Резиденты!$AC$117:'Резиденты'!$AF$117)</f>
        <v>0</v>
      </c>
      <c r="K45" s="712">
        <f>SUM(Резиденты!$AG$117:'Резиденты'!$AJ$117)</f>
        <v>0</v>
      </c>
      <c r="L45" s="712">
        <f>SUM(Резиденты!$AK$117:'Резиденты'!$AN$117)</f>
        <v>0</v>
      </c>
      <c r="M45" s="712">
        <f>SUM(Резиденты!$AO$117:'Резиденты'!$AR$117)</f>
        <v>0</v>
      </c>
      <c r="N45" s="746">
        <f ca="1">Резиденты!$AT$117</f>
        <v>0</v>
      </c>
    </row>
    <row r="46" spans="1:14" ht="11.25" customHeight="1" x14ac:dyDescent="0.2">
      <c r="A46" s="636" t="str">
        <f>Резиденты!$A$118</f>
        <v>Ввод основных средств по годам:</v>
      </c>
      <c r="B46" s="686">
        <f>Резиденты!$B$118</f>
        <v>2023</v>
      </c>
      <c r="C46" s="717" t="str">
        <f>Резиденты!$C$118</f>
        <v>тыс. руб.</v>
      </c>
      <c r="D46" s="712">
        <f>SUM(Резиденты!$E$118:'Резиденты'!$H$118)</f>
        <v>0</v>
      </c>
      <c r="E46" s="712">
        <f>SUM(Резиденты!$I$118:'Резиденты'!$L$118)</f>
        <v>0</v>
      </c>
      <c r="F46" s="712">
        <f>SUM(Резиденты!$M$118:'Резиденты'!$P$118)</f>
        <v>0</v>
      </c>
      <c r="G46" s="712">
        <f ca="1">SUM(Резиденты!$Q$118:'Резиденты'!$T$118)</f>
        <v>0</v>
      </c>
      <c r="H46" s="712">
        <f>SUM(Резиденты!$U$118:'Резиденты'!$X$118)</f>
        <v>0</v>
      </c>
      <c r="I46" s="712">
        <f>SUM(Резиденты!$Y$118:'Резиденты'!$AB$118)</f>
        <v>0</v>
      </c>
      <c r="J46" s="712">
        <f>SUM(Резиденты!$AC$118:'Резиденты'!$AF$118)</f>
        <v>0</v>
      </c>
      <c r="K46" s="712">
        <f>SUM(Резиденты!$AG$118:'Резиденты'!$AJ$118)</f>
        <v>0</v>
      </c>
      <c r="L46" s="712">
        <f>SUM(Резиденты!$AK$118:'Резиденты'!$AN$118)</f>
        <v>0</v>
      </c>
      <c r="M46" s="712">
        <f>SUM(Резиденты!$AO$118:'Резиденты'!$AR$118)</f>
        <v>0</v>
      </c>
      <c r="N46" s="746">
        <f ca="1">Резиденты!$AT$118</f>
        <v>0</v>
      </c>
    </row>
    <row r="47" spans="1:14" ht="11.25" customHeight="1" x14ac:dyDescent="0.2">
      <c r="A47" s="636" t="str">
        <f>Резиденты!$A$119</f>
        <v>Ввод основных средств по годам:</v>
      </c>
      <c r="B47" s="686">
        <f>Резиденты!$B$119</f>
        <v>2024</v>
      </c>
      <c r="C47" s="717" t="str">
        <f>Резиденты!$C$119</f>
        <v>тыс. руб.</v>
      </c>
      <c r="D47" s="712">
        <f>SUM(Резиденты!$E$119:'Резиденты'!$H$119)</f>
        <v>0</v>
      </c>
      <c r="E47" s="712">
        <f>SUM(Резиденты!$I$119:'Резиденты'!$L$119)</f>
        <v>0</v>
      </c>
      <c r="F47" s="712">
        <f>SUM(Резиденты!$M$119:'Резиденты'!$P$119)</f>
        <v>0</v>
      </c>
      <c r="G47" s="712">
        <f>SUM(Резиденты!$Q$119:'Резиденты'!$T$119)</f>
        <v>0</v>
      </c>
      <c r="H47" s="712">
        <f ca="1">SUM(Резиденты!$U$119:'Резиденты'!$X$119)</f>
        <v>0</v>
      </c>
      <c r="I47" s="712">
        <f>SUM(Резиденты!$Y$119:'Резиденты'!$AB$119)</f>
        <v>0</v>
      </c>
      <c r="J47" s="712">
        <f>SUM(Резиденты!$AC$119:'Резиденты'!$AF$119)</f>
        <v>0</v>
      </c>
      <c r="K47" s="712">
        <f>SUM(Резиденты!$AG$119:'Резиденты'!$AJ$119)</f>
        <v>0</v>
      </c>
      <c r="L47" s="712">
        <f>SUM(Резиденты!$AK$119:'Резиденты'!$AN$119)</f>
        <v>0</v>
      </c>
      <c r="M47" s="712">
        <f>SUM(Резиденты!$AO$119:'Резиденты'!$AR$119)</f>
        <v>0</v>
      </c>
      <c r="N47" s="746">
        <f ca="1">Резиденты!$AT$119</f>
        <v>0</v>
      </c>
    </row>
    <row r="48" spans="1:14" ht="11.25" customHeight="1" x14ac:dyDescent="0.2">
      <c r="A48" s="636" t="str">
        <f>Резиденты!$A$120</f>
        <v>Ввод основных средств по годам:</v>
      </c>
      <c r="B48" s="686">
        <f>Резиденты!$B$120</f>
        <v>2025</v>
      </c>
      <c r="C48" s="717" t="str">
        <f>Резиденты!$C$120</f>
        <v>тыс. руб.</v>
      </c>
      <c r="D48" s="712">
        <f>SUM(Резиденты!$E$120:'Резиденты'!$H$120)</f>
        <v>0</v>
      </c>
      <c r="E48" s="712">
        <f>SUM(Резиденты!$I$120:'Резиденты'!$L$120)</f>
        <v>0</v>
      </c>
      <c r="F48" s="712">
        <f>SUM(Резиденты!$M$120:'Резиденты'!$P$120)</f>
        <v>0</v>
      </c>
      <c r="G48" s="712">
        <f>SUM(Резиденты!$Q$120:'Резиденты'!$T$120)</f>
        <v>0</v>
      </c>
      <c r="H48" s="712">
        <f>SUM(Резиденты!$U$120:'Резиденты'!$X$120)</f>
        <v>0</v>
      </c>
      <c r="I48" s="712">
        <f ca="1">SUM(Резиденты!$Y$120:'Резиденты'!$AB$120)</f>
        <v>0</v>
      </c>
      <c r="J48" s="712">
        <f>SUM(Резиденты!$AC$120:'Резиденты'!$AF$120)</f>
        <v>0</v>
      </c>
      <c r="K48" s="712">
        <f>SUM(Резиденты!$AG$120:'Резиденты'!$AJ$120)</f>
        <v>0</v>
      </c>
      <c r="L48" s="712">
        <f>SUM(Резиденты!$AK$120:'Резиденты'!$AN$120)</f>
        <v>0</v>
      </c>
      <c r="M48" s="712">
        <f>SUM(Резиденты!$AO$120:'Резиденты'!$AR$120)</f>
        <v>0</v>
      </c>
      <c r="N48" s="746">
        <f ca="1">Резиденты!$AT$120</f>
        <v>0</v>
      </c>
    </row>
    <row r="49" spans="1:14" ht="11.25" customHeight="1" x14ac:dyDescent="0.2">
      <c r="A49" s="636" t="str">
        <f>Резиденты!$A$121</f>
        <v>Ввод основных средств по годам:</v>
      </c>
      <c r="B49" s="686">
        <f>Резиденты!$B$121</f>
        <v>2026</v>
      </c>
      <c r="C49" s="717" t="str">
        <f>Резиденты!$C$121</f>
        <v>тыс. руб.</v>
      </c>
      <c r="D49" s="712">
        <f>SUM(Резиденты!$E$121:'Резиденты'!$H$121)</f>
        <v>0</v>
      </c>
      <c r="E49" s="712">
        <f>SUM(Резиденты!$I$121:'Резиденты'!$L$121)</f>
        <v>0</v>
      </c>
      <c r="F49" s="712">
        <f>SUM(Резиденты!$M$121:'Резиденты'!$P$121)</f>
        <v>0</v>
      </c>
      <c r="G49" s="712">
        <f>SUM(Резиденты!$Q$121:'Резиденты'!$T$121)</f>
        <v>0</v>
      </c>
      <c r="H49" s="712">
        <f>SUM(Резиденты!$U$121:'Резиденты'!$X$121)</f>
        <v>0</v>
      </c>
      <c r="I49" s="712">
        <f>SUM(Резиденты!$Y$121:'Резиденты'!$AB$121)</f>
        <v>0</v>
      </c>
      <c r="J49" s="712">
        <f ca="1">SUM(Резиденты!$AC$121:'Резиденты'!$AF$121)</f>
        <v>0</v>
      </c>
      <c r="K49" s="712">
        <f>SUM(Резиденты!$AG$121:'Резиденты'!$AJ$121)</f>
        <v>0</v>
      </c>
      <c r="L49" s="712">
        <f>SUM(Резиденты!$AK$121:'Резиденты'!$AN$121)</f>
        <v>0</v>
      </c>
      <c r="M49" s="712">
        <f>SUM(Резиденты!$AO$121:'Резиденты'!$AR$121)</f>
        <v>0</v>
      </c>
      <c r="N49" s="746">
        <f ca="1">Резиденты!$AT$121</f>
        <v>0</v>
      </c>
    </row>
    <row r="50" spans="1:14" ht="11.25" customHeight="1" x14ac:dyDescent="0.2">
      <c r="A50" s="636" t="str">
        <f>Резиденты!$A$122</f>
        <v>Ввод основных средств по годам:</v>
      </c>
      <c r="B50" s="686">
        <f>Резиденты!$B$122</f>
        <v>2027</v>
      </c>
      <c r="C50" s="717" t="str">
        <f>Резиденты!$C$122</f>
        <v>тыс. руб.</v>
      </c>
      <c r="D50" s="712">
        <f>SUM(Резиденты!$E$122:'Резиденты'!$H$122)</f>
        <v>0</v>
      </c>
      <c r="E50" s="712">
        <f>SUM(Резиденты!$I$122:'Резиденты'!$L$122)</f>
        <v>0</v>
      </c>
      <c r="F50" s="712">
        <f>SUM(Резиденты!$M$122:'Резиденты'!$P$122)</f>
        <v>0</v>
      </c>
      <c r="G50" s="712">
        <f>SUM(Резиденты!$Q$122:'Резиденты'!$T$122)</f>
        <v>0</v>
      </c>
      <c r="H50" s="712">
        <f>SUM(Резиденты!$U$122:'Резиденты'!$X$122)</f>
        <v>0</v>
      </c>
      <c r="I50" s="712">
        <f>SUM(Резиденты!$Y$122:'Резиденты'!$AB$122)</f>
        <v>0</v>
      </c>
      <c r="J50" s="712">
        <f>SUM(Резиденты!$AC$122:'Резиденты'!$AF$122)</f>
        <v>0</v>
      </c>
      <c r="K50" s="712">
        <f ca="1">SUM(Резиденты!$AG$122:'Резиденты'!$AJ$122)</f>
        <v>0</v>
      </c>
      <c r="L50" s="712">
        <f>SUM(Резиденты!$AK$122:'Резиденты'!$AN$122)</f>
        <v>0</v>
      </c>
      <c r="M50" s="712">
        <f>SUM(Резиденты!$AO$122:'Резиденты'!$AR$122)</f>
        <v>0</v>
      </c>
      <c r="N50" s="746">
        <f ca="1">Резиденты!$AT$122</f>
        <v>0</v>
      </c>
    </row>
    <row r="51" spans="1:14" ht="11.25" customHeight="1" x14ac:dyDescent="0.2">
      <c r="A51" s="636" t="str">
        <f>Резиденты!$A$123</f>
        <v>Ввод основных средств по годам:</v>
      </c>
      <c r="B51" s="686">
        <f>Резиденты!$B$123</f>
        <v>2028</v>
      </c>
      <c r="C51" s="717" t="str">
        <f>Резиденты!$C$123</f>
        <v>тыс. руб.</v>
      </c>
      <c r="D51" s="712">
        <f>SUM(Резиденты!$E$123:'Резиденты'!$H$123)</f>
        <v>0</v>
      </c>
      <c r="E51" s="712">
        <f>SUM(Резиденты!$I$123:'Резиденты'!$L$123)</f>
        <v>0</v>
      </c>
      <c r="F51" s="712">
        <f>SUM(Резиденты!$M$123:'Резиденты'!$P$123)</f>
        <v>0</v>
      </c>
      <c r="G51" s="712">
        <f>SUM(Резиденты!$Q$123:'Резиденты'!$T$123)</f>
        <v>0</v>
      </c>
      <c r="H51" s="712">
        <f>SUM(Резиденты!$U$123:'Резиденты'!$X$123)</f>
        <v>0</v>
      </c>
      <c r="I51" s="712">
        <f>SUM(Резиденты!$Y$123:'Резиденты'!$AB$123)</f>
        <v>0</v>
      </c>
      <c r="J51" s="712">
        <f>SUM(Резиденты!$AC$123:'Резиденты'!$AF$123)</f>
        <v>0</v>
      </c>
      <c r="K51" s="712">
        <f>SUM(Резиденты!$AG$123:'Резиденты'!$AJ$123)</f>
        <v>0</v>
      </c>
      <c r="L51" s="712">
        <f ca="1">SUM(Резиденты!$AK$123:'Резиденты'!$AN$123)</f>
        <v>409429.66220429027</v>
      </c>
      <c r="M51" s="712">
        <f>SUM(Резиденты!$AO$123:'Резиденты'!$AR$123)</f>
        <v>0</v>
      </c>
      <c r="N51" s="746">
        <f ca="1">Резиденты!$AT$123</f>
        <v>409429.66220429027</v>
      </c>
    </row>
    <row r="52" spans="1:14" ht="11.25" customHeight="1" x14ac:dyDescent="0.2">
      <c r="A52" s="636" t="str">
        <f>Резиденты!$A$124</f>
        <v>Ввод основных средств по годам:</v>
      </c>
      <c r="B52" s="686">
        <f>Резиденты!$B$124</f>
        <v>2029</v>
      </c>
      <c r="C52" s="717" t="str">
        <f>Резиденты!$C$124</f>
        <v>тыс. руб.</v>
      </c>
      <c r="D52" s="712">
        <f>SUM(Резиденты!$E$124:'Резиденты'!$H$124)</f>
        <v>0</v>
      </c>
      <c r="E52" s="712">
        <f>SUM(Резиденты!$I$124:'Резиденты'!$L$124)</f>
        <v>0</v>
      </c>
      <c r="F52" s="712">
        <f>SUM(Резиденты!$M$124:'Резиденты'!$P$124)</f>
        <v>0</v>
      </c>
      <c r="G52" s="712">
        <f>SUM(Резиденты!$Q$124:'Резиденты'!$T$124)</f>
        <v>0</v>
      </c>
      <c r="H52" s="712">
        <f>SUM(Резиденты!$U$124:'Резиденты'!$X$124)</f>
        <v>0</v>
      </c>
      <c r="I52" s="712">
        <f>SUM(Резиденты!$Y$124:'Резиденты'!$AB$124)</f>
        <v>0</v>
      </c>
      <c r="J52" s="712">
        <f>SUM(Резиденты!$AC$124:'Резиденты'!$AF$124)</f>
        <v>0</v>
      </c>
      <c r="K52" s="712">
        <f>SUM(Резиденты!$AG$124:'Резиденты'!$AJ$124)</f>
        <v>0</v>
      </c>
      <c r="L52" s="712">
        <f>SUM(Резиденты!$AK$124:'Резиденты'!$AN$124)</f>
        <v>0</v>
      </c>
      <c r="M52" s="712">
        <f ca="1">SUM(Резиденты!$AO$124:'Резиденты'!$AR$124)</f>
        <v>6376700.9574672151</v>
      </c>
      <c r="N52" s="746">
        <f ca="1">Резиденты!$AT$124</f>
        <v>6376700.9574672151</v>
      </c>
    </row>
    <row r="53" spans="1:14" ht="11.25" customHeight="1" x14ac:dyDescent="0.2">
      <c r="A53" s="632" t="str">
        <f>Резиденты!$A$125</f>
        <v>Начальная стоимость недвижимости</v>
      </c>
      <c r="B53" s="909"/>
      <c r="C53" s="783" t="str">
        <f>Резиденты!$C$125</f>
        <v>тыс. руб.</v>
      </c>
      <c r="D53" s="780">
        <f>SUM(Резиденты!$E$125:'Резиденты'!$H$125)</f>
        <v>0</v>
      </c>
      <c r="E53" s="780">
        <f ca="1">SUM(Резиденты!$I$125:'Резиденты'!$L$125)</f>
        <v>0</v>
      </c>
      <c r="F53" s="780">
        <f ca="1">SUM(Резиденты!$M$125:'Резиденты'!$P$125)</f>
        <v>0</v>
      </c>
      <c r="G53" s="780">
        <f ca="1">SUM(Резиденты!$Q$125:'Резиденты'!$T$125)</f>
        <v>0</v>
      </c>
      <c r="H53" s="780">
        <f ca="1">SUM(Резиденты!$U$125:'Резиденты'!$X$125)</f>
        <v>0</v>
      </c>
      <c r="I53" s="780">
        <f ca="1">SUM(Резиденты!$Y$125:'Резиденты'!$AB$125)</f>
        <v>0</v>
      </c>
      <c r="J53" s="780">
        <f ca="1">SUM(Резиденты!$AC$125:'Резиденты'!$AF$125)</f>
        <v>0</v>
      </c>
      <c r="K53" s="780">
        <f ca="1">SUM(Резиденты!$AG$125:'Резиденты'!$AJ$125)</f>
        <v>0</v>
      </c>
      <c r="L53" s="780">
        <f ca="1">SUM(Резиденты!$AK$125:'Резиденты'!$AN$125)</f>
        <v>409429.66220429027</v>
      </c>
      <c r="M53" s="780">
        <f ca="1">SUM(Резиденты!$AO$125:'Резиденты'!$AR$125)</f>
        <v>6376700.9574672151</v>
      </c>
      <c r="N53" s="782">
        <f ca="1">Резиденты!$AT$125</f>
        <v>6786130.6196715049</v>
      </c>
    </row>
    <row r="54" spans="1:14" ht="11.25" customHeight="1" x14ac:dyDescent="0.2">
      <c r="A54" s="665" t="str">
        <f>Резиденты!$A$126</f>
        <v>Срок амортизации</v>
      </c>
      <c r="B54" s="934">
        <f>Резиденты!$B$126</f>
        <v>20</v>
      </c>
      <c r="C54" s="717" t="str">
        <f>Резиденты!$C$126</f>
        <v>лет</v>
      </c>
      <c r="D54" s="651"/>
      <c r="E54" s="651"/>
      <c r="F54" s="651"/>
      <c r="G54" s="651"/>
      <c r="H54" s="651"/>
      <c r="I54" s="651"/>
      <c r="J54" s="651"/>
      <c r="K54" s="651"/>
      <c r="L54" s="651"/>
      <c r="M54" s="651"/>
      <c r="N54" s="682"/>
    </row>
    <row r="55" spans="1:14" ht="11.25" customHeight="1" x14ac:dyDescent="0.2">
      <c r="A55" s="636" t="str">
        <f>Резиденты!$A$127</f>
        <v>Амортизация основных средств, введеных в году:</v>
      </c>
      <c r="B55" s="686">
        <f>Резиденты!$B$127</f>
        <v>2021</v>
      </c>
      <c r="C55" s="717" t="str">
        <f>Резиденты!$C$127</f>
        <v>тыс. руб.</v>
      </c>
      <c r="D55" s="712">
        <f ca="1">SUM(Резиденты!$E$127:'Резиденты'!$H$127)</f>
        <v>0</v>
      </c>
      <c r="E55" s="712">
        <f ca="1">SUM(Резиденты!$I$127:'Резиденты'!$L$127)</f>
        <v>0</v>
      </c>
      <c r="F55" s="712">
        <f ca="1">SUM(Резиденты!$M$127:'Резиденты'!$P$127)</f>
        <v>0</v>
      </c>
      <c r="G55" s="712">
        <f ca="1">SUM(Резиденты!$Q$127:'Резиденты'!$T$127)</f>
        <v>0</v>
      </c>
      <c r="H55" s="712">
        <f ca="1">SUM(Резиденты!$U$127:'Резиденты'!$X$127)</f>
        <v>0</v>
      </c>
      <c r="I55" s="712">
        <f ca="1">SUM(Резиденты!$Y$127:'Резиденты'!$AB$127)</f>
        <v>0</v>
      </c>
      <c r="J55" s="712">
        <f ca="1">SUM(Резиденты!$AC$127:'Резиденты'!$AF$127)</f>
        <v>0</v>
      </c>
      <c r="K55" s="712">
        <f ca="1">SUM(Резиденты!$AG$127:'Резиденты'!$AJ$127)</f>
        <v>0</v>
      </c>
      <c r="L55" s="712">
        <f ca="1">SUM(Резиденты!$AK$127:'Резиденты'!$AN$127)</f>
        <v>0</v>
      </c>
      <c r="M55" s="712">
        <f ca="1">SUM(Резиденты!$AO$127:'Резиденты'!$AR$127)</f>
        <v>0</v>
      </c>
      <c r="N55" s="746">
        <f ca="1">Резиденты!$AT$127</f>
        <v>0</v>
      </c>
    </row>
    <row r="56" spans="1:14" ht="11.25" customHeight="1" x14ac:dyDescent="0.2">
      <c r="A56" s="636" t="str">
        <f>Резиденты!$A$128</f>
        <v>Амортизация основных средств, введеных в году:</v>
      </c>
      <c r="B56" s="686">
        <f>Резиденты!$B$128</f>
        <v>2022</v>
      </c>
      <c r="C56" s="717" t="str">
        <f>Резиденты!$C$128</f>
        <v>тыс. руб.</v>
      </c>
      <c r="D56" s="712">
        <f ca="1">SUM(Резиденты!$E$128:'Резиденты'!$H$128)</f>
        <v>0</v>
      </c>
      <c r="E56" s="712">
        <f ca="1">SUM(Резиденты!$I$128:'Резиденты'!$L$128)</f>
        <v>0</v>
      </c>
      <c r="F56" s="712">
        <f ca="1">SUM(Резиденты!$M$128:'Резиденты'!$P$128)</f>
        <v>0</v>
      </c>
      <c r="G56" s="712">
        <f ca="1">SUM(Резиденты!$Q$128:'Резиденты'!$T$128)</f>
        <v>0</v>
      </c>
      <c r="H56" s="712">
        <f ca="1">SUM(Резиденты!$U$128:'Резиденты'!$X$128)</f>
        <v>0</v>
      </c>
      <c r="I56" s="712">
        <f ca="1">SUM(Резиденты!$Y$128:'Резиденты'!$AB$128)</f>
        <v>0</v>
      </c>
      <c r="J56" s="712">
        <f ca="1">SUM(Резиденты!$AC$128:'Резиденты'!$AF$128)</f>
        <v>0</v>
      </c>
      <c r="K56" s="712">
        <f ca="1">SUM(Резиденты!$AG$128:'Резиденты'!$AJ$128)</f>
        <v>0</v>
      </c>
      <c r="L56" s="712">
        <f ca="1">SUM(Резиденты!$AK$128:'Резиденты'!$AN$128)</f>
        <v>0</v>
      </c>
      <c r="M56" s="712">
        <f ca="1">SUM(Резиденты!$AO$128:'Резиденты'!$AR$128)</f>
        <v>0</v>
      </c>
      <c r="N56" s="746">
        <f ca="1">Резиденты!$AT$128</f>
        <v>0</v>
      </c>
    </row>
    <row r="57" spans="1:14" ht="11.25" customHeight="1" x14ac:dyDescent="0.2">
      <c r="A57" s="636" t="str">
        <f>Резиденты!$A$129</f>
        <v>Амортизация основных средств, введеных в году:</v>
      </c>
      <c r="B57" s="686">
        <f>Резиденты!$B$129</f>
        <v>2023</v>
      </c>
      <c r="C57" s="717" t="str">
        <f>Резиденты!$C$129</f>
        <v>тыс. руб.</v>
      </c>
      <c r="D57" s="712">
        <f ca="1">SUM(Резиденты!$E$129:'Резиденты'!$H$129)</f>
        <v>0</v>
      </c>
      <c r="E57" s="712">
        <f ca="1">SUM(Резиденты!$I$129:'Резиденты'!$L$129)</f>
        <v>0</v>
      </c>
      <c r="F57" s="712">
        <f ca="1">SUM(Резиденты!$M$129:'Резиденты'!$P$129)</f>
        <v>0</v>
      </c>
      <c r="G57" s="712">
        <f ca="1">SUM(Резиденты!$Q$129:'Резиденты'!$T$129)</f>
        <v>0</v>
      </c>
      <c r="H57" s="712">
        <f ca="1">SUM(Резиденты!$U$129:'Резиденты'!$X$129)</f>
        <v>0</v>
      </c>
      <c r="I57" s="712">
        <f ca="1">SUM(Резиденты!$Y$129:'Резиденты'!$AB$129)</f>
        <v>0</v>
      </c>
      <c r="J57" s="712">
        <f ca="1">SUM(Резиденты!$AC$129:'Резиденты'!$AF$129)</f>
        <v>0</v>
      </c>
      <c r="K57" s="712">
        <f ca="1">SUM(Резиденты!$AG$129:'Резиденты'!$AJ$129)</f>
        <v>0</v>
      </c>
      <c r="L57" s="712">
        <f ca="1">SUM(Резиденты!$AK$129:'Резиденты'!$AN$129)</f>
        <v>0</v>
      </c>
      <c r="M57" s="712">
        <f ca="1">SUM(Резиденты!$AO$129:'Резиденты'!$AR$129)</f>
        <v>0</v>
      </c>
      <c r="N57" s="746">
        <f ca="1">Резиденты!$AT$129</f>
        <v>0</v>
      </c>
    </row>
    <row r="58" spans="1:14" ht="11.25" customHeight="1" x14ac:dyDescent="0.2">
      <c r="A58" s="636" t="str">
        <f>Резиденты!$A$130</f>
        <v>Амортизация основных средств, введеных в году:</v>
      </c>
      <c r="B58" s="686">
        <f>Резиденты!$B$130</f>
        <v>2024</v>
      </c>
      <c r="C58" s="717" t="str">
        <f>Резиденты!$C$130</f>
        <v>тыс. руб.</v>
      </c>
      <c r="D58" s="712">
        <f ca="1">SUM(Резиденты!$E$130:'Резиденты'!$H$130)</f>
        <v>0</v>
      </c>
      <c r="E58" s="712">
        <f ca="1">SUM(Резиденты!$I$130:'Резиденты'!$L$130)</f>
        <v>0</v>
      </c>
      <c r="F58" s="712">
        <f ca="1">SUM(Резиденты!$M$130:'Резиденты'!$P$130)</f>
        <v>0</v>
      </c>
      <c r="G58" s="712">
        <f ca="1">SUM(Резиденты!$Q$130:'Резиденты'!$T$130)</f>
        <v>0</v>
      </c>
      <c r="H58" s="712">
        <f ca="1">SUM(Резиденты!$U$130:'Резиденты'!$X$130)</f>
        <v>0</v>
      </c>
      <c r="I58" s="712">
        <f ca="1">SUM(Резиденты!$Y$130:'Резиденты'!$AB$130)</f>
        <v>0</v>
      </c>
      <c r="J58" s="712">
        <f ca="1">SUM(Резиденты!$AC$130:'Резиденты'!$AF$130)</f>
        <v>0</v>
      </c>
      <c r="K58" s="712">
        <f ca="1">SUM(Резиденты!$AG$130:'Резиденты'!$AJ$130)</f>
        <v>0</v>
      </c>
      <c r="L58" s="712">
        <f ca="1">SUM(Резиденты!$AK$130:'Резиденты'!$AN$130)</f>
        <v>0</v>
      </c>
      <c r="M58" s="712">
        <f ca="1">SUM(Резиденты!$AO$130:'Резиденты'!$AR$130)</f>
        <v>0</v>
      </c>
      <c r="N58" s="746">
        <f ca="1">Резиденты!$AT$130</f>
        <v>0</v>
      </c>
    </row>
    <row r="59" spans="1:14" ht="11.25" customHeight="1" x14ac:dyDescent="0.2">
      <c r="A59" s="636" t="str">
        <f>Резиденты!$A$131</f>
        <v>Амортизация основных средств, введеных в году:</v>
      </c>
      <c r="B59" s="686">
        <f>Резиденты!$B$131</f>
        <v>2025</v>
      </c>
      <c r="C59" s="717" t="str">
        <f>Резиденты!$C$131</f>
        <v>тыс. руб.</v>
      </c>
      <c r="D59" s="712">
        <f ca="1">SUM(Резиденты!$E$131:'Резиденты'!$H$131)</f>
        <v>0</v>
      </c>
      <c r="E59" s="712">
        <f ca="1">SUM(Резиденты!$I$131:'Резиденты'!$L$131)</f>
        <v>0</v>
      </c>
      <c r="F59" s="712">
        <f ca="1">SUM(Резиденты!$M$131:'Резиденты'!$P$131)</f>
        <v>0</v>
      </c>
      <c r="G59" s="712">
        <f ca="1">SUM(Резиденты!$Q$131:'Резиденты'!$T$131)</f>
        <v>0</v>
      </c>
      <c r="H59" s="712">
        <f ca="1">SUM(Резиденты!$U$131:'Резиденты'!$X$131)</f>
        <v>0</v>
      </c>
      <c r="I59" s="712">
        <f ca="1">SUM(Резиденты!$Y$131:'Резиденты'!$AB$131)</f>
        <v>0</v>
      </c>
      <c r="J59" s="712">
        <f ca="1">SUM(Резиденты!$AC$131:'Резиденты'!$AF$131)</f>
        <v>0</v>
      </c>
      <c r="K59" s="712">
        <f ca="1">SUM(Резиденты!$AG$131:'Резиденты'!$AJ$131)</f>
        <v>0</v>
      </c>
      <c r="L59" s="712">
        <f ca="1">SUM(Резиденты!$AK$131:'Резиденты'!$AN$131)</f>
        <v>0</v>
      </c>
      <c r="M59" s="712">
        <f ca="1">SUM(Резиденты!$AO$131:'Резиденты'!$AR$131)</f>
        <v>0</v>
      </c>
      <c r="N59" s="746">
        <f ca="1">Резиденты!$AT$131</f>
        <v>0</v>
      </c>
    </row>
    <row r="60" spans="1:14" ht="11.25" customHeight="1" x14ac:dyDescent="0.2">
      <c r="A60" s="636" t="str">
        <f>Резиденты!$A$132</f>
        <v>Амортизация основных средств, введеных в году:</v>
      </c>
      <c r="B60" s="686">
        <f>Резиденты!$B$132</f>
        <v>2026</v>
      </c>
      <c r="C60" s="717" t="str">
        <f>Резиденты!$C$132</f>
        <v>тыс. руб.</v>
      </c>
      <c r="D60" s="712">
        <f ca="1">SUM(Резиденты!$E$132:'Резиденты'!$H$132)</f>
        <v>0</v>
      </c>
      <c r="E60" s="712">
        <f ca="1">SUM(Резиденты!$I$132:'Резиденты'!$L$132)</f>
        <v>0</v>
      </c>
      <c r="F60" s="712">
        <f ca="1">SUM(Резиденты!$M$132:'Резиденты'!$P$132)</f>
        <v>0</v>
      </c>
      <c r="G60" s="712">
        <f ca="1">SUM(Резиденты!$Q$132:'Резиденты'!$T$132)</f>
        <v>0</v>
      </c>
      <c r="H60" s="712">
        <f ca="1">SUM(Резиденты!$U$132:'Резиденты'!$X$132)</f>
        <v>0</v>
      </c>
      <c r="I60" s="712">
        <f ca="1">SUM(Резиденты!$Y$132:'Резиденты'!$AB$132)</f>
        <v>0</v>
      </c>
      <c r="J60" s="712">
        <f ca="1">SUM(Резиденты!$AC$132:'Резиденты'!$AF$132)</f>
        <v>0</v>
      </c>
      <c r="K60" s="712">
        <f ca="1">SUM(Резиденты!$AG$132:'Резиденты'!$AJ$132)</f>
        <v>0</v>
      </c>
      <c r="L60" s="712">
        <f ca="1">SUM(Резиденты!$AK$132:'Резиденты'!$AN$132)</f>
        <v>0</v>
      </c>
      <c r="M60" s="712">
        <f ca="1">SUM(Резиденты!$AO$132:'Резиденты'!$AR$132)</f>
        <v>0</v>
      </c>
      <c r="N60" s="746">
        <f ca="1">Резиденты!$AT$132</f>
        <v>0</v>
      </c>
    </row>
    <row r="61" spans="1:14" ht="11.25" customHeight="1" x14ac:dyDescent="0.2">
      <c r="A61" s="636" t="str">
        <f>Резиденты!$A$133</f>
        <v>Амортизация основных средств, введеных в году:</v>
      </c>
      <c r="B61" s="686">
        <f>Резиденты!$B$133</f>
        <v>2027</v>
      </c>
      <c r="C61" s="717" t="str">
        <f>Резиденты!$C$133</f>
        <v>тыс. руб.</v>
      </c>
      <c r="D61" s="712">
        <f ca="1">SUM(Резиденты!$E$133:'Резиденты'!$H$133)</f>
        <v>0</v>
      </c>
      <c r="E61" s="712">
        <f ca="1">SUM(Резиденты!$I$133:'Резиденты'!$L$133)</f>
        <v>0</v>
      </c>
      <c r="F61" s="712">
        <f ca="1">SUM(Резиденты!$M$133:'Резиденты'!$P$133)</f>
        <v>0</v>
      </c>
      <c r="G61" s="712">
        <f ca="1">SUM(Резиденты!$Q$133:'Резиденты'!$T$133)</f>
        <v>0</v>
      </c>
      <c r="H61" s="712">
        <f ca="1">SUM(Резиденты!$U$133:'Резиденты'!$X$133)</f>
        <v>0</v>
      </c>
      <c r="I61" s="712">
        <f ca="1">SUM(Резиденты!$Y$133:'Резиденты'!$AB$133)</f>
        <v>0</v>
      </c>
      <c r="J61" s="712">
        <f ca="1">SUM(Резиденты!$AC$133:'Резиденты'!$AF$133)</f>
        <v>0</v>
      </c>
      <c r="K61" s="712">
        <f ca="1">SUM(Резиденты!$AG$133:'Резиденты'!$AJ$133)</f>
        <v>0</v>
      </c>
      <c r="L61" s="712">
        <f ca="1">SUM(Резиденты!$AK$133:'Резиденты'!$AN$133)</f>
        <v>0</v>
      </c>
      <c r="M61" s="712">
        <f ca="1">SUM(Резиденты!$AO$133:'Резиденты'!$AR$133)</f>
        <v>0</v>
      </c>
      <c r="N61" s="746">
        <f ca="1">Резиденты!$AT$133</f>
        <v>0</v>
      </c>
    </row>
    <row r="62" spans="1:14" ht="11.25" customHeight="1" x14ac:dyDescent="0.2">
      <c r="A62" s="636" t="str">
        <f>Резиденты!$A$134</f>
        <v>Амортизация основных средств, введеных в году:</v>
      </c>
      <c r="B62" s="686">
        <f>Резиденты!$B$134</f>
        <v>2028</v>
      </c>
      <c r="C62" s="717" t="str">
        <f>Резиденты!$C$134</f>
        <v>тыс. руб.</v>
      </c>
      <c r="D62" s="712">
        <f ca="1">SUM(Резиденты!$E$134:'Резиденты'!$H$134)</f>
        <v>0</v>
      </c>
      <c r="E62" s="712">
        <f ca="1">SUM(Резиденты!$I$134:'Резиденты'!$L$134)</f>
        <v>0</v>
      </c>
      <c r="F62" s="712">
        <f ca="1">SUM(Резиденты!$M$134:'Резиденты'!$P$134)</f>
        <v>0</v>
      </c>
      <c r="G62" s="712">
        <f ca="1">SUM(Резиденты!$Q$134:'Резиденты'!$T$134)</f>
        <v>0</v>
      </c>
      <c r="H62" s="712">
        <f ca="1">SUM(Резиденты!$U$134:'Резиденты'!$X$134)</f>
        <v>0</v>
      </c>
      <c r="I62" s="712">
        <f ca="1">SUM(Резиденты!$Y$134:'Резиденты'!$AB$134)</f>
        <v>0</v>
      </c>
      <c r="J62" s="712">
        <f ca="1">SUM(Резиденты!$AC$134:'Резиденты'!$AF$134)</f>
        <v>0</v>
      </c>
      <c r="K62" s="712">
        <f ca="1">SUM(Резиденты!$AG$134:'Резиденты'!$AJ$134)</f>
        <v>0</v>
      </c>
      <c r="L62" s="712">
        <f ca="1">SUM(Резиденты!$AK$134:'Резиденты'!$AN$134)</f>
        <v>10235.741555107257</v>
      </c>
      <c r="M62" s="712">
        <f ca="1">SUM(Резиденты!$AO$134:'Резиденты'!$AR$134)</f>
        <v>20471.483110214514</v>
      </c>
      <c r="N62" s="746">
        <f ca="1">Резиденты!$AT$134</f>
        <v>30707.22466532177</v>
      </c>
    </row>
    <row r="63" spans="1:14" ht="11.25" customHeight="1" x14ac:dyDescent="0.2">
      <c r="A63" s="636" t="str">
        <f>Резиденты!$A$135</f>
        <v>Амортизация основных средств, введеных в году:</v>
      </c>
      <c r="B63" s="686">
        <f>Резиденты!$B$135</f>
        <v>2029</v>
      </c>
      <c r="C63" s="717" t="str">
        <f>Резиденты!$C$135</f>
        <v>тыс. руб.</v>
      </c>
      <c r="D63" s="712">
        <f ca="1">SUM(Резиденты!$E$135:'Резиденты'!$H$135)</f>
        <v>0</v>
      </c>
      <c r="E63" s="712">
        <f ca="1">SUM(Резиденты!$I$135:'Резиденты'!$L$135)</f>
        <v>0</v>
      </c>
      <c r="F63" s="712">
        <f ca="1">SUM(Резиденты!$M$135:'Резиденты'!$P$135)</f>
        <v>0</v>
      </c>
      <c r="G63" s="712">
        <f ca="1">SUM(Резиденты!$Q$135:'Резиденты'!$T$135)</f>
        <v>0</v>
      </c>
      <c r="H63" s="712">
        <f ca="1">SUM(Резиденты!$U$135:'Резиденты'!$X$135)</f>
        <v>0</v>
      </c>
      <c r="I63" s="712">
        <f ca="1">SUM(Резиденты!$Y$135:'Резиденты'!$AB$135)</f>
        <v>0</v>
      </c>
      <c r="J63" s="712">
        <f ca="1">SUM(Резиденты!$AC$135:'Резиденты'!$AF$135)</f>
        <v>0</v>
      </c>
      <c r="K63" s="712">
        <f ca="1">SUM(Резиденты!$AG$135:'Резиденты'!$AJ$135)</f>
        <v>0</v>
      </c>
      <c r="L63" s="712">
        <f ca="1">SUM(Резиденты!$AK$135:'Резиденты'!$AN$135)</f>
        <v>0</v>
      </c>
      <c r="M63" s="712">
        <f ca="1">SUM(Резиденты!$AO$135:'Резиденты'!$AR$135)</f>
        <v>159417.52393668037</v>
      </c>
      <c r="N63" s="746">
        <f ca="1">Резиденты!$AT$135</f>
        <v>159417.52393668037</v>
      </c>
    </row>
    <row r="64" spans="1:14" ht="11.25" customHeight="1" x14ac:dyDescent="0.2">
      <c r="A64" s="633" t="str">
        <f>Резиденты!$A$136</f>
        <v>Итого амортизация недвижимости</v>
      </c>
      <c r="B64" s="916"/>
      <c r="C64" s="778" t="str">
        <f>Резиденты!$C$136</f>
        <v>тыс. руб.</v>
      </c>
      <c r="D64" s="780">
        <f ca="1">SUM(Резиденты!$E$136:'Резиденты'!$H$136)</f>
        <v>0</v>
      </c>
      <c r="E64" s="780">
        <f ca="1">SUM(Резиденты!$I$136:'Резиденты'!$L$136)</f>
        <v>0</v>
      </c>
      <c r="F64" s="780">
        <f ca="1">SUM(Резиденты!$M$136:'Резиденты'!$P$136)</f>
        <v>0</v>
      </c>
      <c r="G64" s="780">
        <f ca="1">SUM(Резиденты!$Q$136:'Резиденты'!$T$136)</f>
        <v>0</v>
      </c>
      <c r="H64" s="780">
        <f ca="1">SUM(Резиденты!$U$136:'Резиденты'!$X$136)</f>
        <v>0</v>
      </c>
      <c r="I64" s="780">
        <f ca="1">SUM(Резиденты!$Y$136:'Резиденты'!$AB$136)</f>
        <v>0</v>
      </c>
      <c r="J64" s="780">
        <f ca="1">SUM(Резиденты!$AC$136:'Резиденты'!$AF$136)</f>
        <v>0</v>
      </c>
      <c r="K64" s="780">
        <f ca="1">SUM(Резиденты!$AG$136:'Резиденты'!$AJ$136)</f>
        <v>0</v>
      </c>
      <c r="L64" s="780">
        <f ca="1">SUM(Резиденты!$AK$136:'Резиденты'!$AN$136)</f>
        <v>10235.741555107257</v>
      </c>
      <c r="M64" s="780">
        <f ca="1">SUM(Резиденты!$AO$136:'Резиденты'!$AR$136)</f>
        <v>179889.0070468949</v>
      </c>
      <c r="N64" s="782">
        <f ca="1">Резиденты!$AT$136</f>
        <v>190124.74860200216</v>
      </c>
    </row>
    <row r="65" spans="1:14" ht="11.25" customHeight="1" x14ac:dyDescent="0.2">
      <c r="A65" s="599"/>
      <c r="B65" s="599"/>
      <c r="C65" s="599"/>
      <c r="D65" s="599"/>
      <c r="E65" s="599"/>
      <c r="F65" s="599"/>
      <c r="G65" s="599"/>
      <c r="H65" s="599"/>
      <c r="I65" s="599"/>
      <c r="J65" s="599"/>
      <c r="K65" s="599"/>
      <c r="L65" s="599"/>
      <c r="M65" s="599"/>
      <c r="N65" s="682"/>
    </row>
    <row r="66" spans="1:14" ht="11.25" customHeight="1" x14ac:dyDescent="0.2">
      <c r="A66" s="599"/>
      <c r="B66" s="599"/>
      <c r="C66" s="599"/>
      <c r="D66" s="599"/>
      <c r="E66" s="599"/>
      <c r="F66" s="599"/>
      <c r="G66" s="599"/>
      <c r="H66" s="599"/>
      <c r="I66" s="599"/>
      <c r="J66" s="599"/>
      <c r="K66" s="599"/>
      <c r="L66" s="599"/>
      <c r="M66" s="599"/>
      <c r="N66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19&amp;R&amp;"Arial,полужирный"&amp;10Проект создания ИП «Бугры» на территории Ленинградской области
&amp;C&amp;"Arial,полужирный"&amp;13
РАСЧЕТ НАЛОГА НА ПРИБЫЛЬ РЕЗИДЕНТОВ И АМОРТИЗАЦИИ ИМУЩЕСТВА</oddHeader>
    <oddFooter>&amp;R&amp;P</oddFooter>
  </headerFooter>
  <rowBreaks count="2" manualBreakCount="2">
    <brk id="16" max="16383" man="1"/>
    <brk id="4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45"/>
  <dimension ref="A1:M8"/>
  <sheetViews>
    <sheetView workbookViewId="0"/>
  </sheetViews>
  <sheetFormatPr defaultRowHeight="12.75" x14ac:dyDescent="0.2"/>
  <cols>
    <col min="1" max="1" width="40.7109375" customWidth="1"/>
    <col min="2" max="2" width="9.85546875" customWidth="1"/>
    <col min="3" max="13" width="8.140625" customWidth="1"/>
  </cols>
  <sheetData>
    <row r="1" spans="1:13" s="301" customFormat="1" ht="26.1" customHeight="1" x14ac:dyDescent="0.2">
      <c r="A1" s="613" t="str">
        <f>Резиденты!$A$141</f>
        <v>РАСЧЕТ НАЛОГА НА ИМУЩЕСТВО РЕЗИДЕНТОВ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  <c r="M1" s="614" t="str">
        <f>Резиденты!$AT$141</f>
        <v>ИТОГО</v>
      </c>
    </row>
    <row r="2" spans="1:13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682"/>
    </row>
    <row r="3" spans="1:13" ht="22.5" x14ac:dyDescent="0.2">
      <c r="A3" s="796" t="str">
        <f>Резиденты!$A$143</f>
        <v>Остаточная стоимость недвижимого имущества на балансе резидентов</v>
      </c>
      <c r="B3" s="664" t="str">
        <f>Резиденты!$C$143</f>
        <v>тыс. руб.</v>
      </c>
      <c r="C3" s="713">
        <f ca="1">Резиденты!$H$143</f>
        <v>0</v>
      </c>
      <c r="D3" s="713">
        <f ca="1">Резиденты!$L$143</f>
        <v>0</v>
      </c>
      <c r="E3" s="713">
        <f ca="1">Резиденты!$P$143</f>
        <v>0</v>
      </c>
      <c r="F3" s="713">
        <f ca="1">Резиденты!$T$143</f>
        <v>0</v>
      </c>
      <c r="G3" s="713">
        <f ca="1">Резиденты!$X$143</f>
        <v>0</v>
      </c>
      <c r="H3" s="713">
        <f ca="1">Резиденты!$AB$143</f>
        <v>0</v>
      </c>
      <c r="I3" s="713">
        <f ca="1">Резиденты!$AF$143</f>
        <v>0</v>
      </c>
      <c r="J3" s="713">
        <f ca="1">Резиденты!$AJ$143</f>
        <v>0</v>
      </c>
      <c r="K3" s="713">
        <f ca="1">Резиденты!$AN$143</f>
        <v>399193.92064918304</v>
      </c>
      <c r="L3" s="714">
        <f ca="1">Резиденты!$AR$143</f>
        <v>6596005.871069503</v>
      </c>
      <c r="M3" s="652"/>
    </row>
    <row r="4" spans="1:13" ht="11.25" customHeight="1" x14ac:dyDescent="0.2">
      <c r="A4" s="599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682"/>
    </row>
    <row r="5" spans="1:13" ht="11.25" customHeight="1" x14ac:dyDescent="0.2">
      <c r="A5" s="636" t="str">
        <f>Резиденты!$A$145</f>
        <v>Налог на имущество начисленный</v>
      </c>
      <c r="B5" s="717" t="str">
        <f>Резиденты!$C$145</f>
        <v>тыс. руб.</v>
      </c>
      <c r="C5" s="712">
        <f ca="1">SUM(Резиденты!$E$145:'Резиденты'!$H$145)</f>
        <v>0</v>
      </c>
      <c r="D5" s="712">
        <f ca="1">SUM(Резиденты!$I$145:'Резиденты'!$L$145)</f>
        <v>0</v>
      </c>
      <c r="E5" s="712">
        <f ca="1">SUM(Резиденты!$M$145:'Резиденты'!$P$145)</f>
        <v>0</v>
      </c>
      <c r="F5" s="712">
        <f ca="1">SUM(Резиденты!$Q$145:'Резиденты'!$T$145)</f>
        <v>0</v>
      </c>
      <c r="G5" s="712">
        <f ca="1">SUM(Резиденты!$U$145:'Резиденты'!$X$145)</f>
        <v>0</v>
      </c>
      <c r="H5" s="712">
        <f ca="1">SUM(Резиденты!$Y$145:'Резиденты'!$AB$145)</f>
        <v>0</v>
      </c>
      <c r="I5" s="712">
        <f ca="1">SUM(Резиденты!$AC$145:'Резиденты'!$AF$145)</f>
        <v>0</v>
      </c>
      <c r="J5" s="712">
        <f ca="1">SUM(Резиденты!$AG$145:'Резиденты'!$AJ$145)</f>
        <v>0</v>
      </c>
      <c r="K5" s="712">
        <f ca="1">SUM(Резиденты!$AK$145:'Резиденты'!$AN$145)</f>
        <v>4419.2814164175579</v>
      </c>
      <c r="L5" s="712">
        <f ca="1">SUM(Резиденты!$AO$145:'Резиденты'!$AR$145)</f>
        <v>77329.299321178318</v>
      </c>
      <c r="M5" s="746">
        <f ca="1">Резиденты!$AT$145</f>
        <v>81748.580737595883</v>
      </c>
    </row>
    <row r="6" spans="1:13" ht="11.25" customHeight="1" x14ac:dyDescent="0.2">
      <c r="A6" s="637" t="str">
        <f>Резиденты!$A$146</f>
        <v>Налог на имущество уплаченный</v>
      </c>
      <c r="B6" s="664" t="str">
        <f>Резиденты!$C$146</f>
        <v>тыс. руб.</v>
      </c>
      <c r="C6" s="713">
        <f ca="1">SUM(Резиденты!$E$146:'Резиденты'!$H$146)</f>
        <v>0</v>
      </c>
      <c r="D6" s="713">
        <f ca="1">SUM(Резиденты!$I$146:'Резиденты'!$L$146)</f>
        <v>0</v>
      </c>
      <c r="E6" s="713">
        <f ca="1">SUM(Резиденты!$M$146:'Резиденты'!$P$146)</f>
        <v>0</v>
      </c>
      <c r="F6" s="713">
        <f ca="1">SUM(Резиденты!$Q$146:'Резиденты'!$T$146)</f>
        <v>0</v>
      </c>
      <c r="G6" s="713">
        <f ca="1">SUM(Резиденты!$U$146:'Резиденты'!$X$146)</f>
        <v>0</v>
      </c>
      <c r="H6" s="713">
        <f ca="1">SUM(Резиденты!$Y$146:'Резиденты'!$AB$146)</f>
        <v>0</v>
      </c>
      <c r="I6" s="713">
        <f ca="1">SUM(Резиденты!$AC$146:'Резиденты'!$AF$146)</f>
        <v>0</v>
      </c>
      <c r="J6" s="713">
        <f ca="1">SUM(Резиденты!$AG$146:'Резиденты'!$AJ$146)</f>
        <v>0</v>
      </c>
      <c r="K6" s="713">
        <f ca="1">SUM(Резиденты!$AK$146:'Резиденты'!$AN$146)</f>
        <v>2223.7148528470511</v>
      </c>
      <c r="L6" s="713">
        <f ca="1">SUM(Резиденты!$AO$146:'Резиденты'!$AR$146)</f>
        <v>43246.833593866562</v>
      </c>
      <c r="M6" s="744">
        <f ca="1">Резиденты!$AT$146</f>
        <v>45470.548446713612</v>
      </c>
    </row>
    <row r="7" spans="1:13" ht="11.25" customHeight="1" x14ac:dyDescent="0.2">
      <c r="A7" s="599"/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682"/>
    </row>
    <row r="8" spans="1:13" ht="11.25" customHeight="1" x14ac:dyDescent="0.2">
      <c r="A8" s="59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20&amp;R&amp;"Arial,полужирный"&amp;10Проект создания ИП «Бугры» на территории Ленинградской области
&amp;C&amp;"Arial,полужирный"&amp;13
РАСЧЕТ НАЛОГА НА ИМУЩЕСТВО РЕЗИДЕНТОВ</oddHead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46"/>
  <dimension ref="A1:M18"/>
  <sheetViews>
    <sheetView workbookViewId="0"/>
  </sheetViews>
  <sheetFormatPr defaultRowHeight="12.75" x14ac:dyDescent="0.2"/>
  <cols>
    <col min="1" max="1" width="44" customWidth="1"/>
    <col min="2" max="2" width="9.85546875" customWidth="1"/>
    <col min="3" max="13" width="8" customWidth="1"/>
  </cols>
  <sheetData>
    <row r="1" spans="1:13" s="301" customFormat="1" ht="26.1" customHeight="1" x14ac:dyDescent="0.2">
      <c r="A1" s="613" t="str">
        <f>Резиденты!$A$151</f>
        <v>РАСЧЕТ СТРАХОВЫХ ВЗНОСОВ И НДФЛ РЕЗИДЕНТОВ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  <c r="M1" s="614" t="str">
        <f>Резиденты!$AT$151</f>
        <v>ИТОГО</v>
      </c>
    </row>
    <row r="2" spans="1:13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682"/>
    </row>
    <row r="3" spans="1:13" ht="22.5" customHeight="1" x14ac:dyDescent="0.2">
      <c r="A3" s="797" t="str">
        <f>Резиденты!$A$153</f>
        <v>Потенциальные рабочие места новых резидентов нарастающим итогом</v>
      </c>
      <c r="B3" s="717" t="str">
        <f>Резиденты!$C$153</f>
        <v>единиц</v>
      </c>
      <c r="C3" s="712">
        <f ca="1">Резиденты!$H$153</f>
        <v>274</v>
      </c>
      <c r="D3" s="712">
        <f ca="1">Резиденты!$L$153</f>
        <v>274</v>
      </c>
      <c r="E3" s="712">
        <f ca="1">Резиденты!$P$153</f>
        <v>410</v>
      </c>
      <c r="F3" s="712">
        <f ca="1">Резиденты!$T$153</f>
        <v>478</v>
      </c>
      <c r="G3" s="712">
        <f ca="1">Резиденты!$X$153</f>
        <v>1521</v>
      </c>
      <c r="H3" s="712">
        <f ca="1">Резиденты!$AB$153</f>
        <v>1521</v>
      </c>
      <c r="I3" s="712">
        <f ca="1">Резиденты!$AF$153</f>
        <v>1521</v>
      </c>
      <c r="J3" s="712">
        <f ca="1">Резиденты!$AJ$153</f>
        <v>1521</v>
      </c>
      <c r="K3" s="712">
        <f ca="1">Резиденты!$AN$153</f>
        <v>1521</v>
      </c>
      <c r="L3" s="718">
        <f ca="1">Резиденты!$AR$153</f>
        <v>1521</v>
      </c>
      <c r="M3" s="682"/>
    </row>
    <row r="4" spans="1:13" ht="11.25" customHeight="1" x14ac:dyDescent="0.2">
      <c r="A4" s="668" t="str">
        <f>Резиденты!$A$154</f>
        <v>Средняя заработная плата (в месяц)</v>
      </c>
      <c r="B4" s="717" t="str">
        <f>Резиденты!$C$154</f>
        <v>тыс. руб.</v>
      </c>
      <c r="C4" s="761">
        <f ca="1">Резиденты!$H$154</f>
        <v>56.234999999999999</v>
      </c>
      <c r="D4" s="761">
        <f ca="1">Резиденты!$L$154</f>
        <v>58.981206192330752</v>
      </c>
      <c r="E4" s="761">
        <f ca="1">Резиденты!$P$154</f>
        <v>63.008521749596298</v>
      </c>
      <c r="F4" s="761">
        <f ca="1">Резиденты!$T$154</f>
        <v>67.324226648133035</v>
      </c>
      <c r="G4" s="761">
        <f ca="1">Резиденты!$X$154</f>
        <v>71.987304888057238</v>
      </c>
      <c r="H4" s="761">
        <f ca="1">Резиденты!$AB$154</f>
        <v>76.949864420166037</v>
      </c>
      <c r="I4" s="761">
        <f ca="1">Резиденты!$AF$154</f>
        <v>82.197900921311501</v>
      </c>
      <c r="J4" s="761">
        <f ca="1">Резиденты!$AJ$154</f>
        <v>87.772557010596771</v>
      </c>
      <c r="K4" s="761">
        <f ca="1">Резиденты!$AN$154</f>
        <v>93.681255191210482</v>
      </c>
      <c r="L4" s="763">
        <f ca="1">Резиденты!$AR$154</f>
        <v>99.935544574487821</v>
      </c>
      <c r="M4" s="682"/>
    </row>
    <row r="5" spans="1:13" ht="11.25" customHeight="1" x14ac:dyDescent="0.2">
      <c r="A5" s="668" t="str">
        <f>Резиденты!$A$155</f>
        <v>Начисленная заработная плата</v>
      </c>
      <c r="B5" s="717" t="str">
        <f>Резиденты!$C$155</f>
        <v>тыс. руб.</v>
      </c>
      <c r="C5" s="712">
        <f ca="1">SUM(Резиденты!$E$155:'Резиденты'!$H$155)</f>
        <v>46225.17</v>
      </c>
      <c r="D5" s="712">
        <f ca="1">SUM(Резиденты!$I$155:'Резиденты'!$L$155)</f>
        <v>184900.68</v>
      </c>
      <c r="E5" s="712">
        <f ca="1">SUM(Резиденты!$M$155:'Резиденты'!$P$155)</f>
        <v>253732.31999999995</v>
      </c>
      <c r="F5" s="712">
        <f ca="1">SUM(Резиденты!$Q$155:'Резиденты'!$T$155)</f>
        <v>311092.01999999996</v>
      </c>
      <c r="G5" s="712">
        <f ca="1">SUM(Резиденты!$U$155:'Резиденты'!$X$155)</f>
        <v>850441.90500000003</v>
      </c>
      <c r="H5" s="712">
        <f ca="1">SUM(Резиденты!$Y$155:'Резиденты'!$AB$155)</f>
        <v>1026401.22</v>
      </c>
      <c r="I5" s="712">
        <f ca="1">SUM(Резиденты!$AC$155:'Резиденты'!$AF$155)</f>
        <v>1026401.22</v>
      </c>
      <c r="J5" s="712">
        <f ca="1">SUM(Резиденты!$AG$155:'Резиденты'!$AJ$155)</f>
        <v>1026401.22</v>
      </c>
      <c r="K5" s="712">
        <f ca="1">SUM(Резиденты!$AK$155:'Резиденты'!$AN$155)</f>
        <v>1026401.22</v>
      </c>
      <c r="L5" s="718">
        <f ca="1">SUM(Резиденты!$AO$155:'Резиденты'!$AR$155)</f>
        <v>1026401.22</v>
      </c>
      <c r="M5" s="682"/>
    </row>
    <row r="6" spans="1:13" ht="11.25" customHeight="1" x14ac:dyDescent="0.2">
      <c r="A6" s="777" t="str">
        <f>Резиденты!$A$156</f>
        <v>Изменение заработной платы</v>
      </c>
      <c r="B6" s="617" t="str">
        <f>Резиденты!$C$156</f>
        <v>% в год</v>
      </c>
      <c r="C6" s="670">
        <f>IFERROR(AVERAGE(Резиденты!$E$156:'Резиденты'!$H$156),"0")</f>
        <v>0</v>
      </c>
      <c r="D6" s="670">
        <f>IFERROR(AVERAGE(Резиденты!$I$156:'Резиденты'!$L$156),"0")</f>
        <v>6.5636940856837134E-2</v>
      </c>
      <c r="E6" s="670">
        <f>IFERROR(AVERAGE(Резиденты!$M$156:'Резиденты'!$P$156),"0")</f>
        <v>6.9164258480914675E-2</v>
      </c>
      <c r="F6" s="670">
        <f>IFERROR(AVERAGE(Резиденты!$Q$156:'Резиденты'!$T$156),"0")</f>
        <v>6.8270657176112026E-2</v>
      </c>
      <c r="G6" s="670">
        <f>IFERROR(AVERAGE(Резиденты!$U$156:'Резиденты'!$X$156),"0")</f>
        <v>6.9593992275576166E-2</v>
      </c>
      <c r="H6" s="670">
        <f>IFERROR(AVERAGE(Резиденты!$Y$156:'Резиденты'!$AB$156),"0")</f>
        <v>6.8717549596758909E-2</v>
      </c>
      <c r="I6" s="670">
        <f>IFERROR(AVERAGE(Резиденты!$AC$156:'Резиденты'!$AF$156),"0")</f>
        <v>6.8028504971386461E-2</v>
      </c>
      <c r="J6" s="670">
        <f>IFERROR(AVERAGE(Резиденты!$AG$156:'Резиденты'!$AJ$156),"0")</f>
        <v>6.7750417348662717E-2</v>
      </c>
      <c r="K6" s="670">
        <f>IFERROR(AVERAGE(Резиденты!$AK$156:'Резиденты'!$AN$156),"0")</f>
        <v>6.7174282373121841E-2</v>
      </c>
      <c r="L6" s="671">
        <f>IFERROR(AVERAGE(Резиденты!$AO$156:'Резиденты'!$AR$156),"0")</f>
        <v>6.6623774358420818E-2</v>
      </c>
      <c r="M6" s="721"/>
    </row>
    <row r="7" spans="1:13" ht="11.25" customHeight="1" x14ac:dyDescent="0.2">
      <c r="A7" s="667" t="str">
        <f>Резиденты!$A$159</f>
        <v>Начисленная заработная плата с учетом инфляции</v>
      </c>
      <c r="B7" s="664" t="str">
        <f>Резиденты!$C$159</f>
        <v>тыс. руб.</v>
      </c>
      <c r="C7" s="713">
        <f ca="1">SUM(Резиденты!$E$159:'Резиденты'!$H$159)</f>
        <v>46225.17</v>
      </c>
      <c r="D7" s="713">
        <f ca="1">SUM(Резиденты!$I$159:'Резиденты'!$L$159)</f>
        <v>189391.5260192655</v>
      </c>
      <c r="E7" s="713">
        <f ca="1">SUM(Резиденты!$M$159:'Резиденты'!$P$159)</f>
        <v>277927.04946103494</v>
      </c>
      <c r="F7" s="713">
        <f ca="1">SUM(Резиденты!$Q$159:'Резиденты'!$T$159)</f>
        <v>363719.24366017256</v>
      </c>
      <c r="G7" s="713">
        <f ca="1">SUM(Резиденты!$U$159:'Резиденты'!$X$159)</f>
        <v>1067239.5449870944</v>
      </c>
      <c r="H7" s="713">
        <f ca="1">SUM(Резиденты!$Y$159:'Резиденты'!$AB$159)</f>
        <v>1370154.8219287212</v>
      </c>
      <c r="I7" s="713">
        <f ca="1">SUM(Резиденты!$AC$159:'Резиденты'!$AF$159)</f>
        <v>1463949.5177129083</v>
      </c>
      <c r="J7" s="713">
        <f ca="1">SUM(Резиденты!$AG$159:'Резиденты'!$AJ$159)</f>
        <v>1563385.0484871049</v>
      </c>
      <c r="K7" s="713">
        <f ca="1">SUM(Резиденты!$AK$159:'Резиденты'!$AN$159)</f>
        <v>1668962.6167997106</v>
      </c>
      <c r="L7" s="714">
        <f ca="1">SUM(Резиденты!$AO$159:'Резиденты'!$AR$159)</f>
        <v>1780724.7377251242</v>
      </c>
      <c r="M7" s="682"/>
    </row>
    <row r="8" spans="1:13" ht="11.25" customHeight="1" x14ac:dyDescent="0.2">
      <c r="A8" s="398"/>
      <c r="B8" s="399"/>
      <c r="C8" s="651"/>
      <c r="D8" s="651"/>
      <c r="E8" s="651"/>
      <c r="F8" s="651"/>
      <c r="G8" s="651"/>
      <c r="H8" s="651"/>
      <c r="I8" s="651"/>
      <c r="J8" s="651"/>
      <c r="K8" s="651"/>
      <c r="L8" s="651"/>
      <c r="M8" s="682"/>
    </row>
    <row r="9" spans="1:13" ht="11.25" customHeight="1" x14ac:dyDescent="0.2">
      <c r="A9" s="668" t="str">
        <f>Резиденты!$A$161</f>
        <v>Начисленные страховые взносы</v>
      </c>
      <c r="B9" s="399"/>
      <c r="C9" s="712">
        <f ca="1">SUM(Резиденты!$E$161:'Резиденты'!$H$161)</f>
        <v>14144.90202</v>
      </c>
      <c r="D9" s="712">
        <f ca="1">SUM(Резиденты!$I$161:'Резиденты'!$L$161)</f>
        <v>57953.806961895243</v>
      </c>
      <c r="E9" s="712">
        <f ca="1">SUM(Резиденты!$M$161:'Резиденты'!$P$161)</f>
        <v>85045.677135076694</v>
      </c>
      <c r="F9" s="712">
        <f ca="1">SUM(Резиденты!$Q$161:'Резиденты'!$T$161)</f>
        <v>111298.08856001281</v>
      </c>
      <c r="G9" s="712">
        <f ca="1">SUM(Резиденты!$U$161:'Резиденты'!$X$161)</f>
        <v>326575.30076605087</v>
      </c>
      <c r="H9" s="712">
        <f ca="1">SUM(Резиденты!$Y$161:'Резиденты'!$AB$161)</f>
        <v>419267.37551018875</v>
      </c>
      <c r="I9" s="712">
        <f ca="1">SUM(Резиденты!$AC$161:'Резиденты'!$AF$161)</f>
        <v>447968.55242014991</v>
      </c>
      <c r="J9" s="712">
        <f ca="1">SUM(Резиденты!$AG$161:'Резиденты'!$AJ$161)</f>
        <v>478395.82483705413</v>
      </c>
      <c r="K9" s="712">
        <f ca="1">SUM(Резиденты!$AK$161:'Резиденты'!$AN$161)</f>
        <v>510702.5607407114</v>
      </c>
      <c r="L9" s="712">
        <f ca="1">SUM(Резиденты!$AO$161:'Резиденты'!$AR$161)</f>
        <v>544901.76974388794</v>
      </c>
      <c r="M9" s="746">
        <f ca="1">Резиденты!$AT$161</f>
        <v>2996253.8586950283</v>
      </c>
    </row>
    <row r="10" spans="1:13" ht="11.25" customHeight="1" x14ac:dyDescent="0.2">
      <c r="A10" s="787" t="str">
        <f>Резиденты!$A$162</f>
        <v>взносы в пенсионный фонд</v>
      </c>
      <c r="B10" s="717" t="str">
        <f>Резиденты!$C$162</f>
        <v>тыс. руб.</v>
      </c>
      <c r="C10" s="712">
        <f ca="1">SUM(Резиденты!$E$162:'Резиденты'!$H$162)</f>
        <v>10169.537399999999</v>
      </c>
      <c r="D10" s="712">
        <f ca="1">SUM(Резиденты!$I$162:'Резиденты'!$L$162)</f>
        <v>41666.135724238411</v>
      </c>
      <c r="E10" s="712">
        <f ca="1">SUM(Резиденты!$M$162:'Резиденты'!$P$162)</f>
        <v>61143.950881427692</v>
      </c>
      <c r="F10" s="712">
        <f ca="1">SUM(Резиденты!$Q$162:'Резиденты'!$T$162)</f>
        <v>80018.233605237969</v>
      </c>
      <c r="G10" s="712">
        <f ca="1">SUM(Резиденты!$U$162:'Резиденты'!$X$162)</f>
        <v>234792.69989716075</v>
      </c>
      <c r="H10" s="712">
        <f ca="1">SUM(Резиденты!$Y$162:'Резиденты'!$AB$162)</f>
        <v>301434.06082431867</v>
      </c>
      <c r="I10" s="712">
        <f ca="1">SUM(Резиденты!$AC$162:'Резиденты'!$AF$162)</f>
        <v>322068.89389683981</v>
      </c>
      <c r="J10" s="712">
        <f ca="1">SUM(Резиденты!$AG$162:'Резиденты'!$AJ$162)</f>
        <v>343944.71066716313</v>
      </c>
      <c r="K10" s="712">
        <f ca="1">SUM(Резиденты!$AK$162:'Резиденты'!$AN$162)</f>
        <v>367171.77569593635</v>
      </c>
      <c r="L10" s="712">
        <f ca="1">SUM(Резиденты!$AO$162:'Резиденты'!$AR$162)</f>
        <v>391759.44229952735</v>
      </c>
      <c r="M10" s="746">
        <f ca="1">Резиденты!$AT$162</f>
        <v>2154169.4408918503</v>
      </c>
    </row>
    <row r="11" spans="1:13" ht="11.25" customHeight="1" x14ac:dyDescent="0.2">
      <c r="A11" s="787" t="str">
        <f>Резиденты!$A$163</f>
        <v>взносы в фонд соцстрахования</v>
      </c>
      <c r="B11" s="717" t="str">
        <f>Резиденты!$C$163</f>
        <v>тыс. руб.</v>
      </c>
      <c r="C11" s="712">
        <f ca="1">SUM(Резиденты!$E$163:'Резиденты'!$H$163)</f>
        <v>1617.88095</v>
      </c>
      <c r="D11" s="712">
        <f ca="1">SUM(Резиденты!$I$163:'Резиденты'!$L$163)</f>
        <v>6628.7034106742931</v>
      </c>
      <c r="E11" s="712">
        <f ca="1">SUM(Резиденты!$M$163:'Резиденты'!$P$163)</f>
        <v>9727.4467311362241</v>
      </c>
      <c r="F11" s="712">
        <f ca="1">SUM(Резиденты!$Q$163:'Резиденты'!$T$163)</f>
        <v>12730.173528106041</v>
      </c>
      <c r="G11" s="712">
        <f ca="1">SUM(Резиденты!$U$163:'Резиденты'!$X$163)</f>
        <v>37353.384074548303</v>
      </c>
      <c r="H11" s="712">
        <f ca="1">SUM(Резиденты!$Y$163:'Резиденты'!$AB$163)</f>
        <v>47955.418767505245</v>
      </c>
      <c r="I11" s="712">
        <f ca="1">SUM(Резиденты!$AC$163:'Резиденты'!$AF$163)</f>
        <v>51238.233119951794</v>
      </c>
      <c r="J11" s="712">
        <f ca="1">SUM(Резиденты!$AG$163:'Резиденты'!$AJ$163)</f>
        <v>54718.476697048682</v>
      </c>
      <c r="K11" s="712">
        <f ca="1">SUM(Резиденты!$AK$163:'Резиденты'!$AN$163)</f>
        <v>58413.691587989873</v>
      </c>
      <c r="L11" s="712">
        <f ca="1">SUM(Резиденты!$AO$163:'Резиденты'!$AR$163)</f>
        <v>62325.36582037936</v>
      </c>
      <c r="M11" s="746">
        <f ca="1">Резиденты!$AT$163</f>
        <v>342708.7746873399</v>
      </c>
    </row>
    <row r="12" spans="1:13" ht="11.25" customHeight="1" x14ac:dyDescent="0.2">
      <c r="A12" s="787" t="str">
        <f>Резиденты!$A$164</f>
        <v>взносы в фонд медстрахования</v>
      </c>
      <c r="B12" s="717" t="str">
        <f>Резиденты!$C$164</f>
        <v>тыс. руб.</v>
      </c>
      <c r="C12" s="712">
        <f ca="1">SUM(Резиденты!$E$164:'Резиденты'!$H$164)</f>
        <v>2357.4836699999996</v>
      </c>
      <c r="D12" s="712">
        <f ca="1">SUM(Резиденты!$I$164:'Резиденты'!$L$164)</f>
        <v>9658.9678269825399</v>
      </c>
      <c r="E12" s="712">
        <f ca="1">SUM(Резиденты!$M$164:'Резиденты'!$P$164)</f>
        <v>14174.279522512781</v>
      </c>
      <c r="F12" s="712">
        <f ca="1">SUM(Резиденты!$Q$164:'Резиденты'!$T$164)</f>
        <v>18549.681426668802</v>
      </c>
      <c r="G12" s="712">
        <f ca="1">SUM(Резиденты!$U$164:'Резиденты'!$X$164)</f>
        <v>54429.216794341803</v>
      </c>
      <c r="H12" s="712">
        <f ca="1">SUM(Резиденты!$Y$164:'Резиденты'!$AB$164)</f>
        <v>69877.895918364782</v>
      </c>
      <c r="I12" s="712">
        <f ca="1">SUM(Резиденты!$AC$164:'Резиденты'!$AF$164)</f>
        <v>74661.425403358313</v>
      </c>
      <c r="J12" s="712">
        <f ca="1">SUM(Резиденты!$AG$164:'Резиденты'!$AJ$164)</f>
        <v>79732.637472842354</v>
      </c>
      <c r="K12" s="712">
        <f ca="1">SUM(Резиденты!$AK$164:'Резиденты'!$AN$164)</f>
        <v>85117.093456785224</v>
      </c>
      <c r="L12" s="712">
        <f ca="1">SUM(Резиденты!$AO$164:'Резиденты'!$AR$164)</f>
        <v>90816.961623981333</v>
      </c>
      <c r="M12" s="746">
        <f ca="1">Резиденты!$AT$164</f>
        <v>499375.64311583794</v>
      </c>
    </row>
    <row r="13" spans="1:13" ht="11.25" customHeight="1" x14ac:dyDescent="0.2">
      <c r="A13" s="787" t="str">
        <f>Резиденты!$A$165</f>
        <v>прочие социальные взносы</v>
      </c>
      <c r="B13" s="717" t="str">
        <f>Резиденты!$C$165</f>
        <v>тыс. руб.</v>
      </c>
      <c r="C13" s="712">
        <f ca="1">SUM(Резиденты!$E$165:'Резиденты'!$H$165)</f>
        <v>0</v>
      </c>
      <c r="D13" s="712">
        <f ca="1">SUM(Резиденты!$I$165:'Резиденты'!$L$165)</f>
        <v>0</v>
      </c>
      <c r="E13" s="712">
        <f ca="1">SUM(Резиденты!$M$165:'Резиденты'!$P$165)</f>
        <v>0</v>
      </c>
      <c r="F13" s="712">
        <f ca="1">SUM(Резиденты!$Q$165:'Резиденты'!$T$165)</f>
        <v>0</v>
      </c>
      <c r="G13" s="712">
        <f ca="1">SUM(Резиденты!$U$165:'Резиденты'!$X$165)</f>
        <v>0</v>
      </c>
      <c r="H13" s="712">
        <f ca="1">SUM(Резиденты!$Y$165:'Резиденты'!$AB$165)</f>
        <v>0</v>
      </c>
      <c r="I13" s="712">
        <f ca="1">SUM(Резиденты!$AC$165:'Резиденты'!$AF$165)</f>
        <v>0</v>
      </c>
      <c r="J13" s="712">
        <f ca="1">SUM(Резиденты!$AG$165:'Резиденты'!$AJ$165)</f>
        <v>0</v>
      </c>
      <c r="K13" s="712">
        <f ca="1">SUM(Резиденты!$AK$165:'Резиденты'!$AN$165)</f>
        <v>0</v>
      </c>
      <c r="L13" s="712">
        <f ca="1">SUM(Резиденты!$AO$165:'Резиденты'!$AR$165)</f>
        <v>0</v>
      </c>
      <c r="M13" s="746">
        <f ca="1">Резиденты!$AT$165</f>
        <v>0</v>
      </c>
    </row>
    <row r="14" spans="1:13" ht="11.25" customHeight="1" x14ac:dyDescent="0.2">
      <c r="A14" s="667" t="str">
        <f>Резиденты!$A$166</f>
        <v>Уплаченные страховые взносы</v>
      </c>
      <c r="B14" s="664" t="str">
        <f>Резиденты!$C$166</f>
        <v>тыс. руб.</v>
      </c>
      <c r="C14" s="713">
        <f ca="1">SUM(Резиденты!$E$166:'Резиденты'!$H$166)</f>
        <v>9429.9346800000003</v>
      </c>
      <c r="D14" s="713">
        <f ca="1">SUM(Резиденты!$I$166:'Резиденты'!$L$166)</f>
        <v>57723.554049905462</v>
      </c>
      <c r="E14" s="713">
        <f ca="1">SUM(Резиденты!$M$166:'Резиденты'!$P$166)</f>
        <v>82085.848248362134</v>
      </c>
      <c r="F14" s="713">
        <f ca="1">SUM(Резиденты!$Q$166:'Резиденты'!$T$166)</f>
        <v>109355.75771534804</v>
      </c>
      <c r="G14" s="713">
        <f ca="1">SUM(Резиденты!$U$166:'Резиденты'!$X$166)</f>
        <v>302917.91738459107</v>
      </c>
      <c r="H14" s="713">
        <f ca="1">SUM(Резиденты!$Y$166:'Резиденты'!$AB$166)</f>
        <v>416957.67127739743</v>
      </c>
      <c r="I14" s="713">
        <f ca="1">SUM(Резиденты!$AC$166:'Резиденты'!$AF$166)</f>
        <v>445525.97978356783</v>
      </c>
      <c r="J14" s="713">
        <f ca="1">SUM(Резиденты!$AG$166:'Резиденты'!$AJ$166)</f>
        <v>475801.23495204246</v>
      </c>
      <c r="K14" s="713">
        <f ca="1">SUM(Резиденты!$AK$166:'Резиденты'!$AN$166)</f>
        <v>507952.49898130109</v>
      </c>
      <c r="L14" s="713">
        <f ca="1">SUM(Резиденты!$AO$166:'Резиденты'!$AR$166)</f>
        <v>541990.86085338681</v>
      </c>
      <c r="M14" s="744">
        <f ca="1">Резиденты!$AT$166</f>
        <v>2949741.2579259025</v>
      </c>
    </row>
    <row r="15" spans="1:13" ht="11.25" customHeight="1" x14ac:dyDescent="0.2">
      <c r="A15" s="398"/>
      <c r="B15" s="399"/>
      <c r="C15" s="651"/>
      <c r="D15" s="651"/>
      <c r="E15" s="651"/>
      <c r="F15" s="651"/>
      <c r="G15" s="651"/>
      <c r="H15" s="651"/>
      <c r="I15" s="651"/>
      <c r="J15" s="651"/>
      <c r="K15" s="651"/>
      <c r="L15" s="651"/>
      <c r="M15" s="682"/>
    </row>
    <row r="16" spans="1:13" ht="11.25" customHeight="1" x14ac:dyDescent="0.2">
      <c r="A16" s="667" t="str">
        <f>Резиденты!$A$168</f>
        <v>НДФЛ уплаченный</v>
      </c>
      <c r="B16" s="664" t="str">
        <f>Резиденты!$C$168</f>
        <v>тыс. руб.</v>
      </c>
      <c r="C16" s="713">
        <f ca="1">SUM(Резиденты!$E$168:'Резиденты'!$H$168)</f>
        <v>6009.2721000000001</v>
      </c>
      <c r="D16" s="713">
        <f ca="1">SUM(Резиденты!$I$168:'Резиденты'!$L$168)</f>
        <v>24620.898382504514</v>
      </c>
      <c r="E16" s="713">
        <f ca="1">SUM(Резиденты!$M$168:'Резиденты'!$P$168)</f>
        <v>36130.516429934542</v>
      </c>
      <c r="F16" s="713">
        <f ca="1">SUM(Резиденты!$Q$168:'Резиденты'!$T$168)</f>
        <v>47283.501675822437</v>
      </c>
      <c r="G16" s="713">
        <f ca="1">SUM(Резиденты!$U$168:'Резиденты'!$X$168)</f>
        <v>138741.14084832225</v>
      </c>
      <c r="H16" s="713">
        <f ca="1">SUM(Резиденты!$Y$168:'Резиденты'!$AB$168)</f>
        <v>178120.12685073374</v>
      </c>
      <c r="I16" s="713">
        <f ca="1">SUM(Резиденты!$AC$168:'Резиденты'!$AF$168)</f>
        <v>190313.4373026781</v>
      </c>
      <c r="J16" s="713">
        <f ca="1">SUM(Резиденты!$AG$168:'Резиденты'!$AJ$168)</f>
        <v>203240.05630332365</v>
      </c>
      <c r="K16" s="713">
        <f ca="1">SUM(Резиденты!$AK$168:'Резиденты'!$AN$168)</f>
        <v>216965.14018396236</v>
      </c>
      <c r="L16" s="713">
        <f ca="1">SUM(Резиденты!$AO$168:'Резиденты'!$AR$168)</f>
        <v>231494.21590426614</v>
      </c>
      <c r="M16" s="744">
        <f ca="1">Резиденты!$AT$168</f>
        <v>1272918.3059815478</v>
      </c>
    </row>
    <row r="17" spans="1:13" ht="11.25" customHeight="1" x14ac:dyDescent="0.2">
      <c r="A17" s="599"/>
      <c r="B17" s="599"/>
      <c r="C17" s="651"/>
      <c r="D17" s="651"/>
      <c r="E17" s="651"/>
      <c r="F17" s="651"/>
      <c r="G17" s="651"/>
      <c r="H17" s="651"/>
      <c r="I17" s="651"/>
      <c r="J17" s="651"/>
      <c r="K17" s="651"/>
      <c r="L17" s="651"/>
      <c r="M17" s="682"/>
    </row>
    <row r="18" spans="1:13" ht="11.25" customHeight="1" x14ac:dyDescent="0.2">
      <c r="A18" s="599"/>
      <c r="B18" s="599"/>
      <c r="C18" s="599"/>
      <c r="D18" s="599"/>
      <c r="E18" s="599"/>
      <c r="F18" s="599"/>
      <c r="G18" s="599"/>
      <c r="H18" s="599"/>
      <c r="I18" s="599"/>
      <c r="J18" s="599"/>
      <c r="K18" s="599"/>
      <c r="L18" s="599"/>
      <c r="M18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21&amp;R&amp;"Arial,полужирный"&amp;10Проект создания ИП «Бугры» на территории Ленинградской области
&amp;C&amp;"Arial,полужирный"&amp;13
РАСЧЕТ СТРАХОВЫХ ВЗНОСОВ И НДФЛ РЕЗИДЕНТОВ</oddHead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47"/>
  <dimension ref="A1:M38"/>
  <sheetViews>
    <sheetView workbookViewId="0"/>
  </sheetViews>
  <sheetFormatPr defaultRowHeight="12.75" x14ac:dyDescent="0.2"/>
  <cols>
    <col min="1" max="1" width="42.7109375" customWidth="1"/>
    <col min="2" max="2" width="9.85546875" customWidth="1"/>
    <col min="3" max="12" width="8" customWidth="1"/>
    <col min="13" max="13" width="9.28515625" customWidth="1"/>
  </cols>
  <sheetData>
    <row r="1" spans="1:13" s="301" customFormat="1" ht="26.1" customHeight="1" x14ac:dyDescent="0.2">
      <c r="A1" s="613" t="str">
        <f>Резиденты!$A$173</f>
        <v>РАСЧЕТ НАЛОГА НА ДОБАВЛЕННУЮ СТОИМОСТЬ РЕЗИДЕНТОВ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  <c r="M1" s="614" t="str">
        <f>Резиденты!$AT$173</f>
        <v>ИТОГО</v>
      </c>
    </row>
    <row r="2" spans="1:13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682"/>
    </row>
    <row r="3" spans="1:13" ht="11.25" customHeight="1" x14ac:dyDescent="0.2">
      <c r="A3" s="917" t="str">
        <f>Резиденты!$A$175</f>
        <v>Добавленная стоимость</v>
      </c>
      <c r="B3" s="783" t="str">
        <f>Резиденты!$C$175</f>
        <v>тыс. руб.</v>
      </c>
      <c r="C3" s="779">
        <f ca="1">SUM(Резиденты!$E$175:'Резиденты'!$H$175)</f>
        <v>139729.7782004152</v>
      </c>
      <c r="D3" s="779">
        <f ca="1">SUM(Резиденты!$I$175:'Резиденты'!$L$175)</f>
        <v>566299.20283503307</v>
      </c>
      <c r="E3" s="779">
        <f ca="1">SUM(Резиденты!$M$175:'Резиденты'!$P$175)</f>
        <v>812473.44367389148</v>
      </c>
      <c r="F3" s="779">
        <f ca="1">SUM(Резиденты!$Q$175:'Резиденты'!$T$175)</f>
        <v>1040888.091057375</v>
      </c>
      <c r="G3" s="779">
        <f ca="1">SUM(Резиденты!$U$175:'Резиденты'!$X$175)</f>
        <v>3077448.9686699687</v>
      </c>
      <c r="H3" s="779">
        <f ca="1">SUM(Резиденты!$Y$175:'Резиденты'!$AB$175)</f>
        <v>3866904.1981999478</v>
      </c>
      <c r="I3" s="779">
        <f ca="1">SUM(Резиденты!$AC$175:'Резиденты'!$AF$175)</f>
        <v>4024622.5875833165</v>
      </c>
      <c r="J3" s="779">
        <f ca="1">SUM(Резиденты!$AG$175:'Резиденты'!$AJ$175)</f>
        <v>4138427.5456878943</v>
      </c>
      <c r="K3" s="779">
        <f ca="1">SUM(Резиденты!$AK$175:'Резиденты'!$AN$175)</f>
        <v>4192326.5000484893</v>
      </c>
      <c r="L3" s="779">
        <f ca="1">SUM(Резиденты!$AO$175:'Резиденты'!$AR$175)</f>
        <v>4898294.3669070657</v>
      </c>
      <c r="M3" s="801">
        <f ca="1">Резиденты!$AT$175</f>
        <v>26757414.682863399</v>
      </c>
    </row>
    <row r="4" spans="1:13" ht="11.25" customHeight="1" x14ac:dyDescent="0.2">
      <c r="A4" s="935" t="str">
        <f>Резиденты!$A$176</f>
        <v>Корпус А4</v>
      </c>
      <c r="B4" s="623" t="str">
        <f>Резиденты!$C$176</f>
        <v>тыс. руб.</v>
      </c>
      <c r="C4" s="749">
        <f ca="1">SUM(Резиденты!$E$176:'Резиденты'!$H$176)</f>
        <v>139729.7782004152</v>
      </c>
      <c r="D4" s="749">
        <f ca="1">SUM(Резиденты!$I$176:'Резиденты'!$L$176)</f>
        <v>566299.20283503307</v>
      </c>
      <c r="E4" s="749">
        <f ca="1">SUM(Резиденты!$M$176:'Резиденты'!$P$176)</f>
        <v>590500.59896458115</v>
      </c>
      <c r="F4" s="749">
        <f ca="1">SUM(Резиденты!$Q$176:'Резиденты'!$T$176)</f>
        <v>617440.41330330179</v>
      </c>
      <c r="G4" s="749">
        <f ca="1">SUM(Резиденты!$U$176:'Резиденты'!$X$176)</f>
        <v>662369.6614293796</v>
      </c>
      <c r="H4" s="749">
        <f ca="1">SUM(Резиденты!$Y$176:'Резиденты'!$AB$176)</f>
        <v>695831.60677462444</v>
      </c>
      <c r="I4" s="749">
        <f ca="1">SUM(Резиденты!$AC$176:'Резиденты'!$AF$176)</f>
        <v>724212.3047897506</v>
      </c>
      <c r="J4" s="749">
        <f ca="1">SUM(Резиденты!$AG$176:'Резиденты'!$AJ$176)</f>
        <v>744690.98302897089</v>
      </c>
      <c r="K4" s="749">
        <f ca="1">SUM(Резиденты!$AK$176:'Резиденты'!$AN$176)</f>
        <v>754389.85170889925</v>
      </c>
      <c r="L4" s="749">
        <f ca="1">SUM(Резиденты!$AO$176:'Резиденты'!$AR$176)</f>
        <v>881425.51898923377</v>
      </c>
      <c r="M4" s="769">
        <f ca="1">Резиденты!$AT$176</f>
        <v>6376889.920024191</v>
      </c>
    </row>
    <row r="5" spans="1:13" ht="11.25" customHeight="1" x14ac:dyDescent="0.2">
      <c r="A5" s="935" t="str">
        <f>Резиденты!$A$177</f>
        <v>Корпус B2</v>
      </c>
      <c r="B5" s="623" t="str">
        <f>Резиденты!$C$177</f>
        <v>тыс. руб.</v>
      </c>
      <c r="C5" s="749">
        <f ca="1">SUM(Резиденты!$E$177:'Резиденты'!$H$177)</f>
        <v>0</v>
      </c>
      <c r="D5" s="749">
        <f ca="1">SUM(Резиденты!$I$177:'Резиденты'!$L$177)</f>
        <v>0</v>
      </c>
      <c r="E5" s="749">
        <f ca="1">SUM(Резиденты!$M$177:'Резиденты'!$P$177)</f>
        <v>221972.84470931039</v>
      </c>
      <c r="F5" s="749">
        <f ca="1">SUM(Резиденты!$Q$177:'Резиденты'!$T$177)</f>
        <v>307442.74372757517</v>
      </c>
      <c r="G5" s="749">
        <f ca="1">SUM(Резиденты!$U$177:'Резиденты'!$X$177)</f>
        <v>329814.41072552552</v>
      </c>
      <c r="H5" s="749">
        <f ca="1">SUM(Резиденты!$Y$177:'Резиденты'!$AB$177)</f>
        <v>346476.15178708889</v>
      </c>
      <c r="I5" s="749">
        <f ca="1">SUM(Резиденты!$AC$177:'Резиденты'!$AF$177)</f>
        <v>360607.78210910328</v>
      </c>
      <c r="J5" s="749">
        <f ca="1">SUM(Резиденты!$AG$177:'Резиденты'!$AJ$177)</f>
        <v>370804.75154959783</v>
      </c>
      <c r="K5" s="749">
        <f ca="1">SUM(Резиденты!$AK$177:'Резиденты'!$AN$177)</f>
        <v>375634.11926470709</v>
      </c>
      <c r="L5" s="749">
        <f ca="1">SUM(Резиденты!$AO$177:'Резиденты'!$AR$177)</f>
        <v>438889.12048981152</v>
      </c>
      <c r="M5" s="769">
        <f ca="1">Резиденты!$AT$177</f>
        <v>2751641.92436272</v>
      </c>
    </row>
    <row r="6" spans="1:13" ht="11.25" customHeight="1" x14ac:dyDescent="0.2">
      <c r="A6" s="935" t="str">
        <f>Резиденты!$A$178</f>
        <v>БП с ЦОД</v>
      </c>
      <c r="B6" s="623" t="str">
        <f>Резиденты!$C$178</f>
        <v>тыс. руб.</v>
      </c>
      <c r="C6" s="749">
        <f ca="1">SUM(Резиденты!$E$178:'Резиденты'!$H$178)</f>
        <v>0</v>
      </c>
      <c r="D6" s="749">
        <f ca="1">SUM(Резиденты!$I$178:'Резиденты'!$L$178)</f>
        <v>0</v>
      </c>
      <c r="E6" s="749">
        <f ca="1">SUM(Резиденты!$M$178:'Резиденты'!$P$178)</f>
        <v>0</v>
      </c>
      <c r="F6" s="749">
        <f ca="1">SUM(Резиденты!$Q$178:'Резиденты'!$T$178)</f>
        <v>0</v>
      </c>
      <c r="G6" s="749">
        <f ca="1">SUM(Резиденты!$U$178:'Резиденты'!$X$178)</f>
        <v>846869.05239684705</v>
      </c>
      <c r="H6" s="749">
        <f ca="1">SUM(Резиденты!$Y$178:'Резиденты'!$AB$178)</f>
        <v>1169237.04131474</v>
      </c>
      <c r="I6" s="749">
        <f ca="1">SUM(Резиденты!$AC$178:'Резиденты'!$AF$178)</f>
        <v>1216926.4004277429</v>
      </c>
      <c r="J6" s="749">
        <f ca="1">SUM(Резиденты!$AG$178:'Резиденты'!$AJ$178)</f>
        <v>1251337.6414828189</v>
      </c>
      <c r="K6" s="749">
        <f ca="1">SUM(Резиденты!$AK$178:'Резиденты'!$AN$178)</f>
        <v>1267635.0853025743</v>
      </c>
      <c r="L6" s="749">
        <f ca="1">SUM(Резиденты!$AO$178:'Резиденты'!$AR$178)</f>
        <v>1481098.8117360473</v>
      </c>
      <c r="M6" s="769">
        <f ca="1">Резиденты!$AT$178</f>
        <v>7233104.0326607702</v>
      </c>
    </row>
    <row r="7" spans="1:13" ht="11.25" customHeight="1" x14ac:dyDescent="0.2">
      <c r="A7" s="935" t="str">
        <f>Резиденты!$A$179</f>
        <v>Корпус B1</v>
      </c>
      <c r="B7" s="623" t="str">
        <f>Резиденты!$C$179</f>
        <v>тыс. руб.</v>
      </c>
      <c r="C7" s="749">
        <f ca="1">SUM(Резиденты!$E$179:'Резиденты'!$H$179)</f>
        <v>0</v>
      </c>
      <c r="D7" s="749">
        <f ca="1">SUM(Резиденты!$I$179:'Резиденты'!$L$179)</f>
        <v>0</v>
      </c>
      <c r="E7" s="749">
        <f ca="1">SUM(Резиденты!$M$179:'Резиденты'!$P$179)</f>
        <v>0</v>
      </c>
      <c r="F7" s="749">
        <f ca="1">SUM(Резиденты!$Q$179:'Резиденты'!$T$179)</f>
        <v>116004.93402649794</v>
      </c>
      <c r="G7" s="749">
        <f ca="1">SUM(Резиденты!$U$179:'Резиденты'!$X$179)</f>
        <v>164907.20536276276</v>
      </c>
      <c r="H7" s="749">
        <f ca="1">SUM(Резиденты!$Y$179:'Резиденты'!$AB$179)</f>
        <v>173238.07589354445</v>
      </c>
      <c r="I7" s="749">
        <f ca="1">SUM(Резиденты!$AC$179:'Резиденты'!$AF$179)</f>
        <v>180303.89105455164</v>
      </c>
      <c r="J7" s="749">
        <f ca="1">SUM(Резиденты!$AG$179:'Резиденты'!$AJ$179)</f>
        <v>185402.37577479891</v>
      </c>
      <c r="K7" s="749">
        <f ca="1">SUM(Резиденты!$AK$179:'Резиденты'!$AN$179)</f>
        <v>187817.05963235354</v>
      </c>
      <c r="L7" s="749">
        <f ca="1">SUM(Резиденты!$AO$179:'Резиденты'!$AR$179)</f>
        <v>219444.56024490576</v>
      </c>
      <c r="M7" s="769">
        <f ca="1">Резиденты!$AT$179</f>
        <v>1227118.101989415</v>
      </c>
    </row>
    <row r="8" spans="1:13" ht="11.25" customHeight="1" x14ac:dyDescent="0.2">
      <c r="A8" s="935" t="str">
        <f>Резиденты!$A$180</f>
        <v>Корпус B3</v>
      </c>
      <c r="B8" s="623" t="str">
        <f>Резиденты!$C$180</f>
        <v>тыс. руб.</v>
      </c>
      <c r="C8" s="749">
        <f ca="1">SUM(Резиденты!$E$180:'Резиденты'!$H$180)</f>
        <v>0</v>
      </c>
      <c r="D8" s="749">
        <f ca="1">SUM(Резиденты!$I$180:'Резиденты'!$L$180)</f>
        <v>0</v>
      </c>
      <c r="E8" s="749">
        <f ca="1">SUM(Резиденты!$M$180:'Резиденты'!$P$180)</f>
        <v>0</v>
      </c>
      <c r="F8" s="749">
        <f ca="1">SUM(Резиденты!$Q$180:'Резиденты'!$T$180)</f>
        <v>0</v>
      </c>
      <c r="G8" s="749">
        <f ca="1">SUM(Резиденты!$U$180:'Резиденты'!$X$180)</f>
        <v>299958.13347772585</v>
      </c>
      <c r="H8" s="749">
        <f ca="1">SUM(Резиденты!$Y$180:'Резиденты'!$AB$180)</f>
        <v>414139.77699758689</v>
      </c>
      <c r="I8" s="749">
        <f ca="1">SUM(Резиденты!$AC$180:'Резиденты'!$AF$180)</f>
        <v>431031.18554038252</v>
      </c>
      <c r="J8" s="749">
        <f ca="1">SUM(Резиденты!$AG$180:'Резиденты'!$AJ$180)</f>
        <v>443219.5298993116</v>
      </c>
      <c r="K8" s="749">
        <f ca="1">SUM(Резиденты!$AK$180:'Резиденты'!$AN$180)</f>
        <v>448992.02898260689</v>
      </c>
      <c r="L8" s="749">
        <f ca="1">SUM(Резиденты!$AO$180:'Резиденты'!$AR$180)</f>
        <v>524600.15371566126</v>
      </c>
      <c r="M8" s="769">
        <f ca="1">Резиденты!$AT$180</f>
        <v>2561940.8086132752</v>
      </c>
    </row>
    <row r="9" spans="1:13" ht="11.25" customHeight="1" x14ac:dyDescent="0.2">
      <c r="A9" s="935" t="str">
        <f>Резиденты!$A$181</f>
        <v>Объект II очереди</v>
      </c>
      <c r="B9" s="623" t="str">
        <f>Резиденты!$C$181</f>
        <v>тыс. руб.</v>
      </c>
      <c r="C9" s="749">
        <f ca="1">SUM(Резиденты!$E$181:'Резиденты'!$H$181)</f>
        <v>0</v>
      </c>
      <c r="D9" s="749">
        <f ca="1">SUM(Резиденты!$I$181:'Резиденты'!$L$181)</f>
        <v>0</v>
      </c>
      <c r="E9" s="749">
        <f ca="1">SUM(Резиденты!$M$181:'Резиденты'!$P$181)</f>
        <v>0</v>
      </c>
      <c r="F9" s="749">
        <f ca="1">SUM(Резиденты!$Q$181:'Резиденты'!$T$181)</f>
        <v>0</v>
      </c>
      <c r="G9" s="749">
        <f ca="1">SUM(Резиденты!$U$181:'Резиденты'!$X$181)</f>
        <v>773530.5052777275</v>
      </c>
      <c r="H9" s="749">
        <f ca="1">SUM(Резиденты!$Y$181:'Резиденты'!$AB$181)</f>
        <v>1067981.5454323632</v>
      </c>
      <c r="I9" s="749">
        <f ca="1">SUM(Резиденты!$AC$181:'Резиденты'!$AF$181)</f>
        <v>1111541.023661786</v>
      </c>
      <c r="J9" s="749">
        <f ca="1">SUM(Резиденты!$AG$181:'Резиденты'!$AJ$181)</f>
        <v>1142972.2639523963</v>
      </c>
      <c r="K9" s="749">
        <f ca="1">SUM(Резиденты!$AK$181:'Резиденты'!$AN$181)</f>
        <v>1157858.3551573483</v>
      </c>
      <c r="L9" s="749">
        <f ca="1">SUM(Резиденты!$AO$181:'Резиденты'!$AR$181)</f>
        <v>1352836.2017314071</v>
      </c>
      <c r="M9" s="769">
        <f ca="1">Резиденты!$AT$181</f>
        <v>6606719.8952130293</v>
      </c>
    </row>
    <row r="10" spans="1:13" ht="11.25" customHeight="1" x14ac:dyDescent="0.2">
      <c r="A10" s="917" t="str">
        <f>Резиденты!$A$182</f>
        <v>НДС начисленный по операционной деятельности</v>
      </c>
      <c r="B10" s="783" t="str">
        <f>Резиденты!$C$182</f>
        <v>тыс. руб.</v>
      </c>
      <c r="C10" s="779">
        <f ca="1">SUM(Резиденты!$E$182:'Резиденты'!$H$182)</f>
        <v>27945.955640083041</v>
      </c>
      <c r="D10" s="779">
        <f ca="1">SUM(Резиденты!$I$182:'Резиденты'!$L$182)</f>
        <v>113259.84056700663</v>
      </c>
      <c r="E10" s="779">
        <f ca="1">SUM(Резиденты!$M$182:'Резиденты'!$P$182)</f>
        <v>162494.68873477829</v>
      </c>
      <c r="F10" s="779">
        <f ca="1">SUM(Резиденты!$Q$182:'Резиденты'!$T$182)</f>
        <v>208177.61821147503</v>
      </c>
      <c r="G10" s="779">
        <f ca="1">SUM(Резиденты!$U$182:'Резиденты'!$X$182)</f>
        <v>615489.79373399378</v>
      </c>
      <c r="H10" s="779">
        <f ca="1">SUM(Резиденты!$Y$182:'Резиденты'!$AB$182)</f>
        <v>773380.83963998966</v>
      </c>
      <c r="I10" s="779">
        <f ca="1">SUM(Резиденты!$AC$182:'Резиденты'!$AF$182)</f>
        <v>804924.51751666341</v>
      </c>
      <c r="J10" s="779">
        <f ca="1">SUM(Резиденты!$AG$182:'Резиденты'!$AJ$182)</f>
        <v>827685.50913757889</v>
      </c>
      <c r="K10" s="779">
        <f ca="1">SUM(Резиденты!$AK$182:'Резиденты'!$AN$182)</f>
        <v>838465.30000969791</v>
      </c>
      <c r="L10" s="779">
        <f ca="1">SUM(Резиденты!$AO$182:'Резиденты'!$AR$182)</f>
        <v>979658.87338141329</v>
      </c>
      <c r="M10" s="801">
        <f ca="1">Резиденты!$AT$182</f>
        <v>5351482.9365726793</v>
      </c>
    </row>
    <row r="11" spans="1:13" ht="11.25" customHeight="1" x14ac:dyDescent="0.2">
      <c r="A11" s="935" t="str">
        <f>Резиденты!$A$183</f>
        <v>Корпус А4</v>
      </c>
      <c r="B11" s="623" t="str">
        <f>Резиденты!$C$183</f>
        <v>тыс. руб.</v>
      </c>
      <c r="C11" s="749">
        <f ca="1">SUM(Резиденты!$E$183:'Резиденты'!$H$183)</f>
        <v>27945.955640083041</v>
      </c>
      <c r="D11" s="749">
        <f ca="1">SUM(Резиденты!$I$183:'Резиденты'!$L$183)</f>
        <v>113259.84056700663</v>
      </c>
      <c r="E11" s="749">
        <f ca="1">SUM(Резиденты!$M$183:'Резиденты'!$P$183)</f>
        <v>118100.11979291623</v>
      </c>
      <c r="F11" s="749">
        <f ca="1">SUM(Резиденты!$Q$183:'Резиденты'!$T$183)</f>
        <v>123488.08266066037</v>
      </c>
      <c r="G11" s="749">
        <f ca="1">SUM(Резиденты!$U$183:'Резиденты'!$X$183)</f>
        <v>132473.93228587593</v>
      </c>
      <c r="H11" s="749">
        <f ca="1">SUM(Резиденты!$Y$183:'Резиденты'!$AB$183)</f>
        <v>139166.3213549249</v>
      </c>
      <c r="I11" s="749">
        <f ca="1">SUM(Резиденты!$AC$183:'Резиденты'!$AF$183)</f>
        <v>144842.4609579501</v>
      </c>
      <c r="J11" s="749">
        <f ca="1">SUM(Резиденты!$AG$183:'Резиденты'!$AJ$183)</f>
        <v>148938.19660579416</v>
      </c>
      <c r="K11" s="749">
        <f ca="1">SUM(Резиденты!$AK$183:'Резиденты'!$AN$183)</f>
        <v>150877.97034177984</v>
      </c>
      <c r="L11" s="749">
        <f ca="1">SUM(Резиденты!$AO$183:'Резиденты'!$AR$183)</f>
        <v>176285.10379784676</v>
      </c>
      <c r="M11" s="769">
        <f ca="1">Резиденты!$AT$183</f>
        <v>1275377.9840048379</v>
      </c>
    </row>
    <row r="12" spans="1:13" ht="11.25" customHeight="1" x14ac:dyDescent="0.2">
      <c r="A12" s="935" t="str">
        <f>Резиденты!$A$184</f>
        <v>Корпус B2</v>
      </c>
      <c r="B12" s="623" t="str">
        <f>Резиденты!$C$184</f>
        <v>тыс. руб.</v>
      </c>
      <c r="C12" s="749">
        <f ca="1">SUM(Резиденты!$E$184:'Резиденты'!$H$184)</f>
        <v>0</v>
      </c>
      <c r="D12" s="749">
        <f ca="1">SUM(Резиденты!$I$184:'Резиденты'!$L$184)</f>
        <v>0</v>
      </c>
      <c r="E12" s="749">
        <f ca="1">SUM(Резиденты!$M$184:'Резиденты'!$P$184)</f>
        <v>44394.568941862082</v>
      </c>
      <c r="F12" s="749">
        <f ca="1">SUM(Резиденты!$Q$184:'Резиденты'!$T$184)</f>
        <v>61488.548745515029</v>
      </c>
      <c r="G12" s="749">
        <f ca="1">SUM(Резиденты!$U$184:'Резиденты'!$X$184)</f>
        <v>65962.882145105119</v>
      </c>
      <c r="H12" s="749">
        <f ca="1">SUM(Резиденты!$Y$184:'Резиденты'!$AB$184)</f>
        <v>69295.230357417779</v>
      </c>
      <c r="I12" s="749">
        <f ca="1">SUM(Резиденты!$AC$184:'Резиденты'!$AF$184)</f>
        <v>72121.556421820671</v>
      </c>
      <c r="J12" s="749">
        <f ca="1">SUM(Резиденты!$AG$184:'Резиденты'!$AJ$184)</f>
        <v>74160.950309919572</v>
      </c>
      <c r="K12" s="749">
        <f ca="1">SUM(Резиденты!$AK$184:'Резиденты'!$AN$184)</f>
        <v>75126.823852941408</v>
      </c>
      <c r="L12" s="749">
        <f ca="1">SUM(Резиденты!$AO$184:'Резиденты'!$AR$184)</f>
        <v>87777.824097962322</v>
      </c>
      <c r="M12" s="769">
        <f ca="1">Резиденты!$AT$184</f>
        <v>550328.38487254409</v>
      </c>
    </row>
    <row r="13" spans="1:13" ht="11.25" customHeight="1" x14ac:dyDescent="0.2">
      <c r="A13" s="935" t="str">
        <f>Резиденты!$A$185</f>
        <v>БП с ЦОД</v>
      </c>
      <c r="B13" s="623" t="str">
        <f>Резиденты!$C$185</f>
        <v>тыс. руб.</v>
      </c>
      <c r="C13" s="749">
        <f ca="1">SUM(Резиденты!$E$185:'Резиденты'!$H$185)</f>
        <v>0</v>
      </c>
      <c r="D13" s="749">
        <f ca="1">SUM(Резиденты!$I$185:'Резиденты'!$L$185)</f>
        <v>0</v>
      </c>
      <c r="E13" s="749">
        <f ca="1">SUM(Резиденты!$M$185:'Резиденты'!$P$185)</f>
        <v>0</v>
      </c>
      <c r="F13" s="749">
        <f ca="1">SUM(Резиденты!$Q$185:'Резиденты'!$T$185)</f>
        <v>0</v>
      </c>
      <c r="G13" s="749">
        <f ca="1">SUM(Резиденты!$U$185:'Резиденты'!$X$185)</f>
        <v>169373.81047936942</v>
      </c>
      <c r="H13" s="749">
        <f ca="1">SUM(Резиденты!$Y$185:'Резиденты'!$AB$185)</f>
        <v>233847.40826294798</v>
      </c>
      <c r="I13" s="749">
        <f ca="1">SUM(Резиденты!$AC$185:'Резиденты'!$AF$185)</f>
        <v>243385.28008554855</v>
      </c>
      <c r="J13" s="749">
        <f ca="1">SUM(Резиденты!$AG$185:'Резиденты'!$AJ$185)</f>
        <v>250267.52829656377</v>
      </c>
      <c r="K13" s="749">
        <f ca="1">SUM(Резиденты!$AK$185:'Резиденты'!$AN$185)</f>
        <v>253527.01706051489</v>
      </c>
      <c r="L13" s="749">
        <f ca="1">SUM(Резиденты!$AO$185:'Резиденты'!$AR$185)</f>
        <v>296219.76234720938</v>
      </c>
      <c r="M13" s="769">
        <f ca="1">Резиденты!$AT$185</f>
        <v>1446620.8065321541</v>
      </c>
    </row>
    <row r="14" spans="1:13" ht="11.25" customHeight="1" x14ac:dyDescent="0.2">
      <c r="A14" s="935" t="str">
        <f>Резиденты!$A$186</f>
        <v>Корпус B1</v>
      </c>
      <c r="B14" s="623" t="str">
        <f>Резиденты!$C$186</f>
        <v>тыс. руб.</v>
      </c>
      <c r="C14" s="749">
        <f ca="1">SUM(Резиденты!$E$186:'Резиденты'!$H$186)</f>
        <v>0</v>
      </c>
      <c r="D14" s="749">
        <f ca="1">SUM(Резиденты!$I$186:'Резиденты'!$L$186)</f>
        <v>0</v>
      </c>
      <c r="E14" s="749">
        <f ca="1">SUM(Резиденты!$M$186:'Резиденты'!$P$186)</f>
        <v>0</v>
      </c>
      <c r="F14" s="749">
        <f ca="1">SUM(Резиденты!$Q$186:'Резиденты'!$T$186)</f>
        <v>23200.986805299588</v>
      </c>
      <c r="G14" s="749">
        <f ca="1">SUM(Резиденты!$U$186:'Резиденты'!$X$186)</f>
        <v>32981.441072552559</v>
      </c>
      <c r="H14" s="749">
        <f ca="1">SUM(Резиденты!$Y$186:'Резиденты'!$AB$186)</f>
        <v>34647.615178708889</v>
      </c>
      <c r="I14" s="749">
        <f ca="1">SUM(Резиденты!$AC$186:'Резиденты'!$AF$186)</f>
        <v>36060.778210910335</v>
      </c>
      <c r="J14" s="749">
        <f ca="1">SUM(Резиденты!$AG$186:'Резиденты'!$AJ$186)</f>
        <v>37080.475154959786</v>
      </c>
      <c r="K14" s="749">
        <f ca="1">SUM(Резиденты!$AK$186:'Резиденты'!$AN$186)</f>
        <v>37563.411926470704</v>
      </c>
      <c r="L14" s="749">
        <f ca="1">SUM(Резиденты!$AO$186:'Резиденты'!$AR$186)</f>
        <v>43888.912048981161</v>
      </c>
      <c r="M14" s="769">
        <f ca="1">Резиденты!$AT$186</f>
        <v>245423.620397883</v>
      </c>
    </row>
    <row r="15" spans="1:13" ht="11.25" customHeight="1" x14ac:dyDescent="0.2">
      <c r="A15" s="935" t="str">
        <f>Резиденты!$A$187</f>
        <v>Корпус B3</v>
      </c>
      <c r="B15" s="623" t="str">
        <f>Резиденты!$C$187</f>
        <v>тыс. руб.</v>
      </c>
      <c r="C15" s="749">
        <f ca="1">SUM(Резиденты!$E$187:'Резиденты'!$H$187)</f>
        <v>0</v>
      </c>
      <c r="D15" s="749">
        <f ca="1">SUM(Резиденты!$I$187:'Резиденты'!$L$187)</f>
        <v>0</v>
      </c>
      <c r="E15" s="749">
        <f ca="1">SUM(Резиденты!$M$187:'Резиденты'!$P$187)</f>
        <v>0</v>
      </c>
      <c r="F15" s="749">
        <f ca="1">SUM(Резиденты!$Q$187:'Резиденты'!$T$187)</f>
        <v>0</v>
      </c>
      <c r="G15" s="749">
        <f ca="1">SUM(Резиденты!$U$187:'Резиденты'!$X$187)</f>
        <v>59991.626695545172</v>
      </c>
      <c r="H15" s="749">
        <f ca="1">SUM(Резиденты!$Y$187:'Резиденты'!$AB$187)</f>
        <v>82827.955399517392</v>
      </c>
      <c r="I15" s="749">
        <f ca="1">SUM(Резиденты!$AC$187:'Резиденты'!$AF$187)</f>
        <v>86206.237108076515</v>
      </c>
      <c r="J15" s="749">
        <f ca="1">SUM(Резиденты!$AG$187:'Резиденты'!$AJ$187)</f>
        <v>88643.90597986232</v>
      </c>
      <c r="K15" s="749">
        <f ca="1">SUM(Резиденты!$AK$187:'Резиденты'!$AN$187)</f>
        <v>89798.405796521401</v>
      </c>
      <c r="L15" s="749">
        <f ca="1">SUM(Резиденты!$AO$187:'Резиденты'!$AR$187)</f>
        <v>104920.03074313226</v>
      </c>
      <c r="M15" s="769">
        <f ca="1">Резиденты!$AT$187</f>
        <v>512388.16172265506</v>
      </c>
    </row>
    <row r="16" spans="1:13" ht="11.25" customHeight="1" x14ac:dyDescent="0.2">
      <c r="A16" s="935" t="str">
        <f>Резиденты!$A$188</f>
        <v>Объект II очереди</v>
      </c>
      <c r="B16" s="623" t="str">
        <f>Резиденты!$C$188</f>
        <v>тыс. руб.</v>
      </c>
      <c r="C16" s="749">
        <f ca="1">SUM(Резиденты!$E$188:'Резиденты'!$H$188)</f>
        <v>0</v>
      </c>
      <c r="D16" s="749">
        <f ca="1">SUM(Резиденты!$I$188:'Резиденты'!$L$188)</f>
        <v>0</v>
      </c>
      <c r="E16" s="749">
        <f ca="1">SUM(Резиденты!$M$188:'Резиденты'!$P$188)</f>
        <v>0</v>
      </c>
      <c r="F16" s="749">
        <f ca="1">SUM(Резиденты!$Q$188:'Резиденты'!$T$188)</f>
        <v>0</v>
      </c>
      <c r="G16" s="749">
        <f ca="1">SUM(Резиденты!$U$188:'Резиденты'!$X$188)</f>
        <v>154706.1010555455</v>
      </c>
      <c r="H16" s="749">
        <f ca="1">SUM(Резиденты!$Y$188:'Резиденты'!$AB$188)</f>
        <v>213596.30908647267</v>
      </c>
      <c r="I16" s="749">
        <f ca="1">SUM(Резиденты!$AC$188:'Резиденты'!$AF$188)</f>
        <v>222308.20473235723</v>
      </c>
      <c r="J16" s="749">
        <f ca="1">SUM(Резиденты!$AG$188:'Резиденты'!$AJ$188)</f>
        <v>228594.45279047926</v>
      </c>
      <c r="K16" s="749">
        <f ca="1">SUM(Резиденты!$AK$188:'Резиденты'!$AN$188)</f>
        <v>231571.67103146968</v>
      </c>
      <c r="L16" s="749">
        <f ca="1">SUM(Резиденты!$AO$188:'Резиденты'!$AR$188)</f>
        <v>270567.24034628138</v>
      </c>
      <c r="M16" s="769">
        <f ca="1">Резиденты!$AT$188</f>
        <v>1321343.9790426055</v>
      </c>
    </row>
    <row r="17" spans="1:13" ht="11.25" customHeight="1" x14ac:dyDescent="0.2">
      <c r="A17" s="917" t="str">
        <f>Резиденты!$A$189</f>
        <v>НДС к зачету по инвестиционным вложениям</v>
      </c>
      <c r="B17" s="783" t="str">
        <f>Резиденты!$C$189</f>
        <v>тыс. руб.</v>
      </c>
      <c r="C17" s="779">
        <f ca="1">SUM(Резиденты!$E$189:'Резиденты'!$H$189)</f>
        <v>295076.2596177712</v>
      </c>
      <c r="D17" s="779">
        <f ca="1">SUM(Резиденты!$I$189:'Резиденты'!$L$189)</f>
        <v>0</v>
      </c>
      <c r="E17" s="779">
        <f ca="1">SUM(Резиденты!$M$189:'Резиденты'!$P$189)</f>
        <v>154781.9400505737</v>
      </c>
      <c r="F17" s="779">
        <f ca="1">SUM(Резиденты!$Q$189:'Резиденты'!$T$189)</f>
        <v>80747.849789316708</v>
      </c>
      <c r="G17" s="779">
        <f ca="1">SUM(Резиденты!$U$189:'Резиденты'!$X$189)</f>
        <v>1290199.5747965176</v>
      </c>
      <c r="H17" s="779">
        <f ca="1">SUM(Резиденты!$Y$189:'Резиденты'!$AB$189)</f>
        <v>0</v>
      </c>
      <c r="I17" s="779">
        <f ca="1">SUM(Резиденты!$AC$189:'Резиденты'!$AF$189)</f>
        <v>0</v>
      </c>
      <c r="J17" s="779">
        <f ca="1">SUM(Резиденты!$AG$189:'Резиденты'!$AJ$189)</f>
        <v>0</v>
      </c>
      <c r="K17" s="779">
        <f ca="1">SUM(Резиденты!$AK$189:'Резиденты'!$AN$189)</f>
        <v>81885.932440858058</v>
      </c>
      <c r="L17" s="779">
        <f ca="1">SUM(Резиденты!$AO$189:'Резиденты'!$AR$189)</f>
        <v>1275340.191493443</v>
      </c>
      <c r="M17" s="801">
        <f ca="1">Резиденты!$AT$189</f>
        <v>3178031.7481884803</v>
      </c>
    </row>
    <row r="18" spans="1:13" ht="11.25" customHeight="1" x14ac:dyDescent="0.2">
      <c r="A18" s="935" t="str">
        <f>Резиденты!$A$190</f>
        <v>Корпус А4</v>
      </c>
      <c r="B18" s="623" t="str">
        <f>Резиденты!$C$190</f>
        <v>тыс. руб.</v>
      </c>
      <c r="C18" s="749">
        <f ca="1">SUM(Резиденты!$E$190:'Резиденты'!$H$190)</f>
        <v>295076.2596177712</v>
      </c>
      <c r="D18" s="749">
        <f ca="1">SUM(Резиденты!$I$190:'Резиденты'!$L$190)</f>
        <v>0</v>
      </c>
      <c r="E18" s="749">
        <f ca="1">SUM(Резиденты!$M$190:'Резиденты'!$P$190)</f>
        <v>0</v>
      </c>
      <c r="F18" s="749">
        <f ca="1">SUM(Резиденты!$Q$190:'Резиденты'!$T$190)</f>
        <v>0</v>
      </c>
      <c r="G18" s="749">
        <f ca="1">SUM(Резиденты!$U$190:'Резиденты'!$X$190)</f>
        <v>0</v>
      </c>
      <c r="H18" s="749">
        <f ca="1">SUM(Резиденты!$Y$190:'Резиденты'!$AB$190)</f>
        <v>0</v>
      </c>
      <c r="I18" s="749">
        <f ca="1">SUM(Резиденты!$AC$190:'Резиденты'!$AF$190)</f>
        <v>0</v>
      </c>
      <c r="J18" s="749">
        <f ca="1">SUM(Резиденты!$AG$190:'Резиденты'!$AJ$190)</f>
        <v>0</v>
      </c>
      <c r="K18" s="749">
        <f ca="1">SUM(Резиденты!$AK$190:'Резиденты'!$AN$190)</f>
        <v>0</v>
      </c>
      <c r="L18" s="749">
        <f ca="1">SUM(Резиденты!$AO$190:'Резиденты'!$AR$190)</f>
        <v>0</v>
      </c>
      <c r="M18" s="769">
        <f ca="1">Резиденты!$AT$190</f>
        <v>295076.2596177712</v>
      </c>
    </row>
    <row r="19" spans="1:13" ht="11.25" customHeight="1" x14ac:dyDescent="0.2">
      <c r="A19" s="935" t="str">
        <f>Резиденты!$A$191</f>
        <v>Корпус B2</v>
      </c>
      <c r="B19" s="623" t="str">
        <f>Резиденты!$C$191</f>
        <v>тыс. руб.</v>
      </c>
      <c r="C19" s="749">
        <f ca="1">SUM(Резиденты!$E$191:'Резиденты'!$H$191)</f>
        <v>0</v>
      </c>
      <c r="D19" s="749">
        <f ca="1">SUM(Резиденты!$I$191:'Резиденты'!$L$191)</f>
        <v>0</v>
      </c>
      <c r="E19" s="749">
        <f ca="1">SUM(Резиденты!$M$191:'Резиденты'!$P$191)</f>
        <v>154781.9400505737</v>
      </c>
      <c r="F19" s="749">
        <f ca="1">SUM(Резиденты!$Q$191:'Резиденты'!$T$191)</f>
        <v>0</v>
      </c>
      <c r="G19" s="749">
        <f ca="1">SUM(Резиденты!$U$191:'Резиденты'!$X$191)</f>
        <v>0</v>
      </c>
      <c r="H19" s="749">
        <f ca="1">SUM(Резиденты!$Y$191:'Резиденты'!$AB$191)</f>
        <v>0</v>
      </c>
      <c r="I19" s="749">
        <f ca="1">SUM(Резиденты!$AC$191:'Резиденты'!$AF$191)</f>
        <v>0</v>
      </c>
      <c r="J19" s="749">
        <f ca="1">SUM(Резиденты!$AG$191:'Резиденты'!$AJ$191)</f>
        <v>0</v>
      </c>
      <c r="K19" s="749">
        <f ca="1">SUM(Резиденты!$AK$191:'Резиденты'!$AN$191)</f>
        <v>0</v>
      </c>
      <c r="L19" s="749">
        <f ca="1">SUM(Резиденты!$AO$191:'Резиденты'!$AR$191)</f>
        <v>648979.38142455067</v>
      </c>
      <c r="M19" s="769">
        <f ca="1">Резиденты!$AT$191</f>
        <v>803761.32147512434</v>
      </c>
    </row>
    <row r="20" spans="1:13" ht="11.25" customHeight="1" x14ac:dyDescent="0.2">
      <c r="A20" s="935" t="str">
        <f>Резиденты!$A$192</f>
        <v>БП с ЦОД</v>
      </c>
      <c r="B20" s="623" t="str">
        <f>Резиденты!$C$192</f>
        <v>тыс. руб.</v>
      </c>
      <c r="C20" s="749">
        <f ca="1">SUM(Резиденты!$E$192:'Резиденты'!$H$192)</f>
        <v>0</v>
      </c>
      <c r="D20" s="749">
        <f ca="1">SUM(Резиденты!$I$192:'Резиденты'!$L$192)</f>
        <v>0</v>
      </c>
      <c r="E20" s="749">
        <f ca="1">SUM(Резиденты!$M$192:'Резиденты'!$P$192)</f>
        <v>0</v>
      </c>
      <c r="F20" s="749">
        <f ca="1">SUM(Резиденты!$Q$192:'Резиденты'!$T$192)</f>
        <v>0</v>
      </c>
      <c r="G20" s="749">
        <f ca="1">SUM(Резиденты!$U$192:'Резиденты'!$X$192)</f>
        <v>568972.17447813845</v>
      </c>
      <c r="H20" s="749">
        <f ca="1">SUM(Резиденты!$Y$192:'Резиденты'!$AB$192)</f>
        <v>0</v>
      </c>
      <c r="I20" s="749">
        <f ca="1">SUM(Резиденты!$AC$192:'Резиденты'!$AF$192)</f>
        <v>0</v>
      </c>
      <c r="J20" s="749">
        <f ca="1">SUM(Резиденты!$AG$192:'Резиденты'!$AJ$192)</f>
        <v>0</v>
      </c>
      <c r="K20" s="749">
        <f ca="1">SUM(Резиденты!$AK$192:'Резиденты'!$AN$192)</f>
        <v>81885.932440858058</v>
      </c>
      <c r="L20" s="749">
        <f ca="1">SUM(Резиденты!$AO$192:'Резиденты'!$AR$192)</f>
        <v>0</v>
      </c>
      <c r="M20" s="769">
        <f ca="1">Резиденты!$AT$192</f>
        <v>650858.10691899655</v>
      </c>
    </row>
    <row r="21" spans="1:13" ht="11.25" customHeight="1" x14ac:dyDescent="0.2">
      <c r="A21" s="935" t="str">
        <f>Резиденты!$A$193</f>
        <v>Корпус B1</v>
      </c>
      <c r="B21" s="623" t="str">
        <f>Резиденты!$C$193</f>
        <v>тыс. руб.</v>
      </c>
      <c r="C21" s="749">
        <f ca="1">SUM(Резиденты!$E$193:'Резиденты'!$H$193)</f>
        <v>0</v>
      </c>
      <c r="D21" s="749">
        <f ca="1">SUM(Резиденты!$I$193:'Резиденты'!$L$193)</f>
        <v>0</v>
      </c>
      <c r="E21" s="749">
        <f ca="1">SUM(Резиденты!$M$193:'Резиденты'!$P$193)</f>
        <v>0</v>
      </c>
      <c r="F21" s="749">
        <f ca="1">SUM(Резиденты!$Q$193:'Резиденты'!$T$193)</f>
        <v>80747.849789316708</v>
      </c>
      <c r="G21" s="749">
        <f ca="1">SUM(Резиденты!$U$193:'Резиденты'!$X$193)</f>
        <v>0</v>
      </c>
      <c r="H21" s="749">
        <f ca="1">SUM(Резиденты!$Y$193:'Резиденты'!$AB$193)</f>
        <v>0</v>
      </c>
      <c r="I21" s="749">
        <f ca="1">SUM(Резиденты!$AC$193:'Резиденты'!$AF$193)</f>
        <v>0</v>
      </c>
      <c r="J21" s="749">
        <f ca="1">SUM(Резиденты!$AG$193:'Резиденты'!$AJ$193)</f>
        <v>0</v>
      </c>
      <c r="K21" s="749">
        <f ca="1">SUM(Резиденты!$AK$193:'Резиденты'!$AN$193)</f>
        <v>0</v>
      </c>
      <c r="L21" s="749">
        <f ca="1">SUM(Резиденты!$AO$193:'Резиденты'!$AR$193)</f>
        <v>0</v>
      </c>
      <c r="M21" s="769">
        <f ca="1">Резиденты!$AT$193</f>
        <v>80747.849789316708</v>
      </c>
    </row>
    <row r="22" spans="1:13" ht="11.25" customHeight="1" x14ac:dyDescent="0.2">
      <c r="A22" s="935" t="str">
        <f>Резиденты!$A$194</f>
        <v>Корпус B3</v>
      </c>
      <c r="B22" s="623" t="str">
        <f>Резиденты!$C$194</f>
        <v>тыс. руб.</v>
      </c>
      <c r="C22" s="749">
        <f ca="1">SUM(Резиденты!$E$194:'Резиденты'!$H$194)</f>
        <v>0</v>
      </c>
      <c r="D22" s="749">
        <f ca="1">SUM(Резиденты!$I$194:'Резиденты'!$L$194)</f>
        <v>0</v>
      </c>
      <c r="E22" s="749">
        <f ca="1">SUM(Резиденты!$M$194:'Резиденты'!$P$194)</f>
        <v>0</v>
      </c>
      <c r="F22" s="749">
        <f ca="1">SUM(Резиденты!$Q$194:'Резиденты'!$T$194)</f>
        <v>0</v>
      </c>
      <c r="G22" s="749">
        <f ca="1">SUM(Резиденты!$U$194:'Резиденты'!$X$194)</f>
        <v>201528.00598179089</v>
      </c>
      <c r="H22" s="749">
        <f ca="1">SUM(Резиденты!$Y$194:'Резиденты'!$AB$194)</f>
        <v>0</v>
      </c>
      <c r="I22" s="749">
        <f ca="1">SUM(Резиденты!$AC$194:'Резиденты'!$AF$194)</f>
        <v>0</v>
      </c>
      <c r="J22" s="749">
        <f ca="1">SUM(Резиденты!$AG$194:'Резиденты'!$AJ$194)</f>
        <v>0</v>
      </c>
      <c r="K22" s="749">
        <f ca="1">SUM(Резиденты!$AK$194:'Резиденты'!$AN$194)</f>
        <v>0</v>
      </c>
      <c r="L22" s="749">
        <f ca="1">SUM(Резиденты!$AO$194:'Резиденты'!$AR$194)</f>
        <v>204789.96401171555</v>
      </c>
      <c r="M22" s="769">
        <f ca="1">Резиденты!$AT$194</f>
        <v>406317.96999350644</v>
      </c>
    </row>
    <row r="23" spans="1:13" ht="11.25" customHeight="1" x14ac:dyDescent="0.2">
      <c r="A23" s="935" t="str">
        <f>Резиденты!$A$195</f>
        <v>Объект II очереди</v>
      </c>
      <c r="B23" s="623" t="str">
        <f>Резиденты!$C$195</f>
        <v>тыс. руб.</v>
      </c>
      <c r="C23" s="750">
        <f ca="1">SUM(Резиденты!$E$195:'Резиденты'!$H$195)</f>
        <v>0</v>
      </c>
      <c r="D23" s="750">
        <f ca="1">SUM(Резиденты!$I$195:'Резиденты'!$L$195)</f>
        <v>0</v>
      </c>
      <c r="E23" s="750">
        <f ca="1">SUM(Резиденты!$M$195:'Резиденты'!$P$195)</f>
        <v>0</v>
      </c>
      <c r="F23" s="750">
        <f ca="1">SUM(Резиденты!$Q$195:'Резиденты'!$T$195)</f>
        <v>0</v>
      </c>
      <c r="G23" s="750">
        <f ca="1">SUM(Резиденты!$U$195:'Резиденты'!$X$195)</f>
        <v>519699.39433658822</v>
      </c>
      <c r="H23" s="750">
        <f ca="1">SUM(Резиденты!$Y$195:'Резиденты'!$AB$195)</f>
        <v>0</v>
      </c>
      <c r="I23" s="750">
        <f ca="1">SUM(Резиденты!$AC$195:'Резиденты'!$AF$195)</f>
        <v>0</v>
      </c>
      <c r="J23" s="750">
        <f ca="1">SUM(Резиденты!$AG$195:'Резиденты'!$AJ$195)</f>
        <v>0</v>
      </c>
      <c r="K23" s="750">
        <f ca="1">SUM(Резиденты!$AK$195:'Резиденты'!$AN$195)</f>
        <v>0</v>
      </c>
      <c r="L23" s="750">
        <f ca="1">SUM(Резиденты!$AO$195:'Резиденты'!$AR$195)</f>
        <v>421570.84605717688</v>
      </c>
      <c r="M23" s="753">
        <f ca="1">Резиденты!$AT$195</f>
        <v>941270.24039376504</v>
      </c>
    </row>
    <row r="24" spans="1:13" ht="11.25" customHeight="1" x14ac:dyDescent="0.2">
      <c r="A24" s="917" t="str">
        <f>Резиденты!$A$196</f>
        <v>Баланс расчетов по НДС</v>
      </c>
      <c r="B24" s="783" t="str">
        <f>Резиденты!$C$196</f>
        <v>тыс. руб.</v>
      </c>
      <c r="C24" s="707"/>
      <c r="D24" s="707"/>
      <c r="E24" s="707"/>
      <c r="F24" s="707"/>
      <c r="G24" s="707"/>
      <c r="H24" s="707"/>
      <c r="I24" s="707"/>
      <c r="J24" s="707"/>
      <c r="K24" s="707"/>
      <c r="L24" s="707"/>
      <c r="M24" s="728"/>
    </row>
    <row r="25" spans="1:13" ht="11.25" customHeight="1" x14ac:dyDescent="0.2">
      <c r="A25" s="935" t="str">
        <f>Резиденты!$A$197</f>
        <v>Корпус А4</v>
      </c>
      <c r="B25" s="623" t="str">
        <f>Резиденты!$C$197</f>
        <v>тыс. руб.</v>
      </c>
      <c r="C25" s="749">
        <f ca="1">Резиденты!$H$197</f>
        <v>-267130.30397768813</v>
      </c>
      <c r="D25" s="749">
        <f ca="1">Резиденты!$L$197</f>
        <v>-153870.46341068152</v>
      </c>
      <c r="E25" s="749">
        <f ca="1">Резиденты!$P$197</f>
        <v>-35770.343617765291</v>
      </c>
      <c r="F25" s="749">
        <f ca="1">Резиденты!$T$197</f>
        <v>31366.899020510948</v>
      </c>
      <c r="G25" s="749">
        <f ca="1">Резиденты!$X$197</f>
        <v>33934.159675979317</v>
      </c>
      <c r="H25" s="749">
        <f ca="1">Резиденты!$AB$197</f>
        <v>35312.128840894933</v>
      </c>
      <c r="I25" s="749">
        <f ca="1">Резиденты!$AF$197</f>
        <v>36758.63181384973</v>
      </c>
      <c r="J25" s="749">
        <f ca="1">Резиденты!$AJ$197</f>
        <v>36393.442672641337</v>
      </c>
      <c r="K25" s="749">
        <f ca="1">Резиденты!$AN$197</f>
        <v>38655.974618611275</v>
      </c>
      <c r="L25" s="749">
        <f ca="1">Резиденты!$AR$197</f>
        <v>49586.057510646569</v>
      </c>
      <c r="M25" s="769">
        <f ca="1">Резиденты!$AT$197</f>
        <v>-400877.25591151853</v>
      </c>
    </row>
    <row r="26" spans="1:13" ht="11.25" customHeight="1" x14ac:dyDescent="0.2">
      <c r="A26" s="935" t="str">
        <f>Резиденты!$A$198</f>
        <v>Корпус B2</v>
      </c>
      <c r="B26" s="623" t="str">
        <f>Резиденты!$C$198</f>
        <v>тыс. руб.</v>
      </c>
      <c r="C26" s="749">
        <f ca="1">Резиденты!$H$198</f>
        <v>0</v>
      </c>
      <c r="D26" s="749">
        <f ca="1">Резиденты!$L$198</f>
        <v>0</v>
      </c>
      <c r="E26" s="749">
        <f ca="1">Резиденты!$P$198</f>
        <v>-110387.37110871164</v>
      </c>
      <c r="F26" s="749">
        <f ca="1">Резиденты!$T$198</f>
        <v>-48898.822363196596</v>
      </c>
      <c r="G26" s="749">
        <f ca="1">Резиденты!$X$198</f>
        <v>16896.871231763496</v>
      </c>
      <c r="H26" s="749">
        <f ca="1">Резиденты!$AB$198</f>
        <v>17583.004843535269</v>
      </c>
      <c r="I26" s="749">
        <f ca="1">Резиденты!$AF$198</f>
        <v>18303.263565241035</v>
      </c>
      <c r="J26" s="749">
        <f ca="1">Резиденты!$AJ$198</f>
        <v>18121.424558377268</v>
      </c>
      <c r="K26" s="749">
        <f ca="1">Резиденты!$AN$198</f>
        <v>19248.009430784372</v>
      </c>
      <c r="L26" s="749">
        <f ca="1">Резиденты!$AR$198</f>
        <v>-561201.5573265882</v>
      </c>
      <c r="M26" s="769">
        <f ca="1">Резиденты!$AT$198</f>
        <v>-2793410.893670266</v>
      </c>
    </row>
    <row r="27" spans="1:13" ht="11.25" customHeight="1" x14ac:dyDescent="0.2">
      <c r="A27" s="935" t="str">
        <f>Резиденты!$A$199</f>
        <v>БП с ЦОД</v>
      </c>
      <c r="B27" s="623" t="str">
        <f>Резиденты!$C$199</f>
        <v>тыс. руб.</v>
      </c>
      <c r="C27" s="749">
        <f ca="1">Резиденты!$H$199</f>
        <v>0</v>
      </c>
      <c r="D27" s="749">
        <f ca="1">Резиденты!$L$199</f>
        <v>0</v>
      </c>
      <c r="E27" s="749">
        <f ca="1">Резиденты!$P$199</f>
        <v>0</v>
      </c>
      <c r="F27" s="749">
        <f ca="1">Резиденты!$T$199</f>
        <v>0</v>
      </c>
      <c r="G27" s="749">
        <f ca="1">Резиденты!$X$199</f>
        <v>-399598.36399876903</v>
      </c>
      <c r="H27" s="749">
        <f ca="1">Резиденты!$AB$199</f>
        <v>-165750.95573582104</v>
      </c>
      <c r="I27" s="749">
        <f ca="1">Резиденты!$AF$199</f>
        <v>61767.176837548192</v>
      </c>
      <c r="J27" s="749">
        <f ca="1">Резиденты!$AJ$199</f>
        <v>61153.533153028009</v>
      </c>
      <c r="K27" s="749">
        <f ca="1">Резиденты!$AN$199</f>
        <v>64955.367005687149</v>
      </c>
      <c r="L27" s="749">
        <f ca="1">Резиденты!$AR$199</f>
        <v>83321.675258407166</v>
      </c>
      <c r="M27" s="769">
        <f ca="1">Резиденты!$AT$199</f>
        <v>-1761366.1684584208</v>
      </c>
    </row>
    <row r="28" spans="1:13" ht="11.25" customHeight="1" x14ac:dyDescent="0.2">
      <c r="A28" s="935" t="str">
        <f>Резиденты!$A$200</f>
        <v>Корпус B1</v>
      </c>
      <c r="B28" s="623" t="str">
        <f>Резиденты!$C$200</f>
        <v>тыс. руб.</v>
      </c>
      <c r="C28" s="749">
        <f ca="1">Резиденты!$H$200</f>
        <v>0</v>
      </c>
      <c r="D28" s="749">
        <f ca="1">Резиденты!$L$200</f>
        <v>0</v>
      </c>
      <c r="E28" s="749">
        <f ca="1">Резиденты!$P$200</f>
        <v>0</v>
      </c>
      <c r="F28" s="749">
        <f ca="1">Резиденты!$T$200</f>
        <v>-57546.86298401712</v>
      </c>
      <c r="G28" s="749">
        <f ca="1">Резиденты!$X$200</f>
        <v>-24565.42191146456</v>
      </c>
      <c r="H28" s="749">
        <f ca="1">Резиденты!$AB$200</f>
        <v>8791.5024217676364</v>
      </c>
      <c r="I28" s="749">
        <f ca="1">Резиденты!$AF$200</f>
        <v>9151.6317826205195</v>
      </c>
      <c r="J28" s="749">
        <f ca="1">Резиденты!$AJ$200</f>
        <v>9060.7122791886359</v>
      </c>
      <c r="K28" s="749">
        <f ca="1">Резиденты!$AN$200</f>
        <v>9624.0047153921842</v>
      </c>
      <c r="L28" s="749">
        <f ca="1">Резиденты!$AR$200</f>
        <v>12345.218456098904</v>
      </c>
      <c r="M28" s="769">
        <f ca="1">Резиденты!$AT$200</f>
        <v>-203380.09030176522</v>
      </c>
    </row>
    <row r="29" spans="1:13" ht="11.25" customHeight="1" x14ac:dyDescent="0.2">
      <c r="A29" s="935" t="str">
        <f>Резиденты!$A$201</f>
        <v>Корпус B3</v>
      </c>
      <c r="B29" s="623" t="str">
        <f>Резиденты!$C$201</f>
        <v>тыс. руб.</v>
      </c>
      <c r="C29" s="749">
        <f ca="1">Резиденты!$H$201</f>
        <v>0</v>
      </c>
      <c r="D29" s="749">
        <f ca="1">Резиденты!$L$201</f>
        <v>0</v>
      </c>
      <c r="E29" s="749">
        <f ca="1">Резиденты!$P$201</f>
        <v>0</v>
      </c>
      <c r="F29" s="749">
        <f ca="1">Резиденты!$T$201</f>
        <v>0</v>
      </c>
      <c r="G29" s="749">
        <f ca="1">Резиденты!$X$201</f>
        <v>-141536.37928624573</v>
      </c>
      <c r="H29" s="749">
        <f ca="1">Резиденты!$AB$201</f>
        <v>-58708.423886728342</v>
      </c>
      <c r="I29" s="749">
        <f ca="1">Резиденты!$AF$201</f>
        <v>21877.723624380909</v>
      </c>
      <c r="J29" s="749">
        <f ca="1">Резиденты!$AJ$201</f>
        <v>21660.373121716875</v>
      </c>
      <c r="K29" s="749">
        <f ca="1">Резиденты!$AN$201</f>
        <v>23006.969721283815</v>
      </c>
      <c r="L29" s="749">
        <f ca="1">Резиденты!$AR$201</f>
        <v>-99869.933268583292</v>
      </c>
      <c r="M29" s="769">
        <f ca="1">Резиденты!$AT$201</f>
        <v>-1262061.4767824635</v>
      </c>
    </row>
    <row r="30" spans="1:13" ht="11.25" customHeight="1" x14ac:dyDescent="0.2">
      <c r="A30" s="935" t="str">
        <f>Резиденты!$A$202</f>
        <v>Объект II очереди</v>
      </c>
      <c r="B30" s="623" t="str">
        <f>Резиденты!$C$202</f>
        <v>тыс. руб.</v>
      </c>
      <c r="C30" s="749">
        <f ca="1">Резиденты!$H$202</f>
        <v>0</v>
      </c>
      <c r="D30" s="749">
        <f ca="1">Резиденты!$L$202</f>
        <v>0</v>
      </c>
      <c r="E30" s="749">
        <f ca="1">Резиденты!$P$202</f>
        <v>0</v>
      </c>
      <c r="F30" s="749">
        <f ca="1">Резиденты!$T$202</f>
        <v>0</v>
      </c>
      <c r="G30" s="749">
        <f ca="1">Резиденты!$X$202</f>
        <v>-364993.29328104272</v>
      </c>
      <c r="H30" s="749">
        <f ca="1">Резиденты!$AB$202</f>
        <v>-151396.98419457005</v>
      </c>
      <c r="I30" s="749">
        <f ca="1">Резиденты!$AF$202</f>
        <v>56418.162139119013</v>
      </c>
      <c r="J30" s="749">
        <f ca="1">Резиденты!$AJ$202</f>
        <v>55857.659771009174</v>
      </c>
      <c r="K30" s="749">
        <f ca="1">Резиденты!$AN$202</f>
        <v>59330.25621635819</v>
      </c>
      <c r="L30" s="749">
        <f ca="1">Резиденты!$AR$202</f>
        <v>-151003.6057108955</v>
      </c>
      <c r="M30" s="769">
        <f ca="1">Резиденты!$AT$202</f>
        <v>-2828435.8256505849</v>
      </c>
    </row>
    <row r="31" spans="1:13" ht="11.25" customHeight="1" x14ac:dyDescent="0.2">
      <c r="A31" s="917" t="str">
        <f>Резиденты!$A$203</f>
        <v>НДС уплаченный</v>
      </c>
      <c r="B31" s="783" t="str">
        <f>Резиденты!$C$203</f>
        <v>тыс. руб.</v>
      </c>
      <c r="C31" s="779">
        <f ca="1">SUM(Резиденты!$E$203:'Резиденты'!$H$203)</f>
        <v>0</v>
      </c>
      <c r="D31" s="779">
        <f ca="1">SUM(Резиденты!$I$203:'Резиденты'!$L$203)</f>
        <v>0</v>
      </c>
      <c r="E31" s="779">
        <f ca="1">SUM(Резиденты!$M$203:'Резиденты'!$P$203)</f>
        <v>0</v>
      </c>
      <c r="F31" s="779">
        <f ca="1">SUM(Резиденты!$Q$203:'Резиденты'!$T$203)</f>
        <v>56350.840022384145</v>
      </c>
      <c r="G31" s="779">
        <f ca="1">SUM(Резиденты!$U$203:'Резиденты'!$X$203)</f>
        <v>130073.86018055257</v>
      </c>
      <c r="H31" s="779">
        <f ca="1">SUM(Резиденты!$Y$203:'Резиденты'!$AB$203)</f>
        <v>207688.13978113199</v>
      </c>
      <c r="I31" s="779">
        <f ca="1">SUM(Резиденты!$AC$203:'Резиденты'!$AF$203)</f>
        <v>286478.20004298241</v>
      </c>
      <c r="J31" s="779">
        <f ca="1">SUM(Резиденты!$AG$203:'Резиденты'!$AJ$203)</f>
        <v>829714.95334437699</v>
      </c>
      <c r="K31" s="779">
        <f ca="1">SUM(Резиденты!$AK$203:'Резиденты'!$AN$203)</f>
        <v>744005.93141668418</v>
      </c>
      <c r="L31" s="779">
        <f ca="1">SUM(Резиденты!$AO$203:'Резиденты'!$AR$203)</f>
        <v>585961.40867700172</v>
      </c>
      <c r="M31" s="801">
        <f ca="1">Резиденты!$AT$203</f>
        <v>2840273.3334651138</v>
      </c>
    </row>
    <row r="32" spans="1:13" ht="11.25" customHeight="1" x14ac:dyDescent="0.2">
      <c r="A32" s="935" t="str">
        <f>Резиденты!$A$204</f>
        <v>Корпус А4</v>
      </c>
      <c r="B32" s="623" t="str">
        <f>Резиденты!$C$204</f>
        <v>тыс. руб.</v>
      </c>
      <c r="C32" s="749">
        <f ca="1">SUM(Резиденты!$E$204:'Резиденты'!$H$204)</f>
        <v>0</v>
      </c>
      <c r="D32" s="749">
        <f ca="1">SUM(Резиденты!$I$204:'Резиденты'!$L$204)</f>
        <v>0</v>
      </c>
      <c r="E32" s="749">
        <f ca="1">SUM(Резиденты!$M$204:'Резиденты'!$P$204)</f>
        <v>0</v>
      </c>
      <c r="F32" s="749">
        <f ca="1">SUM(Резиденты!$Q$204:'Резиденты'!$T$204)</f>
        <v>56350.840022384145</v>
      </c>
      <c r="G32" s="749">
        <f ca="1">SUM(Резиденты!$U$204:'Резиденты'!$X$204)</f>
        <v>129906.67163040755</v>
      </c>
      <c r="H32" s="749">
        <f ca="1">SUM(Резиденты!$Y$204:'Резиденты'!$AB$204)</f>
        <v>137788.35219000929</v>
      </c>
      <c r="I32" s="749">
        <f ca="1">SUM(Резиденты!$AC$204:'Резиденты'!$AF$204)</f>
        <v>143395.9579849953</v>
      </c>
      <c r="J32" s="749">
        <f ca="1">SUM(Резиденты!$AG$204:'Резиденты'!$AJ$204)</f>
        <v>149303.38574700255</v>
      </c>
      <c r="K32" s="749">
        <f ca="1">SUM(Резиденты!$AK$204:'Резиденты'!$AN$204)</f>
        <v>148615.43839580991</v>
      </c>
      <c r="L32" s="749">
        <f ca="1">SUM(Резиденты!$AO$204:'Резиденты'!$AR$204)</f>
        <v>165355.02090581149</v>
      </c>
      <c r="M32" s="769">
        <f ca="1">Резиденты!$AT$204</f>
        <v>930715.66687642038</v>
      </c>
    </row>
    <row r="33" spans="1:13" ht="11.25" customHeight="1" x14ac:dyDescent="0.2">
      <c r="A33" s="935" t="str">
        <f>Резиденты!$A$205</f>
        <v>Корпус B2</v>
      </c>
      <c r="B33" s="623" t="str">
        <f>Резиденты!$C$205</f>
        <v>тыс. руб.</v>
      </c>
      <c r="C33" s="749">
        <f ca="1">SUM(Резиденты!$E$205:'Резиденты'!$H$205)</f>
        <v>0</v>
      </c>
      <c r="D33" s="749">
        <f ca="1">SUM(Резиденты!$I$205:'Резиденты'!$L$205)</f>
        <v>0</v>
      </c>
      <c r="E33" s="749">
        <f ca="1">SUM(Резиденты!$M$205:'Резиденты'!$P$205)</f>
        <v>0</v>
      </c>
      <c r="F33" s="749">
        <f ca="1">SUM(Резиденты!$Q$205:'Резиденты'!$T$205)</f>
        <v>0</v>
      </c>
      <c r="G33" s="749">
        <f ca="1">SUM(Резиденты!$U$205:'Резиденты'!$X$205)</f>
        <v>167.18855014501969</v>
      </c>
      <c r="H33" s="749">
        <f ca="1">SUM(Резиденты!$Y$205:'Резиденты'!$AB$205)</f>
        <v>68609.096745646006</v>
      </c>
      <c r="I33" s="749">
        <f ca="1">SUM(Резиденты!$AC$205:'Резиденты'!$AF$205)</f>
        <v>71401.297700114897</v>
      </c>
      <c r="J33" s="749">
        <f ca="1">SUM(Резиденты!$AG$205:'Резиденты'!$AJ$205)</f>
        <v>74342.789316783339</v>
      </c>
      <c r="K33" s="749">
        <f ca="1">SUM(Резиденты!$AK$205:'Резиденты'!$AN$205)</f>
        <v>74000.238980534312</v>
      </c>
      <c r="L33" s="749">
        <f ca="1">SUM(Резиденты!$AO$205:'Резиденты'!$AR$205)</f>
        <v>19248.009430784372</v>
      </c>
      <c r="M33" s="769">
        <f ca="1">Резиденты!$AT$205</f>
        <v>307768.62072400801</v>
      </c>
    </row>
    <row r="34" spans="1:13" ht="11.25" customHeight="1" x14ac:dyDescent="0.2">
      <c r="A34" s="935" t="str">
        <f>Резиденты!$A$206</f>
        <v>БП с ЦОД</v>
      </c>
      <c r="B34" s="623" t="str">
        <f>Резиденты!$C$206</f>
        <v>тыс. руб.</v>
      </c>
      <c r="C34" s="749">
        <f ca="1">SUM(Резиденты!$E$206:'Резиденты'!$H$206)</f>
        <v>0</v>
      </c>
      <c r="D34" s="749">
        <f ca="1">SUM(Резиденты!$I$206:'Резиденты'!$L$206)</f>
        <v>0</v>
      </c>
      <c r="E34" s="749">
        <f ca="1">SUM(Резиденты!$M$206:'Резиденты'!$P$206)</f>
        <v>0</v>
      </c>
      <c r="F34" s="749">
        <f ca="1">SUM(Резиденты!$Q$206:'Резиденты'!$T$206)</f>
        <v>0</v>
      </c>
      <c r="G34" s="749">
        <f ca="1">SUM(Резиденты!$U$206:'Резиденты'!$X$206)</f>
        <v>0</v>
      </c>
      <c r="H34" s="749">
        <f ca="1">SUM(Резиденты!$Y$206:'Резиденты'!$AB$206)</f>
        <v>0</v>
      </c>
      <c r="I34" s="749">
        <f ca="1">SUM(Резиденты!$AC$206:'Резиденты'!$AF$206)</f>
        <v>15867.147512179348</v>
      </c>
      <c r="J34" s="749">
        <f ca="1">SUM(Резиденты!$AG$206:'Резиденты'!$AJ$206)</f>
        <v>250881.17198108396</v>
      </c>
      <c r="K34" s="749">
        <f ca="1">SUM(Резиденты!$AK$206:'Резиденты'!$AN$206)</f>
        <v>167839.25076699769</v>
      </c>
      <c r="L34" s="749">
        <f ca="1">SUM(Резиденты!$AO$206:'Резиденты'!$AR$206)</f>
        <v>277853.4540944894</v>
      </c>
      <c r="M34" s="769">
        <f ca="1">Резиденты!$AT$206</f>
        <v>712441.02435475029</v>
      </c>
    </row>
    <row r="35" spans="1:13" ht="11.25" customHeight="1" x14ac:dyDescent="0.2">
      <c r="A35" s="935" t="str">
        <f>Резиденты!$A$207</f>
        <v>Корпус B1</v>
      </c>
      <c r="B35" s="623" t="str">
        <f>Резиденты!$C$207</f>
        <v>тыс. руб.</v>
      </c>
      <c r="C35" s="749">
        <f ca="1">SUM(Резиденты!$E$207:'Резиденты'!$H$207)</f>
        <v>0</v>
      </c>
      <c r="D35" s="749">
        <f ca="1">SUM(Резиденты!$I$207:'Резиденты'!$L$207)</f>
        <v>0</v>
      </c>
      <c r="E35" s="749">
        <f ca="1">SUM(Резиденты!$M$207:'Резиденты'!$P$207)</f>
        <v>0</v>
      </c>
      <c r="F35" s="749">
        <f ca="1">SUM(Резиденты!$Q$207:'Резиденты'!$T$207)</f>
        <v>0</v>
      </c>
      <c r="G35" s="749">
        <f ca="1">SUM(Резиденты!$U$207:'Резиденты'!$X$207)</f>
        <v>0</v>
      </c>
      <c r="H35" s="749">
        <f ca="1">SUM(Резиденты!$Y$207:'Резиденты'!$AB$207)</f>
        <v>1290.6908454766963</v>
      </c>
      <c r="I35" s="749">
        <f ca="1">SUM(Резиденты!$AC$207:'Резиденты'!$AF$207)</f>
        <v>35700.648850057449</v>
      </c>
      <c r="J35" s="749">
        <f ca="1">SUM(Резиденты!$AG$207:'Резиденты'!$AJ$207)</f>
        <v>37171.39465839167</v>
      </c>
      <c r="K35" s="749">
        <f ca="1">SUM(Резиденты!$AK$207:'Резиденты'!$AN$207)</f>
        <v>37000.119490267156</v>
      </c>
      <c r="L35" s="749">
        <f ca="1">SUM(Резиденты!$AO$207:'Резиденты'!$AR$207)</f>
        <v>41167.698308274441</v>
      </c>
      <c r="M35" s="769">
        <f ca="1">Резиденты!$AT$207</f>
        <v>152330.5521524674</v>
      </c>
    </row>
    <row r="36" spans="1:13" ht="11.25" customHeight="1" x14ac:dyDescent="0.2">
      <c r="A36" s="935" t="str">
        <f>Резиденты!$A$208</f>
        <v>Корпус B3</v>
      </c>
      <c r="B36" s="623" t="str">
        <f>Резиденты!$C$208</f>
        <v>тыс. руб.</v>
      </c>
      <c r="C36" s="749">
        <f ca="1">SUM(Резиденты!$E$208:'Резиденты'!$H$208)</f>
        <v>0</v>
      </c>
      <c r="D36" s="749">
        <f ca="1">SUM(Резиденты!$I$208:'Резиденты'!$L$208)</f>
        <v>0</v>
      </c>
      <c r="E36" s="749">
        <f ca="1">SUM(Резиденты!$M$208:'Резиденты'!$P$208)</f>
        <v>0</v>
      </c>
      <c r="F36" s="749">
        <f ca="1">SUM(Резиденты!$Q$208:'Резиденты'!$T$208)</f>
        <v>0</v>
      </c>
      <c r="G36" s="749">
        <f ca="1">SUM(Резиденты!$U$208:'Резиденты'!$X$208)</f>
        <v>0</v>
      </c>
      <c r="H36" s="749">
        <f ca="1">SUM(Резиденты!$Y$208:'Резиденты'!$AB$208)</f>
        <v>0</v>
      </c>
      <c r="I36" s="749">
        <f ca="1">SUM(Резиденты!$AC$208:'Резиденты'!$AF$208)</f>
        <v>5620.0895969672565</v>
      </c>
      <c r="J36" s="749">
        <f ca="1">SUM(Резиденты!$AG$208:'Резиденты'!$AJ$208)</f>
        <v>88861.256482526354</v>
      </c>
      <c r="K36" s="749">
        <f ca="1">SUM(Резиденты!$AK$208:'Резиденты'!$AN$208)</f>
        <v>88451.809196954448</v>
      </c>
      <c r="L36" s="749">
        <f ca="1">SUM(Резиденты!$AO$208:'Резиденты'!$AR$208)</f>
        <v>23006.969721283815</v>
      </c>
      <c r="M36" s="769">
        <f ca="1">Резиденты!$AT$208</f>
        <v>205940.12499773188</v>
      </c>
    </row>
    <row r="37" spans="1:13" ht="11.25" customHeight="1" x14ac:dyDescent="0.2">
      <c r="A37" s="644" t="str">
        <f>Резиденты!$A$209</f>
        <v>Объект II очереди</v>
      </c>
      <c r="B37" s="617" t="str">
        <f>Резиденты!$C$209</f>
        <v>тыс. руб.</v>
      </c>
      <c r="C37" s="750">
        <f ca="1">SUM(Резиденты!$E$209:'Резиденты'!$H$209)</f>
        <v>0</v>
      </c>
      <c r="D37" s="750">
        <f ca="1">SUM(Резиденты!$I$209:'Резиденты'!$L$209)</f>
        <v>0</v>
      </c>
      <c r="E37" s="750">
        <f ca="1">SUM(Резиденты!$M$209:'Резиденты'!$P$209)</f>
        <v>0</v>
      </c>
      <c r="F37" s="750">
        <f ca="1">SUM(Резиденты!$Q$209:'Резиденты'!$T$209)</f>
        <v>0</v>
      </c>
      <c r="G37" s="750">
        <f ca="1">SUM(Резиденты!$U$209:'Резиденты'!$X$209)</f>
        <v>0</v>
      </c>
      <c r="H37" s="750">
        <f ca="1">SUM(Резиденты!$Y$209:'Резиденты'!$AB$209)</f>
        <v>0</v>
      </c>
      <c r="I37" s="750">
        <f ca="1">SUM(Резиденты!$AC$209:'Резиденты'!$AF$209)</f>
        <v>14493.058398668145</v>
      </c>
      <c r="J37" s="750">
        <f ca="1">SUM(Резиденты!$AG$209:'Резиденты'!$AJ$209)</f>
        <v>229154.95515858912</v>
      </c>
      <c r="K37" s="750">
        <f ca="1">SUM(Резиденты!$AK$209:'Резиденты'!$AN$209)</f>
        <v>228099.07458612064</v>
      </c>
      <c r="L37" s="750">
        <f ca="1">SUM(Резиденты!$AO$209:'Резиденты'!$AR$209)</f>
        <v>59330.25621635819</v>
      </c>
      <c r="M37" s="753">
        <f ca="1">Резиденты!$AT$209</f>
        <v>531077.34435973607</v>
      </c>
    </row>
    <row r="38" spans="1:13" ht="11.25" customHeight="1" x14ac:dyDescent="0.2">
      <c r="A38" s="599"/>
      <c r="B38" s="599"/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22&amp;R&amp;"Arial,полужирный"&amp;10Проект создания ИП «Бугры» на территории Ленинградской области
&amp;C&amp;"Arial,полужирный"&amp;13
РАСЧЕТ НАЛОГА НА ДОБАВЛЕННУЮ СТОИМОСТЬ РЕЗИДЕНТОВ</oddHead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48"/>
  <dimension ref="A1:M6"/>
  <sheetViews>
    <sheetView workbookViewId="0"/>
  </sheetViews>
  <sheetFormatPr defaultRowHeight="12.75" x14ac:dyDescent="0.2"/>
  <cols>
    <col min="1" max="1" width="42.28515625" customWidth="1"/>
    <col min="2" max="2" width="9.85546875" customWidth="1"/>
    <col min="3" max="13" width="8.140625" customWidth="1"/>
  </cols>
  <sheetData>
    <row r="1" spans="1:13" s="301" customFormat="1" ht="26.1" customHeight="1" x14ac:dyDescent="0.2">
      <c r="A1" s="613" t="str">
        <f>Резиденты!$A$213</f>
        <v>РАСЧЕТ ТАМОЖЕННЫХ ПОШЛИН РЕЗИДЕНТОВ</v>
      </c>
      <c r="B1" s="614"/>
      <c r="C1" s="614" t="str">
        <f>"2020"</f>
        <v>2020</v>
      </c>
      <c r="D1" s="614" t="str">
        <f>"2021"</f>
        <v>2021</v>
      </c>
      <c r="E1" s="614" t="str">
        <f>"2022"</f>
        <v>2022</v>
      </c>
      <c r="F1" s="614" t="str">
        <f>"2023"</f>
        <v>2023</v>
      </c>
      <c r="G1" s="614" t="str">
        <f>"2024"</f>
        <v>2024</v>
      </c>
      <c r="H1" s="614" t="str">
        <f>"2025"</f>
        <v>2025</v>
      </c>
      <c r="I1" s="614" t="str">
        <f>"2026"</f>
        <v>2026</v>
      </c>
      <c r="J1" s="614" t="str">
        <f>"2027"</f>
        <v>2027</v>
      </c>
      <c r="K1" s="614" t="str">
        <f>"2028"</f>
        <v>2028</v>
      </c>
      <c r="L1" s="614" t="str">
        <f>"2029"</f>
        <v>2029</v>
      </c>
      <c r="M1" s="614" t="str">
        <f>Резиденты!$AT$213</f>
        <v>ИТОГО</v>
      </c>
    </row>
    <row r="2" spans="1:13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682"/>
    </row>
    <row r="3" spans="1:13" ht="11.25" customHeight="1" x14ac:dyDescent="0.2">
      <c r="A3" s="639" t="str">
        <f>Резиденты!$A$215</f>
        <v>Инвестиции в импортное оборудование</v>
      </c>
      <c r="B3" s="717" t="str">
        <f>Резиденты!$C$215</f>
        <v>тыс. руб.</v>
      </c>
      <c r="C3" s="712">
        <f>SUM(Резиденты!$E$215:'Резиденты'!$H$215)</f>
        <v>0</v>
      </c>
      <c r="D3" s="712">
        <f ca="1">SUM(Резиденты!$I$215:'Резиденты'!$L$215)</f>
        <v>0</v>
      </c>
      <c r="E3" s="712">
        <f ca="1">SUM(Резиденты!$M$215:'Резиденты'!$P$215)</f>
        <v>441083.50970635784</v>
      </c>
      <c r="F3" s="712">
        <f ca="1">SUM(Резиденты!$Q$215:'Резиденты'!$T$215)</f>
        <v>230069.28030202462</v>
      </c>
      <c r="G3" s="712">
        <f ca="1">SUM(Резиденты!$U$215:'Резиденты'!$X$215)</f>
        <v>3675724.8593679713</v>
      </c>
      <c r="H3" s="712">
        <f ca="1">SUM(Резиденты!$Y$215:'Резиденты'!$AB$215)</f>
        <v>0</v>
      </c>
      <c r="I3" s="712">
        <f ca="1">SUM(Резиденты!$AC$215:'Резиденты'!$AF$215)</f>
        <v>0</v>
      </c>
      <c r="J3" s="712">
        <f ca="1">SUM(Резиденты!$AG$215:'Резиденты'!$AJ$215)</f>
        <v>0</v>
      </c>
      <c r="K3" s="712">
        <f ca="1">SUM(Резиденты!$AK$215:'Резиденты'!$AN$215)</f>
        <v>0</v>
      </c>
      <c r="L3" s="712">
        <f ca="1">SUM(Резиденты!$AO$215:'Резиденты'!$AR$215)</f>
        <v>0</v>
      </c>
      <c r="M3" s="746">
        <f ca="1">Резиденты!$AT$215</f>
        <v>4346877.6493763532</v>
      </c>
    </row>
    <row r="4" spans="1:13" ht="11.25" customHeight="1" x14ac:dyDescent="0.2">
      <c r="A4" s="638" t="str">
        <f>Резиденты!$A$216</f>
        <v>Ввозные (импортные) пошлины уплаченные</v>
      </c>
      <c r="B4" s="664" t="str">
        <f>Резиденты!$C$216</f>
        <v>тыс. руб.</v>
      </c>
      <c r="C4" s="713">
        <f ca="1">SUM(Резиденты!$E$216:'Резиденты'!$H$216)</f>
        <v>0</v>
      </c>
      <c r="D4" s="713">
        <f ca="1">SUM(Резиденты!$I$216:'Резиденты'!$L$216)</f>
        <v>0</v>
      </c>
      <c r="E4" s="713">
        <f ca="1">SUM(Резиденты!$M$216:'Резиденты'!$P$216)</f>
        <v>17503.313877236422</v>
      </c>
      <c r="F4" s="713">
        <f ca="1">SUM(Резиденты!$Q$216:'Резиденты'!$T$216)</f>
        <v>9129.7333453184365</v>
      </c>
      <c r="G4" s="713">
        <f ca="1">SUM(Резиденты!$U$216:'Резиденты'!$X$216)</f>
        <v>145862.0975939671</v>
      </c>
      <c r="H4" s="713">
        <f ca="1">SUM(Резиденты!$Y$216:'Резиденты'!$AB$216)</f>
        <v>0</v>
      </c>
      <c r="I4" s="713">
        <f ca="1">SUM(Резиденты!$AC$216:'Резиденты'!$AF$216)</f>
        <v>0</v>
      </c>
      <c r="J4" s="713">
        <f ca="1">SUM(Резиденты!$AG$216:'Резиденты'!$AJ$216)</f>
        <v>0</v>
      </c>
      <c r="K4" s="713">
        <f ca="1">SUM(Резиденты!$AK$216:'Резиденты'!$AN$216)</f>
        <v>0</v>
      </c>
      <c r="L4" s="713">
        <f ca="1">SUM(Резиденты!$AO$216:'Резиденты'!$AR$216)</f>
        <v>0</v>
      </c>
      <c r="M4" s="744">
        <f ca="1">Резиденты!$AT$216</f>
        <v>172495.14481652196</v>
      </c>
    </row>
    <row r="5" spans="1:13" ht="11.25" customHeight="1" x14ac:dyDescent="0.2">
      <c r="A5" s="398"/>
      <c r="B5" s="399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2"/>
    </row>
    <row r="6" spans="1:13" ht="11.25" customHeight="1" x14ac:dyDescent="0.2">
      <c r="A6" s="599"/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23&amp;R&amp;"Arial,полужирный"&amp;10Проект создания ИП «Бугры» на территории Ленинградской области
&amp;C&amp;"Arial,полужирный"&amp;13
РАСЧЕТ ТАМОЖЕННЫХ ПОШЛИН РЕЗИДЕНТОВ</oddHead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49"/>
  <dimension ref="A1:N24"/>
  <sheetViews>
    <sheetView workbookViewId="0"/>
  </sheetViews>
  <sheetFormatPr defaultRowHeight="12.75" x14ac:dyDescent="0.2"/>
  <cols>
    <col min="1" max="1" width="36.42578125" customWidth="1"/>
    <col min="2" max="2" width="11" customWidth="1"/>
    <col min="3" max="3" width="9.85546875" customWidth="1"/>
    <col min="4" max="7" width="7.28515625" customWidth="1"/>
    <col min="8" max="13" width="7.7109375" customWidth="1"/>
    <col min="14" max="14" width="9.140625" customWidth="1"/>
  </cols>
  <sheetData>
    <row r="1" spans="1:14" s="301" customFormat="1" ht="26.1" customHeight="1" x14ac:dyDescent="0.2">
      <c r="A1" s="613" t="str">
        <f>Резиденты!$A$221</f>
        <v>НАЛОГОВЫЕ ДОХОДЫ БЮДЖЕТОВ ОТ ДЕЯТЕЛЬНОСТИ РЕЗИДЕНТОВ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Резиденты!$AT$221</f>
        <v>ИТОГО</v>
      </c>
    </row>
    <row r="2" spans="1:14" ht="11.25" customHeight="1" x14ac:dyDescent="0.2">
      <c r="A2" s="599"/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682"/>
    </row>
    <row r="3" spans="1:14" ht="19.5" customHeight="1" x14ac:dyDescent="0.2">
      <c r="A3" s="633" t="str">
        <f>Резиденты!$A$223</f>
        <v>Доходы бюджетов</v>
      </c>
      <c r="B3" s="826" t="str">
        <f>Резиденты!$B$223</f>
        <v>Среднегодовые
2024 - 2029</v>
      </c>
      <c r="C3" s="87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682"/>
    </row>
    <row r="4" spans="1:14" ht="11.25" customHeight="1" x14ac:dyDescent="0.2">
      <c r="A4" s="636" t="str">
        <f>Резиденты!$A$224</f>
        <v>Импортная пошлина на оборудование</v>
      </c>
      <c r="B4" s="810">
        <f ca="1">Резиденты!$B$224</f>
        <v>24310.349598994519</v>
      </c>
      <c r="C4" s="829" t="str">
        <f>Резиденты!$C$224</f>
        <v>тыс. руб.</v>
      </c>
      <c r="D4" s="712">
        <f ca="1">SUM(Резиденты!$E$224:'Резиденты'!$H$224)</f>
        <v>0</v>
      </c>
      <c r="E4" s="712">
        <f ca="1">SUM(Резиденты!$I$224:'Резиденты'!$L$224)</f>
        <v>0</v>
      </c>
      <c r="F4" s="712">
        <f ca="1">SUM(Резиденты!$M$224:'Резиденты'!$P$224)</f>
        <v>17503.313877236422</v>
      </c>
      <c r="G4" s="712">
        <f ca="1">SUM(Резиденты!$Q$224:'Резиденты'!$T$224)</f>
        <v>9129.7333453184365</v>
      </c>
      <c r="H4" s="712">
        <f ca="1">SUM(Резиденты!$U$224:'Резиденты'!$X$224)</f>
        <v>145862.0975939671</v>
      </c>
      <c r="I4" s="712">
        <f ca="1">SUM(Резиденты!$Y$224:'Резиденты'!$AB$224)</f>
        <v>0</v>
      </c>
      <c r="J4" s="712">
        <f ca="1">SUM(Резиденты!$AC$224:'Резиденты'!$AF$224)</f>
        <v>0</v>
      </c>
      <c r="K4" s="712">
        <f ca="1">SUM(Резиденты!$AG$224:'Резиденты'!$AJ$224)</f>
        <v>0</v>
      </c>
      <c r="L4" s="712">
        <f ca="1">SUM(Резиденты!$AK$224:'Резиденты'!$AN$224)</f>
        <v>0</v>
      </c>
      <c r="M4" s="712">
        <f ca="1">SUM(Резиденты!$AO$224:'Резиденты'!$AR$224)</f>
        <v>0</v>
      </c>
      <c r="N4" s="801">
        <f ca="1">Резиденты!$AT$224</f>
        <v>172495.14481652196</v>
      </c>
    </row>
    <row r="5" spans="1:14" ht="11.25" customHeight="1" x14ac:dyDescent="0.2">
      <c r="A5" s="636" t="str">
        <f>Резиденты!$A$225</f>
        <v>Налог на добавленную стоимость</v>
      </c>
      <c r="B5" s="810">
        <f ca="1">Резиденты!$B$225</f>
        <v>463987.08224045491</v>
      </c>
      <c r="C5" s="829" t="str">
        <f>Резиденты!$C$225</f>
        <v>тыс. руб.</v>
      </c>
      <c r="D5" s="712">
        <f ca="1">SUM(Резиденты!$E$225:'Резиденты'!$H$225)</f>
        <v>0</v>
      </c>
      <c r="E5" s="712">
        <f ca="1">SUM(Резиденты!$I$225:'Резиденты'!$L$225)</f>
        <v>0</v>
      </c>
      <c r="F5" s="712">
        <f ca="1">SUM(Резиденты!$M$225:'Резиденты'!$P$225)</f>
        <v>0</v>
      </c>
      <c r="G5" s="712">
        <f ca="1">SUM(Резиденты!$Q$225:'Резиденты'!$T$225)</f>
        <v>56350.840022384145</v>
      </c>
      <c r="H5" s="712">
        <f ca="1">SUM(Резиденты!$U$225:'Резиденты'!$X$225)</f>
        <v>130073.86018055257</v>
      </c>
      <c r="I5" s="712">
        <f ca="1">SUM(Резиденты!$Y$225:'Резиденты'!$AB$225)</f>
        <v>207688.13978113199</v>
      </c>
      <c r="J5" s="712">
        <f ca="1">SUM(Резиденты!$AC$225:'Резиденты'!$AF$225)</f>
        <v>286478.20004298241</v>
      </c>
      <c r="K5" s="712">
        <f ca="1">SUM(Резиденты!$AG$225:'Резиденты'!$AJ$225)</f>
        <v>829714.95334437699</v>
      </c>
      <c r="L5" s="712">
        <f ca="1">SUM(Резиденты!$AK$225:'Резиденты'!$AN$225)</f>
        <v>744005.93141668418</v>
      </c>
      <c r="M5" s="712">
        <f ca="1">SUM(Резиденты!$AO$225:'Резиденты'!$AR$225)</f>
        <v>585961.40867700172</v>
      </c>
      <c r="N5" s="801">
        <f ca="1">Резиденты!$AT$225</f>
        <v>2840273.3334651138</v>
      </c>
    </row>
    <row r="6" spans="1:14" ht="11.25" customHeight="1" x14ac:dyDescent="0.2">
      <c r="A6" s="636" t="str">
        <f>Резиденты!$A$226</f>
        <v>Налог на прибыль</v>
      </c>
      <c r="B6" s="810">
        <f ca="1">Резиденты!$B$226</f>
        <v>207063.56585966205</v>
      </c>
      <c r="C6" s="829" t="str">
        <f>Резиденты!$C$226</f>
        <v>тыс. руб.</v>
      </c>
      <c r="D6" s="712">
        <f ca="1">SUM(Резиденты!$E$226:'Резиденты'!$H$226)</f>
        <v>0</v>
      </c>
      <c r="E6" s="712">
        <f ca="1">SUM(Резиденты!$I$226:'Резиденты'!$L$226)</f>
        <v>26856.30454244752</v>
      </c>
      <c r="F6" s="712">
        <f ca="1">SUM(Резиденты!$M$226:'Резиденты'!$P$226)</f>
        <v>35158.765481785813</v>
      </c>
      <c r="G6" s="712">
        <f ca="1">SUM(Резиденты!$Q$226:'Резиденты'!$T$226)</f>
        <v>48201.48980427083</v>
      </c>
      <c r="H6" s="712">
        <f ca="1">SUM(Резиденты!$U$226:'Резиденты'!$X$226)</f>
        <v>121142.27608217456</v>
      </c>
      <c r="I6" s="712">
        <f ca="1">SUM(Резиденты!$Y$226:'Резиденты'!$AB$226)</f>
        <v>194975.83107947791</v>
      </c>
      <c r="J6" s="712">
        <f ca="1">SUM(Резиденты!$AC$226:'Резиденты'!$AF$226)</f>
        <v>203730.69576465836</v>
      </c>
      <c r="K6" s="712">
        <f ca="1">SUM(Резиденты!$AG$226:'Резиденты'!$AJ$226)</f>
        <v>212787.85170376772</v>
      </c>
      <c r="L6" s="712">
        <f ca="1">SUM(Резиденты!$AK$226:'Резиденты'!$AN$226)</f>
        <v>224892.36902249928</v>
      </c>
      <c r="M6" s="712">
        <f ca="1">SUM(Резиденты!$AO$226:'Резиденты'!$AR$226)</f>
        <v>284852.37150539458</v>
      </c>
      <c r="N6" s="801">
        <f ca="1">Резиденты!$AT$226</f>
        <v>1352597.9549864768</v>
      </c>
    </row>
    <row r="7" spans="1:14" ht="11.25" customHeight="1" x14ac:dyDescent="0.2">
      <c r="A7" s="636" t="str">
        <f>Резиденты!$A$227</f>
        <v>Налог на имущество</v>
      </c>
      <c r="B7" s="810">
        <f ca="1">Резиденты!$B$227</f>
        <v>7578.4247411189353</v>
      </c>
      <c r="C7" s="829" t="str">
        <f>Резиденты!$C$227</f>
        <v>тыс. руб.</v>
      </c>
      <c r="D7" s="712">
        <f ca="1">SUM(Резиденты!$E$227:'Резиденты'!$H$227)</f>
        <v>0</v>
      </c>
      <c r="E7" s="712">
        <f ca="1">SUM(Резиденты!$I$227:'Резиденты'!$L$227)</f>
        <v>0</v>
      </c>
      <c r="F7" s="712">
        <f ca="1">SUM(Резиденты!$M$227:'Резиденты'!$P$227)</f>
        <v>0</v>
      </c>
      <c r="G7" s="712">
        <f ca="1">SUM(Резиденты!$Q$227:'Резиденты'!$T$227)</f>
        <v>0</v>
      </c>
      <c r="H7" s="712">
        <f ca="1">SUM(Резиденты!$U$227:'Резиденты'!$X$227)</f>
        <v>0</v>
      </c>
      <c r="I7" s="712">
        <f ca="1">SUM(Резиденты!$Y$227:'Резиденты'!$AB$227)</f>
        <v>0</v>
      </c>
      <c r="J7" s="712">
        <f ca="1">SUM(Резиденты!$AC$227:'Резиденты'!$AF$227)</f>
        <v>0</v>
      </c>
      <c r="K7" s="712">
        <f ca="1">SUM(Резиденты!$AG$227:'Резиденты'!$AJ$227)</f>
        <v>0</v>
      </c>
      <c r="L7" s="712">
        <f ca="1">SUM(Резиденты!$AK$227:'Резиденты'!$AN$227)</f>
        <v>2223.7148528470511</v>
      </c>
      <c r="M7" s="712">
        <f ca="1">SUM(Резиденты!$AO$227:'Резиденты'!$AR$227)</f>
        <v>43246.833593866562</v>
      </c>
      <c r="N7" s="801">
        <f ca="1">Резиденты!$AT$227</f>
        <v>45470.548446713612</v>
      </c>
    </row>
    <row r="8" spans="1:14" ht="11.25" customHeight="1" x14ac:dyDescent="0.2">
      <c r="A8" s="637" t="str">
        <f>Резиденты!$A$228</f>
        <v>Социальные взносы</v>
      </c>
      <c r="B8" s="811">
        <f ca="1">Резиденты!$B$228</f>
        <v>448524.36053871439</v>
      </c>
      <c r="C8" s="828" t="str">
        <f>Резиденты!$C$228</f>
        <v>тыс. руб.</v>
      </c>
      <c r="D8" s="713">
        <f ca="1">SUM(Резиденты!$E$228:'Резиденты'!$H$228)</f>
        <v>9429.9346800000003</v>
      </c>
      <c r="E8" s="713">
        <f ca="1">SUM(Резиденты!$I$228:'Резиденты'!$L$228)</f>
        <v>57723.554049905462</v>
      </c>
      <c r="F8" s="713">
        <f ca="1">SUM(Резиденты!$M$228:'Резиденты'!$P$228)</f>
        <v>82085.848248362134</v>
      </c>
      <c r="G8" s="713">
        <f ca="1">SUM(Резиденты!$Q$228:'Резиденты'!$T$228)</f>
        <v>109355.75771534804</v>
      </c>
      <c r="H8" s="713">
        <f ca="1">SUM(Резиденты!$U$228:'Резиденты'!$X$228)</f>
        <v>302917.91738459107</v>
      </c>
      <c r="I8" s="713">
        <f ca="1">SUM(Резиденты!$Y$228:'Резиденты'!$AB$228)</f>
        <v>416957.67127739743</v>
      </c>
      <c r="J8" s="713">
        <f ca="1">SUM(Резиденты!$AC$228:'Резиденты'!$AF$228)</f>
        <v>445525.97978356783</v>
      </c>
      <c r="K8" s="713">
        <f ca="1">SUM(Резиденты!$AG$228:'Резиденты'!$AJ$228)</f>
        <v>475801.23495204246</v>
      </c>
      <c r="L8" s="713">
        <f ca="1">SUM(Резиденты!$AK$228:'Резиденты'!$AN$228)</f>
        <v>507952.49898130109</v>
      </c>
      <c r="M8" s="713">
        <f ca="1">SUM(Резиденты!$AO$228:'Резиденты'!$AR$228)</f>
        <v>541990.86085338681</v>
      </c>
      <c r="N8" s="782">
        <f ca="1">Резиденты!$AT$228</f>
        <v>2949741.2579259025</v>
      </c>
    </row>
    <row r="9" spans="1:14" ht="11.25" customHeight="1" x14ac:dyDescent="0.2">
      <c r="A9" s="636" t="str">
        <f>Резиденты!$A$229</f>
        <v>НДФЛ</v>
      </c>
      <c r="B9" s="810">
        <f ca="1">Резиденты!$B$229</f>
        <v>193145.68623221433</v>
      </c>
      <c r="C9" s="829" t="str">
        <f>Резиденты!$C$229</f>
        <v>тыс. руб.</v>
      </c>
      <c r="D9" s="712">
        <f ca="1">SUM(Резиденты!$E$229:'Резиденты'!$H$229)</f>
        <v>6009.2721000000001</v>
      </c>
      <c r="E9" s="712">
        <f ca="1">SUM(Резиденты!$I$229:'Резиденты'!$L$229)</f>
        <v>24620.898382504514</v>
      </c>
      <c r="F9" s="712">
        <f ca="1">SUM(Резиденты!$M$229:'Резиденты'!$P$229)</f>
        <v>36130.516429934542</v>
      </c>
      <c r="G9" s="712">
        <f ca="1">SUM(Резиденты!$Q$229:'Резиденты'!$T$229)</f>
        <v>47283.501675822437</v>
      </c>
      <c r="H9" s="712">
        <f ca="1">SUM(Резиденты!$U$229:'Резиденты'!$X$229)</f>
        <v>138741.14084832225</v>
      </c>
      <c r="I9" s="712">
        <f ca="1">SUM(Резиденты!$Y$229:'Резиденты'!$AB$229)</f>
        <v>178120.12685073374</v>
      </c>
      <c r="J9" s="712">
        <f ca="1">SUM(Резиденты!$AC$229:'Резиденты'!$AF$229)</f>
        <v>190313.4373026781</v>
      </c>
      <c r="K9" s="712">
        <f ca="1">SUM(Резиденты!$AG$229:'Резиденты'!$AJ$229)</f>
        <v>203240.05630332365</v>
      </c>
      <c r="L9" s="712">
        <f ca="1">SUM(Резиденты!$AK$229:'Резиденты'!$AN$229)</f>
        <v>216965.14018396236</v>
      </c>
      <c r="M9" s="712">
        <f ca="1">SUM(Резиденты!$AO$229:'Резиденты'!$AR$229)</f>
        <v>231494.21590426614</v>
      </c>
      <c r="N9" s="801">
        <f ca="1">Резиденты!$AT$229</f>
        <v>1272918.3059815478</v>
      </c>
    </row>
    <row r="10" spans="1:14" ht="11.25" customHeight="1" x14ac:dyDescent="0.2">
      <c r="A10" s="633" t="str">
        <f>Резиденты!$A$230</f>
        <v>Суммарные доходы бюджетов всех уровней</v>
      </c>
      <c r="B10" s="811">
        <f ca="1">Резиденты!$B$230</f>
        <v>1344609.4692111595</v>
      </c>
      <c r="C10" s="832" t="str">
        <f>Резиденты!$C$230</f>
        <v>тыс. руб.</v>
      </c>
      <c r="D10" s="780">
        <f ca="1">SUM(Резиденты!$E$230:'Резиденты'!$H$230)</f>
        <v>15439.20678</v>
      </c>
      <c r="E10" s="780">
        <f ca="1">SUM(Резиденты!$I$230:'Резиденты'!$L$230)</f>
        <v>109200.7569748575</v>
      </c>
      <c r="F10" s="780">
        <f ca="1">SUM(Резиденты!$M$230:'Резиденты'!$P$230)</f>
        <v>170878.44403731893</v>
      </c>
      <c r="G10" s="780">
        <f ca="1">SUM(Резиденты!$Q$230:'Резиденты'!$T$230)</f>
        <v>270321.32256314385</v>
      </c>
      <c r="H10" s="780">
        <f ca="1">SUM(Резиденты!$U$230:'Резиденты'!$X$230)</f>
        <v>838737.29208960757</v>
      </c>
      <c r="I10" s="780">
        <f ca="1">SUM(Резиденты!$Y$230:'Резиденты'!$AB$230)</f>
        <v>997741.76898874098</v>
      </c>
      <c r="J10" s="780">
        <f ca="1">SUM(Резиденты!$AC$230:'Резиденты'!$AF$230)</f>
        <v>1126048.3128938866</v>
      </c>
      <c r="K10" s="780">
        <f ca="1">SUM(Резиденты!$AG$230:'Резиденты'!$AJ$230)</f>
        <v>1721544.0963035109</v>
      </c>
      <c r="L10" s="780">
        <f ca="1">SUM(Резиденты!$AK$230:'Резиденты'!$AN$230)</f>
        <v>1696039.6544572939</v>
      </c>
      <c r="M10" s="780">
        <f ca="1">SUM(Резиденты!$AO$230:'Резиденты'!$AR$230)</f>
        <v>1687545.690533916</v>
      </c>
      <c r="N10" s="782">
        <f ca="1">Резиденты!$AT$230</f>
        <v>8633496.5456222761</v>
      </c>
    </row>
    <row r="11" spans="1:14" ht="11.25" customHeight="1" x14ac:dyDescent="0.2">
      <c r="A11" s="398"/>
      <c r="B11" s="599"/>
      <c r="C11" s="607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728"/>
    </row>
    <row r="12" spans="1:14" ht="11.25" customHeight="1" x14ac:dyDescent="0.2">
      <c r="A12" s="633" t="str">
        <f>Резиденты!$A$232</f>
        <v>Доходы федерального бюджета</v>
      </c>
      <c r="B12" s="811">
        <f ca="1">Резиденты!$B$232</f>
        <v>510412.66857261176</v>
      </c>
      <c r="C12" s="832" t="str">
        <f>Резиденты!$C$232</f>
        <v>тыс. руб.</v>
      </c>
      <c r="D12" s="780">
        <f ca="1">SUM(Резиденты!$E$232:'Резиденты'!$H$232)</f>
        <v>0</v>
      </c>
      <c r="E12" s="780">
        <f ca="1">SUM(Резиденты!$I$232:'Резиденты'!$L$232)</f>
        <v>4028.4456813671281</v>
      </c>
      <c r="F12" s="780">
        <f ca="1">SUM(Резиденты!$M$232:'Резиденты'!$P$232)</f>
        <v>22777.128699504297</v>
      </c>
      <c r="G12" s="780">
        <f ca="1">SUM(Резиденты!$Q$232:'Резиденты'!$T$232)</f>
        <v>72710.796838343202</v>
      </c>
      <c r="H12" s="780">
        <f ca="1">SUM(Резиденты!$U$232:'Резиденты'!$X$232)</f>
        <v>294107.29918684583</v>
      </c>
      <c r="I12" s="780">
        <f ca="1">SUM(Резиденты!$Y$232:'Резиденты'!$AB$232)</f>
        <v>229581.8899681475</v>
      </c>
      <c r="J12" s="780">
        <f ca="1">SUM(Резиденты!$AC$232:'Резиденты'!$AF$232)</f>
        <v>306851.26961944829</v>
      </c>
      <c r="K12" s="780">
        <f ca="1">SUM(Резиденты!$AG$232:'Резиденты'!$AJ$232)</f>
        <v>850993.73851475376</v>
      </c>
      <c r="L12" s="780">
        <f ca="1">SUM(Резиденты!$AK$232:'Резиденты'!$AN$232)</f>
        <v>766495.16831893404</v>
      </c>
      <c r="M12" s="780">
        <f ca="1">SUM(Резиденты!$AO$232:'Резиденты'!$AR$232)</f>
        <v>614446.64582754113</v>
      </c>
      <c r="N12" s="782">
        <f ca="1">Резиденты!$AT$232</f>
        <v>3161992.3826548848</v>
      </c>
    </row>
    <row r="13" spans="1:14" ht="11.25" customHeight="1" x14ac:dyDescent="0.2">
      <c r="A13" s="620" t="str">
        <f>Резиденты!$A$233</f>
        <v>Импортная пошлина на оборудование</v>
      </c>
      <c r="B13" s="810">
        <f ca="1">Резиденты!$B$233</f>
        <v>24310.349598994519</v>
      </c>
      <c r="C13" s="882" t="str">
        <f>Резиденты!$C$233</f>
        <v>тыс. руб.</v>
      </c>
      <c r="D13" s="749">
        <f ca="1">SUM(Резиденты!$E$233:'Резиденты'!$H$233)</f>
        <v>0</v>
      </c>
      <c r="E13" s="749">
        <f ca="1">SUM(Резиденты!$I$233:'Резиденты'!$L$233)</f>
        <v>0</v>
      </c>
      <c r="F13" s="749">
        <f ca="1">SUM(Резиденты!$M$233:'Резиденты'!$P$233)</f>
        <v>17503.313877236422</v>
      </c>
      <c r="G13" s="749">
        <f ca="1">SUM(Резиденты!$Q$233:'Резиденты'!$T$233)</f>
        <v>9129.7333453184365</v>
      </c>
      <c r="H13" s="749">
        <f ca="1">SUM(Резиденты!$U$233:'Резиденты'!$X$233)</f>
        <v>145862.0975939671</v>
      </c>
      <c r="I13" s="749">
        <f ca="1">SUM(Резиденты!$Y$233:'Резиденты'!$AB$233)</f>
        <v>0</v>
      </c>
      <c r="J13" s="749">
        <f ca="1">SUM(Резиденты!$AC$233:'Резиденты'!$AF$233)</f>
        <v>0</v>
      </c>
      <c r="K13" s="749">
        <f ca="1">SUM(Резиденты!$AG$233:'Резиденты'!$AJ$233)</f>
        <v>0</v>
      </c>
      <c r="L13" s="749">
        <f ca="1">SUM(Резиденты!$AK$233:'Резиденты'!$AN$233)</f>
        <v>0</v>
      </c>
      <c r="M13" s="749">
        <f ca="1">SUM(Резиденты!$AO$233:'Резиденты'!$AR$233)</f>
        <v>0</v>
      </c>
      <c r="N13" s="801">
        <f ca="1">Резиденты!$AT$233</f>
        <v>172495.14481652196</v>
      </c>
    </row>
    <row r="14" spans="1:14" ht="11.25" customHeight="1" x14ac:dyDescent="0.2">
      <c r="A14" s="620" t="str">
        <f>Резиденты!$A$234</f>
        <v>Налог на добавленную стоимость</v>
      </c>
      <c r="B14" s="810">
        <f ca="1">Резиденты!$B$234</f>
        <v>463987.08224045491</v>
      </c>
      <c r="C14" s="882" t="str">
        <f>Резиденты!$C$234</f>
        <v>тыс. руб.</v>
      </c>
      <c r="D14" s="749">
        <f ca="1">SUM(Резиденты!$E$234:'Резиденты'!$H$234)</f>
        <v>0</v>
      </c>
      <c r="E14" s="749">
        <f ca="1">SUM(Резиденты!$I$234:'Резиденты'!$L$234)</f>
        <v>0</v>
      </c>
      <c r="F14" s="749">
        <f ca="1">SUM(Резиденты!$M$234:'Резиденты'!$P$234)</f>
        <v>0</v>
      </c>
      <c r="G14" s="749">
        <f ca="1">SUM(Резиденты!$Q$234:'Резиденты'!$T$234)</f>
        <v>56350.840022384145</v>
      </c>
      <c r="H14" s="749">
        <f ca="1">SUM(Резиденты!$U$234:'Резиденты'!$X$234)</f>
        <v>130073.86018055257</v>
      </c>
      <c r="I14" s="749">
        <f ca="1">SUM(Резиденты!$Y$234:'Резиденты'!$AB$234)</f>
        <v>207688.13978113199</v>
      </c>
      <c r="J14" s="749">
        <f ca="1">SUM(Резиденты!$AC$234:'Резиденты'!$AF$234)</f>
        <v>286478.20004298241</v>
      </c>
      <c r="K14" s="749">
        <f ca="1">SUM(Резиденты!$AG$234:'Резиденты'!$AJ$234)</f>
        <v>829714.95334437699</v>
      </c>
      <c r="L14" s="749">
        <f ca="1">SUM(Резиденты!$AK$234:'Резиденты'!$AN$234)</f>
        <v>744005.93141668418</v>
      </c>
      <c r="M14" s="749">
        <f ca="1">SUM(Резиденты!$AO$234:'Резиденты'!$AR$234)</f>
        <v>585961.40867700172</v>
      </c>
      <c r="N14" s="801">
        <f ca="1">Резиденты!$AT$234</f>
        <v>2840273.3334651138</v>
      </c>
    </row>
    <row r="15" spans="1:14" ht="11.25" customHeight="1" x14ac:dyDescent="0.2">
      <c r="A15" s="621" t="str">
        <f>Резиденты!$A$235</f>
        <v>Налог на прибыль</v>
      </c>
      <c r="B15" s="811">
        <f ca="1">Резиденты!$B$235</f>
        <v>22115.236733162281</v>
      </c>
      <c r="C15" s="835" t="str">
        <f>Резиденты!$C$235</f>
        <v>тыс. руб.</v>
      </c>
      <c r="D15" s="750">
        <f ca="1">SUM(Резиденты!$E$235:'Резиденты'!$H$235)</f>
        <v>0</v>
      </c>
      <c r="E15" s="750">
        <f ca="1">SUM(Резиденты!$I$235:'Резиденты'!$L$235)</f>
        <v>4028.4456813671281</v>
      </c>
      <c r="F15" s="750">
        <f ca="1">SUM(Резиденты!$M$235:'Резиденты'!$P$235)</f>
        <v>5273.8148222678728</v>
      </c>
      <c r="G15" s="750">
        <f ca="1">SUM(Резиденты!$Q$235:'Резиденты'!$T$235)</f>
        <v>7230.2234706406234</v>
      </c>
      <c r="H15" s="750">
        <f ca="1">SUM(Резиденты!$U$235:'Резиденты'!$X$235)</f>
        <v>18171.341412326183</v>
      </c>
      <c r="I15" s="750">
        <f ca="1">SUM(Резиденты!$Y$235:'Резиденты'!$AB$235)</f>
        <v>21893.75018701551</v>
      </c>
      <c r="J15" s="750">
        <f ca="1">SUM(Резиденты!$AC$235:'Резиденты'!$AF$235)</f>
        <v>20373.069576465838</v>
      </c>
      <c r="K15" s="750">
        <f ca="1">SUM(Резиденты!$AG$235:'Резиденты'!$AJ$235)</f>
        <v>21278.785170376774</v>
      </c>
      <c r="L15" s="750">
        <f ca="1">SUM(Резиденты!$AK$235:'Резиденты'!$AN$235)</f>
        <v>22489.23690224993</v>
      </c>
      <c r="M15" s="750">
        <f ca="1">SUM(Резиденты!$AO$235:'Резиденты'!$AR$235)</f>
        <v>28485.237150539462</v>
      </c>
      <c r="N15" s="782">
        <f ca="1">Резиденты!$AT$235</f>
        <v>149223.9043732493</v>
      </c>
    </row>
    <row r="16" spans="1:14" ht="11.25" customHeight="1" x14ac:dyDescent="0.2">
      <c r="A16" s="632" t="str">
        <f>Резиденты!$A$236</f>
        <v>Доходы бюджета субъекта РФ</v>
      </c>
      <c r="B16" s="810">
        <f ca="1">Резиденты!$B$236</f>
        <v>356700.58716500091</v>
      </c>
      <c r="C16" s="884" t="str">
        <f>Резиденты!$C$236</f>
        <v>тыс. руб.</v>
      </c>
      <c r="D16" s="779">
        <f ca="1">SUM(Резиденты!$E$236:'Резиденты'!$H$236)</f>
        <v>5107.8812850000004</v>
      </c>
      <c r="E16" s="779">
        <f ca="1">SUM(Резиденты!$I$236:'Резиденты'!$L$236)</f>
        <v>43755.622486209235</v>
      </c>
      <c r="F16" s="779">
        <f ca="1">SUM(Резиденты!$M$236:'Резиденты'!$P$236)</f>
        <v>60595.889624962307</v>
      </c>
      <c r="G16" s="779">
        <f ca="1">SUM(Резиденты!$Q$236:'Резиденты'!$T$236)</f>
        <v>81162.242758079286</v>
      </c>
      <c r="H16" s="779">
        <f ca="1">SUM(Резиденты!$U$236:'Резиденты'!$X$236)</f>
        <v>220900.90439092231</v>
      </c>
      <c r="I16" s="779">
        <f ca="1">SUM(Резиденты!$Y$236:'Резиденты'!$AB$236)</f>
        <v>324484.18871558609</v>
      </c>
      <c r="J16" s="779">
        <f ca="1">SUM(Резиденты!$AC$236:'Резиденты'!$AF$236)</f>
        <v>345124.04789546889</v>
      </c>
      <c r="K16" s="779">
        <f ca="1">SUM(Резиденты!$AG$236:'Резиденты'!$AJ$236)</f>
        <v>364263.11439121608</v>
      </c>
      <c r="L16" s="779">
        <f ca="1">SUM(Резиденты!$AK$236:'Резиденты'!$AN$236)</f>
        <v>389047.21612946439</v>
      </c>
      <c r="M16" s="779">
        <f ca="1">SUM(Резиденты!$AO$236:'Резиденты'!$AR$236)</f>
        <v>496384.05146734789</v>
      </c>
      <c r="N16" s="801">
        <f ca="1">Резиденты!$AT$236</f>
        <v>2330825.1591442563</v>
      </c>
    </row>
    <row r="17" spans="1:14" ht="11.25" customHeight="1" x14ac:dyDescent="0.2">
      <c r="A17" s="620" t="str">
        <f>Резиденты!$A$237</f>
        <v>Налог на прибыль</v>
      </c>
      <c r="B17" s="810">
        <f ca="1">Резиденты!$B$237</f>
        <v>184948.32912649983</v>
      </c>
      <c r="C17" s="882" t="str">
        <f>Резиденты!$C$237</f>
        <v>тыс. руб.</v>
      </c>
      <c r="D17" s="749">
        <f ca="1">SUM(Резиденты!$E$237:'Резиденты'!$H$237)</f>
        <v>0</v>
      </c>
      <c r="E17" s="749">
        <f ca="1">SUM(Резиденты!$I$237:'Резиденты'!$L$237)</f>
        <v>22827.858861080393</v>
      </c>
      <c r="F17" s="749">
        <f ca="1">SUM(Резиденты!$M$237:'Резиденты'!$P$237)</f>
        <v>29884.950659517948</v>
      </c>
      <c r="G17" s="749">
        <f ca="1">SUM(Резиденты!$Q$237:'Резиденты'!$T$237)</f>
        <v>40971.266333630207</v>
      </c>
      <c r="H17" s="749">
        <f ca="1">SUM(Резиденты!$U$237:'Резиденты'!$X$237)</f>
        <v>102970.93466984837</v>
      </c>
      <c r="I17" s="749">
        <f ca="1">SUM(Резиденты!$Y$237:'Резиденты'!$AB$237)</f>
        <v>173082.08089246243</v>
      </c>
      <c r="J17" s="749">
        <f ca="1">SUM(Резиденты!$AC$237:'Резиденты'!$AF$237)</f>
        <v>183357.62618819255</v>
      </c>
      <c r="K17" s="749">
        <f ca="1">SUM(Резиденты!$AG$237:'Резиденты'!$AJ$237)</f>
        <v>191509.06653339096</v>
      </c>
      <c r="L17" s="749">
        <f ca="1">SUM(Резиденты!$AK$237:'Резиденты'!$AN$237)</f>
        <v>202403.13212024939</v>
      </c>
      <c r="M17" s="749">
        <f ca="1">SUM(Резиденты!$AO$237:'Резиденты'!$AR$237)</f>
        <v>256367.13435485517</v>
      </c>
      <c r="N17" s="801">
        <f ca="1">Резиденты!$AT$237</f>
        <v>1203374.0506132275</v>
      </c>
    </row>
    <row r="18" spans="1:14" ht="11.25" customHeight="1" x14ac:dyDescent="0.2">
      <c r="A18" s="621" t="str">
        <f>Резиденты!$A$238</f>
        <v>Налог на имущество</v>
      </c>
      <c r="B18" s="811">
        <f ca="1">Резиденты!$B$238</f>
        <v>7578.4247411189353</v>
      </c>
      <c r="C18" s="835" t="str">
        <f>Резиденты!$C$238</f>
        <v>тыс. руб.</v>
      </c>
      <c r="D18" s="750">
        <f ca="1">SUM(Резиденты!$E$238:'Резиденты'!$H$238)</f>
        <v>0</v>
      </c>
      <c r="E18" s="750">
        <f ca="1">SUM(Резиденты!$I$238:'Резиденты'!$L$238)</f>
        <v>0</v>
      </c>
      <c r="F18" s="750">
        <f ca="1">SUM(Резиденты!$M$238:'Резиденты'!$P$238)</f>
        <v>0</v>
      </c>
      <c r="G18" s="750">
        <f ca="1">SUM(Резиденты!$Q$238:'Резиденты'!$T$238)</f>
        <v>0</v>
      </c>
      <c r="H18" s="750">
        <f ca="1">SUM(Резиденты!$U$238:'Резиденты'!$X$238)</f>
        <v>0</v>
      </c>
      <c r="I18" s="750">
        <f ca="1">SUM(Резиденты!$Y$238:'Резиденты'!$AB$238)</f>
        <v>0</v>
      </c>
      <c r="J18" s="750">
        <f ca="1">SUM(Резиденты!$AC$238:'Резиденты'!$AF$238)</f>
        <v>0</v>
      </c>
      <c r="K18" s="750">
        <f ca="1">SUM(Резиденты!$AG$238:'Резиденты'!$AJ$238)</f>
        <v>0</v>
      </c>
      <c r="L18" s="750">
        <f ca="1">SUM(Резиденты!$AK$238:'Резиденты'!$AN$238)</f>
        <v>2223.7148528470511</v>
      </c>
      <c r="M18" s="750">
        <f ca="1">SUM(Резиденты!$AO$238:'Резиденты'!$AR$238)</f>
        <v>43246.833593866562</v>
      </c>
      <c r="N18" s="782">
        <f ca="1">Резиденты!$AT$238</f>
        <v>45470.548446713612</v>
      </c>
    </row>
    <row r="19" spans="1:14" ht="11.25" customHeight="1" x14ac:dyDescent="0.2">
      <c r="A19" s="621" t="str">
        <f>Резиденты!$A$239</f>
        <v>НДФЛ</v>
      </c>
      <c r="B19" s="811">
        <f ca="1">Резиденты!$B$239</f>
        <v>164173.83329738223</v>
      </c>
      <c r="C19" s="835" t="str">
        <f>Резиденты!$C$239</f>
        <v>тыс. руб.</v>
      </c>
      <c r="D19" s="750">
        <f ca="1">SUM(Резиденты!$E$239:'Резиденты'!$H$239)</f>
        <v>5107.8812850000004</v>
      </c>
      <c r="E19" s="750">
        <f ca="1">SUM(Резиденты!$I$239:'Резиденты'!$L$239)</f>
        <v>20927.763625128839</v>
      </c>
      <c r="F19" s="750">
        <f ca="1">SUM(Резиденты!$M$239:'Резиденты'!$P$239)</f>
        <v>30710.938965444358</v>
      </c>
      <c r="G19" s="750">
        <f ca="1">SUM(Резиденты!$Q$239:'Резиденты'!$T$239)</f>
        <v>40190.976424449073</v>
      </c>
      <c r="H19" s="750">
        <f ca="1">SUM(Резиденты!$U$239:'Резиденты'!$X$239)</f>
        <v>117929.96972107393</v>
      </c>
      <c r="I19" s="750">
        <f ca="1">SUM(Резиденты!$Y$239:'Резиденты'!$AB$239)</f>
        <v>151402.10782312369</v>
      </c>
      <c r="J19" s="750">
        <f ca="1">SUM(Резиденты!$AC$239:'Резиденты'!$AF$239)</f>
        <v>161766.42170727637</v>
      </c>
      <c r="K19" s="750">
        <f ca="1">SUM(Резиденты!$AG$239:'Резиденты'!$AJ$239)</f>
        <v>172754.04785782512</v>
      </c>
      <c r="L19" s="750">
        <f ca="1">SUM(Резиденты!$AK$239:'Резиденты'!$AN$239)</f>
        <v>184420.36915636802</v>
      </c>
      <c r="M19" s="750">
        <f ca="1">SUM(Резиденты!$AO$239:'Резиденты'!$AR$239)</f>
        <v>196770.08351862623</v>
      </c>
      <c r="N19" s="782">
        <f ca="1">Резиденты!$AT$239</f>
        <v>1081980.5600843157</v>
      </c>
    </row>
    <row r="20" spans="1:14" ht="11.25" customHeight="1" x14ac:dyDescent="0.2">
      <c r="A20" s="633" t="str">
        <f>Резиденты!$A$240</f>
        <v>Доходы муниципального бюджета</v>
      </c>
      <c r="B20" s="811">
        <f ca="1">Резиденты!$B$240</f>
        <v>28971.852934832157</v>
      </c>
      <c r="C20" s="832" t="str">
        <f>Резиденты!$C$240</f>
        <v>тыс. руб.</v>
      </c>
      <c r="D20" s="780">
        <f ca="1">SUM(Резиденты!$E$240:'Резиденты'!$H$240)</f>
        <v>901.39081499999998</v>
      </c>
      <c r="E20" s="780">
        <f ca="1">SUM(Резиденты!$I$240:'Резиденты'!$L$240)</f>
        <v>3693.1347573756771</v>
      </c>
      <c r="F20" s="780">
        <f ca="1">SUM(Резиденты!$M$240:'Резиденты'!$P$240)</f>
        <v>5419.5774644901812</v>
      </c>
      <c r="G20" s="780">
        <f ca="1">SUM(Резиденты!$Q$240:'Резиденты'!$T$240)</f>
        <v>7092.5252513733649</v>
      </c>
      <c r="H20" s="780">
        <f ca="1">SUM(Резиденты!$U$240:'Резиденты'!$X$240)</f>
        <v>20811.171127248337</v>
      </c>
      <c r="I20" s="780">
        <f ca="1">SUM(Резиденты!$Y$240:'Резиденты'!$AB$240)</f>
        <v>26718.019027610062</v>
      </c>
      <c r="J20" s="780">
        <f ca="1">SUM(Резиденты!$AC$240:'Резиденты'!$AF$240)</f>
        <v>28547.01559540171</v>
      </c>
      <c r="K20" s="780">
        <f ca="1">SUM(Резиденты!$AG$240:'Резиденты'!$AJ$240)</f>
        <v>30486.008445498548</v>
      </c>
      <c r="L20" s="780">
        <f ca="1">SUM(Резиденты!$AK$240:'Резиденты'!$AN$240)</f>
        <v>32544.771027594354</v>
      </c>
      <c r="M20" s="780">
        <f ca="1">SUM(Резиденты!$AO$240:'Резиденты'!$AR$240)</f>
        <v>34724.132385639925</v>
      </c>
      <c r="N20" s="782">
        <f ca="1">Резиденты!$AT$240</f>
        <v>190937.74589723215</v>
      </c>
    </row>
    <row r="21" spans="1:14" ht="11.25" customHeight="1" x14ac:dyDescent="0.2">
      <c r="A21" s="620" t="str">
        <f>Резиденты!$A$241</f>
        <v>НДФЛ</v>
      </c>
      <c r="B21" s="810">
        <f ca="1">Резиденты!$B$241</f>
        <v>28971.852934832157</v>
      </c>
      <c r="C21" s="882" t="str">
        <f>Резиденты!$C$241</f>
        <v>тыс. руб.</v>
      </c>
      <c r="D21" s="749">
        <f ca="1">SUM(Резиденты!$E$241:'Резиденты'!$H$241)</f>
        <v>901.39081499999998</v>
      </c>
      <c r="E21" s="749">
        <f ca="1">SUM(Резиденты!$I$241:'Резиденты'!$L$241)</f>
        <v>3693.1347573756771</v>
      </c>
      <c r="F21" s="749">
        <f ca="1">SUM(Резиденты!$M$241:'Резиденты'!$P$241)</f>
        <v>5419.5774644901812</v>
      </c>
      <c r="G21" s="749">
        <f ca="1">SUM(Резиденты!$Q$241:'Резиденты'!$T$241)</f>
        <v>7092.5252513733649</v>
      </c>
      <c r="H21" s="749">
        <f ca="1">SUM(Резиденты!$U$241:'Резиденты'!$X$241)</f>
        <v>20811.171127248337</v>
      </c>
      <c r="I21" s="749">
        <f ca="1">SUM(Резиденты!$Y$241:'Резиденты'!$AB$241)</f>
        <v>26718.019027610062</v>
      </c>
      <c r="J21" s="749">
        <f ca="1">SUM(Резиденты!$AC$241:'Резиденты'!$AF$241)</f>
        <v>28547.01559540171</v>
      </c>
      <c r="K21" s="749">
        <f ca="1">SUM(Резиденты!$AG$241:'Резиденты'!$AJ$241)</f>
        <v>30486.008445498548</v>
      </c>
      <c r="L21" s="749">
        <f ca="1">SUM(Резиденты!$AK$241:'Резиденты'!$AN$241)</f>
        <v>32544.771027594354</v>
      </c>
      <c r="M21" s="749">
        <f ca="1">SUM(Резиденты!$AO$241:'Резиденты'!$AR$241)</f>
        <v>34724.132385639925</v>
      </c>
      <c r="N21" s="801">
        <f ca="1">Резиденты!$AT$241</f>
        <v>190937.74589723215</v>
      </c>
    </row>
    <row r="22" spans="1:14" ht="11.25" customHeight="1" x14ac:dyDescent="0.2">
      <c r="A22" s="633" t="str">
        <f>Резиденты!$A$242</f>
        <v>Доходы внебюджетных фондов</v>
      </c>
      <c r="B22" s="811">
        <f ca="1">Резиденты!$B$242</f>
        <v>448524.36053871439</v>
      </c>
      <c r="C22" s="835" t="str">
        <f>Резиденты!$C$242</f>
        <v>тыс. руб.</v>
      </c>
      <c r="D22" s="780">
        <f ca="1">SUM(Резиденты!$E$242:'Резиденты'!$H$242)</f>
        <v>9429.9346800000003</v>
      </c>
      <c r="E22" s="780">
        <f ca="1">SUM(Резиденты!$I$242:'Резиденты'!$L$242)</f>
        <v>57723.554049905462</v>
      </c>
      <c r="F22" s="780">
        <f ca="1">SUM(Резиденты!$M$242:'Резиденты'!$P$242)</f>
        <v>82085.848248362134</v>
      </c>
      <c r="G22" s="780">
        <f ca="1">SUM(Резиденты!$Q$242:'Резиденты'!$T$242)</f>
        <v>109355.75771534804</v>
      </c>
      <c r="H22" s="780">
        <f ca="1">SUM(Резиденты!$U$242:'Резиденты'!$X$242)</f>
        <v>302917.91738459107</v>
      </c>
      <c r="I22" s="780">
        <f ca="1">SUM(Резиденты!$Y$242:'Резиденты'!$AB$242)</f>
        <v>416957.67127739743</v>
      </c>
      <c r="J22" s="780">
        <f ca="1">SUM(Резиденты!$AC$242:'Резиденты'!$AF$242)</f>
        <v>445525.97978356783</v>
      </c>
      <c r="K22" s="780">
        <f ca="1">SUM(Резиденты!$AG$242:'Резиденты'!$AJ$242)</f>
        <v>475801.23495204246</v>
      </c>
      <c r="L22" s="780">
        <f ca="1">SUM(Резиденты!$AK$242:'Резиденты'!$AN$242)</f>
        <v>507952.49898130109</v>
      </c>
      <c r="M22" s="780">
        <f ca="1">SUM(Резиденты!$AO$242:'Резиденты'!$AR$242)</f>
        <v>541990.86085338681</v>
      </c>
      <c r="N22" s="782">
        <f ca="1">Резиденты!$AT$242</f>
        <v>2949741.2579259025</v>
      </c>
    </row>
    <row r="23" spans="1:14" ht="11.25" customHeight="1" x14ac:dyDescent="0.2">
      <c r="A23" s="599"/>
      <c r="B23" s="599"/>
      <c r="C23" s="599"/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682"/>
    </row>
    <row r="24" spans="1:14" ht="11.25" customHeight="1" x14ac:dyDescent="0.2">
      <c r="A24" s="599"/>
      <c r="B24" s="599"/>
      <c r="C24" s="599"/>
      <c r="D24" s="599"/>
      <c r="E24" s="599"/>
      <c r="F24" s="599"/>
      <c r="G24" s="599"/>
      <c r="H24" s="599"/>
      <c r="I24" s="599"/>
      <c r="J24" s="599"/>
      <c r="K24" s="599"/>
      <c r="L24" s="599"/>
      <c r="M24" s="599"/>
      <c r="N24" s="682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24&amp;R&amp;"Arial,полужирный"&amp;10Проект создания ИП «Бугры» на территории Ленинградской области
&amp;C&amp;"Arial,полужирный"&amp;13
НАЛОГОВЫЕ ДОХОДЫ БЮДЖЕТОВ ОТ ДЕЯТЕЛЬНОСТИ РЕЗИДЕНТОВ</oddHead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50"/>
  <dimension ref="A1:N28"/>
  <sheetViews>
    <sheetView workbookViewId="0"/>
  </sheetViews>
  <sheetFormatPr defaultRowHeight="12.75" x14ac:dyDescent="0.2"/>
  <cols>
    <col min="1" max="1" width="35.28515625" customWidth="1"/>
    <col min="2" max="2" width="10.85546875" customWidth="1"/>
    <col min="3" max="3" width="9" customWidth="1"/>
    <col min="4" max="4" width="6.7109375" customWidth="1"/>
    <col min="5" max="5" width="7.140625" customWidth="1"/>
    <col min="6" max="12" width="7.5703125" customWidth="1"/>
    <col min="13" max="13" width="9.5703125" customWidth="1"/>
    <col min="14" max="14" width="9.28515625" customWidth="1"/>
  </cols>
  <sheetData>
    <row r="1" spans="1:14" s="301" customFormat="1" ht="26.1" customHeight="1" x14ac:dyDescent="0.2">
      <c r="A1" s="613" t="str">
        <f>Бюджетная_система!$A$6</f>
        <v>ЭФФЕКТИВНОСТЬ ДЛЯ КОНСОЛИДИРОВАННОГО БЮДЖЕТА РФ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Бюджетная_система!$AT$6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1.25" customHeight="1" x14ac:dyDescent="0.2">
      <c r="A3" s="666" t="str">
        <f>Бюджетная_система!$A$8</f>
        <v>Ставка дисконтирования, годовая (WACC)</v>
      </c>
      <c r="B3" s="886">
        <f ca="1">Бюджетная_система!$B$8</f>
        <v>0.10128364613285909</v>
      </c>
      <c r="C3" s="828" t="str">
        <f>Бюджетная_система!$C$8</f>
        <v>%</v>
      </c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36" t="str">
        <f>Бюджетная_система!$A$10</f>
        <v>коэффициент дисконта</v>
      </c>
      <c r="B4" s="685"/>
      <c r="C4" s="829" t="str">
        <f>Бюджетная_система!$C$10</f>
        <v>раз</v>
      </c>
      <c r="D4" s="936">
        <f>Бюджетная_система!$H$10</f>
        <v>1</v>
      </c>
      <c r="E4" s="936">
        <f ca="1">Бюджетная_система!$L$10</f>
        <v>1.101283646132859</v>
      </c>
      <c r="F4" s="936">
        <f ca="1">Бюджетная_система!$P$10</f>
        <v>1.2128256692396844</v>
      </c>
      <c r="G4" s="936">
        <f ca="1">Бюджетная_система!$T$10</f>
        <v>1.3356650751438044</v>
      </c>
      <c r="H4" s="936">
        <f ca="1">Бюджетная_система!$X$10</f>
        <v>1.4709461039666882</v>
      </c>
      <c r="I4" s="936">
        <f ca="1">Бюджетная_система!$AB$10</f>
        <v>1.6199288886413581</v>
      </c>
      <c r="J4" s="936">
        <f ca="1">Бюджетная_система!$AF$10</f>
        <v>1.7840011929589052</v>
      </c>
      <c r="K4" s="936">
        <f ca="1">Бюджетная_система!$AJ$10</f>
        <v>1.9646913384871536</v>
      </c>
      <c r="L4" s="936">
        <f ca="1">Бюджетная_система!$AN$10</f>
        <v>2.1636824407747794</v>
      </c>
      <c r="M4" s="937">
        <f ca="1">Бюджетная_система!$AR$10</f>
        <v>2.3828280874500933</v>
      </c>
      <c r="N4" s="599"/>
    </row>
    <row r="5" spans="1:14" ht="19.5" customHeight="1" x14ac:dyDescent="0.2">
      <c r="A5" s="632" t="str">
        <f>Бюджетная_система!$A$11</f>
        <v>Денежный поток</v>
      </c>
      <c r="B5" s="923" t="str">
        <f>Бюджетная_система!$B$11</f>
        <v>Среднегодовые
2024 - 2029</v>
      </c>
      <c r="C5" s="884" t="str">
        <f>Бюджетная_система!$C$11</f>
        <v>тыс. руб.</v>
      </c>
      <c r="D5" s="779">
        <f ca="1">SUM(Бюджетная_система!$E$11:'Бюджетная_система'!$H$11)</f>
        <v>15439.20678</v>
      </c>
      <c r="E5" s="779">
        <f ca="1">SUM(Бюджетная_система!$I$11:'Бюджетная_система'!$L$11)</f>
        <v>106191.25145179403</v>
      </c>
      <c r="F5" s="779">
        <f ca="1">SUM(Бюджетная_система!$M$11:'Бюджетная_система'!$P$11)</f>
        <v>157446.46210216239</v>
      </c>
      <c r="G5" s="779">
        <f ca="1">SUM(Бюджетная_система!$Q$11:'Бюджетная_система'!$T$11)</f>
        <v>233611.37132917412</v>
      </c>
      <c r="H5" s="779">
        <f ca="1">SUM(Бюджетная_система!$U$11:'Бюджетная_система'!$X$11)</f>
        <v>625382.90519663726</v>
      </c>
      <c r="I5" s="779">
        <f ca="1">SUM(Бюджетная_система!$Y$11:'Бюджетная_система'!$AB$11)</f>
        <v>856997.59457390103</v>
      </c>
      <c r="J5" s="779">
        <f ca="1">SUM(Бюджетная_система!$AC$11:'Бюджетная_система'!$AF$11)</f>
        <v>1126048.3128938866</v>
      </c>
      <c r="K5" s="779">
        <f ca="1">SUM(Бюджетная_система!$AG$11:'Бюджетная_система'!$AJ$11)</f>
        <v>1721544.0963035109</v>
      </c>
      <c r="L5" s="779">
        <f ca="1">SUM(Бюджетная_система!$AK$11:'Бюджетная_система'!$AN$11)</f>
        <v>1696039.6544572939</v>
      </c>
      <c r="M5" s="779">
        <f ca="1">SUM(Бюджетная_система!$AO$11:'Бюджетная_система'!$AR$11)</f>
        <v>1687545.690533916</v>
      </c>
      <c r="N5" s="801">
        <f ca="1">Бюджетная_система!$AT$11</f>
        <v>8226246.545622278</v>
      </c>
    </row>
    <row r="6" spans="1:14" ht="11.25" customHeight="1" x14ac:dyDescent="0.2">
      <c r="A6" s="637" t="str">
        <f>Бюджетная_система!$A$12</f>
        <v>Налоги и страховые взносы</v>
      </c>
      <c r="B6" s="811">
        <f ca="1">Бюджетная_система!$B$12</f>
        <v>1344609.4692111595</v>
      </c>
      <c r="C6" s="828" t="str">
        <f>Бюджетная_система!$C$12</f>
        <v>тыс. руб.</v>
      </c>
      <c r="D6" s="713">
        <f ca="1">SUM(Бюджетная_система!$E$12:'Бюджетная_система'!$H$12)</f>
        <v>15439.20678</v>
      </c>
      <c r="E6" s="713">
        <f ca="1">SUM(Бюджетная_система!$I$12:'Бюджетная_система'!$L$12)</f>
        <v>109200.7569748575</v>
      </c>
      <c r="F6" s="713">
        <f ca="1">SUM(Бюджетная_система!$M$12:'Бюджетная_система'!$P$12)</f>
        <v>170878.44403731893</v>
      </c>
      <c r="G6" s="713">
        <f ca="1">SUM(Бюджетная_система!$Q$12:'Бюджетная_система'!$T$12)</f>
        <v>270321.32256314385</v>
      </c>
      <c r="H6" s="713">
        <f ca="1">SUM(Бюджетная_система!$U$12:'Бюджетная_система'!$X$12)</f>
        <v>838737.29208960757</v>
      </c>
      <c r="I6" s="713">
        <f ca="1">SUM(Бюджетная_система!$Y$12:'Бюджетная_система'!$AB$12)</f>
        <v>997741.76898874098</v>
      </c>
      <c r="J6" s="713">
        <f ca="1">SUM(Бюджетная_система!$AC$12:'Бюджетная_система'!$AF$12)</f>
        <v>1126048.3128938866</v>
      </c>
      <c r="K6" s="713">
        <f ca="1">SUM(Бюджетная_система!$AG$12:'Бюджетная_система'!$AJ$12)</f>
        <v>1721544.0963035109</v>
      </c>
      <c r="L6" s="713">
        <f ca="1">SUM(Бюджетная_система!$AK$12:'Бюджетная_система'!$AN$12)</f>
        <v>1696039.6544572939</v>
      </c>
      <c r="M6" s="713">
        <f ca="1">SUM(Бюджетная_система!$AO$12:'Бюджетная_система'!$AR$12)</f>
        <v>1687545.690533916</v>
      </c>
      <c r="N6" s="744">
        <f ca="1">Бюджетная_система!$AT$12</f>
        <v>8633496.5456222761</v>
      </c>
    </row>
    <row r="7" spans="1:14" ht="11.25" customHeight="1" x14ac:dyDescent="0.2">
      <c r="A7" s="938" t="str">
        <f>Бюджетная_система!$A$13</f>
        <v>Импортная пошлина на оборудование</v>
      </c>
      <c r="B7" s="810">
        <f ca="1">Бюджетная_система!$B$13</f>
        <v>24310.349598994519</v>
      </c>
      <c r="C7" s="882" t="str">
        <f>Бюджетная_система!$C$13</f>
        <v>тыс. руб.</v>
      </c>
      <c r="D7" s="749">
        <f ca="1">SUM(Бюджетная_система!$E$13:'Бюджетная_система'!$H$13)</f>
        <v>0</v>
      </c>
      <c r="E7" s="749">
        <f ca="1">SUM(Бюджетная_система!$I$13:'Бюджетная_система'!$L$13)</f>
        <v>0</v>
      </c>
      <c r="F7" s="749">
        <f ca="1">SUM(Бюджетная_система!$M$13:'Бюджетная_система'!$P$13)</f>
        <v>17503.313877236422</v>
      </c>
      <c r="G7" s="749">
        <f ca="1">SUM(Бюджетная_система!$Q$13:'Бюджетная_система'!$T$13)</f>
        <v>9129.7333453184365</v>
      </c>
      <c r="H7" s="749">
        <f ca="1">SUM(Бюджетная_система!$U$13:'Бюджетная_система'!$X$13)</f>
        <v>145862.0975939671</v>
      </c>
      <c r="I7" s="749">
        <f ca="1">SUM(Бюджетная_система!$Y$13:'Бюджетная_система'!$AB$13)</f>
        <v>0</v>
      </c>
      <c r="J7" s="749">
        <f ca="1">SUM(Бюджетная_система!$AC$13:'Бюджетная_система'!$AF$13)</f>
        <v>0</v>
      </c>
      <c r="K7" s="749">
        <f ca="1">SUM(Бюджетная_система!$AG$13:'Бюджетная_система'!$AJ$13)</f>
        <v>0</v>
      </c>
      <c r="L7" s="749">
        <f ca="1">SUM(Бюджетная_система!$AK$13:'Бюджетная_система'!$AN$13)</f>
        <v>0</v>
      </c>
      <c r="M7" s="749">
        <f ca="1">SUM(Бюджетная_система!$AO$13:'Бюджетная_система'!$AR$13)</f>
        <v>0</v>
      </c>
      <c r="N7" s="769">
        <f ca="1">Бюджетная_система!$AT$13</f>
        <v>172495.14481652196</v>
      </c>
    </row>
    <row r="8" spans="1:14" ht="11.25" customHeight="1" x14ac:dyDescent="0.2">
      <c r="A8" s="938" t="str">
        <f>Бюджетная_система!$A$14</f>
        <v>Налог на добавленную стоимость</v>
      </c>
      <c r="B8" s="810">
        <f ca="1">Бюджетная_система!$B$14</f>
        <v>463987.08224045491</v>
      </c>
      <c r="C8" s="882" t="str">
        <f>Бюджетная_система!$C$14</f>
        <v>тыс. руб.</v>
      </c>
      <c r="D8" s="749">
        <f ca="1">SUM(Бюджетная_система!$E$14:'Бюджетная_система'!$H$14)</f>
        <v>0</v>
      </c>
      <c r="E8" s="749">
        <f ca="1">SUM(Бюджетная_система!$I$14:'Бюджетная_система'!$L$14)</f>
        <v>0</v>
      </c>
      <c r="F8" s="749">
        <f ca="1">SUM(Бюджетная_система!$M$14:'Бюджетная_система'!$P$14)</f>
        <v>0</v>
      </c>
      <c r="G8" s="749">
        <f ca="1">SUM(Бюджетная_система!$Q$14:'Бюджетная_система'!$T$14)</f>
        <v>56350.840022384145</v>
      </c>
      <c r="H8" s="749">
        <f ca="1">SUM(Бюджетная_система!$U$14:'Бюджетная_система'!$X$14)</f>
        <v>130073.86018055257</v>
      </c>
      <c r="I8" s="749">
        <f ca="1">SUM(Бюджетная_система!$Y$14:'Бюджетная_система'!$AB$14)</f>
        <v>207688.13978113199</v>
      </c>
      <c r="J8" s="749">
        <f ca="1">SUM(Бюджетная_система!$AC$14:'Бюджетная_система'!$AF$14)</f>
        <v>286478.20004298241</v>
      </c>
      <c r="K8" s="749">
        <f ca="1">SUM(Бюджетная_система!$AG$14:'Бюджетная_система'!$AJ$14)</f>
        <v>829714.95334437699</v>
      </c>
      <c r="L8" s="749">
        <f ca="1">SUM(Бюджетная_система!$AK$14:'Бюджетная_система'!$AN$14)</f>
        <v>744005.93141668418</v>
      </c>
      <c r="M8" s="749">
        <f ca="1">SUM(Бюджетная_система!$AO$14:'Бюджетная_система'!$AR$14)</f>
        <v>585961.40867700172</v>
      </c>
      <c r="N8" s="769">
        <f ca="1">Бюджетная_система!$AT$14</f>
        <v>2840273.3334651138</v>
      </c>
    </row>
    <row r="9" spans="1:14" ht="11.25" customHeight="1" x14ac:dyDescent="0.2">
      <c r="A9" s="938" t="str">
        <f>Бюджетная_система!$A$15</f>
        <v>Налог на прибыль</v>
      </c>
      <c r="B9" s="810">
        <f ca="1">Бюджетная_система!$B$15</f>
        <v>207063.56585966205</v>
      </c>
      <c r="C9" s="882" t="str">
        <f>Бюджетная_система!$C$15</f>
        <v>тыс. руб.</v>
      </c>
      <c r="D9" s="749">
        <f ca="1">SUM(Бюджетная_система!$E$15:'Бюджетная_система'!$H$15)</f>
        <v>0</v>
      </c>
      <c r="E9" s="749">
        <f ca="1">SUM(Бюджетная_система!$I$15:'Бюджетная_система'!$L$15)</f>
        <v>26856.30454244752</v>
      </c>
      <c r="F9" s="749">
        <f ca="1">SUM(Бюджетная_система!$M$15:'Бюджетная_система'!$P$15)</f>
        <v>35158.765481785813</v>
      </c>
      <c r="G9" s="749">
        <f ca="1">SUM(Бюджетная_система!$Q$15:'Бюджетная_система'!$T$15)</f>
        <v>48201.48980427083</v>
      </c>
      <c r="H9" s="749">
        <f ca="1">SUM(Бюджетная_система!$U$15:'Бюджетная_система'!$X$15)</f>
        <v>121142.27608217456</v>
      </c>
      <c r="I9" s="749">
        <f ca="1">SUM(Бюджетная_система!$Y$15:'Бюджетная_система'!$AB$15)</f>
        <v>194975.83107947791</v>
      </c>
      <c r="J9" s="749">
        <f ca="1">SUM(Бюджетная_система!$AC$15:'Бюджетная_система'!$AF$15)</f>
        <v>203730.69576465836</v>
      </c>
      <c r="K9" s="749">
        <f ca="1">SUM(Бюджетная_система!$AG$15:'Бюджетная_система'!$AJ$15)</f>
        <v>212787.85170376772</v>
      </c>
      <c r="L9" s="749">
        <f ca="1">SUM(Бюджетная_система!$AK$15:'Бюджетная_система'!$AN$15)</f>
        <v>224892.36902249928</v>
      </c>
      <c r="M9" s="749">
        <f ca="1">SUM(Бюджетная_система!$AO$15:'Бюджетная_система'!$AR$15)</f>
        <v>284852.37150539458</v>
      </c>
      <c r="N9" s="769">
        <f ca="1">Бюджетная_система!$AT$15</f>
        <v>1352597.9549864768</v>
      </c>
    </row>
    <row r="10" spans="1:14" ht="11.25" customHeight="1" x14ac:dyDescent="0.2">
      <c r="A10" s="938" t="str">
        <f>Бюджетная_система!$A$16</f>
        <v>Налог на имущество</v>
      </c>
      <c r="B10" s="810">
        <f ca="1">Бюджетная_система!$B$16</f>
        <v>7578.4247411189353</v>
      </c>
      <c r="C10" s="882" t="str">
        <f>Бюджетная_система!$C$16</f>
        <v>тыс. руб.</v>
      </c>
      <c r="D10" s="749">
        <f ca="1">SUM(Бюджетная_система!$E$16:'Бюджетная_система'!$H$16)</f>
        <v>0</v>
      </c>
      <c r="E10" s="749">
        <f ca="1">SUM(Бюджетная_система!$I$16:'Бюджетная_система'!$L$16)</f>
        <v>0</v>
      </c>
      <c r="F10" s="749">
        <f ca="1">SUM(Бюджетная_система!$M$16:'Бюджетная_система'!$P$16)</f>
        <v>0</v>
      </c>
      <c r="G10" s="749">
        <f ca="1">SUM(Бюджетная_система!$Q$16:'Бюджетная_система'!$T$16)</f>
        <v>0</v>
      </c>
      <c r="H10" s="749">
        <f ca="1">SUM(Бюджетная_система!$U$16:'Бюджетная_система'!$X$16)</f>
        <v>0</v>
      </c>
      <c r="I10" s="749">
        <f ca="1">SUM(Бюджетная_система!$Y$16:'Бюджетная_система'!$AB$16)</f>
        <v>0</v>
      </c>
      <c r="J10" s="749">
        <f ca="1">SUM(Бюджетная_система!$AC$16:'Бюджетная_система'!$AF$16)</f>
        <v>0</v>
      </c>
      <c r="K10" s="749">
        <f ca="1">SUM(Бюджетная_система!$AG$16:'Бюджетная_система'!$AJ$16)</f>
        <v>0</v>
      </c>
      <c r="L10" s="749">
        <f ca="1">SUM(Бюджетная_система!$AK$16:'Бюджетная_система'!$AN$16)</f>
        <v>2223.7148528470511</v>
      </c>
      <c r="M10" s="749">
        <f ca="1">SUM(Бюджетная_система!$AO$16:'Бюджетная_система'!$AR$16)</f>
        <v>43246.833593866562</v>
      </c>
      <c r="N10" s="769">
        <f ca="1">Бюджетная_система!$AT$16</f>
        <v>45470.548446713612</v>
      </c>
    </row>
    <row r="11" spans="1:14" ht="11.25" customHeight="1" x14ac:dyDescent="0.2">
      <c r="A11" s="939" t="str">
        <f>Бюджетная_система!$A$17</f>
        <v>Социальные взносы</v>
      </c>
      <c r="B11" s="811">
        <f ca="1">Бюджетная_система!$B$17</f>
        <v>448524.36053871439</v>
      </c>
      <c r="C11" s="835" t="str">
        <f>Бюджетная_система!$C$17</f>
        <v>тыс. руб.</v>
      </c>
      <c r="D11" s="750">
        <f ca="1">SUM(Бюджетная_система!$E$17:'Бюджетная_система'!$H$17)</f>
        <v>9429.9346800000003</v>
      </c>
      <c r="E11" s="750">
        <f ca="1">SUM(Бюджетная_система!$I$17:'Бюджетная_система'!$L$17)</f>
        <v>57723.554049905462</v>
      </c>
      <c r="F11" s="750">
        <f ca="1">SUM(Бюджетная_система!$M$17:'Бюджетная_система'!$P$17)</f>
        <v>82085.848248362134</v>
      </c>
      <c r="G11" s="750">
        <f ca="1">SUM(Бюджетная_система!$Q$17:'Бюджетная_система'!$T$17)</f>
        <v>109355.75771534804</v>
      </c>
      <c r="H11" s="750">
        <f ca="1">SUM(Бюджетная_система!$U$17:'Бюджетная_система'!$X$17)</f>
        <v>302917.91738459107</v>
      </c>
      <c r="I11" s="750">
        <f ca="1">SUM(Бюджетная_система!$Y$17:'Бюджетная_система'!$AB$17)</f>
        <v>416957.67127739743</v>
      </c>
      <c r="J11" s="750">
        <f ca="1">SUM(Бюджетная_система!$AC$17:'Бюджетная_система'!$AF$17)</f>
        <v>445525.97978356783</v>
      </c>
      <c r="K11" s="750">
        <f ca="1">SUM(Бюджетная_система!$AG$17:'Бюджетная_система'!$AJ$17)</f>
        <v>475801.23495204246</v>
      </c>
      <c r="L11" s="750">
        <f ca="1">SUM(Бюджетная_система!$AK$17:'Бюджетная_система'!$AN$17)</f>
        <v>507952.49898130109</v>
      </c>
      <c r="M11" s="750">
        <f ca="1">SUM(Бюджетная_система!$AO$17:'Бюджетная_система'!$AR$17)</f>
        <v>541990.86085338681</v>
      </c>
      <c r="N11" s="753">
        <f ca="1">Бюджетная_система!$AT$17</f>
        <v>2949741.2579259025</v>
      </c>
    </row>
    <row r="12" spans="1:14" ht="11.25" customHeight="1" x14ac:dyDescent="0.2">
      <c r="A12" s="938" t="str">
        <f>Бюджетная_система!$A$18</f>
        <v>НДФЛ</v>
      </c>
      <c r="B12" s="810">
        <f ca="1">Бюджетная_система!$B$18</f>
        <v>193145.68623221433</v>
      </c>
      <c r="C12" s="882" t="str">
        <f>Бюджетная_система!$C$18</f>
        <v>тыс. руб.</v>
      </c>
      <c r="D12" s="749">
        <f ca="1">SUM(Бюджетная_система!$E$18:'Бюджетная_система'!$H$18)</f>
        <v>6009.2721000000001</v>
      </c>
      <c r="E12" s="749">
        <f ca="1">SUM(Бюджетная_система!$I$18:'Бюджетная_система'!$L$18)</f>
        <v>24620.898382504514</v>
      </c>
      <c r="F12" s="749">
        <f ca="1">SUM(Бюджетная_система!$M$18:'Бюджетная_система'!$P$18)</f>
        <v>36130.516429934542</v>
      </c>
      <c r="G12" s="749">
        <f ca="1">SUM(Бюджетная_система!$Q$18:'Бюджетная_система'!$T$18)</f>
        <v>47283.501675822437</v>
      </c>
      <c r="H12" s="749">
        <f ca="1">SUM(Бюджетная_система!$U$18:'Бюджетная_система'!$X$18)</f>
        <v>138741.14084832225</v>
      </c>
      <c r="I12" s="749">
        <f ca="1">SUM(Бюджетная_система!$Y$18:'Бюджетная_система'!$AB$18)</f>
        <v>178120.12685073374</v>
      </c>
      <c r="J12" s="749">
        <f ca="1">SUM(Бюджетная_система!$AC$18:'Бюджетная_система'!$AF$18)</f>
        <v>190313.4373026781</v>
      </c>
      <c r="K12" s="749">
        <f ca="1">SUM(Бюджетная_система!$AG$18:'Бюджетная_система'!$AJ$18)</f>
        <v>203240.05630332365</v>
      </c>
      <c r="L12" s="749">
        <f ca="1">SUM(Бюджетная_система!$AK$18:'Бюджетная_система'!$AN$18)</f>
        <v>216965.14018396236</v>
      </c>
      <c r="M12" s="749">
        <f ca="1">SUM(Бюджетная_система!$AO$18:'Бюджетная_система'!$AR$18)</f>
        <v>231494.21590426614</v>
      </c>
      <c r="N12" s="769">
        <f ca="1">Бюджетная_система!$AT$18</f>
        <v>1272918.3059815478</v>
      </c>
    </row>
    <row r="13" spans="1:14" ht="11.25" customHeight="1" x14ac:dyDescent="0.2">
      <c r="A13" s="636" t="str">
        <f>Бюджетная_система!$A$19</f>
        <v xml:space="preserve">Финансирование проекта (ППРФ 1119) </v>
      </c>
      <c r="B13" s="811">
        <f ca="1">Бюджетная_система!$B$19</f>
        <v>-59016.426884635039</v>
      </c>
      <c r="C13" s="828" t="str">
        <f>Бюджетная_система!$C$19</f>
        <v>тыс. руб.</v>
      </c>
      <c r="D13" s="712">
        <f ca="1">SUM(Бюджетная_система!$E$19:'Бюджетная_система'!$H$19)</f>
        <v>0</v>
      </c>
      <c r="E13" s="712">
        <f ca="1">SUM(Бюджетная_система!$I$19:'Бюджетная_система'!$L$19)</f>
        <v>-3009.5055230634734</v>
      </c>
      <c r="F13" s="712">
        <f ca="1">SUM(Бюджетная_система!$M$19:'Бюджетная_система'!$P$19)</f>
        <v>-13431.981935156522</v>
      </c>
      <c r="G13" s="712">
        <f ca="1">SUM(Бюджетная_система!$Q$19:'Бюджетная_система'!$T$19)</f>
        <v>-36709.951233969747</v>
      </c>
      <c r="H13" s="712">
        <f ca="1">SUM(Бюджетная_система!$U$19:'Бюджетная_система'!$X$19)</f>
        <v>-213354.3868929703</v>
      </c>
      <c r="I13" s="712">
        <f ca="1">SUM(Бюджетная_система!$Y$19:'Бюджетная_система'!$AB$19)</f>
        <v>-140744.17441483997</v>
      </c>
      <c r="J13" s="712">
        <f ca="1">SUM(Бюджетная_система!$AC$19:'Бюджетная_система'!$AF$19)</f>
        <v>0</v>
      </c>
      <c r="K13" s="712">
        <f ca="1">SUM(Бюджетная_система!$AG$19:'Бюджетная_система'!$AJ$19)</f>
        <v>0</v>
      </c>
      <c r="L13" s="712">
        <f ca="1">SUM(Бюджетная_система!$AK$19:'Бюджетная_система'!$AN$19)</f>
        <v>0</v>
      </c>
      <c r="M13" s="712">
        <f ca="1">SUM(Бюджетная_система!$AO$19:'Бюджетная_система'!$AR$19)</f>
        <v>0</v>
      </c>
      <c r="N13" s="744">
        <f ca="1">Бюджетная_система!$AT$19</f>
        <v>-407250</v>
      </c>
    </row>
    <row r="14" spans="1:14" ht="11.25" customHeight="1" x14ac:dyDescent="0.2">
      <c r="A14" s="667" t="str">
        <f>Бюджетная_система!$A$20</f>
        <v>Денежный поток нарастающим итогом</v>
      </c>
      <c r="B14" s="681"/>
      <c r="C14" s="607"/>
      <c r="D14" s="713">
        <f ca="1">Бюджетная_система!$H$20</f>
        <v>15439.20678</v>
      </c>
      <c r="E14" s="713">
        <f ca="1">Бюджетная_система!$L$20</f>
        <v>121630.45823179404</v>
      </c>
      <c r="F14" s="713">
        <f ca="1">Бюджетная_система!$P$20</f>
        <v>279076.92033395643</v>
      </c>
      <c r="G14" s="713">
        <f ca="1">Бюджетная_система!$T$20</f>
        <v>512688.29166313051</v>
      </c>
      <c r="H14" s="713">
        <f ca="1">Бюджетная_система!$X$20</f>
        <v>1138071.1968597677</v>
      </c>
      <c r="I14" s="713">
        <f ca="1">Бюджетная_система!$AB$20</f>
        <v>1995068.7914336689</v>
      </c>
      <c r="J14" s="713">
        <f ca="1">Бюджетная_система!$AF$20</f>
        <v>3121117.1043275557</v>
      </c>
      <c r="K14" s="713">
        <f ca="1">Бюджетная_система!$AJ$20</f>
        <v>4842661.2006310672</v>
      </c>
      <c r="L14" s="713">
        <f ca="1">Бюджетная_система!$AN$20</f>
        <v>6538700.8550883615</v>
      </c>
      <c r="M14" s="714">
        <f ca="1">Бюджетная_система!$AR$20</f>
        <v>8226246.545622278</v>
      </c>
      <c r="N14" s="652"/>
    </row>
    <row r="15" spans="1:14" ht="11.25" customHeight="1" x14ac:dyDescent="0.2">
      <c r="A15" s="398"/>
      <c r="B15" s="681"/>
      <c r="C15" s="607"/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652"/>
    </row>
    <row r="16" spans="1:14" ht="11.25" customHeight="1" x14ac:dyDescent="0.2">
      <c r="A16" s="665" t="str">
        <f>Бюджетная_система!$A$22</f>
        <v>Дисконтированный денежный поток</v>
      </c>
      <c r="B16" s="685"/>
      <c r="C16" s="829" t="str">
        <f>Бюджетная_система!$C$22</f>
        <v>тыс. руб.</v>
      </c>
      <c r="D16" s="712">
        <f ca="1">SUM(Бюджетная_система!$E$22:'Бюджетная_система'!$H$22)</f>
        <v>15439.20678</v>
      </c>
      <c r="E16" s="712">
        <f ca="1">SUM(Бюджетная_система!$I$22:'Бюджетная_система'!$L$22)</f>
        <v>100008.84206144756</v>
      </c>
      <c r="F16" s="712">
        <f ca="1">SUM(Бюджетная_система!$M$22:'Бюджетная_система'!$P$22)</f>
        <v>134364.38793697453</v>
      </c>
      <c r="G16" s="712">
        <f ca="1">SUM(Бюджетная_система!$Q$22:'Бюджетная_система'!$T$22)</f>
        <v>180823.39927437544</v>
      </c>
      <c r="H16" s="712">
        <f ca="1">SUM(Бюджетная_система!$U$22:'Бюджетная_система'!$X$22)</f>
        <v>439015.96311314823</v>
      </c>
      <c r="I16" s="712">
        <f ca="1">SUM(Бюджетная_система!$Y$22:'Бюджетная_система'!$AB$22)</f>
        <v>547361.19279088487</v>
      </c>
      <c r="J16" s="712">
        <f ca="1">SUM(Бюджетная_система!$AC$22:'Бюджетная_система'!$AF$22)</f>
        <v>653667.44579266058</v>
      </c>
      <c r="K16" s="712">
        <f ca="1">SUM(Бюджетная_система!$AG$22:'Бюджетная_система'!$AJ$22)</f>
        <v>908505.16438559326</v>
      </c>
      <c r="L16" s="712">
        <f ca="1">SUM(Бюджетная_система!$AK$22:'Бюджетная_система'!$AN$22)</f>
        <v>812332.75754677108</v>
      </c>
      <c r="M16" s="712">
        <f ca="1">SUM(Бюджетная_система!$AO$22:'Бюджетная_система'!$AR$22)</f>
        <v>734321.31127518008</v>
      </c>
      <c r="N16" s="744">
        <f ca="1">Бюджетная_система!$AT$22</f>
        <v>4525839.6709570363</v>
      </c>
    </row>
    <row r="17" spans="1:14" ht="11.25" customHeight="1" x14ac:dyDescent="0.2">
      <c r="A17" s="666" t="str">
        <f>Бюджетная_система!$A$23</f>
        <v>Дисконтированный поток нарастающим итогом</v>
      </c>
      <c r="B17" s="685"/>
      <c r="C17" s="828" t="str">
        <f>Бюджетная_система!$C$23</f>
        <v>тыс. руб.</v>
      </c>
      <c r="D17" s="713">
        <f ca="1">Бюджетная_система!$H$23</f>
        <v>15439.20678</v>
      </c>
      <c r="E17" s="713">
        <f ca="1">Бюджетная_система!$L$23</f>
        <v>115448.04884144757</v>
      </c>
      <c r="F17" s="713">
        <f ca="1">Бюджетная_система!$P$23</f>
        <v>249812.4367784221</v>
      </c>
      <c r="G17" s="713">
        <f ca="1">Бюджетная_система!$T$23</f>
        <v>430635.83605279756</v>
      </c>
      <c r="H17" s="713">
        <f ca="1">Бюджетная_система!$X$23</f>
        <v>869651.79916594573</v>
      </c>
      <c r="I17" s="713">
        <f ca="1">Бюджетная_система!$AB$23</f>
        <v>1417012.9919568307</v>
      </c>
      <c r="J17" s="713">
        <f ca="1">Бюджетная_система!$AF$23</f>
        <v>2070680.4377494913</v>
      </c>
      <c r="K17" s="713">
        <f ca="1">Бюджетная_система!$AJ$23</f>
        <v>2979185.6021350846</v>
      </c>
      <c r="L17" s="713">
        <f ca="1">Бюджетная_система!$AN$23</f>
        <v>3791518.3596818559</v>
      </c>
      <c r="M17" s="714">
        <f ca="1">Бюджетная_система!$AR$23</f>
        <v>4525839.6709570363</v>
      </c>
      <c r="N17" s="652"/>
    </row>
    <row r="18" spans="1:14" ht="11.25" customHeight="1" x14ac:dyDescent="0.2">
      <c r="A18" s="398"/>
      <c r="B18" s="722"/>
      <c r="C18" s="607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599"/>
    </row>
    <row r="19" spans="1:14" ht="11.25" customHeight="1" x14ac:dyDescent="0.2">
      <c r="A19" s="633" t="str">
        <f>Бюджетная_система!$A$25</f>
        <v>Чистая приведенная стоимость, NPV</v>
      </c>
      <c r="B19" s="888">
        <f ca="1">Бюджетная_система!$B$25</f>
        <v>4525839.6709570363</v>
      </c>
      <c r="C19" s="828" t="str">
        <f>Бюджетная_система!$C$25</f>
        <v>тыс. руб.</v>
      </c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599"/>
    </row>
    <row r="20" spans="1:14" ht="11.25" customHeight="1" x14ac:dyDescent="0.2">
      <c r="A20" s="398"/>
      <c r="B20" s="681"/>
      <c r="C20" s="607"/>
      <c r="D20" s="651"/>
      <c r="E20" s="651"/>
      <c r="F20" s="651"/>
      <c r="G20" s="651"/>
      <c r="H20" s="651"/>
      <c r="I20" s="651"/>
      <c r="J20" s="651"/>
      <c r="K20" s="651"/>
      <c r="L20" s="651"/>
      <c r="M20" s="651"/>
      <c r="N20" s="599"/>
    </row>
    <row r="21" spans="1:14" ht="11.25" customHeight="1" x14ac:dyDescent="0.2">
      <c r="A21" s="633" t="str">
        <f>Бюджетная_система!$A$27</f>
        <v>Внутренняя норма рентабельности, IRR</v>
      </c>
      <c r="B21" s="886" t="str">
        <f ca="1">Бюджетная_система!$B$27</f>
        <v>-</v>
      </c>
      <c r="C21" s="828" t="str">
        <f>Бюджетная_система!$C$27</f>
        <v>%</v>
      </c>
      <c r="D21" s="682"/>
      <c r="E21" s="599"/>
      <c r="F21" s="599"/>
      <c r="G21" s="599"/>
      <c r="H21" s="599"/>
      <c r="I21" s="599"/>
      <c r="J21" s="599"/>
      <c r="K21" s="599"/>
      <c r="L21" s="599"/>
      <c r="M21" s="599"/>
      <c r="N21" s="599"/>
    </row>
    <row r="22" spans="1:14" ht="11.25" customHeight="1" x14ac:dyDescent="0.2">
      <c r="A22" s="398"/>
      <c r="B22" s="790"/>
      <c r="C22" s="607"/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</row>
    <row r="23" spans="1:14" ht="11.25" customHeight="1" x14ac:dyDescent="0.2">
      <c r="A23" s="633" t="str">
        <f>Бюджетная_система!$A$30</f>
        <v>Коэффициент бюджетной эффективности</v>
      </c>
      <c r="B23" s="890">
        <f ca="1">Бюджетная_система!$B$30</f>
        <v>21.199500418962003</v>
      </c>
      <c r="C23" s="828" t="str">
        <f>Бюджетная_система!$C$30</f>
        <v>раз</v>
      </c>
      <c r="D23" s="921">
        <f ca="1">Бюджетная_система!$H$30</f>
        <v>0</v>
      </c>
      <c r="E23" s="921">
        <f ca="1">Бюджетная_система!$L$30</f>
        <v>41.415429478256094</v>
      </c>
      <c r="F23" s="921">
        <f ca="1">Бюджетная_система!$P$30</f>
        <v>17.973946003555213</v>
      </c>
      <c r="G23" s="921">
        <f ca="1">Бюджетная_система!$T$30</f>
        <v>10.645802715373472</v>
      </c>
      <c r="H23" s="921">
        <f ca="1">Бюджетная_система!$X$30</f>
        <v>5.2703426627201644</v>
      </c>
      <c r="I23" s="921">
        <f ca="1">Бюджетная_система!$AB$30</f>
        <v>5.8988797825258903</v>
      </c>
      <c r="J23" s="921">
        <f ca="1">Бюджетная_система!$AF$30</f>
        <v>8.6638848479497987</v>
      </c>
      <c r="K23" s="921">
        <f ca="1">Бюджетная_система!$AJ$30</f>
        <v>12.891126336724533</v>
      </c>
      <c r="L23" s="921">
        <f ca="1">Бюджетная_система!$AN$30</f>
        <v>17.055741817282655</v>
      </c>
      <c r="M23" s="922">
        <f ca="1">Бюджетная_система!$AR$30</f>
        <v>21.199500418962003</v>
      </c>
      <c r="N23" s="599"/>
    </row>
    <row r="24" spans="1:14" ht="11.25" customHeight="1" x14ac:dyDescent="0.2">
      <c r="A24" s="398"/>
      <c r="B24" s="681"/>
      <c r="C24" s="607"/>
      <c r="D24" s="599"/>
      <c r="E24" s="599"/>
      <c r="F24" s="599"/>
      <c r="G24" s="599"/>
      <c r="H24" s="599"/>
      <c r="I24" s="599"/>
      <c r="J24" s="599"/>
      <c r="K24" s="599"/>
      <c r="L24" s="599"/>
      <c r="M24" s="599"/>
      <c r="N24" s="599"/>
    </row>
    <row r="25" spans="1:14" ht="11.25" customHeight="1" x14ac:dyDescent="0.2">
      <c r="A25" s="633" t="str">
        <f>Бюджетная_система!$A$34</f>
        <v>Простой срок окупаемости (PBP)</v>
      </c>
      <c r="B25" s="891" t="str">
        <f ca="1">Бюджетная_система!$B$34</f>
        <v>-</v>
      </c>
      <c r="C25" s="828" t="str">
        <f>Бюджетная_система!$C$34</f>
        <v>лет</v>
      </c>
      <c r="D25" s="599"/>
      <c r="E25" s="599"/>
      <c r="F25" s="599"/>
      <c r="G25" s="599"/>
      <c r="H25" s="599"/>
      <c r="I25" s="599"/>
      <c r="J25" s="599"/>
      <c r="K25" s="599"/>
      <c r="L25" s="599"/>
      <c r="M25" s="599"/>
      <c r="N25" s="599"/>
    </row>
    <row r="26" spans="1:14" ht="11.25" customHeight="1" x14ac:dyDescent="0.2">
      <c r="A26" s="398"/>
      <c r="B26" s="681"/>
      <c r="C26" s="607"/>
      <c r="D26" s="599"/>
      <c r="E26" s="599"/>
      <c r="F26" s="599"/>
      <c r="G26" s="599"/>
      <c r="H26" s="599"/>
      <c r="I26" s="599"/>
      <c r="J26" s="599"/>
      <c r="K26" s="599"/>
      <c r="L26" s="599"/>
      <c r="M26" s="599"/>
      <c r="N26" s="599"/>
    </row>
    <row r="27" spans="1:14" ht="22.5" x14ac:dyDescent="0.2">
      <c r="A27" s="834" t="str">
        <f>Бюджетная_система!$A$38</f>
        <v>Дисконтированный срок окупаемости (DPBP)</v>
      </c>
      <c r="B27" s="891" t="str">
        <f ca="1">Бюджетная_система!$B$38</f>
        <v>-</v>
      </c>
      <c r="C27" s="828" t="str">
        <f>Бюджетная_система!$C$38</f>
        <v>лет</v>
      </c>
      <c r="D27" s="599"/>
      <c r="E27" s="599"/>
      <c r="F27" s="599"/>
      <c r="G27" s="599"/>
      <c r="H27" s="599"/>
      <c r="I27" s="599"/>
      <c r="J27" s="599"/>
      <c r="K27" s="599"/>
      <c r="L27" s="599"/>
      <c r="M27" s="599"/>
      <c r="N27" s="599"/>
    </row>
    <row r="28" spans="1:14" ht="11.25" customHeight="1" x14ac:dyDescent="0.2">
      <c r="A28" s="398"/>
      <c r="B28" s="681"/>
      <c r="C28" s="607"/>
      <c r="D28" s="599"/>
      <c r="E28" s="599"/>
      <c r="F28" s="599"/>
      <c r="G28" s="599"/>
      <c r="H28" s="599"/>
      <c r="I28" s="599"/>
      <c r="J28" s="599"/>
      <c r="K28" s="599"/>
      <c r="L28" s="599"/>
      <c r="M28" s="599"/>
      <c r="N28" s="599"/>
    </row>
  </sheetData>
  <pageMargins left="0.4" right="0.4" top="1.5" bottom="0.5" header="0.7" footer="0.3"/>
  <pageSetup paperSize="9" orientation="landscape" horizontalDpi="0" verticalDpi="0" r:id="rId1"/>
  <headerFooter scaleWithDoc="0">
    <oddHeader xml:space="preserve">&amp;L&amp;"Arial,полужирный"Таб. 25&amp;C&amp;"Arial,полужирный"&amp;13
ЭФФЕКТИВНОСТЬ ДЛЯ КОНСОЛИДИРОВАННОГО БЮДЖЕТА РФ&amp;R&amp;"Arial,полужирный"Проект создания ИП «Бугры» на территории Ленинградской области&amp;"Arial,обычный"
</oddHead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51"/>
  <dimension ref="A1:N26"/>
  <sheetViews>
    <sheetView workbookViewId="0"/>
  </sheetViews>
  <sheetFormatPr defaultRowHeight="12.75" x14ac:dyDescent="0.2"/>
  <cols>
    <col min="1" max="1" width="37" customWidth="1"/>
    <col min="2" max="2" width="10.85546875" customWidth="1"/>
    <col min="3" max="3" width="9" customWidth="1"/>
    <col min="4" max="9" width="7.42578125" customWidth="1"/>
    <col min="10" max="13" width="7.5703125" customWidth="1"/>
    <col min="14" max="14" width="8.140625" customWidth="1"/>
  </cols>
  <sheetData>
    <row r="1" spans="1:14" s="301" customFormat="1" ht="26.1" customHeight="1" x14ac:dyDescent="0.2">
      <c r="A1" s="613" t="str">
        <f>Бюджетная_система!$A$44</f>
        <v>ЭФФЕКТИВНОСТЬ ДЛЯ ФЕДЕРАЛЬНОГО БЮДЖЕТА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Бюджетная_система!$AT$44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1.25" customHeight="1" x14ac:dyDescent="0.2">
      <c r="A3" s="666" t="str">
        <f>Бюджетная_система!$A$46</f>
        <v>Ставка дисконтирования, годовая (WACC)</v>
      </c>
      <c r="B3" s="886">
        <f ca="1">Бюджетная_система!$B$46</f>
        <v>0.10128364613285909</v>
      </c>
      <c r="C3" s="828" t="str">
        <f>Бюджетная_система!$C$46</f>
        <v>%</v>
      </c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36" t="str">
        <f>Бюджетная_система!$A$48</f>
        <v>коэффициент дисконта</v>
      </c>
      <c r="B4" s="685"/>
      <c r="C4" s="829" t="str">
        <f>Бюджетная_система!$C$48</f>
        <v>раз</v>
      </c>
      <c r="D4" s="936">
        <f>Бюджетная_система!$H$48</f>
        <v>1</v>
      </c>
      <c r="E4" s="936">
        <f ca="1">Бюджетная_система!$L$48</f>
        <v>1.101283646132859</v>
      </c>
      <c r="F4" s="936">
        <f ca="1">Бюджетная_система!$P$48</f>
        <v>1.2128256692396844</v>
      </c>
      <c r="G4" s="936">
        <f ca="1">Бюджетная_система!$T$48</f>
        <v>1.3356650751438044</v>
      </c>
      <c r="H4" s="936">
        <f ca="1">Бюджетная_система!$X$48</f>
        <v>1.4709461039666882</v>
      </c>
      <c r="I4" s="936">
        <f ca="1">Бюджетная_система!$AB$48</f>
        <v>1.6199288886413581</v>
      </c>
      <c r="J4" s="936">
        <f ca="1">Бюджетная_система!$AF$48</f>
        <v>1.7840011929589052</v>
      </c>
      <c r="K4" s="936">
        <f ca="1">Бюджетная_система!$AJ$48</f>
        <v>1.9646913384871536</v>
      </c>
      <c r="L4" s="936">
        <f ca="1">Бюджетная_система!$AN$48</f>
        <v>2.1636824407747794</v>
      </c>
      <c r="M4" s="937">
        <f ca="1">Бюджетная_система!$AR$48</f>
        <v>2.3828280874500933</v>
      </c>
      <c r="N4" s="599"/>
    </row>
    <row r="5" spans="1:14" ht="19.5" customHeight="1" x14ac:dyDescent="0.2">
      <c r="A5" s="632" t="str">
        <f>Бюджетная_система!$A$49</f>
        <v>Денежный поток</v>
      </c>
      <c r="B5" s="923" t="str">
        <f>Бюджетная_система!$B$49</f>
        <v>Среднегодовые
2024 - 2029</v>
      </c>
      <c r="C5" s="884" t="str">
        <f>Бюджетная_система!$C$49</f>
        <v>тыс. руб.</v>
      </c>
      <c r="D5" s="779">
        <f ca="1">SUM(Бюджетная_система!$E$49:'Бюджетная_система'!$H$49)</f>
        <v>0</v>
      </c>
      <c r="E5" s="779">
        <f ca="1">SUM(Бюджетная_система!$I$49:'Бюджетная_система'!$L$49)</f>
        <v>1018.9401583036547</v>
      </c>
      <c r="F5" s="779">
        <f ca="1">SUM(Бюджетная_система!$M$49:'Бюджетная_система'!$P$49)</f>
        <v>9345.1467643477718</v>
      </c>
      <c r="G5" s="779">
        <f ca="1">SUM(Бюджетная_система!$Q$49:'Бюджетная_система'!$T$49)</f>
        <v>36000.845604373462</v>
      </c>
      <c r="H5" s="779">
        <f ca="1">SUM(Бюджетная_система!$U$49:'Бюджетная_система'!$X$49)</f>
        <v>80752.912293875561</v>
      </c>
      <c r="I5" s="779">
        <f ca="1">SUM(Бюджетная_система!$Y$49:'Бюджетная_система'!$AB$49)</f>
        <v>88837.715553307527</v>
      </c>
      <c r="J5" s="779">
        <f ca="1">SUM(Бюджетная_система!$AC$49:'Бюджетная_система'!$AF$49)</f>
        <v>306851.26961944829</v>
      </c>
      <c r="K5" s="779">
        <f ca="1">SUM(Бюджетная_система!$AG$49:'Бюджетная_система'!$AJ$49)</f>
        <v>850993.73851475376</v>
      </c>
      <c r="L5" s="779">
        <f ca="1">SUM(Бюджетная_система!$AK$49:'Бюджетная_система'!$AN$49)</f>
        <v>766495.16831893404</v>
      </c>
      <c r="M5" s="779">
        <f ca="1">SUM(Бюджетная_система!$AO$49:'Бюджетная_система'!$AR$49)</f>
        <v>614446.64582754113</v>
      </c>
      <c r="N5" s="801">
        <f ca="1">Бюджетная_система!$AT$49</f>
        <v>2754742.3826548858</v>
      </c>
    </row>
    <row r="6" spans="1:14" ht="11.25" customHeight="1" x14ac:dyDescent="0.2">
      <c r="A6" s="637" t="str">
        <f>Бюджетная_система!$A$50</f>
        <v xml:space="preserve">Налоги </v>
      </c>
      <c r="B6" s="811">
        <f ca="1">Бюджетная_система!$B$50</f>
        <v>510412.66857261176</v>
      </c>
      <c r="C6" s="828" t="str">
        <f>Бюджетная_система!$C$50</f>
        <v>тыс. руб.</v>
      </c>
      <c r="D6" s="713">
        <f ca="1">SUM(Бюджетная_система!$E$50:'Бюджетная_система'!$H$50)</f>
        <v>0</v>
      </c>
      <c r="E6" s="713">
        <f ca="1">SUM(Бюджетная_система!$I$50:'Бюджетная_система'!$L$50)</f>
        <v>4028.4456813671281</v>
      </c>
      <c r="F6" s="713">
        <f ca="1">SUM(Бюджетная_система!$M$50:'Бюджетная_система'!$P$50)</f>
        <v>22777.128699504297</v>
      </c>
      <c r="G6" s="713">
        <f ca="1">SUM(Бюджетная_система!$Q$50:'Бюджетная_система'!$T$50)</f>
        <v>72710.796838343202</v>
      </c>
      <c r="H6" s="713">
        <f ca="1">SUM(Бюджетная_система!$U$50:'Бюджетная_система'!$X$50)</f>
        <v>294107.29918684583</v>
      </c>
      <c r="I6" s="713">
        <f ca="1">SUM(Бюджетная_система!$Y$50:'Бюджетная_система'!$AB$50)</f>
        <v>229581.8899681475</v>
      </c>
      <c r="J6" s="713">
        <f ca="1">SUM(Бюджетная_система!$AC$50:'Бюджетная_система'!$AF$50)</f>
        <v>306851.26961944829</v>
      </c>
      <c r="K6" s="713">
        <f ca="1">SUM(Бюджетная_система!$AG$50:'Бюджетная_система'!$AJ$50)</f>
        <v>850993.73851475376</v>
      </c>
      <c r="L6" s="713">
        <f ca="1">SUM(Бюджетная_система!$AK$50:'Бюджетная_система'!$AN$50)</f>
        <v>766495.16831893404</v>
      </c>
      <c r="M6" s="713">
        <f ca="1">SUM(Бюджетная_система!$AO$50:'Бюджетная_система'!$AR$50)</f>
        <v>614446.64582754113</v>
      </c>
      <c r="N6" s="744">
        <f ca="1">Бюджетная_система!$AT$50</f>
        <v>3161992.3826548848</v>
      </c>
    </row>
    <row r="7" spans="1:14" ht="11.25" customHeight="1" x14ac:dyDescent="0.2">
      <c r="A7" s="938" t="str">
        <f>Бюджетная_система!$A$51</f>
        <v>Импортная пошлина на оборудование</v>
      </c>
      <c r="B7" s="810">
        <f ca="1">Бюджетная_система!$B$51</f>
        <v>24310.349598994519</v>
      </c>
      <c r="C7" s="882" t="str">
        <f>Бюджетная_система!$C$51</f>
        <v>тыс. руб.</v>
      </c>
      <c r="D7" s="749">
        <f ca="1">SUM(Бюджетная_система!$E$51:'Бюджетная_система'!$H$51)</f>
        <v>0</v>
      </c>
      <c r="E7" s="749">
        <f ca="1">SUM(Бюджетная_система!$I$51:'Бюджетная_система'!$L$51)</f>
        <v>0</v>
      </c>
      <c r="F7" s="749">
        <f ca="1">SUM(Бюджетная_система!$M$51:'Бюджетная_система'!$P$51)</f>
        <v>17503.313877236422</v>
      </c>
      <c r="G7" s="749">
        <f ca="1">SUM(Бюджетная_система!$Q$51:'Бюджетная_система'!$T$51)</f>
        <v>9129.7333453184365</v>
      </c>
      <c r="H7" s="749">
        <f ca="1">SUM(Бюджетная_система!$U$51:'Бюджетная_система'!$X$51)</f>
        <v>145862.0975939671</v>
      </c>
      <c r="I7" s="749">
        <f ca="1">SUM(Бюджетная_система!$Y$51:'Бюджетная_система'!$AB$51)</f>
        <v>0</v>
      </c>
      <c r="J7" s="749">
        <f ca="1">SUM(Бюджетная_система!$AC$51:'Бюджетная_система'!$AF$51)</f>
        <v>0</v>
      </c>
      <c r="K7" s="749">
        <f ca="1">SUM(Бюджетная_система!$AG$51:'Бюджетная_система'!$AJ$51)</f>
        <v>0</v>
      </c>
      <c r="L7" s="749">
        <f ca="1">SUM(Бюджетная_система!$AK$51:'Бюджетная_система'!$AN$51)</f>
        <v>0</v>
      </c>
      <c r="M7" s="749">
        <f ca="1">SUM(Бюджетная_система!$AO$51:'Бюджетная_система'!$AR$51)</f>
        <v>0</v>
      </c>
      <c r="N7" s="746">
        <f ca="1">Бюджетная_система!$AT$51</f>
        <v>172495.14481652196</v>
      </c>
    </row>
    <row r="8" spans="1:14" ht="11.25" customHeight="1" x14ac:dyDescent="0.2">
      <c r="A8" s="938" t="str">
        <f>Бюджетная_система!$A$52</f>
        <v>Налог на добавленную стоимость</v>
      </c>
      <c r="B8" s="810">
        <f ca="1">Бюджетная_система!$B$52</f>
        <v>463987.08224045491</v>
      </c>
      <c r="C8" s="882" t="str">
        <f>Бюджетная_система!$C$52</f>
        <v>тыс. руб.</v>
      </c>
      <c r="D8" s="749">
        <f ca="1">SUM(Бюджетная_система!$E$52:'Бюджетная_система'!$H$52)</f>
        <v>0</v>
      </c>
      <c r="E8" s="749">
        <f ca="1">SUM(Бюджетная_система!$I$52:'Бюджетная_система'!$L$52)</f>
        <v>0</v>
      </c>
      <c r="F8" s="749">
        <f ca="1">SUM(Бюджетная_система!$M$52:'Бюджетная_система'!$P$52)</f>
        <v>0</v>
      </c>
      <c r="G8" s="749">
        <f ca="1">SUM(Бюджетная_система!$Q$52:'Бюджетная_система'!$T$52)</f>
        <v>56350.840022384145</v>
      </c>
      <c r="H8" s="749">
        <f ca="1">SUM(Бюджетная_система!$U$52:'Бюджетная_система'!$X$52)</f>
        <v>130073.86018055257</v>
      </c>
      <c r="I8" s="749">
        <f ca="1">SUM(Бюджетная_система!$Y$52:'Бюджетная_система'!$AB$52)</f>
        <v>207688.13978113199</v>
      </c>
      <c r="J8" s="749">
        <f ca="1">SUM(Бюджетная_система!$AC$52:'Бюджетная_система'!$AF$52)</f>
        <v>286478.20004298241</v>
      </c>
      <c r="K8" s="749">
        <f ca="1">SUM(Бюджетная_система!$AG$52:'Бюджетная_система'!$AJ$52)</f>
        <v>829714.95334437699</v>
      </c>
      <c r="L8" s="749">
        <f ca="1">SUM(Бюджетная_система!$AK$52:'Бюджетная_система'!$AN$52)</f>
        <v>744005.93141668418</v>
      </c>
      <c r="M8" s="749">
        <f ca="1">SUM(Бюджетная_система!$AO$52:'Бюджетная_система'!$AR$52)</f>
        <v>585961.40867700172</v>
      </c>
      <c r="N8" s="746">
        <f ca="1">Бюджетная_система!$AT$52</f>
        <v>2840273.3334651138</v>
      </c>
    </row>
    <row r="9" spans="1:14" ht="11.25" customHeight="1" x14ac:dyDescent="0.2">
      <c r="A9" s="939" t="str">
        <f>Бюджетная_система!$A$53</f>
        <v>Налог на прибыль</v>
      </c>
      <c r="B9" s="811">
        <f ca="1">Бюджетная_система!$B$53</f>
        <v>22115.236733162281</v>
      </c>
      <c r="C9" s="835" t="str">
        <f>Бюджетная_система!$C$53</f>
        <v>тыс. руб.</v>
      </c>
      <c r="D9" s="750">
        <f ca="1">SUM(Бюджетная_система!$E$53:'Бюджетная_система'!$H$53)</f>
        <v>0</v>
      </c>
      <c r="E9" s="750">
        <f ca="1">SUM(Бюджетная_система!$I$53:'Бюджетная_система'!$L$53)</f>
        <v>4028.4456813671281</v>
      </c>
      <c r="F9" s="750">
        <f ca="1">SUM(Бюджетная_система!$M$53:'Бюджетная_система'!$P$53)</f>
        <v>5273.8148222678728</v>
      </c>
      <c r="G9" s="750">
        <f ca="1">SUM(Бюджетная_система!$Q$53:'Бюджетная_система'!$T$53)</f>
        <v>7230.2234706406234</v>
      </c>
      <c r="H9" s="750">
        <f ca="1">SUM(Бюджетная_система!$U$53:'Бюджетная_система'!$X$53)</f>
        <v>18171.341412326183</v>
      </c>
      <c r="I9" s="750">
        <f ca="1">SUM(Бюджетная_система!$Y$53:'Бюджетная_система'!$AB$53)</f>
        <v>21893.75018701551</v>
      </c>
      <c r="J9" s="750">
        <f ca="1">SUM(Бюджетная_система!$AC$53:'Бюджетная_система'!$AF$53)</f>
        <v>20373.069576465838</v>
      </c>
      <c r="K9" s="750">
        <f ca="1">SUM(Бюджетная_система!$AG$53:'Бюджетная_система'!$AJ$53)</f>
        <v>21278.785170376774</v>
      </c>
      <c r="L9" s="750">
        <f ca="1">SUM(Бюджетная_система!$AK$53:'Бюджетная_система'!$AN$53)</f>
        <v>22489.23690224993</v>
      </c>
      <c r="M9" s="750">
        <f ca="1">SUM(Бюджетная_система!$AO$53:'Бюджетная_система'!$AR$53)</f>
        <v>28485.237150539462</v>
      </c>
      <c r="N9" s="744">
        <f ca="1">Бюджетная_система!$AT$53</f>
        <v>149223.9043732493</v>
      </c>
    </row>
    <row r="10" spans="1:14" ht="11.25" customHeight="1" x14ac:dyDescent="0.2">
      <c r="A10" s="636" t="str">
        <f>Бюджетная_система!$A$54</f>
        <v xml:space="preserve">Финансирование проекта (ППРФ 1119) </v>
      </c>
      <c r="B10" s="811">
        <f ca="1">Бюджетная_система!$B$54</f>
        <v>-59016.426884635039</v>
      </c>
      <c r="C10" s="828" t="str">
        <f>Бюджетная_система!$C$54</f>
        <v>тыс. руб.</v>
      </c>
      <c r="D10" s="712">
        <f ca="1">SUM(Бюджетная_система!$E$54:'Бюджетная_система'!$H$54)</f>
        <v>0</v>
      </c>
      <c r="E10" s="712">
        <f ca="1">SUM(Бюджетная_система!$I$54:'Бюджетная_система'!$L$54)</f>
        <v>-3009.5055230634734</v>
      </c>
      <c r="F10" s="712">
        <f ca="1">SUM(Бюджетная_система!$M$54:'Бюджетная_система'!$P$54)</f>
        <v>-13431.981935156522</v>
      </c>
      <c r="G10" s="712">
        <f ca="1">SUM(Бюджетная_система!$Q$54:'Бюджетная_система'!$T$54)</f>
        <v>-36709.951233969747</v>
      </c>
      <c r="H10" s="712">
        <f ca="1">SUM(Бюджетная_система!$U$54:'Бюджетная_система'!$X$54)</f>
        <v>-213354.3868929703</v>
      </c>
      <c r="I10" s="712">
        <f ca="1">SUM(Бюджетная_система!$Y$54:'Бюджетная_система'!$AB$54)</f>
        <v>-140744.17441483997</v>
      </c>
      <c r="J10" s="712">
        <f ca="1">SUM(Бюджетная_система!$AC$54:'Бюджетная_система'!$AF$54)</f>
        <v>0</v>
      </c>
      <c r="K10" s="712">
        <f ca="1">SUM(Бюджетная_система!$AG$54:'Бюджетная_система'!$AJ$54)</f>
        <v>0</v>
      </c>
      <c r="L10" s="712">
        <f ca="1">SUM(Бюджетная_система!$AK$54:'Бюджетная_система'!$AN$54)</f>
        <v>0</v>
      </c>
      <c r="M10" s="712">
        <f ca="1">SUM(Бюджетная_система!$AO$54:'Бюджетная_система'!$AR$54)</f>
        <v>0</v>
      </c>
      <c r="N10" s="744">
        <f ca="1">Бюджетная_система!$AT$54</f>
        <v>-407250</v>
      </c>
    </row>
    <row r="11" spans="1:14" ht="11.25" customHeight="1" x14ac:dyDescent="0.2">
      <c r="A11" s="667" t="str">
        <f>Бюджетная_система!$A$55</f>
        <v>Денежный поток нарастающим итогом</v>
      </c>
      <c r="B11" s="681"/>
      <c r="C11" s="607"/>
      <c r="D11" s="713">
        <f ca="1">Бюджетная_система!$H$55</f>
        <v>0</v>
      </c>
      <c r="E11" s="713">
        <f ca="1">Бюджетная_система!$L$55</f>
        <v>1018.9401583036547</v>
      </c>
      <c r="F11" s="713">
        <f ca="1">Бюджетная_система!$P$55</f>
        <v>10364.086922651428</v>
      </c>
      <c r="G11" s="713">
        <f ca="1">Бюджетная_система!$T$55</f>
        <v>46364.932527024888</v>
      </c>
      <c r="H11" s="713">
        <f ca="1">Бюджетная_система!$X$55</f>
        <v>127117.84482090044</v>
      </c>
      <c r="I11" s="713">
        <f ca="1">Бюджетная_система!$AB$55</f>
        <v>215955.56037420797</v>
      </c>
      <c r="J11" s="713">
        <f ca="1">Бюджетная_система!$AF$55</f>
        <v>522806.8299936562</v>
      </c>
      <c r="K11" s="713">
        <f ca="1">Бюджетная_система!$AJ$55</f>
        <v>1373800.5685084101</v>
      </c>
      <c r="L11" s="713">
        <f ca="1">Бюджетная_система!$AN$55</f>
        <v>2140295.7368273442</v>
      </c>
      <c r="M11" s="714">
        <f ca="1">Бюджетная_система!$AR$55</f>
        <v>2754742.3826548858</v>
      </c>
      <c r="N11" s="652"/>
    </row>
    <row r="12" spans="1:14" ht="11.25" customHeight="1" x14ac:dyDescent="0.2">
      <c r="A12" s="398"/>
      <c r="B12" s="681"/>
      <c r="C12" s="607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2"/>
    </row>
    <row r="13" spans="1:14" ht="11.25" customHeight="1" x14ac:dyDescent="0.2">
      <c r="A13" s="665" t="str">
        <f>Бюджетная_система!$A$57</f>
        <v>Дисконтированный денежный поток</v>
      </c>
      <c r="B13" s="685"/>
      <c r="C13" s="829" t="str">
        <f>Бюджетная_система!$C$57</f>
        <v>тыс. руб.</v>
      </c>
      <c r="D13" s="712">
        <f ca="1">SUM(Бюджетная_система!$E$57:'Бюджетная_система'!$H$57)</f>
        <v>0</v>
      </c>
      <c r="E13" s="712">
        <f ca="1">SUM(Бюджетная_система!$I$57:'Бюджетная_система'!$L$57)</f>
        <v>993.57844758322221</v>
      </c>
      <c r="F13" s="712">
        <f ca="1">SUM(Бюджетная_система!$M$57:'Бюджетная_система'!$P$57)</f>
        <v>8254.5292704143412</v>
      </c>
      <c r="G13" s="712">
        <f ca="1">SUM(Бюджетная_система!$Q$57:'Бюджетная_система'!$T$57)</f>
        <v>27677.545335989875</v>
      </c>
      <c r="H13" s="712">
        <f ca="1">SUM(Бюджетная_система!$U$57:'Бюджетная_система'!$X$57)</f>
        <v>58726.003946694473</v>
      </c>
      <c r="I13" s="712">
        <f ca="1">SUM(Бюджетная_система!$Y$57:'Бюджетная_система'!$AB$57)</f>
        <v>55803.682500166935</v>
      </c>
      <c r="J13" s="712">
        <f ca="1">SUM(Бюджетная_система!$AC$57:'Бюджетная_система'!$AF$57)</f>
        <v>177604.81385282756</v>
      </c>
      <c r="K13" s="712">
        <f ca="1">SUM(Бюджетная_система!$AG$57:'Бюджетная_система'!$AJ$57)</f>
        <v>449126.44697973708</v>
      </c>
      <c r="L13" s="712">
        <f ca="1">SUM(Бюджетная_система!$AK$57:'Бюджетная_система'!$AN$57)</f>
        <v>367011.61796783784</v>
      </c>
      <c r="M13" s="712">
        <f ca="1">SUM(Бюджетная_система!$AO$57:'Бюджетная_система'!$AR$57)</f>
        <v>268536.19229610299</v>
      </c>
      <c r="N13" s="744">
        <f ca="1">Бюджетная_система!$AT$57</f>
        <v>1413734.4105973544</v>
      </c>
    </row>
    <row r="14" spans="1:14" ht="11.25" customHeight="1" x14ac:dyDescent="0.2">
      <c r="A14" s="666" t="str">
        <f>Бюджетная_система!$A$58</f>
        <v>Дисконтированный поток нарастающим итогом</v>
      </c>
      <c r="B14" s="685"/>
      <c r="C14" s="828" t="str">
        <f>Бюджетная_система!$C$58</f>
        <v>тыс. руб.</v>
      </c>
      <c r="D14" s="713">
        <f ca="1">Бюджетная_система!$H$58</f>
        <v>0</v>
      </c>
      <c r="E14" s="713">
        <f ca="1">Бюджетная_система!$L$58</f>
        <v>993.57844758322221</v>
      </c>
      <c r="F14" s="713">
        <f ca="1">Бюджетная_система!$P$58</f>
        <v>9248.1077179975637</v>
      </c>
      <c r="G14" s="713">
        <f ca="1">Бюджетная_система!$T$58</f>
        <v>36925.653053987437</v>
      </c>
      <c r="H14" s="713">
        <f ca="1">Бюджетная_система!$X$58</f>
        <v>95651.657000681909</v>
      </c>
      <c r="I14" s="713">
        <f ca="1">Бюджетная_система!$AB$58</f>
        <v>151455.33950084884</v>
      </c>
      <c r="J14" s="713">
        <f ca="1">Бюджетная_система!$AF$58</f>
        <v>329060.15335367643</v>
      </c>
      <c r="K14" s="713">
        <f ca="1">Бюджетная_система!$AJ$58</f>
        <v>778186.60033341357</v>
      </c>
      <c r="L14" s="713">
        <f ca="1">Бюджетная_система!$AN$58</f>
        <v>1145198.2183012515</v>
      </c>
      <c r="M14" s="714">
        <f ca="1">Бюджетная_система!$AR$58</f>
        <v>1413734.4105973544</v>
      </c>
      <c r="N14" s="652"/>
    </row>
    <row r="15" spans="1:14" ht="11.25" customHeight="1" x14ac:dyDescent="0.2">
      <c r="A15" s="398"/>
      <c r="B15" s="722"/>
      <c r="C15" s="607"/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599"/>
    </row>
    <row r="16" spans="1:14" ht="11.25" customHeight="1" x14ac:dyDescent="0.2">
      <c r="A16" s="633" t="str">
        <f>Бюджетная_система!$A$60</f>
        <v>Чистая приведенная стоимость, NPV</v>
      </c>
      <c r="B16" s="888">
        <f ca="1">Бюджетная_система!$B$60</f>
        <v>1413734.4105973544</v>
      </c>
      <c r="C16" s="828" t="str">
        <f>Бюджетная_система!$C$60</f>
        <v>тыс. руб.</v>
      </c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599"/>
    </row>
    <row r="17" spans="1:14" ht="11.25" customHeight="1" x14ac:dyDescent="0.2">
      <c r="A17" s="398"/>
      <c r="B17" s="681"/>
      <c r="C17" s="607"/>
      <c r="D17" s="651"/>
      <c r="E17" s="651"/>
      <c r="F17" s="651"/>
      <c r="G17" s="651"/>
      <c r="H17" s="651"/>
      <c r="I17" s="651"/>
      <c r="J17" s="651"/>
      <c r="K17" s="651"/>
      <c r="L17" s="651"/>
      <c r="M17" s="651"/>
      <c r="N17" s="599"/>
    </row>
    <row r="18" spans="1:14" ht="11.25" customHeight="1" x14ac:dyDescent="0.2">
      <c r="A18" s="632" t="str">
        <f>Бюджетная_система!$A$62</f>
        <v>Внутренняя норма рентабельности, IRR</v>
      </c>
      <c r="B18" s="885" t="str">
        <f ca="1">Бюджетная_система!$B$62</f>
        <v>-</v>
      </c>
      <c r="C18" s="829" t="str">
        <f>Бюджетная_система!$C$62</f>
        <v>%</v>
      </c>
      <c r="D18" s="682"/>
      <c r="E18" s="599"/>
      <c r="F18" s="599"/>
      <c r="G18" s="599"/>
      <c r="H18" s="599"/>
      <c r="I18" s="599"/>
      <c r="J18" s="599"/>
      <c r="K18" s="599"/>
      <c r="L18" s="599"/>
      <c r="M18" s="599"/>
      <c r="N18" s="599"/>
    </row>
    <row r="19" spans="1:14" ht="11.25" customHeight="1" x14ac:dyDescent="0.2">
      <c r="A19" s="666" t="str">
        <f>Бюджетная_система!$A$63</f>
        <v>Модифицированная IRR, MIRR</v>
      </c>
      <c r="B19" s="889">
        <f ca="1">Бюджетная_система!$B$63</f>
        <v>0.97300571031312466</v>
      </c>
      <c r="C19" s="828" t="str">
        <f>Бюджетная_система!$C$63</f>
        <v>%</v>
      </c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</row>
    <row r="20" spans="1:14" ht="11.25" customHeight="1" x14ac:dyDescent="0.2">
      <c r="A20" s="398"/>
      <c r="B20" s="790"/>
      <c r="C20" s="607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</row>
    <row r="21" spans="1:14" ht="11.25" customHeight="1" x14ac:dyDescent="0.2">
      <c r="A21" s="633" t="str">
        <f>Бюджетная_система!$A$65</f>
        <v>Коэффициент бюджетной эффективности</v>
      </c>
      <c r="B21" s="890">
        <f ca="1">Бюджетная_система!$B$65</f>
        <v>7.7642538555061629</v>
      </c>
      <c r="C21" s="828" t="str">
        <f>Бюджетная_система!$C$65</f>
        <v>раз</v>
      </c>
      <c r="D21" s="921">
        <f ca="1">Бюджетная_система!$H$65</f>
        <v>0</v>
      </c>
      <c r="E21" s="921">
        <f ca="1">Бюджетная_система!$L$65</f>
        <v>1.3385739452860157</v>
      </c>
      <c r="F21" s="921">
        <f ca="1">Бюджетная_система!$P$65</f>
        <v>1.6303618786918126</v>
      </c>
      <c r="G21" s="921">
        <f ca="1">Бюджетная_система!$T$65</f>
        <v>1.8723175452603114</v>
      </c>
      <c r="H21" s="921">
        <f ca="1">Бюджетная_система!$X$65</f>
        <v>1.4769796102647701</v>
      </c>
      <c r="I21" s="921">
        <f ca="1">Бюджетная_система!$AB$65</f>
        <v>1.5302776190895222</v>
      </c>
      <c r="J21" s="921">
        <f ca="1">Бюджетная_система!$AF$65</f>
        <v>2.2837491221452577</v>
      </c>
      <c r="K21" s="921">
        <f ca="1">Бюджетная_система!$AJ$65</f>
        <v>4.3733592842441</v>
      </c>
      <c r="L21" s="921">
        <f ca="1">Бюджетная_система!$AN$65</f>
        <v>6.2554837000057546</v>
      </c>
      <c r="M21" s="922">
        <f ca="1">Бюджетная_система!$AR$65</f>
        <v>7.7642538555061629</v>
      </c>
      <c r="N21" s="599"/>
    </row>
    <row r="22" spans="1:14" ht="11.25" customHeight="1" x14ac:dyDescent="0.2">
      <c r="A22" s="398"/>
      <c r="B22" s="681"/>
      <c r="C22" s="607"/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</row>
    <row r="23" spans="1:14" ht="11.25" customHeight="1" x14ac:dyDescent="0.2">
      <c r="A23" s="633" t="str">
        <f>Бюджетная_система!$A$69</f>
        <v>Простой срок окупаемости (PBP)</v>
      </c>
      <c r="B23" s="891" t="str">
        <f ca="1">Бюджетная_система!$B$69</f>
        <v>-</v>
      </c>
      <c r="C23" s="828" t="str">
        <f>Бюджетная_система!$C$69</f>
        <v>лет</v>
      </c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599"/>
    </row>
    <row r="24" spans="1:14" ht="11.25" customHeight="1" x14ac:dyDescent="0.2">
      <c r="A24" s="398"/>
      <c r="B24" s="681"/>
      <c r="C24" s="607"/>
      <c r="D24" s="599"/>
      <c r="E24" s="599"/>
      <c r="F24" s="599"/>
      <c r="G24" s="599"/>
      <c r="H24" s="599"/>
      <c r="I24" s="599"/>
      <c r="J24" s="599"/>
      <c r="K24" s="599"/>
      <c r="L24" s="599"/>
      <c r="M24" s="599"/>
      <c r="N24" s="599"/>
    </row>
    <row r="25" spans="1:14" ht="11.25" customHeight="1" x14ac:dyDescent="0.2">
      <c r="A25" s="633" t="str">
        <f>Бюджетная_система!$A$73</f>
        <v>Дисконтированный срок окупаемости (DPBP)</v>
      </c>
      <c r="B25" s="891" t="str">
        <f ca="1">Бюджетная_система!$B$73</f>
        <v>-</v>
      </c>
      <c r="C25" s="828" t="str">
        <f>Бюджетная_система!$C$73</f>
        <v>лет</v>
      </c>
      <c r="D25" s="599"/>
      <c r="E25" s="599"/>
      <c r="F25" s="599"/>
      <c r="G25" s="599"/>
      <c r="H25" s="599"/>
      <c r="I25" s="599"/>
      <c r="J25" s="599"/>
      <c r="K25" s="599"/>
      <c r="L25" s="599"/>
      <c r="M25" s="599"/>
      <c r="N25" s="599"/>
    </row>
    <row r="26" spans="1:14" ht="11.25" customHeight="1" x14ac:dyDescent="0.2">
      <c r="A26" s="398"/>
      <c r="B26" s="681"/>
      <c r="C26" s="607"/>
      <c r="D26" s="599"/>
      <c r="E26" s="599"/>
      <c r="F26" s="599"/>
      <c r="G26" s="599"/>
      <c r="H26" s="599"/>
      <c r="I26" s="599"/>
      <c r="J26" s="599"/>
      <c r="K26" s="599"/>
      <c r="L26" s="599"/>
      <c r="M26" s="599"/>
      <c r="N26" s="599"/>
    </row>
  </sheetData>
  <pageMargins left="0.4" right="0.4" top="1.5" bottom="0.5" header="0.7" footer="0.3"/>
  <pageSetup paperSize="9" orientation="landscape" horizontalDpi="0" verticalDpi="0" r:id="rId1"/>
  <headerFooter scaleWithDoc="0">
    <oddHeader xml:space="preserve">&amp;L&amp;"Arial,полужирный"Таб. 26&amp;C&amp;"Arial,полужирный"&amp;13
ЭФФЕКТИВНОСТЬ ДЛЯ ФЕДЕРАЛЬНОГО БЮДЖЕТА&amp;R&amp;"Arial,полужирный"Проект создания ИП «Бугры» на территории Ленинградской области&amp;"Arial,обычный"
</oddHead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52"/>
  <dimension ref="A1:N26"/>
  <sheetViews>
    <sheetView workbookViewId="0"/>
  </sheetViews>
  <sheetFormatPr defaultRowHeight="12.75" x14ac:dyDescent="0.2"/>
  <cols>
    <col min="1" max="1" width="37.85546875" customWidth="1"/>
    <col min="2" max="2" width="10.85546875" customWidth="1"/>
    <col min="3" max="3" width="9" customWidth="1"/>
    <col min="4" max="4" width="7.28515625" customWidth="1"/>
    <col min="5" max="5" width="6.85546875" customWidth="1"/>
    <col min="6" max="13" width="7.5703125" customWidth="1"/>
    <col min="14" max="14" width="9" customWidth="1"/>
  </cols>
  <sheetData>
    <row r="1" spans="1:14" s="301" customFormat="1" ht="26.1" customHeight="1" x14ac:dyDescent="0.2">
      <c r="A1" s="613" t="str">
        <f>Бюджетная_система!$A$79</f>
        <v>ЭФФЕКТИВНОСТЬ ДЛЯ БЮДЖЕТА СУБЪЕКТА РФ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Бюджетная_система!$AT$79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1.25" customHeight="1" x14ac:dyDescent="0.2">
      <c r="A3" s="666" t="str">
        <f>Бюджетная_система!$A$81</f>
        <v>Ставка дисконтирования, годовая (WACC)</v>
      </c>
      <c r="B3" s="886">
        <f ca="1">Бюджетная_система!$B$81</f>
        <v>0.10128364613285909</v>
      </c>
      <c r="C3" s="828" t="str">
        <f>Бюджетная_система!$C$81</f>
        <v>%</v>
      </c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36" t="str">
        <f>Бюджетная_система!$A$83</f>
        <v>коэффициент дисконта</v>
      </c>
      <c r="B4" s="685"/>
      <c r="C4" s="829" t="str">
        <f>Бюджетная_система!$C$83</f>
        <v>раз</v>
      </c>
      <c r="D4" s="936">
        <f>Бюджетная_система!$H$83</f>
        <v>1</v>
      </c>
      <c r="E4" s="936">
        <f ca="1">Бюджетная_система!$L$83</f>
        <v>1.101283646132859</v>
      </c>
      <c r="F4" s="936">
        <f ca="1">Бюджетная_система!$P$83</f>
        <v>1.2128256692396844</v>
      </c>
      <c r="G4" s="936">
        <f ca="1">Бюджетная_система!$T$83</f>
        <v>1.3356650751438044</v>
      </c>
      <c r="H4" s="936">
        <f ca="1">Бюджетная_система!$X$83</f>
        <v>1.4709461039666882</v>
      </c>
      <c r="I4" s="936">
        <f ca="1">Бюджетная_система!$AB$83</f>
        <v>1.6199288886413581</v>
      </c>
      <c r="J4" s="936">
        <f ca="1">Бюджетная_система!$AF$83</f>
        <v>1.7840011929589052</v>
      </c>
      <c r="K4" s="936">
        <f ca="1">Бюджетная_система!$AJ$83</f>
        <v>1.9646913384871536</v>
      </c>
      <c r="L4" s="936">
        <f ca="1">Бюджетная_система!$AN$83</f>
        <v>2.1636824407747794</v>
      </c>
      <c r="M4" s="937">
        <f ca="1">Бюджетная_система!$AR$83</f>
        <v>2.3828280874500933</v>
      </c>
      <c r="N4" s="599"/>
    </row>
    <row r="5" spans="1:14" ht="19.5" customHeight="1" x14ac:dyDescent="0.2">
      <c r="A5" s="632" t="str">
        <f>Бюджетная_система!$A$84</f>
        <v>Денежный поток</v>
      </c>
      <c r="B5" s="923" t="str">
        <f>Бюджетная_система!$B$84</f>
        <v>Среднегодовые
2024 - 2029</v>
      </c>
      <c r="C5" s="884" t="str">
        <f>Бюджетная_система!$C$84</f>
        <v>тыс. руб.</v>
      </c>
      <c r="D5" s="779">
        <f ca="1">SUM(Бюджетная_система!$E$84:'Бюджетная_система'!$H$84)</f>
        <v>5107.8812850000004</v>
      </c>
      <c r="E5" s="779">
        <f ca="1">SUM(Бюджетная_система!$I$84:'Бюджетная_система'!$L$84)</f>
        <v>43755.622486209235</v>
      </c>
      <c r="F5" s="779">
        <f ca="1">SUM(Бюджетная_система!$M$84:'Бюджетная_система'!$P$84)</f>
        <v>60595.889624962307</v>
      </c>
      <c r="G5" s="779">
        <f ca="1">SUM(Бюджетная_система!$Q$84:'Бюджетная_система'!$T$84)</f>
        <v>81162.242758079286</v>
      </c>
      <c r="H5" s="779">
        <f ca="1">SUM(Бюджетная_система!$U$84:'Бюджетная_система'!$X$84)</f>
        <v>220900.90439092231</v>
      </c>
      <c r="I5" s="779">
        <f ca="1">SUM(Бюджетная_система!$Y$84:'Бюджетная_система'!$AB$84)</f>
        <v>324484.18871558609</v>
      </c>
      <c r="J5" s="779">
        <f ca="1">SUM(Бюджетная_система!$AC$84:'Бюджетная_система'!$AF$84)</f>
        <v>345124.04789546889</v>
      </c>
      <c r="K5" s="779">
        <f ca="1">SUM(Бюджетная_система!$AG$84:'Бюджетная_система'!$AJ$84)</f>
        <v>364263.11439121608</v>
      </c>
      <c r="L5" s="779">
        <f ca="1">SUM(Бюджетная_система!$AK$84:'Бюджетная_система'!$AN$84)</f>
        <v>389047.21612946439</v>
      </c>
      <c r="M5" s="779">
        <f ca="1">SUM(Бюджетная_система!$AO$84:'Бюджетная_система'!$AR$84)</f>
        <v>496384.05146734789</v>
      </c>
      <c r="N5" s="801">
        <f ca="1">Бюджетная_система!$AT$84</f>
        <v>2330825.1591442563</v>
      </c>
    </row>
    <row r="6" spans="1:14" ht="11.25" customHeight="1" x14ac:dyDescent="0.2">
      <c r="A6" s="636" t="str">
        <f>Бюджетная_система!$A$85</f>
        <v>Налоги</v>
      </c>
      <c r="B6" s="810">
        <f ca="1">Бюджетная_система!$B$85</f>
        <v>356700.58716500091</v>
      </c>
      <c r="C6" s="829" t="str">
        <f>Бюджетная_система!$C$85</f>
        <v>тыс. руб.</v>
      </c>
      <c r="D6" s="712">
        <f ca="1">SUM(Бюджетная_система!$E$85:'Бюджетная_система'!$H$85)</f>
        <v>5107.8812850000004</v>
      </c>
      <c r="E6" s="712">
        <f ca="1">SUM(Бюджетная_система!$I$85:'Бюджетная_система'!$L$85)</f>
        <v>43755.622486209235</v>
      </c>
      <c r="F6" s="712">
        <f ca="1">SUM(Бюджетная_система!$M$85:'Бюджетная_система'!$P$85)</f>
        <v>60595.889624962307</v>
      </c>
      <c r="G6" s="712">
        <f ca="1">SUM(Бюджетная_система!$Q$85:'Бюджетная_система'!$T$85)</f>
        <v>81162.242758079286</v>
      </c>
      <c r="H6" s="712">
        <f ca="1">SUM(Бюджетная_система!$U$85:'Бюджетная_система'!$X$85)</f>
        <v>220900.90439092231</v>
      </c>
      <c r="I6" s="712">
        <f ca="1">SUM(Бюджетная_система!$Y$85:'Бюджетная_система'!$AB$85)</f>
        <v>324484.18871558609</v>
      </c>
      <c r="J6" s="712">
        <f ca="1">SUM(Бюджетная_система!$AC$85:'Бюджетная_система'!$AF$85)</f>
        <v>345124.04789546889</v>
      </c>
      <c r="K6" s="712">
        <f ca="1">SUM(Бюджетная_система!$AG$85:'Бюджетная_система'!$AJ$85)</f>
        <v>364263.11439121608</v>
      </c>
      <c r="L6" s="712">
        <f ca="1">SUM(Бюджетная_система!$AK$85:'Бюджетная_система'!$AN$85)</f>
        <v>389047.21612946439</v>
      </c>
      <c r="M6" s="712">
        <f ca="1">SUM(Бюджетная_система!$AO$85:'Бюджетная_система'!$AR$85)</f>
        <v>496384.05146734789</v>
      </c>
      <c r="N6" s="746">
        <f ca="1">Бюджетная_система!$AT$85</f>
        <v>2330825.1591442563</v>
      </c>
    </row>
    <row r="7" spans="1:14" ht="11.25" customHeight="1" x14ac:dyDescent="0.2">
      <c r="A7" s="938" t="str">
        <f>Бюджетная_система!$A$86</f>
        <v>Налог на прибыль</v>
      </c>
      <c r="B7" s="810">
        <f ca="1">Бюджетная_система!$B$86</f>
        <v>184948.32912649983</v>
      </c>
      <c r="C7" s="882" t="str">
        <f>Бюджетная_система!$C$86</f>
        <v>тыс. руб.</v>
      </c>
      <c r="D7" s="749">
        <f ca="1">SUM(Бюджетная_система!$E$86:'Бюджетная_система'!$H$86)</f>
        <v>0</v>
      </c>
      <c r="E7" s="749">
        <f ca="1">SUM(Бюджетная_система!$I$86:'Бюджетная_система'!$L$86)</f>
        <v>22827.858861080393</v>
      </c>
      <c r="F7" s="749">
        <f ca="1">SUM(Бюджетная_система!$M$86:'Бюджетная_система'!$P$86)</f>
        <v>29884.950659517948</v>
      </c>
      <c r="G7" s="749">
        <f ca="1">SUM(Бюджетная_система!$Q$86:'Бюджетная_система'!$T$86)</f>
        <v>40971.266333630207</v>
      </c>
      <c r="H7" s="749">
        <f ca="1">SUM(Бюджетная_система!$U$86:'Бюджетная_система'!$X$86)</f>
        <v>102970.93466984837</v>
      </c>
      <c r="I7" s="749">
        <f ca="1">SUM(Бюджетная_система!$Y$86:'Бюджетная_система'!$AB$86)</f>
        <v>173082.08089246243</v>
      </c>
      <c r="J7" s="749">
        <f ca="1">SUM(Бюджетная_система!$AC$86:'Бюджетная_система'!$AF$86)</f>
        <v>183357.62618819255</v>
      </c>
      <c r="K7" s="749">
        <f ca="1">SUM(Бюджетная_система!$AG$86:'Бюджетная_система'!$AJ$86)</f>
        <v>191509.06653339096</v>
      </c>
      <c r="L7" s="749">
        <f ca="1">SUM(Бюджетная_система!$AK$86:'Бюджетная_система'!$AN$86)</f>
        <v>202403.13212024939</v>
      </c>
      <c r="M7" s="749">
        <f ca="1">SUM(Бюджетная_система!$AO$86:'Бюджетная_система'!$AR$86)</f>
        <v>256367.13435485517</v>
      </c>
      <c r="N7" s="746">
        <f ca="1">Бюджетная_система!$AT$86</f>
        <v>1203374.0506132275</v>
      </c>
    </row>
    <row r="8" spans="1:14" ht="11.25" customHeight="1" x14ac:dyDescent="0.2">
      <c r="A8" s="939" t="str">
        <f>Бюджетная_система!$A$87</f>
        <v>Налог на имущество</v>
      </c>
      <c r="B8" s="811">
        <f ca="1">Бюджетная_система!$B$87</f>
        <v>7578.4247411189353</v>
      </c>
      <c r="C8" s="835" t="str">
        <f>Бюджетная_система!$C$87</f>
        <v>тыс. руб.</v>
      </c>
      <c r="D8" s="750">
        <f ca="1">SUM(Бюджетная_система!$E$87:'Бюджетная_система'!$H$87)</f>
        <v>0</v>
      </c>
      <c r="E8" s="750">
        <f ca="1">SUM(Бюджетная_система!$I$87:'Бюджетная_система'!$L$87)</f>
        <v>0</v>
      </c>
      <c r="F8" s="750">
        <f ca="1">SUM(Бюджетная_система!$M$87:'Бюджетная_система'!$P$87)</f>
        <v>0</v>
      </c>
      <c r="G8" s="750">
        <f ca="1">SUM(Бюджетная_система!$Q$87:'Бюджетная_система'!$T$87)</f>
        <v>0</v>
      </c>
      <c r="H8" s="750">
        <f ca="1">SUM(Бюджетная_система!$U$87:'Бюджетная_система'!$X$87)</f>
        <v>0</v>
      </c>
      <c r="I8" s="750">
        <f ca="1">SUM(Бюджетная_система!$Y$87:'Бюджетная_система'!$AB$87)</f>
        <v>0</v>
      </c>
      <c r="J8" s="750">
        <f ca="1">SUM(Бюджетная_система!$AC$87:'Бюджетная_система'!$AF$87)</f>
        <v>0</v>
      </c>
      <c r="K8" s="750">
        <f ca="1">SUM(Бюджетная_система!$AG$87:'Бюджетная_система'!$AJ$87)</f>
        <v>0</v>
      </c>
      <c r="L8" s="750">
        <f ca="1">SUM(Бюджетная_система!$AK$87:'Бюджетная_система'!$AN$87)</f>
        <v>2223.7148528470511</v>
      </c>
      <c r="M8" s="750">
        <f ca="1">SUM(Бюджетная_система!$AO$87:'Бюджетная_система'!$AR$87)</f>
        <v>43246.833593866562</v>
      </c>
      <c r="N8" s="744">
        <f ca="1">Бюджетная_система!$AT$87</f>
        <v>45470.548446713612</v>
      </c>
    </row>
    <row r="9" spans="1:14" ht="11.25" customHeight="1" x14ac:dyDescent="0.2">
      <c r="A9" s="939" t="str">
        <f>Бюджетная_система!$A$88</f>
        <v>НДФЛ</v>
      </c>
      <c r="B9" s="811">
        <f ca="1">Бюджетная_система!$B$88</f>
        <v>164173.83329738223</v>
      </c>
      <c r="C9" s="835" t="str">
        <f>Бюджетная_система!$C$88</f>
        <v>тыс. руб.</v>
      </c>
      <c r="D9" s="750">
        <f ca="1">SUM(Бюджетная_система!$E$88:'Бюджетная_система'!$H$88)</f>
        <v>5107.8812850000004</v>
      </c>
      <c r="E9" s="750">
        <f ca="1">SUM(Бюджетная_система!$I$88:'Бюджетная_система'!$L$88)</f>
        <v>20927.763625128839</v>
      </c>
      <c r="F9" s="750">
        <f ca="1">SUM(Бюджетная_система!$M$88:'Бюджетная_система'!$P$88)</f>
        <v>30710.938965444358</v>
      </c>
      <c r="G9" s="750">
        <f ca="1">SUM(Бюджетная_система!$Q$88:'Бюджетная_система'!$T$88)</f>
        <v>40190.976424449073</v>
      </c>
      <c r="H9" s="750">
        <f ca="1">SUM(Бюджетная_система!$U$88:'Бюджетная_система'!$X$88)</f>
        <v>117929.96972107393</v>
      </c>
      <c r="I9" s="750">
        <f ca="1">SUM(Бюджетная_система!$Y$88:'Бюджетная_система'!$AB$88)</f>
        <v>151402.10782312369</v>
      </c>
      <c r="J9" s="750">
        <f ca="1">SUM(Бюджетная_система!$AC$88:'Бюджетная_система'!$AF$88)</f>
        <v>161766.42170727637</v>
      </c>
      <c r="K9" s="750">
        <f ca="1">SUM(Бюджетная_система!$AG$88:'Бюджетная_система'!$AJ$88)</f>
        <v>172754.04785782512</v>
      </c>
      <c r="L9" s="750">
        <f ca="1">SUM(Бюджетная_система!$AK$88:'Бюджетная_система'!$AN$88)</f>
        <v>184420.36915636802</v>
      </c>
      <c r="M9" s="750">
        <f ca="1">SUM(Бюджетная_система!$AO$88:'Бюджетная_система'!$AR$88)</f>
        <v>196770.08351862623</v>
      </c>
      <c r="N9" s="744">
        <f ca="1">Бюджетная_система!$AT$88</f>
        <v>1081980.5600843157</v>
      </c>
    </row>
    <row r="10" spans="1:14" ht="11.25" customHeight="1" x14ac:dyDescent="0.2">
      <c r="A10" s="636" t="str">
        <f>Бюджетная_система!$A$89</f>
        <v>Финансирование проекта</v>
      </c>
      <c r="B10" s="811">
        <f ca="1">Бюджетная_система!$B$89</f>
        <v>0</v>
      </c>
      <c r="C10" s="828" t="str">
        <f>Бюджетная_система!$C$89</f>
        <v>тыс. руб.</v>
      </c>
      <c r="D10" s="712">
        <f>SUM(Бюджетная_система!$E$89:'Бюджетная_система'!$H$89)</f>
        <v>0</v>
      </c>
      <c r="E10" s="712">
        <f>SUM(Бюджетная_система!$I$89:'Бюджетная_система'!$L$89)</f>
        <v>0</v>
      </c>
      <c r="F10" s="712">
        <f>SUM(Бюджетная_система!$M$89:'Бюджетная_система'!$P$89)</f>
        <v>0</v>
      </c>
      <c r="G10" s="712">
        <f>SUM(Бюджетная_система!$Q$89:'Бюджетная_система'!$T$89)</f>
        <v>0</v>
      </c>
      <c r="H10" s="712">
        <f>SUM(Бюджетная_система!$U$89:'Бюджетная_система'!$X$89)</f>
        <v>0</v>
      </c>
      <c r="I10" s="712">
        <f>SUM(Бюджетная_система!$Y$89:'Бюджетная_система'!$AB$89)</f>
        <v>0</v>
      </c>
      <c r="J10" s="712">
        <f>SUM(Бюджетная_система!$AC$89:'Бюджетная_система'!$AF$89)</f>
        <v>0</v>
      </c>
      <c r="K10" s="712">
        <f>SUM(Бюджетная_система!$AG$89:'Бюджетная_система'!$AJ$89)</f>
        <v>0</v>
      </c>
      <c r="L10" s="712">
        <f>SUM(Бюджетная_система!$AK$89:'Бюджетная_система'!$AN$89)</f>
        <v>0</v>
      </c>
      <c r="M10" s="712">
        <f>SUM(Бюджетная_система!$AO$89:'Бюджетная_система'!$AR$89)</f>
        <v>0</v>
      </c>
      <c r="N10" s="744">
        <f>Бюджетная_система!$AT$89</f>
        <v>0</v>
      </c>
    </row>
    <row r="11" spans="1:14" ht="11.25" customHeight="1" x14ac:dyDescent="0.2">
      <c r="A11" s="667" t="str">
        <f>Бюджетная_система!$A$90</f>
        <v>Денежный поток нарастающим итогом</v>
      </c>
      <c r="B11" s="681"/>
      <c r="C11" s="607"/>
      <c r="D11" s="713">
        <f ca="1">Бюджетная_система!$H$90</f>
        <v>5107.8812850000004</v>
      </c>
      <c r="E11" s="713">
        <f ca="1">Бюджетная_система!$L$90</f>
        <v>48863.503771209231</v>
      </c>
      <c r="F11" s="713">
        <f ca="1">Бюджетная_система!$P$90</f>
        <v>109459.39339617154</v>
      </c>
      <c r="G11" s="713">
        <f ca="1">Бюджетная_система!$T$90</f>
        <v>190621.63615425082</v>
      </c>
      <c r="H11" s="713">
        <f ca="1">Бюджетная_система!$X$90</f>
        <v>411522.54054517316</v>
      </c>
      <c r="I11" s="713">
        <f ca="1">Бюджетная_система!$AB$90</f>
        <v>736006.7292607592</v>
      </c>
      <c r="J11" s="713">
        <f ca="1">Бюджетная_система!$AF$90</f>
        <v>1081130.777156228</v>
      </c>
      <c r="K11" s="713">
        <f ca="1">Бюджетная_система!$AJ$90</f>
        <v>1445393.891547444</v>
      </c>
      <c r="L11" s="713">
        <f ca="1">Бюджетная_система!$AN$90</f>
        <v>1834441.1076769086</v>
      </c>
      <c r="M11" s="714">
        <f ca="1">Бюджетная_система!$AR$90</f>
        <v>2330825.1591442563</v>
      </c>
      <c r="N11" s="652"/>
    </row>
    <row r="12" spans="1:14" ht="11.25" customHeight="1" x14ac:dyDescent="0.2">
      <c r="A12" s="398"/>
      <c r="B12" s="681"/>
      <c r="C12" s="607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2"/>
    </row>
    <row r="13" spans="1:14" ht="11.25" customHeight="1" x14ac:dyDescent="0.2">
      <c r="A13" s="665" t="str">
        <f>Бюджетная_система!$A$92</f>
        <v>Дисконтированный денежный поток</v>
      </c>
      <c r="B13" s="685"/>
      <c r="C13" s="829" t="str">
        <f>Бюджетная_система!$C$92</f>
        <v>тыс. руб.</v>
      </c>
      <c r="D13" s="712">
        <f ca="1">SUM(Бюджетная_система!$E$92:'Бюджетная_система'!$H$92)</f>
        <v>5107.8812850000004</v>
      </c>
      <c r="E13" s="712">
        <f ca="1">SUM(Бюджетная_система!$I$92:'Бюджетная_система'!$L$92)</f>
        <v>41196.521181109201</v>
      </c>
      <c r="F13" s="712">
        <f ca="1">SUM(Бюджетная_система!$M$92:'Бюджетная_система'!$P$92)</f>
        <v>51588.575914284789</v>
      </c>
      <c r="G13" s="712">
        <f ca="1">SUM(Бюджетная_система!$Q$92:'Бюджетная_система'!$T$92)</f>
        <v>62896.524498578365</v>
      </c>
      <c r="H13" s="712">
        <f ca="1">SUM(Бюджетная_система!$U$92:'Бюджетная_система'!$X$92)</f>
        <v>154129.1946931009</v>
      </c>
      <c r="I13" s="712">
        <f ca="1">SUM(Бюджетная_система!$Y$92:'Бюджетная_система'!$AB$92)</f>
        <v>207620.51044976665</v>
      </c>
      <c r="J13" s="712">
        <f ca="1">SUM(Бюджетная_система!$AC$92:'Бюджетная_система'!$AF$92)</f>
        <v>200573.45172707242</v>
      </c>
      <c r="K13" s="712">
        <f ca="1">SUM(Бюджетная_система!$AG$92:'Бюджетная_система'!$AJ$92)</f>
        <v>192226.92448608603</v>
      </c>
      <c r="L13" s="712">
        <f ca="1">SUM(Бюджетная_система!$AK$92:'Бюджетная_система'!$AN$92)</f>
        <v>186346.57902099172</v>
      </c>
      <c r="M13" s="712">
        <f ca="1">SUM(Бюджетная_система!$AO$92:'Бюджетная_система'!$AR$92)</f>
        <v>214869.70093106915</v>
      </c>
      <c r="N13" s="744">
        <f ca="1">Бюджетная_система!$AT$92</f>
        <v>1316555.8641870592</v>
      </c>
    </row>
    <row r="14" spans="1:14" ht="11.25" customHeight="1" x14ac:dyDescent="0.2">
      <c r="A14" s="666" t="str">
        <f>Бюджетная_система!$A$93</f>
        <v>Дисконтированный поток нарастающим итогом</v>
      </c>
      <c r="B14" s="685"/>
      <c r="C14" s="828" t="str">
        <f>Бюджетная_система!$C$93</f>
        <v>тыс. руб.</v>
      </c>
      <c r="D14" s="713">
        <f ca="1">Бюджетная_система!$H$93</f>
        <v>5107.8812850000004</v>
      </c>
      <c r="E14" s="713">
        <f ca="1">Бюджетная_система!$L$93</f>
        <v>46304.402466109197</v>
      </c>
      <c r="F14" s="713">
        <f ca="1">Бюджетная_система!$P$93</f>
        <v>97892.978380393994</v>
      </c>
      <c r="G14" s="713">
        <f ca="1">Бюджетная_система!$T$93</f>
        <v>160789.50287897239</v>
      </c>
      <c r="H14" s="713">
        <f ca="1">Бюджетная_система!$X$93</f>
        <v>314918.69757207326</v>
      </c>
      <c r="I14" s="713">
        <f ca="1">Бюджетная_система!$AB$93</f>
        <v>522539.20802183991</v>
      </c>
      <c r="J14" s="713">
        <f ca="1">Бюджетная_система!$AF$93</f>
        <v>723112.65974891232</v>
      </c>
      <c r="K14" s="713">
        <f ca="1">Бюджетная_система!$AJ$93</f>
        <v>915339.58423499833</v>
      </c>
      <c r="L14" s="713">
        <f ca="1">Бюджетная_система!$AN$93</f>
        <v>1101686.16325599</v>
      </c>
      <c r="M14" s="714">
        <f ca="1">Бюджетная_система!$AR$93</f>
        <v>1316555.8641870592</v>
      </c>
      <c r="N14" s="652"/>
    </row>
    <row r="15" spans="1:14" ht="11.25" customHeight="1" x14ac:dyDescent="0.2">
      <c r="A15" s="398"/>
      <c r="B15" s="722"/>
      <c r="C15" s="607"/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599"/>
    </row>
    <row r="16" spans="1:14" ht="11.25" customHeight="1" x14ac:dyDescent="0.2">
      <c r="A16" s="633" t="str">
        <f>Бюджетная_система!$A$95</f>
        <v>Чистая приведенная стоимость, NPV</v>
      </c>
      <c r="B16" s="888">
        <f ca="1">Бюджетная_система!$B$95</f>
        <v>1316555.8641870592</v>
      </c>
      <c r="C16" s="828" t="str">
        <f>Бюджетная_система!$C$95</f>
        <v>тыс. руб.</v>
      </c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599"/>
    </row>
    <row r="17" spans="1:14" ht="11.25" customHeight="1" x14ac:dyDescent="0.2">
      <c r="A17" s="398"/>
      <c r="B17" s="681"/>
      <c r="C17" s="607"/>
      <c r="D17" s="651"/>
      <c r="E17" s="651"/>
      <c r="F17" s="651"/>
      <c r="G17" s="651"/>
      <c r="H17" s="651"/>
      <c r="I17" s="651"/>
      <c r="J17" s="651"/>
      <c r="K17" s="651"/>
      <c r="L17" s="651"/>
      <c r="M17" s="651"/>
      <c r="N17" s="599"/>
    </row>
    <row r="18" spans="1:14" ht="11.25" customHeight="1" x14ac:dyDescent="0.2">
      <c r="A18" s="632" t="str">
        <f>Бюджетная_система!$A$97</f>
        <v>Внутренняя норма рентабельности, IRR</v>
      </c>
      <c r="B18" s="885" t="str">
        <f ca="1">Бюджетная_система!$B$97</f>
        <v>-</v>
      </c>
      <c r="C18" s="829" t="str">
        <f>Бюджетная_система!$C$97</f>
        <v>%</v>
      </c>
      <c r="D18" s="682"/>
      <c r="E18" s="599"/>
      <c r="F18" s="599"/>
      <c r="G18" s="599"/>
      <c r="H18" s="599"/>
      <c r="I18" s="599"/>
      <c r="J18" s="599"/>
      <c r="K18" s="599"/>
      <c r="L18" s="599"/>
      <c r="M18" s="599"/>
      <c r="N18" s="599"/>
    </row>
    <row r="19" spans="1:14" ht="11.25" customHeight="1" x14ac:dyDescent="0.2">
      <c r="A19" s="666" t="str">
        <f>Бюджетная_система!$A$98</f>
        <v>Модифицированная IRR, MIRR</v>
      </c>
      <c r="B19" s="889" t="str">
        <f ca="1">Бюджетная_система!$B$98</f>
        <v>-</v>
      </c>
      <c r="C19" s="828" t="str">
        <f>Бюджетная_система!$C$98</f>
        <v>%</v>
      </c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</row>
    <row r="20" spans="1:14" ht="11.25" customHeight="1" x14ac:dyDescent="0.2">
      <c r="A20" s="398"/>
      <c r="B20" s="790"/>
      <c r="C20" s="607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</row>
    <row r="21" spans="1:14" ht="11.25" customHeight="1" x14ac:dyDescent="0.2">
      <c r="A21" s="633" t="str">
        <f>Бюджетная_система!$A$100</f>
        <v>Коэффициент бюджетной эффективности</v>
      </c>
      <c r="B21" s="890" t="str">
        <f>Бюджетная_система!$B$100</f>
        <v xml:space="preserve"> - </v>
      </c>
      <c r="C21" s="828" t="str">
        <f>Бюджетная_система!$C$100</f>
        <v>раз</v>
      </c>
      <c r="D21" s="921">
        <f ca="1">Бюджетная_система!$H$100</f>
        <v>0</v>
      </c>
      <c r="E21" s="921">
        <f ca="1">Бюджетная_система!$L$100</f>
        <v>0</v>
      </c>
      <c r="F21" s="921">
        <f ca="1">Бюджетная_система!$P$100</f>
        <v>0</v>
      </c>
      <c r="G21" s="921">
        <f ca="1">Бюджетная_система!$T$100</f>
        <v>0</v>
      </c>
      <c r="H21" s="921">
        <f ca="1">Бюджетная_система!$X$100</f>
        <v>0</v>
      </c>
      <c r="I21" s="921">
        <f ca="1">Бюджетная_система!$AB$100</f>
        <v>0</v>
      </c>
      <c r="J21" s="921">
        <f ca="1">Бюджетная_система!$AF$100</f>
        <v>0</v>
      </c>
      <c r="K21" s="921">
        <f ca="1">Бюджетная_система!$AJ$100</f>
        <v>0</v>
      </c>
      <c r="L21" s="921">
        <f ca="1">Бюджетная_система!$AN$100</f>
        <v>0</v>
      </c>
      <c r="M21" s="922">
        <f ca="1">Бюджетная_система!$AR$100</f>
        <v>0</v>
      </c>
      <c r="N21" s="599"/>
    </row>
    <row r="22" spans="1:14" ht="11.25" customHeight="1" x14ac:dyDescent="0.2">
      <c r="A22" s="398"/>
      <c r="B22" s="681"/>
      <c r="C22" s="607"/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</row>
    <row r="23" spans="1:14" ht="11.25" customHeight="1" x14ac:dyDescent="0.2">
      <c r="A23" s="633" t="str">
        <f>Бюджетная_система!$A$104</f>
        <v>Простой срок окупаемости (PBP)</v>
      </c>
      <c r="B23" s="891" t="str">
        <f ca="1">Бюджетная_система!$B$104</f>
        <v>-</v>
      </c>
      <c r="C23" s="828" t="str">
        <f>Бюджетная_система!$C$104</f>
        <v>лет</v>
      </c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599"/>
    </row>
    <row r="24" spans="1:14" ht="11.25" customHeight="1" x14ac:dyDescent="0.2">
      <c r="A24" s="398"/>
      <c r="B24" s="681"/>
      <c r="C24" s="607"/>
      <c r="D24" s="599"/>
      <c r="E24" s="599"/>
      <c r="F24" s="599"/>
      <c r="G24" s="599"/>
      <c r="H24" s="599"/>
      <c r="I24" s="599"/>
      <c r="J24" s="599"/>
      <c r="K24" s="599"/>
      <c r="L24" s="599"/>
      <c r="M24" s="599"/>
      <c r="N24" s="599"/>
    </row>
    <row r="25" spans="1:14" ht="11.25" customHeight="1" x14ac:dyDescent="0.2">
      <c r="A25" s="633" t="str">
        <f>Бюджетная_система!$A$108</f>
        <v>Дисконтированный срок окупаемости (DPBP)</v>
      </c>
      <c r="B25" s="891" t="str">
        <f ca="1">Бюджетная_система!$B$108</f>
        <v>-</v>
      </c>
      <c r="C25" s="828" t="str">
        <f>Бюджетная_система!$C$108</f>
        <v>лет</v>
      </c>
      <c r="D25" s="599"/>
      <c r="E25" s="599"/>
      <c r="F25" s="599"/>
      <c r="G25" s="599"/>
      <c r="H25" s="599"/>
      <c r="I25" s="599"/>
      <c r="J25" s="599"/>
      <c r="K25" s="599"/>
      <c r="L25" s="599"/>
      <c r="M25" s="599"/>
      <c r="N25" s="599"/>
    </row>
    <row r="26" spans="1:14" ht="11.25" customHeight="1" x14ac:dyDescent="0.2">
      <c r="A26" s="398"/>
      <c r="B26" s="681"/>
      <c r="C26" s="607"/>
      <c r="D26" s="599"/>
      <c r="E26" s="599"/>
      <c r="F26" s="599"/>
      <c r="G26" s="599"/>
      <c r="H26" s="599"/>
      <c r="I26" s="599"/>
      <c r="J26" s="599"/>
      <c r="K26" s="599"/>
      <c r="L26" s="599"/>
      <c r="M26" s="599"/>
      <c r="N26" s="599"/>
    </row>
  </sheetData>
  <pageMargins left="0.4" right="0.4" top="1.5" bottom="0.5" header="0.7" footer="0.3"/>
  <pageSetup paperSize="9" orientation="landscape" horizontalDpi="0" verticalDpi="0" r:id="rId1"/>
  <headerFooter scaleWithDoc="0">
    <oddHeader xml:space="preserve">&amp;L&amp;"Arial,полужирный"Таб. 27&amp;C&amp;"Arial,полужирный"&amp;13
ЭФФЕКТИВНОСТЬ ДЛЯ БЮДЖЕТА СУБЪЕКТА РФ&amp;R&amp;"Arial,полужирный"Проект создания ИП «Бугры» на территории Ленинградской области&amp;"Arial,обычный"
</oddHead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53"/>
  <dimension ref="A1:N24"/>
  <sheetViews>
    <sheetView workbookViewId="0"/>
  </sheetViews>
  <sheetFormatPr defaultRowHeight="12.75" x14ac:dyDescent="0.2"/>
  <cols>
    <col min="1" max="1" width="38.7109375" customWidth="1"/>
    <col min="2" max="2" width="10.85546875" customWidth="1"/>
    <col min="3" max="3" width="9" customWidth="1"/>
    <col min="4" max="14" width="7.5703125" customWidth="1"/>
  </cols>
  <sheetData>
    <row r="1" spans="1:14" s="301" customFormat="1" ht="26.1" customHeight="1" x14ac:dyDescent="0.2">
      <c r="A1" s="613" t="str">
        <f>Бюджетная_система!$A$114</f>
        <v>ЭФФЕКТИВНОСТЬ ДЛЯ МУНИЦИПАЛЬНОГО БЮДЖЕТА</v>
      </c>
      <c r="B1" s="614"/>
      <c r="C1" s="614"/>
      <c r="D1" s="614" t="str">
        <f>"2020"</f>
        <v>2020</v>
      </c>
      <c r="E1" s="614" t="str">
        <f>"2021"</f>
        <v>2021</v>
      </c>
      <c r="F1" s="614" t="str">
        <f>"2022"</f>
        <v>2022</v>
      </c>
      <c r="G1" s="614" t="str">
        <f>"2023"</f>
        <v>2023</v>
      </c>
      <c r="H1" s="614" t="str">
        <f>"2024"</f>
        <v>2024</v>
      </c>
      <c r="I1" s="614" t="str">
        <f>"2025"</f>
        <v>2025</v>
      </c>
      <c r="J1" s="614" t="str">
        <f>"2026"</f>
        <v>2026</v>
      </c>
      <c r="K1" s="614" t="str">
        <f>"2027"</f>
        <v>2027</v>
      </c>
      <c r="L1" s="614" t="str">
        <f>"2028"</f>
        <v>2028</v>
      </c>
      <c r="M1" s="614" t="str">
        <f>"2029"</f>
        <v>2029</v>
      </c>
      <c r="N1" s="614" t="str">
        <f>Бюджетная_система!$AT$114</f>
        <v>ИТОГО</v>
      </c>
    </row>
    <row r="2" spans="1:14" ht="11.25" customHeight="1" x14ac:dyDescent="0.2">
      <c r="A2" s="398"/>
      <c r="B2" s="681"/>
      <c r="C2" s="607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1:14" ht="11.25" customHeight="1" x14ac:dyDescent="0.2">
      <c r="A3" s="666" t="str">
        <f>Бюджетная_система!$A$116</f>
        <v>Ставка дисконтирования, годовая (WACC)</v>
      </c>
      <c r="B3" s="886">
        <f ca="1">Бюджетная_система!$B$116</f>
        <v>0.10128364613285909</v>
      </c>
      <c r="C3" s="828" t="str">
        <f>Бюджетная_система!$C$116</f>
        <v>%</v>
      </c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</row>
    <row r="4" spans="1:14" ht="11.25" customHeight="1" x14ac:dyDescent="0.2">
      <c r="A4" s="636" t="str">
        <f>Бюджетная_система!$A$118</f>
        <v>коэффициент дисконта</v>
      </c>
      <c r="B4" s="685"/>
      <c r="C4" s="829" t="str">
        <f>Бюджетная_система!$C$118</f>
        <v>раз</v>
      </c>
      <c r="D4" s="936">
        <f>Бюджетная_система!$H$118</f>
        <v>1</v>
      </c>
      <c r="E4" s="936">
        <f ca="1">Бюджетная_система!$L$118</f>
        <v>1.101283646132859</v>
      </c>
      <c r="F4" s="936">
        <f ca="1">Бюджетная_система!$P$118</f>
        <v>1.2128256692396844</v>
      </c>
      <c r="G4" s="936">
        <f ca="1">Бюджетная_система!$T$118</f>
        <v>1.3356650751438044</v>
      </c>
      <c r="H4" s="936">
        <f ca="1">Бюджетная_система!$X$118</f>
        <v>1.4709461039666882</v>
      </c>
      <c r="I4" s="936">
        <f ca="1">Бюджетная_система!$AB$118</f>
        <v>1.6199288886413581</v>
      </c>
      <c r="J4" s="936">
        <f ca="1">Бюджетная_система!$AF$118</f>
        <v>1.7840011929589052</v>
      </c>
      <c r="K4" s="936">
        <f ca="1">Бюджетная_система!$AJ$118</f>
        <v>1.9646913384871536</v>
      </c>
      <c r="L4" s="936">
        <f ca="1">Бюджетная_система!$AN$118</f>
        <v>2.1636824407747794</v>
      </c>
      <c r="M4" s="937">
        <f ca="1">Бюджетная_система!$AR$118</f>
        <v>2.3828280874500933</v>
      </c>
      <c r="N4" s="599"/>
    </row>
    <row r="5" spans="1:14" ht="19.5" customHeight="1" x14ac:dyDescent="0.2">
      <c r="A5" s="632" t="str">
        <f>Бюджетная_система!$A$119</f>
        <v>Денежный поток</v>
      </c>
      <c r="B5" s="923" t="str">
        <f>Бюджетная_система!$B$119</f>
        <v>Среднегодовые
2024 - 2029</v>
      </c>
      <c r="C5" s="884" t="str">
        <f>Бюджетная_система!$C$119</f>
        <v>тыс. руб.</v>
      </c>
      <c r="D5" s="779">
        <f ca="1">SUM(Бюджетная_система!$E$119:'Бюджетная_система'!$H$119)</f>
        <v>901.39081499999998</v>
      </c>
      <c r="E5" s="779">
        <f ca="1">SUM(Бюджетная_система!$I$119:'Бюджетная_система'!$L$119)</f>
        <v>3693.1347573756771</v>
      </c>
      <c r="F5" s="779">
        <f ca="1">SUM(Бюджетная_система!$M$119:'Бюджетная_система'!$P$119)</f>
        <v>5419.5774644901812</v>
      </c>
      <c r="G5" s="779">
        <f ca="1">SUM(Бюджетная_система!$Q$119:'Бюджетная_система'!$T$119)</f>
        <v>7092.5252513733649</v>
      </c>
      <c r="H5" s="779">
        <f ca="1">SUM(Бюджетная_система!$U$119:'Бюджетная_система'!$X$119)</f>
        <v>20811.171127248337</v>
      </c>
      <c r="I5" s="779">
        <f ca="1">SUM(Бюджетная_система!$Y$119:'Бюджетная_система'!$AB$119)</f>
        <v>26718.019027610062</v>
      </c>
      <c r="J5" s="779">
        <f ca="1">SUM(Бюджетная_система!$AC$119:'Бюджетная_система'!$AF$119)</f>
        <v>28547.01559540171</v>
      </c>
      <c r="K5" s="779">
        <f ca="1">SUM(Бюджетная_система!$AG$119:'Бюджетная_система'!$AJ$119)</f>
        <v>30486.008445498548</v>
      </c>
      <c r="L5" s="779">
        <f ca="1">SUM(Бюджетная_система!$AK$119:'Бюджетная_система'!$AN$119)</f>
        <v>32544.771027594354</v>
      </c>
      <c r="M5" s="779">
        <f ca="1">SUM(Бюджетная_система!$AO$119:'Бюджетная_система'!$AR$119)</f>
        <v>34724.132385639925</v>
      </c>
      <c r="N5" s="801">
        <f ca="1">Бюджетная_система!$AT$119</f>
        <v>190937.74589723215</v>
      </c>
    </row>
    <row r="6" spans="1:14" ht="11.25" customHeight="1" x14ac:dyDescent="0.2">
      <c r="A6" s="637" t="str">
        <f>Бюджетная_система!$A$120</f>
        <v>Налоги</v>
      </c>
      <c r="B6" s="811">
        <f ca="1">Бюджетная_система!$B$120</f>
        <v>28971.852934832157</v>
      </c>
      <c r="C6" s="828" t="str">
        <f>Бюджетная_система!$C$120</f>
        <v>тыс. руб.</v>
      </c>
      <c r="D6" s="713">
        <f ca="1">SUM(Бюджетная_система!$E$120:'Бюджетная_система'!$H$120)</f>
        <v>901.39081499999998</v>
      </c>
      <c r="E6" s="713">
        <f ca="1">SUM(Бюджетная_система!$I$120:'Бюджетная_система'!$L$120)</f>
        <v>3693.1347573756771</v>
      </c>
      <c r="F6" s="713">
        <f ca="1">SUM(Бюджетная_система!$M$120:'Бюджетная_система'!$P$120)</f>
        <v>5419.5774644901812</v>
      </c>
      <c r="G6" s="713">
        <f ca="1">SUM(Бюджетная_система!$Q$120:'Бюджетная_система'!$T$120)</f>
        <v>7092.5252513733649</v>
      </c>
      <c r="H6" s="713">
        <f ca="1">SUM(Бюджетная_система!$U$120:'Бюджетная_система'!$X$120)</f>
        <v>20811.171127248337</v>
      </c>
      <c r="I6" s="713">
        <f ca="1">SUM(Бюджетная_система!$Y$120:'Бюджетная_система'!$AB$120)</f>
        <v>26718.019027610062</v>
      </c>
      <c r="J6" s="713">
        <f ca="1">SUM(Бюджетная_система!$AC$120:'Бюджетная_система'!$AF$120)</f>
        <v>28547.01559540171</v>
      </c>
      <c r="K6" s="713">
        <f ca="1">SUM(Бюджетная_система!$AG$120:'Бюджетная_система'!$AJ$120)</f>
        <v>30486.008445498548</v>
      </c>
      <c r="L6" s="713">
        <f ca="1">SUM(Бюджетная_система!$AK$120:'Бюджетная_система'!$AN$120)</f>
        <v>32544.771027594354</v>
      </c>
      <c r="M6" s="713">
        <f ca="1">SUM(Бюджетная_система!$AO$120:'Бюджетная_система'!$AR$120)</f>
        <v>34724.132385639925</v>
      </c>
      <c r="N6" s="744">
        <f ca="1">Бюджетная_система!$AT$120</f>
        <v>190937.74589723215</v>
      </c>
    </row>
    <row r="7" spans="1:14" ht="11.25" customHeight="1" x14ac:dyDescent="0.2">
      <c r="A7" s="938" t="str">
        <f>Бюджетная_система!$A$121</f>
        <v>НДФЛ</v>
      </c>
      <c r="B7" s="810">
        <f ca="1">Бюджетная_система!$B$121</f>
        <v>28971.852934832157</v>
      </c>
      <c r="C7" s="882" t="str">
        <f>Бюджетная_система!$C$121</f>
        <v>тыс. руб.</v>
      </c>
      <c r="D7" s="749">
        <f ca="1">SUM(Бюджетная_система!$E$121:'Бюджетная_система'!$H$121)</f>
        <v>901.39081499999998</v>
      </c>
      <c r="E7" s="749">
        <f ca="1">SUM(Бюджетная_система!$I$121:'Бюджетная_система'!$L$121)</f>
        <v>3693.1347573756771</v>
      </c>
      <c r="F7" s="749">
        <f ca="1">SUM(Бюджетная_система!$M$121:'Бюджетная_система'!$P$121)</f>
        <v>5419.5774644901812</v>
      </c>
      <c r="G7" s="749">
        <f ca="1">SUM(Бюджетная_система!$Q$121:'Бюджетная_система'!$T$121)</f>
        <v>7092.5252513733649</v>
      </c>
      <c r="H7" s="749">
        <f ca="1">SUM(Бюджетная_система!$U$121:'Бюджетная_система'!$X$121)</f>
        <v>20811.171127248337</v>
      </c>
      <c r="I7" s="749">
        <f ca="1">SUM(Бюджетная_система!$Y$121:'Бюджетная_система'!$AB$121)</f>
        <v>26718.019027610062</v>
      </c>
      <c r="J7" s="749">
        <f ca="1">SUM(Бюджетная_система!$AC$121:'Бюджетная_система'!$AF$121)</f>
        <v>28547.01559540171</v>
      </c>
      <c r="K7" s="749">
        <f ca="1">SUM(Бюджетная_система!$AG$121:'Бюджетная_система'!$AJ$121)</f>
        <v>30486.008445498548</v>
      </c>
      <c r="L7" s="749">
        <f ca="1">SUM(Бюджетная_система!$AK$121:'Бюджетная_система'!$AN$121)</f>
        <v>32544.771027594354</v>
      </c>
      <c r="M7" s="749">
        <f ca="1">SUM(Бюджетная_система!$AO$121:'Бюджетная_система'!$AR$121)</f>
        <v>34724.132385639925</v>
      </c>
      <c r="N7" s="746">
        <f ca="1">Бюджетная_система!$AT$121</f>
        <v>190937.74589723215</v>
      </c>
    </row>
    <row r="8" spans="1:14" ht="11.25" customHeight="1" x14ac:dyDescent="0.2">
      <c r="A8" s="636" t="str">
        <f>Бюджетная_система!$A$122</f>
        <v>Финансирование проекта</v>
      </c>
      <c r="B8" s="811">
        <f ca="1">Бюджетная_система!$B$122</f>
        <v>0</v>
      </c>
      <c r="C8" s="828" t="str">
        <f>Бюджетная_система!$C$122</f>
        <v>тыс. руб.</v>
      </c>
      <c r="D8" s="712">
        <f>SUM(Бюджетная_система!$E$122:'Бюджетная_система'!$H$122)</f>
        <v>0</v>
      </c>
      <c r="E8" s="712">
        <f>SUM(Бюджетная_система!$I$122:'Бюджетная_система'!$L$122)</f>
        <v>0</v>
      </c>
      <c r="F8" s="712">
        <f>SUM(Бюджетная_система!$M$122:'Бюджетная_система'!$P$122)</f>
        <v>0</v>
      </c>
      <c r="G8" s="712">
        <f>SUM(Бюджетная_система!$Q$122:'Бюджетная_система'!$T$122)</f>
        <v>0</v>
      </c>
      <c r="H8" s="712">
        <f>SUM(Бюджетная_система!$U$122:'Бюджетная_система'!$X$122)</f>
        <v>0</v>
      </c>
      <c r="I8" s="712">
        <f>SUM(Бюджетная_система!$Y$122:'Бюджетная_система'!$AB$122)</f>
        <v>0</v>
      </c>
      <c r="J8" s="712">
        <f>SUM(Бюджетная_система!$AC$122:'Бюджетная_система'!$AF$122)</f>
        <v>0</v>
      </c>
      <c r="K8" s="712">
        <f>SUM(Бюджетная_система!$AG$122:'Бюджетная_система'!$AJ$122)</f>
        <v>0</v>
      </c>
      <c r="L8" s="712">
        <f>SUM(Бюджетная_система!$AK$122:'Бюджетная_система'!$AN$122)</f>
        <v>0</v>
      </c>
      <c r="M8" s="712">
        <f>SUM(Бюджетная_система!$AO$122:'Бюджетная_система'!$AR$122)</f>
        <v>0</v>
      </c>
      <c r="N8" s="744">
        <f>Бюджетная_система!$AT$122</f>
        <v>0</v>
      </c>
    </row>
    <row r="9" spans="1:14" ht="11.25" customHeight="1" x14ac:dyDescent="0.2">
      <c r="A9" s="667" t="str">
        <f>Бюджетная_система!$A$123</f>
        <v>Денежный поток нарастающим итогом</v>
      </c>
      <c r="B9" s="681"/>
      <c r="C9" s="607"/>
      <c r="D9" s="713">
        <f ca="1">Бюджетная_система!$H$123</f>
        <v>901.39081499999998</v>
      </c>
      <c r="E9" s="713">
        <f ca="1">Бюджетная_система!$L$123</f>
        <v>4594.5255723756773</v>
      </c>
      <c r="F9" s="713">
        <f ca="1">Бюджетная_система!$P$123</f>
        <v>10014.103036865858</v>
      </c>
      <c r="G9" s="713">
        <f ca="1">Бюджетная_система!$T$123</f>
        <v>17106.628288239222</v>
      </c>
      <c r="H9" s="713">
        <f ca="1">Бюджетная_система!$X$123</f>
        <v>37917.799415487563</v>
      </c>
      <c r="I9" s="713">
        <f ca="1">Бюджетная_система!$AB$123</f>
        <v>64635.818443097625</v>
      </c>
      <c r="J9" s="713">
        <f ca="1">Бюджетная_система!$AF$123</f>
        <v>93182.834038499321</v>
      </c>
      <c r="K9" s="713">
        <f ca="1">Бюджетная_система!$AJ$123</f>
        <v>123668.84248399785</v>
      </c>
      <c r="L9" s="713">
        <f ca="1">Бюджетная_система!$AN$123</f>
        <v>156213.61351159221</v>
      </c>
      <c r="M9" s="714">
        <f ca="1">Бюджетная_система!$AR$123</f>
        <v>190937.74589723215</v>
      </c>
      <c r="N9" s="652"/>
    </row>
    <row r="10" spans="1:14" ht="11.25" customHeight="1" x14ac:dyDescent="0.2">
      <c r="A10" s="398"/>
      <c r="B10" s="681"/>
      <c r="C10" s="607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652"/>
    </row>
    <row r="11" spans="1:14" ht="11.25" customHeight="1" x14ac:dyDescent="0.2">
      <c r="A11" s="665" t="str">
        <f>Бюджетная_система!$A$125</f>
        <v>Дисконтированный денежный поток</v>
      </c>
      <c r="B11" s="685"/>
      <c r="C11" s="829" t="str">
        <f>Бюджетная_система!$C$125</f>
        <v>тыс. руб.</v>
      </c>
      <c r="D11" s="712">
        <f ca="1">SUM(Бюджетная_система!$E$125:'Бюджетная_система'!$H$125)</f>
        <v>901.39081499999998</v>
      </c>
      <c r="E11" s="712">
        <f ca="1">SUM(Бюджетная_система!$I$125:'Бюджетная_система'!$L$125)</f>
        <v>3476.6259525337159</v>
      </c>
      <c r="F11" s="712">
        <f ca="1">SUM(Бюджетная_система!$M$125:'Бюджетная_система'!$P$125)</f>
        <v>4617.4565915885778</v>
      </c>
      <c r="G11" s="712">
        <f ca="1">SUM(Бюджетная_система!$Q$125:'Бюджетная_система'!$T$125)</f>
        <v>5497.6833767760409</v>
      </c>
      <c r="H11" s="712">
        <f ca="1">SUM(Бюджетная_система!$U$125:'Бюджетная_система'!$X$125)</f>
        <v>14558.409188779424</v>
      </c>
      <c r="I11" s="712">
        <f ca="1">SUM(Бюджетная_система!$Y$125:'Бюджетная_система'!$AB$125)</f>
        <v>17098.61205535565</v>
      </c>
      <c r="J11" s="712">
        <f ca="1">SUM(Бюджетная_система!$AC$125:'Бюджетная_система'!$AF$125)</f>
        <v>16589.001152131732</v>
      </c>
      <c r="K11" s="712">
        <f ca="1">SUM(Бюджетная_система!$AG$125:'Бюджетная_система'!$AJ$125)</f>
        <v>16086.507023259997</v>
      </c>
      <c r="L11" s="712">
        <f ca="1">SUM(Бюджетная_система!$AK$125:'Бюджетная_система'!$AN$125)</f>
        <v>15593.549535066019</v>
      </c>
      <c r="M11" s="712">
        <f ca="1">SUM(Бюджетная_система!$AO$125:'Бюджетная_система'!$AR$125)</f>
        <v>15107.676126926272</v>
      </c>
      <c r="N11" s="744">
        <f ca="1">Бюджетная_система!$AT$125</f>
        <v>109526.91181741741</v>
      </c>
    </row>
    <row r="12" spans="1:14" ht="11.25" customHeight="1" x14ac:dyDescent="0.2">
      <c r="A12" s="666" t="str">
        <f>Бюджетная_система!$A$126</f>
        <v>Дисконтированный поток нарастающим итогом</v>
      </c>
      <c r="B12" s="685"/>
      <c r="C12" s="828" t="str">
        <f>Бюджетная_система!$C$126</f>
        <v>тыс. руб.</v>
      </c>
      <c r="D12" s="713">
        <f ca="1">Бюджетная_система!$H$126</f>
        <v>901.39081499999998</v>
      </c>
      <c r="E12" s="713">
        <f ca="1">Бюджетная_система!$L$126</f>
        <v>4378.0167675337161</v>
      </c>
      <c r="F12" s="713">
        <f ca="1">Бюджетная_система!$P$126</f>
        <v>8995.4733591222939</v>
      </c>
      <c r="G12" s="713">
        <f ca="1">Бюджетная_система!$T$126</f>
        <v>14493.156735898336</v>
      </c>
      <c r="H12" s="713">
        <f ca="1">Бюджетная_система!$X$126</f>
        <v>29051.565924677758</v>
      </c>
      <c r="I12" s="713">
        <f ca="1">Бюджетная_система!$AB$126</f>
        <v>46150.177980033404</v>
      </c>
      <c r="J12" s="713">
        <f ca="1">Бюджетная_система!$AF$126</f>
        <v>62739.179132165133</v>
      </c>
      <c r="K12" s="713">
        <f ca="1">Бюджетная_система!$AJ$126</f>
        <v>78825.686155425123</v>
      </c>
      <c r="L12" s="713">
        <f ca="1">Бюджетная_система!$AN$126</f>
        <v>94419.235690491143</v>
      </c>
      <c r="M12" s="714">
        <f ca="1">Бюджетная_система!$AR$126</f>
        <v>109526.91181741741</v>
      </c>
      <c r="N12" s="652"/>
    </row>
    <row r="13" spans="1:14" ht="11.25" customHeight="1" x14ac:dyDescent="0.2">
      <c r="A13" s="398"/>
      <c r="B13" s="722"/>
      <c r="C13" s="607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599"/>
    </row>
    <row r="14" spans="1:14" ht="11.25" customHeight="1" x14ac:dyDescent="0.2">
      <c r="A14" s="633" t="str">
        <f>Бюджетная_система!$A$128</f>
        <v>Чистая приведенная стоимость, NPV</v>
      </c>
      <c r="B14" s="888">
        <f ca="1">Бюджетная_система!$B$128</f>
        <v>109526.91181741741</v>
      </c>
      <c r="C14" s="828" t="str">
        <f>Бюджетная_система!$C$128</f>
        <v>тыс. руб.</v>
      </c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599"/>
    </row>
    <row r="15" spans="1:14" ht="11.25" customHeight="1" x14ac:dyDescent="0.2">
      <c r="A15" s="398"/>
      <c r="B15" s="681"/>
      <c r="C15" s="607"/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599"/>
    </row>
    <row r="16" spans="1:14" ht="11.25" customHeight="1" x14ac:dyDescent="0.2">
      <c r="A16" s="632" t="str">
        <f>Бюджетная_система!$A$130</f>
        <v>Внутренняя норма рентабельности, IRR</v>
      </c>
      <c r="B16" s="885" t="str">
        <f ca="1">Бюджетная_система!$B$130</f>
        <v>-</v>
      </c>
      <c r="C16" s="829" t="str">
        <f>Бюджетная_система!$C$130</f>
        <v>%</v>
      </c>
      <c r="D16" s="682"/>
      <c r="E16" s="599"/>
      <c r="F16" s="599"/>
      <c r="G16" s="599"/>
      <c r="H16" s="599"/>
      <c r="I16" s="599"/>
      <c r="J16" s="599"/>
      <c r="K16" s="599"/>
      <c r="L16" s="599"/>
      <c r="M16" s="599"/>
      <c r="N16" s="599"/>
    </row>
    <row r="17" spans="1:14" ht="11.25" customHeight="1" x14ac:dyDescent="0.2">
      <c r="A17" s="666" t="str">
        <f>Бюджетная_система!$A$131</f>
        <v>Модифицированная IRR, MIRR</v>
      </c>
      <c r="B17" s="889" t="str">
        <f ca="1">Бюджетная_система!$B$131</f>
        <v>-</v>
      </c>
      <c r="C17" s="828" t="str">
        <f>Бюджетная_система!$C$131</f>
        <v>%</v>
      </c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</row>
    <row r="18" spans="1:14" ht="11.25" customHeight="1" x14ac:dyDescent="0.2">
      <c r="A18" s="398"/>
      <c r="B18" s="790"/>
      <c r="C18" s="607"/>
      <c r="D18" s="599"/>
      <c r="E18" s="599"/>
      <c r="F18" s="599"/>
      <c r="G18" s="599"/>
      <c r="H18" s="599"/>
      <c r="I18" s="599"/>
      <c r="J18" s="599"/>
      <c r="K18" s="599"/>
      <c r="L18" s="599"/>
      <c r="M18" s="599"/>
      <c r="N18" s="599"/>
    </row>
    <row r="19" spans="1:14" ht="11.25" customHeight="1" x14ac:dyDescent="0.2">
      <c r="A19" s="633" t="str">
        <f>Бюджетная_система!$A$133</f>
        <v>Коэффициент бюджетной эффективности</v>
      </c>
      <c r="B19" s="890" t="str">
        <f>Бюджетная_система!$B$133</f>
        <v xml:space="preserve"> - </v>
      </c>
      <c r="C19" s="828" t="str">
        <f>Бюджетная_система!$C$133</f>
        <v>раз</v>
      </c>
      <c r="D19" s="921">
        <f ca="1">Бюджетная_система!$H$133</f>
        <v>0</v>
      </c>
      <c r="E19" s="921">
        <f ca="1">Бюджетная_система!$L$133</f>
        <v>0</v>
      </c>
      <c r="F19" s="921">
        <f ca="1">Бюджетная_система!$P$133</f>
        <v>0</v>
      </c>
      <c r="G19" s="921">
        <f ca="1">Бюджетная_система!$T$133</f>
        <v>0</v>
      </c>
      <c r="H19" s="921">
        <f ca="1">Бюджетная_система!$X$133</f>
        <v>0</v>
      </c>
      <c r="I19" s="921">
        <f ca="1">Бюджетная_система!$AB$133</f>
        <v>0</v>
      </c>
      <c r="J19" s="921">
        <f ca="1">Бюджетная_система!$AF$133</f>
        <v>0</v>
      </c>
      <c r="K19" s="921">
        <f ca="1">Бюджетная_система!$AJ$133</f>
        <v>0</v>
      </c>
      <c r="L19" s="921">
        <f ca="1">Бюджетная_система!$AN$133</f>
        <v>0</v>
      </c>
      <c r="M19" s="922">
        <f ca="1">Бюджетная_система!$AR$133</f>
        <v>0</v>
      </c>
      <c r="N19" s="599"/>
    </row>
    <row r="20" spans="1:14" ht="11.25" customHeight="1" x14ac:dyDescent="0.2">
      <c r="A20" s="398"/>
      <c r="B20" s="681"/>
      <c r="C20" s="607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</row>
    <row r="21" spans="1:14" ht="11.25" customHeight="1" x14ac:dyDescent="0.2">
      <c r="A21" s="633" t="str">
        <f>Бюджетная_система!$A$137</f>
        <v>Простой срок окупаемости (PBP)</v>
      </c>
      <c r="B21" s="891" t="str">
        <f ca="1">Бюджетная_система!$B$137</f>
        <v>-</v>
      </c>
      <c r="C21" s="828" t="str">
        <f>Бюджетная_система!$C$137</f>
        <v>лет</v>
      </c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599"/>
    </row>
    <row r="22" spans="1:14" ht="11.25" customHeight="1" x14ac:dyDescent="0.2">
      <c r="A22" s="398"/>
      <c r="B22" s="681"/>
      <c r="C22" s="607"/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</row>
    <row r="23" spans="1:14" ht="11.25" customHeight="1" x14ac:dyDescent="0.2">
      <c r="A23" s="633" t="str">
        <f>Бюджетная_система!$A$141</f>
        <v>Дисконтированный срок окупаемости (DPBP)</v>
      </c>
      <c r="B23" s="891" t="str">
        <f ca="1">Бюджетная_система!$B$141</f>
        <v>-</v>
      </c>
      <c r="C23" s="828" t="str">
        <f>Бюджетная_система!$C$141</f>
        <v>лет</v>
      </c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599"/>
    </row>
    <row r="24" spans="1:14" ht="11.25" customHeight="1" x14ac:dyDescent="0.2">
      <c r="A24" s="398"/>
      <c r="B24" s="681"/>
      <c r="C24" s="607"/>
      <c r="D24" s="599"/>
      <c r="E24" s="599"/>
      <c r="F24" s="599"/>
      <c r="G24" s="599"/>
      <c r="H24" s="599"/>
      <c r="I24" s="599"/>
      <c r="J24" s="599"/>
      <c r="K24" s="599"/>
      <c r="L24" s="599"/>
      <c r="M24" s="599"/>
      <c r="N24" s="599"/>
    </row>
  </sheetData>
  <pageMargins left="0.4" right="0.4" top="1.5" bottom="0.5" header="0.7" footer="0.3"/>
  <pageSetup paperSize="9" orientation="landscape" horizontalDpi="0" verticalDpi="0" r:id="rId1"/>
  <headerFooter scaleWithDoc="0">
    <oddHeader>&amp;L&amp;"Arial,полужирный"&amp;10Таб. 28&amp;R&amp;"Arial,полужирный"&amp;10Проект создания ИП «Бугры» на территории Ленинградской области
&amp;C&amp;"Arial,полужирный"&amp;13
ЭФФЕКТИВНОСТЬ ДЛЯ МУНИЦИПАЛЬНОГО БЮДЖЕТА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>
    <outlinePr summaryBelow="0" summaryRight="0"/>
  </sheetPr>
  <dimension ref="A1:AT714"/>
  <sheetViews>
    <sheetView workbookViewId="0">
      <selection sqref="A1:C2"/>
    </sheetView>
  </sheetViews>
  <sheetFormatPr defaultRowHeight="11.25" outlineLevelRow="1" x14ac:dyDescent="0.2"/>
  <cols>
    <col min="1" max="1" width="50.7109375" style="29" customWidth="1"/>
    <col min="2" max="2" width="11" style="29" customWidth="1"/>
    <col min="3" max="3" width="9.85546875" style="29" customWidth="1"/>
    <col min="4" max="4" width="10.7109375" style="40" customWidth="1"/>
    <col min="5" max="44" width="8.7109375" style="29" customWidth="1"/>
    <col min="45" max="45" width="1.7109375" style="29" customWidth="1"/>
    <col min="46" max="46" width="8.7109375" style="104" customWidth="1"/>
    <col min="47" max="16384" width="9.140625" style="29"/>
  </cols>
  <sheetData>
    <row r="1" spans="1:46" s="1" customFormat="1" ht="12.75" customHeight="1" x14ac:dyDescent="0.2">
      <c r="A1" s="1027" t="s">
        <v>638</v>
      </c>
      <c r="B1" s="1028"/>
      <c r="C1" s="1028"/>
      <c r="D1" s="102"/>
      <c r="E1" s="16" t="str">
        <f>Параметры!E$53</f>
        <v>1 кв. 2020</v>
      </c>
      <c r="F1" s="16" t="str">
        <f>Параметры!F$53</f>
        <v>2 кв. 2020</v>
      </c>
      <c r="G1" s="16" t="str">
        <f>Параметры!G$53</f>
        <v>3 кв. 2020</v>
      </c>
      <c r="H1" s="16" t="str">
        <f>Параметры!H$53</f>
        <v>4 кв. 2020</v>
      </c>
      <c r="I1" s="16" t="str">
        <f>Параметры!I$53</f>
        <v>1 кв. 2021</v>
      </c>
      <c r="J1" s="16" t="str">
        <f>Параметры!J$53</f>
        <v>2 кв. 2021</v>
      </c>
      <c r="K1" s="16" t="str">
        <f>Параметры!K$53</f>
        <v>3 кв. 2021</v>
      </c>
      <c r="L1" s="16" t="str">
        <f>Параметры!L$53</f>
        <v>4 кв. 2021</v>
      </c>
      <c r="M1" s="16" t="str">
        <f>Параметры!M$53</f>
        <v>1 кв. 2022</v>
      </c>
      <c r="N1" s="16" t="str">
        <f>Параметры!N$53</f>
        <v>2 кв. 2022</v>
      </c>
      <c r="O1" s="16" t="str">
        <f>Параметры!O$53</f>
        <v>3 кв. 2022</v>
      </c>
      <c r="P1" s="16" t="str">
        <f>Параметры!P$53</f>
        <v>4 кв. 2022</v>
      </c>
      <c r="Q1" s="16" t="str">
        <f>Параметры!Q$53</f>
        <v>1 кв. 2023</v>
      </c>
      <c r="R1" s="16" t="str">
        <f>Параметры!R$53</f>
        <v>2 кв. 2023</v>
      </c>
      <c r="S1" s="16" t="str">
        <f>Параметры!S$53</f>
        <v>3 кв. 2023</v>
      </c>
      <c r="T1" s="16" t="str">
        <f>Параметры!T$53</f>
        <v>4 кв. 2023</v>
      </c>
      <c r="U1" s="16" t="str">
        <f>Параметры!U$53</f>
        <v>1 кв. 2024</v>
      </c>
      <c r="V1" s="16" t="str">
        <f>Параметры!V$53</f>
        <v>2 кв. 2024</v>
      </c>
      <c r="W1" s="16" t="str">
        <f>Параметры!W$53</f>
        <v>3 кв. 2024</v>
      </c>
      <c r="X1" s="16" t="str">
        <f>Параметры!X$53</f>
        <v>4 кв. 2024</v>
      </c>
      <c r="Y1" s="16" t="str">
        <f>Параметры!Y$53</f>
        <v>1 кв. 2025</v>
      </c>
      <c r="Z1" s="16" t="str">
        <f>Параметры!Z$53</f>
        <v>2 кв. 2025</v>
      </c>
      <c r="AA1" s="16" t="str">
        <f>Параметры!AA$53</f>
        <v>3 кв. 2025</v>
      </c>
      <c r="AB1" s="16" t="str">
        <f>Параметры!AB$53</f>
        <v>4 кв. 2025</v>
      </c>
      <c r="AC1" s="16" t="str">
        <f>Параметры!AC$53</f>
        <v>1 кв. 2026</v>
      </c>
      <c r="AD1" s="16" t="str">
        <f>Параметры!AD$53</f>
        <v>2 кв. 2026</v>
      </c>
      <c r="AE1" s="16" t="str">
        <f>Параметры!AE$53</f>
        <v>3 кв. 2026</v>
      </c>
      <c r="AF1" s="16" t="str">
        <f>Параметры!AF$53</f>
        <v>4 кв. 2026</v>
      </c>
      <c r="AG1" s="16" t="str">
        <f>Параметры!AG$53</f>
        <v>1 кв. 2027</v>
      </c>
      <c r="AH1" s="16" t="str">
        <f>Параметры!AH$53</f>
        <v>2 кв. 2027</v>
      </c>
      <c r="AI1" s="16" t="str">
        <f>Параметры!AI$53</f>
        <v>3 кв. 2027</v>
      </c>
      <c r="AJ1" s="16" t="str">
        <f>Параметры!AJ$53</f>
        <v>4 кв. 2027</v>
      </c>
      <c r="AK1" s="16" t="str">
        <f>Параметры!AK$53</f>
        <v>1 кв. 2028</v>
      </c>
      <c r="AL1" s="16" t="str">
        <f>Параметры!AL$53</f>
        <v>2 кв. 2028</v>
      </c>
      <c r="AM1" s="16" t="str">
        <f>Параметры!AM$53</f>
        <v>3 кв. 2028</v>
      </c>
      <c r="AN1" s="16" t="str">
        <f>Параметры!AN$53</f>
        <v>4 кв. 2028</v>
      </c>
      <c r="AO1" s="16" t="str">
        <f>Параметры!AO$53</f>
        <v>1 кв. 2029</v>
      </c>
      <c r="AP1" s="16" t="str">
        <f>Параметры!AP$53</f>
        <v>2 кв. 2029</v>
      </c>
      <c r="AQ1" s="16" t="str">
        <f>Параметры!AQ$53</f>
        <v>3 кв. 2029</v>
      </c>
      <c r="AR1" s="16" t="str">
        <f>Параметры!AR$53</f>
        <v>4 кв. 2029</v>
      </c>
      <c r="AS1" s="16"/>
      <c r="AT1" s="17" t="s">
        <v>0</v>
      </c>
    </row>
    <row r="2" spans="1:46" s="1" customFormat="1" ht="12.75" customHeight="1" x14ac:dyDescent="0.2">
      <c r="A2" s="1028"/>
      <c r="B2" s="1028"/>
      <c r="C2" s="1028"/>
      <c r="D2" s="115">
        <f>$B$7</f>
        <v>1</v>
      </c>
      <c r="E2" s="16">
        <f>Параметры!E36</f>
        <v>1</v>
      </c>
      <c r="F2" s="16">
        <f>Параметры!F36</f>
        <v>2</v>
      </c>
      <c r="G2" s="16">
        <f>Параметры!G36</f>
        <v>3</v>
      </c>
      <c r="H2" s="16">
        <f>Параметры!H36</f>
        <v>4</v>
      </c>
      <c r="I2" s="16">
        <f>Параметры!I36</f>
        <v>5</v>
      </c>
      <c r="J2" s="16">
        <f>Параметры!J36</f>
        <v>6</v>
      </c>
      <c r="K2" s="16">
        <f>Параметры!K36</f>
        <v>7</v>
      </c>
      <c r="L2" s="16">
        <f>Параметры!L36</f>
        <v>8</v>
      </c>
      <c r="M2" s="16">
        <f>Параметры!M36</f>
        <v>9</v>
      </c>
      <c r="N2" s="16">
        <f>Параметры!N36</f>
        <v>10</v>
      </c>
      <c r="O2" s="16">
        <f>Параметры!O36</f>
        <v>11</v>
      </c>
      <c r="P2" s="16">
        <f>Параметры!P36</f>
        <v>12</v>
      </c>
      <c r="Q2" s="16">
        <f>Параметры!Q36</f>
        <v>13</v>
      </c>
      <c r="R2" s="16">
        <f>Параметры!R36</f>
        <v>14</v>
      </c>
      <c r="S2" s="16">
        <f>Параметры!S36</f>
        <v>15</v>
      </c>
      <c r="T2" s="16">
        <f>Параметры!T36</f>
        <v>16</v>
      </c>
      <c r="U2" s="16">
        <f>Параметры!U36</f>
        <v>17</v>
      </c>
      <c r="V2" s="16">
        <f>Параметры!V36</f>
        <v>18</v>
      </c>
      <c r="W2" s="16">
        <f>Параметры!W36</f>
        <v>19</v>
      </c>
      <c r="X2" s="16">
        <f>Параметры!X36</f>
        <v>20</v>
      </c>
      <c r="Y2" s="16">
        <f>Параметры!Y36</f>
        <v>21</v>
      </c>
      <c r="Z2" s="16">
        <f>Параметры!Z36</f>
        <v>22</v>
      </c>
      <c r="AA2" s="16">
        <f>Параметры!AA36</f>
        <v>23</v>
      </c>
      <c r="AB2" s="16">
        <f>Параметры!AB36</f>
        <v>24</v>
      </c>
      <c r="AC2" s="16">
        <f>Параметры!AC36</f>
        <v>25</v>
      </c>
      <c r="AD2" s="16">
        <f>Параметры!AD36</f>
        <v>26</v>
      </c>
      <c r="AE2" s="16">
        <f>Параметры!AE36</f>
        <v>27</v>
      </c>
      <c r="AF2" s="16">
        <f>Параметры!AF36</f>
        <v>28</v>
      </c>
      <c r="AG2" s="16">
        <f>Параметры!AG36</f>
        <v>29</v>
      </c>
      <c r="AH2" s="16">
        <f>Параметры!AH36</f>
        <v>30</v>
      </c>
      <c r="AI2" s="16">
        <f>Параметры!AI36</f>
        <v>31</v>
      </c>
      <c r="AJ2" s="16">
        <f>Параметры!AJ36</f>
        <v>32</v>
      </c>
      <c r="AK2" s="16">
        <f>Параметры!AK36</f>
        <v>33</v>
      </c>
      <c r="AL2" s="16">
        <f>Параметры!AL36</f>
        <v>34</v>
      </c>
      <c r="AM2" s="16">
        <f>Параметры!AM36</f>
        <v>35</v>
      </c>
      <c r="AN2" s="16">
        <f>Параметры!AN36</f>
        <v>36</v>
      </c>
      <c r="AO2" s="16">
        <f>Параметры!AO36</f>
        <v>37</v>
      </c>
      <c r="AP2" s="16">
        <f>Параметры!AP36</f>
        <v>38</v>
      </c>
      <c r="AQ2" s="16">
        <f>Параметры!AQ36</f>
        <v>39</v>
      </c>
      <c r="AR2" s="16">
        <f>Параметры!AR36</f>
        <v>40</v>
      </c>
      <c r="AS2" s="16"/>
      <c r="AT2" s="19"/>
    </row>
    <row r="3" spans="1:46" ht="12" thickBot="1" x14ac:dyDescent="0.25"/>
    <row r="4" spans="1:46" s="308" customFormat="1" ht="25.5" customHeight="1" thickBot="1" x14ac:dyDescent="0.25">
      <c r="A4" s="481" t="s">
        <v>478</v>
      </c>
      <c r="B4" s="479"/>
      <c r="C4" s="481"/>
      <c r="D4" s="481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  <c r="Z4" s="488"/>
      <c r="AA4" s="488"/>
      <c r="AB4" s="488"/>
      <c r="AC4" s="488"/>
      <c r="AD4" s="488"/>
      <c r="AE4" s="488"/>
      <c r="AF4" s="488"/>
      <c r="AG4" s="488"/>
      <c r="AH4" s="488"/>
      <c r="AI4" s="488"/>
      <c r="AJ4" s="488"/>
      <c r="AK4" s="488"/>
      <c r="AL4" s="488"/>
      <c r="AM4" s="488"/>
      <c r="AN4" s="488"/>
      <c r="AO4" s="488"/>
      <c r="AP4" s="488"/>
      <c r="AQ4" s="488"/>
      <c r="AR4" s="488"/>
      <c r="AS4" s="489"/>
      <c r="AT4" s="489"/>
    </row>
    <row r="5" spans="1:46" s="308" customFormat="1" x14ac:dyDescent="0.2">
      <c r="A5" s="312"/>
      <c r="B5" s="309"/>
      <c r="C5" s="309"/>
      <c r="D5" s="310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</row>
    <row r="6" spans="1:46" s="309" customFormat="1" x14ac:dyDescent="0.2">
      <c r="A6" s="426" t="s">
        <v>474</v>
      </c>
      <c r="B6" s="331">
        <f>Параметры!$B$25</f>
        <v>0</v>
      </c>
      <c r="C6" s="321" t="s">
        <v>31</v>
      </c>
      <c r="D6" s="313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11"/>
      <c r="AS6" s="311"/>
      <c r="AT6" s="314"/>
    </row>
    <row r="7" spans="1:46" s="309" customFormat="1" x14ac:dyDescent="0.2">
      <c r="A7" s="426" t="str">
        <f>Параметры!$A$16</f>
        <v>Календарные периоды - 1, Периоды от начала расчетов - 2</v>
      </c>
      <c r="B7" s="364">
        <v>1</v>
      </c>
      <c r="C7" s="321"/>
      <c r="D7" s="313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  <c r="AT7" s="314"/>
    </row>
    <row r="8" spans="1:46" s="309" customFormat="1" x14ac:dyDescent="0.2">
      <c r="A8" s="427" t="s">
        <v>518</v>
      </c>
      <c r="B8" s="364">
        <v>1</v>
      </c>
      <c r="C8" s="428" t="s">
        <v>517</v>
      </c>
      <c r="D8" s="313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4"/>
    </row>
    <row r="9" spans="1:46" s="309" customFormat="1" x14ac:dyDescent="0.2">
      <c r="A9" s="375" t="s">
        <v>523</v>
      </c>
      <c r="B9" s="435">
        <f ca="1">OFFSET(Параметры!E46,0,MATCH(1,ИД!D77:AQ77,0))</f>
        <v>2024</v>
      </c>
      <c r="C9" s="428" t="s">
        <v>542</v>
      </c>
      <c r="D9" s="313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4"/>
    </row>
    <row r="10" spans="1:46" s="308" customFormat="1" x14ac:dyDescent="0.2">
      <c r="A10" s="315"/>
      <c r="B10" s="316"/>
      <c r="C10" s="316"/>
      <c r="D10" s="317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/>
      <c r="AR10" s="311"/>
    </row>
    <row r="12" spans="1:46" ht="12" thickBot="1" x14ac:dyDescent="0.25"/>
    <row r="13" spans="1:46" s="43" customFormat="1" ht="25.5" customHeight="1" thickBot="1" x14ac:dyDescent="0.25">
      <c r="A13" s="481" t="s">
        <v>226</v>
      </c>
      <c r="B13" s="479"/>
      <c r="C13" s="477"/>
      <c r="D13" s="477"/>
      <c r="E13" s="482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  <c r="AE13" s="483"/>
      <c r="AF13" s="483"/>
      <c r="AG13" s="483"/>
      <c r="AH13" s="483"/>
      <c r="AI13" s="483"/>
      <c r="AJ13" s="483"/>
      <c r="AK13" s="483"/>
      <c r="AL13" s="483"/>
      <c r="AM13" s="483"/>
      <c r="AN13" s="483"/>
      <c r="AO13" s="483"/>
      <c r="AP13" s="483"/>
      <c r="AQ13" s="483"/>
      <c r="AR13" s="483"/>
      <c r="AS13" s="483"/>
      <c r="AT13" s="484"/>
    </row>
    <row r="14" spans="1:46" x14ac:dyDescent="0.2">
      <c r="A14" s="44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</row>
    <row r="15" spans="1:46" x14ac:dyDescent="0.2">
      <c r="A15" s="63" t="s">
        <v>242</v>
      </c>
      <c r="B15" s="346">
        <v>0</v>
      </c>
      <c r="C15" s="266" t="str">
        <f>Параметры!$B$64</f>
        <v>тыс. руб.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</row>
    <row r="16" spans="1:46" x14ac:dyDescent="0.2">
      <c r="A16" s="63" t="s">
        <v>161</v>
      </c>
      <c r="B16" s="346">
        <v>0</v>
      </c>
      <c r="C16" s="266" t="str">
        <f>Параметры!$B$64</f>
        <v>тыс. руб.</v>
      </c>
      <c r="AT16" s="29"/>
    </row>
    <row r="17" spans="1:46" x14ac:dyDescent="0.2">
      <c r="A17" s="63" t="s">
        <v>243</v>
      </c>
      <c r="B17" s="346">
        <v>0</v>
      </c>
      <c r="C17" s="266" t="str">
        <f>Параметры!$B$64</f>
        <v>тыс. руб.</v>
      </c>
      <c r="AT17" s="29"/>
    </row>
    <row r="18" spans="1:46" x14ac:dyDescent="0.2">
      <c r="A18" s="63" t="s">
        <v>244</v>
      </c>
      <c r="B18" s="346">
        <v>0</v>
      </c>
      <c r="C18" s="266" t="str">
        <f>Параметры!$B$64</f>
        <v>тыс. руб.</v>
      </c>
      <c r="AT18" s="29"/>
    </row>
    <row r="19" spans="1:46" x14ac:dyDescent="0.2">
      <c r="A19" s="63" t="s">
        <v>168</v>
      </c>
      <c r="B19" s="346">
        <v>0</v>
      </c>
      <c r="C19" s="266" t="str">
        <f>Параметры!$B$64</f>
        <v>тыс. руб.</v>
      </c>
      <c r="AT19" s="29"/>
    </row>
    <row r="20" spans="1:46" x14ac:dyDescent="0.2">
      <c r="A20" s="63" t="s">
        <v>172</v>
      </c>
      <c r="B20" s="346">
        <v>0</v>
      </c>
      <c r="C20" s="266" t="str">
        <f>Параметры!$B$64</f>
        <v>тыс. руб.</v>
      </c>
      <c r="AT20" s="29"/>
    </row>
    <row r="21" spans="1:46" x14ac:dyDescent="0.2">
      <c r="A21" s="63" t="s">
        <v>245</v>
      </c>
      <c r="B21" s="346">
        <f>Деятельность_УК!B438</f>
        <v>96111.25</v>
      </c>
      <c r="C21" s="266" t="str">
        <f>Параметры!$B$64</f>
        <v>тыс. руб.</v>
      </c>
      <c r="E21" s="104" t="s">
        <v>987</v>
      </c>
      <c r="AT21" s="29"/>
    </row>
    <row r="22" spans="1:46" x14ac:dyDescent="0.2">
      <c r="A22" s="63" t="s">
        <v>239</v>
      </c>
      <c r="B22" s="346">
        <v>0</v>
      </c>
      <c r="C22" s="266" t="str">
        <f>Параметры!$B$64</f>
        <v>тыс. руб.</v>
      </c>
      <c r="AT22" s="29"/>
    </row>
    <row r="23" spans="1:46" x14ac:dyDescent="0.2">
      <c r="A23" s="63" t="s">
        <v>246</v>
      </c>
      <c r="B23" s="346">
        <v>0</v>
      </c>
      <c r="C23" s="266" t="str">
        <f>Параметры!$B$64</f>
        <v>тыс. руб.</v>
      </c>
      <c r="AT23" s="29"/>
    </row>
    <row r="24" spans="1:46" x14ac:dyDescent="0.2">
      <c r="A24" s="76" t="s">
        <v>115</v>
      </c>
      <c r="B24" s="77">
        <f>SUM(B15:B23)</f>
        <v>96111.25</v>
      </c>
      <c r="C24" s="13" t="str">
        <f>Параметры!$B$64</f>
        <v>тыс. руб.</v>
      </c>
      <c r="D24" s="78"/>
      <c r="AT24" s="29"/>
    </row>
    <row r="25" spans="1:46" x14ac:dyDescent="0.2">
      <c r="A25" s="44"/>
      <c r="B25" s="79"/>
      <c r="C25" s="12"/>
      <c r="AT25" s="29"/>
    </row>
    <row r="26" spans="1:46" x14ac:dyDescent="0.2">
      <c r="A26" s="63" t="s">
        <v>157</v>
      </c>
      <c r="B26" s="346">
        <f>ИД!C29</f>
        <v>42736.027728946232</v>
      </c>
      <c r="C26" s="12" t="str">
        <f>Параметры!$B$64</f>
        <v>тыс. руб.</v>
      </c>
      <c r="AT26" s="29"/>
    </row>
    <row r="27" spans="1:46" x14ac:dyDescent="0.2">
      <c r="A27" s="63" t="s">
        <v>41</v>
      </c>
      <c r="B27" s="346">
        <v>0</v>
      </c>
      <c r="C27" s="12" t="str">
        <f>Параметры!$B$64</f>
        <v>тыс. руб.</v>
      </c>
      <c r="AT27" s="29"/>
    </row>
    <row r="28" spans="1:46" x14ac:dyDescent="0.2">
      <c r="A28" s="63" t="s">
        <v>158</v>
      </c>
      <c r="B28" s="346">
        <v>0</v>
      </c>
      <c r="C28" s="12" t="str">
        <f>Параметры!$B$64</f>
        <v>тыс. руб.</v>
      </c>
      <c r="AT28" s="29"/>
    </row>
    <row r="29" spans="1:46" x14ac:dyDescent="0.2">
      <c r="A29" s="63" t="s">
        <v>42</v>
      </c>
      <c r="B29" s="346">
        <v>0</v>
      </c>
      <c r="C29" s="12" t="str">
        <f>Параметры!$B$64</f>
        <v>тыс. руб.</v>
      </c>
      <c r="AT29" s="29"/>
    </row>
    <row r="30" spans="1:46" x14ac:dyDescent="0.2">
      <c r="A30" s="63" t="s">
        <v>159</v>
      </c>
      <c r="B30" s="346">
        <v>0</v>
      </c>
      <c r="C30" s="12" t="str">
        <f>Параметры!$B$64</f>
        <v>тыс. руб.</v>
      </c>
      <c r="AT30" s="29"/>
    </row>
    <row r="31" spans="1:46" x14ac:dyDescent="0.2">
      <c r="A31" s="63" t="s">
        <v>247</v>
      </c>
      <c r="B31" s="346">
        <f>Деятельность_УК!B399</f>
        <v>480556.25</v>
      </c>
      <c r="C31" s="12" t="str">
        <f>Параметры!$B$64</f>
        <v>тыс. руб.</v>
      </c>
      <c r="E31" s="104" t="s">
        <v>986</v>
      </c>
      <c r="AT31" s="29"/>
    </row>
    <row r="32" spans="1:46" x14ac:dyDescent="0.2">
      <c r="A32" s="63" t="s">
        <v>248</v>
      </c>
      <c r="B32" s="346">
        <v>0</v>
      </c>
      <c r="C32" s="12" t="str">
        <f>Параметры!$B$64</f>
        <v>тыс. руб.</v>
      </c>
      <c r="AT32" s="29"/>
    </row>
    <row r="33" spans="1:46" x14ac:dyDescent="0.2">
      <c r="A33" s="76" t="s">
        <v>116</v>
      </c>
      <c r="B33" s="77">
        <f>SUM(B26:B32)</f>
        <v>523292.27772894624</v>
      </c>
      <c r="C33" s="13" t="str">
        <f>Параметры!$B$64</f>
        <v>тыс. руб.</v>
      </c>
      <c r="D33" s="78"/>
      <c r="AT33" s="29"/>
    </row>
    <row r="34" spans="1:46" x14ac:dyDescent="0.2">
      <c r="A34" s="44"/>
      <c r="B34" s="79"/>
      <c r="C34" s="12"/>
      <c r="AT34" s="29"/>
    </row>
    <row r="35" spans="1:46" x14ac:dyDescent="0.2">
      <c r="A35" s="80" t="s">
        <v>117</v>
      </c>
      <c r="B35" s="81">
        <f>B24+B33</f>
        <v>619403.52772894618</v>
      </c>
      <c r="C35" s="14" t="str">
        <f>Параметры!$B$64</f>
        <v>тыс. руб.</v>
      </c>
      <c r="D35" s="47"/>
      <c r="AT35" s="29"/>
    </row>
    <row r="36" spans="1:46" x14ac:dyDescent="0.2">
      <c r="A36" s="44"/>
      <c r="B36" s="79"/>
      <c r="C36" s="12"/>
      <c r="AT36" s="29"/>
    </row>
    <row r="37" spans="1:46" x14ac:dyDescent="0.2">
      <c r="A37" s="63" t="s">
        <v>240</v>
      </c>
      <c r="B37" s="346">
        <v>0</v>
      </c>
      <c r="C37" s="12" t="str">
        <f>Параметры!$B$64</f>
        <v>тыс. руб.</v>
      </c>
      <c r="AT37" s="29"/>
    </row>
    <row r="38" spans="1:46" x14ac:dyDescent="0.2">
      <c r="A38" s="63" t="s">
        <v>241</v>
      </c>
      <c r="B38" s="346">
        <v>0</v>
      </c>
      <c r="C38" s="12" t="str">
        <f>Параметры!$B$64</f>
        <v>тыс. руб.</v>
      </c>
      <c r="AT38" s="29"/>
    </row>
    <row r="39" spans="1:46" x14ac:dyDescent="0.2">
      <c r="A39" s="63" t="s">
        <v>249</v>
      </c>
      <c r="B39" s="346">
        <v>0</v>
      </c>
      <c r="C39" s="12" t="str">
        <f>Параметры!$B$64</f>
        <v>тыс. руб.</v>
      </c>
      <c r="AT39" s="29"/>
    </row>
    <row r="40" spans="1:46" x14ac:dyDescent="0.2">
      <c r="A40" s="63" t="s">
        <v>250</v>
      </c>
      <c r="B40" s="346">
        <v>0</v>
      </c>
      <c r="C40" s="12" t="str">
        <f>Параметры!$B$64</f>
        <v>тыс. руб.</v>
      </c>
      <c r="AT40" s="29"/>
    </row>
    <row r="41" spans="1:46" x14ac:dyDescent="0.2">
      <c r="A41" s="63" t="s">
        <v>251</v>
      </c>
      <c r="B41" s="346">
        <v>0</v>
      </c>
      <c r="C41" s="12" t="str">
        <f>Параметры!$B$64</f>
        <v>тыс. руб.</v>
      </c>
      <c r="AT41" s="29"/>
    </row>
    <row r="42" spans="1:46" x14ac:dyDescent="0.2">
      <c r="A42" s="63" t="s">
        <v>87</v>
      </c>
      <c r="B42" s="346">
        <v>0</v>
      </c>
      <c r="C42" s="12" t="str">
        <f>Параметры!$B$64</f>
        <v>тыс. руб.</v>
      </c>
      <c r="AT42" s="29"/>
    </row>
    <row r="43" spans="1:46" x14ac:dyDescent="0.2">
      <c r="A43" s="63" t="s">
        <v>252</v>
      </c>
      <c r="B43" s="346">
        <v>0</v>
      </c>
      <c r="C43" s="12" t="str">
        <f>Параметры!$B$64</f>
        <v>тыс. руб.</v>
      </c>
      <c r="AT43" s="29"/>
    </row>
    <row r="44" spans="1:46" x14ac:dyDescent="0.2">
      <c r="A44" s="76" t="s">
        <v>118</v>
      </c>
      <c r="B44" s="77">
        <f>SUM(B37:B43)</f>
        <v>0</v>
      </c>
      <c r="C44" s="13" t="str">
        <f>Параметры!$B$64</f>
        <v>тыс. руб.</v>
      </c>
      <c r="D44" s="78"/>
      <c r="AT44" s="29"/>
    </row>
    <row r="45" spans="1:46" x14ac:dyDescent="0.2">
      <c r="A45" s="44"/>
      <c r="B45" s="79"/>
      <c r="C45" s="12"/>
      <c r="AT45" s="29"/>
    </row>
    <row r="46" spans="1:46" x14ac:dyDescent="0.2">
      <c r="A46" s="63" t="s">
        <v>86</v>
      </c>
      <c r="B46" s="346">
        <f>B82</f>
        <v>576667.5</v>
      </c>
      <c r="C46" s="12" t="str">
        <f>Параметры!$B$64</f>
        <v>тыс. руб.</v>
      </c>
      <c r="E46" s="104" t="s">
        <v>988</v>
      </c>
      <c r="AT46" s="29"/>
    </row>
    <row r="47" spans="1:46" x14ac:dyDescent="0.2">
      <c r="A47" s="63" t="s">
        <v>253</v>
      </c>
      <c r="B47" s="346">
        <v>0</v>
      </c>
      <c r="C47" s="12" t="str">
        <f>Параметры!$B$64</f>
        <v>тыс. руб.</v>
      </c>
      <c r="AT47" s="29"/>
    </row>
    <row r="48" spans="1:46" x14ac:dyDescent="0.2">
      <c r="A48" s="76" t="s">
        <v>119</v>
      </c>
      <c r="B48" s="77">
        <f>B46+B47</f>
        <v>576667.5</v>
      </c>
      <c r="C48" s="13" t="str">
        <f>Параметры!$B$64</f>
        <v>тыс. руб.</v>
      </c>
      <c r="D48" s="78"/>
      <c r="AT48" s="29"/>
    </row>
    <row r="49" spans="1:46" x14ac:dyDescent="0.2">
      <c r="A49" s="44"/>
      <c r="B49" s="79"/>
      <c r="C49" s="12"/>
      <c r="AT49" s="29"/>
    </row>
    <row r="50" spans="1:46" x14ac:dyDescent="0.2">
      <c r="A50" s="63" t="s">
        <v>254</v>
      </c>
      <c r="B50" s="346">
        <v>10</v>
      </c>
      <c r="C50" s="12" t="str">
        <f>Параметры!$B$64</f>
        <v>тыс. руб.</v>
      </c>
      <c r="AT50" s="29"/>
    </row>
    <row r="51" spans="1:46" x14ac:dyDescent="0.2">
      <c r="A51" s="63" t="s">
        <v>255</v>
      </c>
      <c r="B51" s="346">
        <v>0</v>
      </c>
      <c r="C51" s="12" t="str">
        <f>Параметры!$B$64</f>
        <v>тыс. руб.</v>
      </c>
      <c r="AT51" s="29"/>
    </row>
    <row r="52" spans="1:46" x14ac:dyDescent="0.2">
      <c r="A52" s="63" t="s">
        <v>256</v>
      </c>
      <c r="B52" s="346">
        <f>B35-B50-B46</f>
        <v>42726.027728946181</v>
      </c>
      <c r="C52" s="12" t="str">
        <f>Параметры!$B$64</f>
        <v>тыс. руб.</v>
      </c>
      <c r="AT52" s="29"/>
    </row>
    <row r="53" spans="1:46" x14ac:dyDescent="0.2">
      <c r="A53" s="76" t="s">
        <v>120</v>
      </c>
      <c r="B53" s="77">
        <f>SUM(B50:B52)</f>
        <v>42736.027728946181</v>
      </c>
      <c r="C53" s="13" t="str">
        <f>Параметры!$B$64</f>
        <v>тыс. руб.</v>
      </c>
      <c r="D53" s="78"/>
      <c r="AT53" s="29"/>
    </row>
    <row r="54" spans="1:46" x14ac:dyDescent="0.2">
      <c r="A54" s="44"/>
      <c r="B54" s="79"/>
      <c r="C54" s="12"/>
      <c r="AT54" s="29"/>
    </row>
    <row r="55" spans="1:46" x14ac:dyDescent="0.2">
      <c r="A55" s="80" t="s">
        <v>121</v>
      </c>
      <c r="B55" s="81">
        <f>B44+B48+B53</f>
        <v>619403.52772894618</v>
      </c>
      <c r="C55" s="14" t="str">
        <f>Параметры!$B$64</f>
        <v>тыс. руб.</v>
      </c>
      <c r="D55" s="47"/>
      <c r="AT55" s="29"/>
    </row>
    <row r="56" spans="1:46" x14ac:dyDescent="0.2">
      <c r="A56" s="33" t="s">
        <v>156</v>
      </c>
      <c r="B56" s="30">
        <f>B35-B55</f>
        <v>0</v>
      </c>
      <c r="C56" s="31" t="str">
        <f>IF(B56=0, "OK", "Не сходится")</f>
        <v>OK</v>
      </c>
      <c r="AT56" s="29"/>
    </row>
    <row r="57" spans="1:46" x14ac:dyDescent="0.2">
      <c r="A57" s="44"/>
      <c r="AT57" s="29"/>
    </row>
    <row r="58" spans="1:46" x14ac:dyDescent="0.2">
      <c r="A58" s="44" t="s">
        <v>189</v>
      </c>
      <c r="B58" s="82">
        <f>B35-B59-B44-B48</f>
        <v>42736.027728946181</v>
      </c>
      <c r="C58" s="266" t="str">
        <f>Параметры!$B$64</f>
        <v>тыс. руб.</v>
      </c>
      <c r="AT58" s="29"/>
    </row>
    <row r="59" spans="1:46" x14ac:dyDescent="0.2">
      <c r="A59" s="83" t="s">
        <v>225</v>
      </c>
      <c r="B59" s="348">
        <v>0</v>
      </c>
      <c r="C59" s="266" t="str">
        <f>Параметры!$B$64</f>
        <v>тыс. руб.</v>
      </c>
      <c r="AT59" s="29"/>
    </row>
    <row r="60" spans="1:46" x14ac:dyDescent="0.2">
      <c r="A60" s="44" t="s">
        <v>190</v>
      </c>
      <c r="B60" s="348">
        <f>B58</f>
        <v>42736.027728946181</v>
      </c>
      <c r="C60" s="266" t="str">
        <f>Параметры!$B$64</f>
        <v>тыс. руб.</v>
      </c>
      <c r="AT60" s="29"/>
    </row>
    <row r="61" spans="1:46" x14ac:dyDescent="0.2">
      <c r="A61" s="45"/>
      <c r="B61" s="46"/>
      <c r="C61" s="46"/>
      <c r="D61" s="47"/>
      <c r="AT61" s="29"/>
    </row>
    <row r="62" spans="1:46" x14ac:dyDescent="0.2">
      <c r="AT62" s="29"/>
    </row>
    <row r="63" spans="1:46" ht="12" thickBot="1" x14ac:dyDescent="0.25">
      <c r="AT63" s="29"/>
    </row>
    <row r="64" spans="1:46" s="43" customFormat="1" ht="25.5" customHeight="1" thickBot="1" x14ac:dyDescent="0.25">
      <c r="A64" s="481" t="s">
        <v>227</v>
      </c>
      <c r="B64" s="479"/>
      <c r="C64" s="477"/>
      <c r="D64" s="477"/>
      <c r="E64" s="479" t="str">
        <f>CHOOSE(Деятельность_УК!$D$2,Параметры!E$53,Параметры!E$54)</f>
        <v>1 кв. 2020</v>
      </c>
      <c r="F64" s="479" t="str">
        <f>CHOOSE(Деятельность_УК!$D$2,Параметры!F$53,Параметры!F$54)</f>
        <v>2 кв. 2020</v>
      </c>
      <c r="G64" s="479" t="str">
        <f>CHOOSE(Деятельность_УК!$D$2,Параметры!G$53,Параметры!G$54)</f>
        <v>3 кв. 2020</v>
      </c>
      <c r="H64" s="479" t="str">
        <f>CHOOSE(Деятельность_УК!$D$2,Параметры!H$53,Параметры!H$54)</f>
        <v>4 кв. 2020</v>
      </c>
      <c r="I64" s="479" t="str">
        <f>CHOOSE(Деятельность_УК!$D$2,Параметры!I$53,Параметры!I$54)</f>
        <v>1 кв. 2021</v>
      </c>
      <c r="J64" s="479" t="str">
        <f>CHOOSE(Деятельность_УК!$D$2,Параметры!J$53,Параметры!J$54)</f>
        <v>2 кв. 2021</v>
      </c>
      <c r="K64" s="479" t="str">
        <f>CHOOSE(Деятельность_УК!$D$2,Параметры!K$53,Параметры!K$54)</f>
        <v>3 кв. 2021</v>
      </c>
      <c r="L64" s="479" t="str">
        <f>CHOOSE(Деятельность_УК!$D$2,Параметры!L$53,Параметры!L$54)</f>
        <v>4 кв. 2021</v>
      </c>
      <c r="M64" s="479" t="str">
        <f>CHOOSE(Деятельность_УК!$D$2,Параметры!M$53,Параметры!M$54)</f>
        <v>1 кв. 2022</v>
      </c>
      <c r="N64" s="479" t="str">
        <f>CHOOSE(Деятельность_УК!$D$2,Параметры!N$53,Параметры!N$54)</f>
        <v>2 кв. 2022</v>
      </c>
      <c r="O64" s="479" t="str">
        <f>CHOOSE(Деятельность_УК!$D$2,Параметры!O$53,Параметры!O$54)</f>
        <v>3 кв. 2022</v>
      </c>
      <c r="P64" s="479" t="str">
        <f>CHOOSE(Деятельность_УК!$D$2,Параметры!P$53,Параметры!P$54)</f>
        <v>4 кв. 2022</v>
      </c>
      <c r="Q64" s="479" t="str">
        <f>CHOOSE(Деятельность_УК!$D$2,Параметры!Q$53,Параметры!Q$54)</f>
        <v>1 кв. 2023</v>
      </c>
      <c r="R64" s="479" t="str">
        <f>CHOOSE(Деятельность_УК!$D$2,Параметры!R$53,Параметры!R$54)</f>
        <v>2 кв. 2023</v>
      </c>
      <c r="S64" s="479" t="str">
        <f>CHOOSE(Деятельность_УК!$D$2,Параметры!S$53,Параметры!S$54)</f>
        <v>3 кв. 2023</v>
      </c>
      <c r="T64" s="479" t="str">
        <f>CHOOSE(Деятельность_УК!$D$2,Параметры!T$53,Параметры!T$54)</f>
        <v>4 кв. 2023</v>
      </c>
      <c r="U64" s="479" t="str">
        <f>CHOOSE(Деятельность_УК!$D$2,Параметры!U$53,Параметры!U$54)</f>
        <v>1 кв. 2024</v>
      </c>
      <c r="V64" s="479" t="str">
        <f>CHOOSE(Деятельность_УК!$D$2,Параметры!V$53,Параметры!V$54)</f>
        <v>2 кв. 2024</v>
      </c>
      <c r="W64" s="479" t="str">
        <f>CHOOSE(Деятельность_УК!$D$2,Параметры!W$53,Параметры!W$54)</f>
        <v>3 кв. 2024</v>
      </c>
      <c r="X64" s="479" t="str">
        <f>CHOOSE(Деятельность_УК!$D$2,Параметры!X$53,Параметры!X$54)</f>
        <v>4 кв. 2024</v>
      </c>
      <c r="Y64" s="479" t="str">
        <f>CHOOSE(Деятельность_УК!$D$2,Параметры!Y$53,Параметры!Y$54)</f>
        <v>1 кв. 2025</v>
      </c>
      <c r="Z64" s="479" t="str">
        <f>CHOOSE(Деятельность_УК!$D$2,Параметры!Z$53,Параметры!Z$54)</f>
        <v>2 кв. 2025</v>
      </c>
      <c r="AA64" s="479" t="str">
        <f>CHOOSE(Деятельность_УК!$D$2,Параметры!AA$53,Параметры!AA$54)</f>
        <v>3 кв. 2025</v>
      </c>
      <c r="AB64" s="479" t="str">
        <f>CHOOSE(Деятельность_УК!$D$2,Параметры!AB$53,Параметры!AB$54)</f>
        <v>4 кв. 2025</v>
      </c>
      <c r="AC64" s="479" t="str">
        <f>CHOOSE(Деятельность_УК!$D$2,Параметры!AC$53,Параметры!AC$54)</f>
        <v>1 кв. 2026</v>
      </c>
      <c r="AD64" s="479" t="str">
        <f>CHOOSE(Деятельность_УК!$D$2,Параметры!AD$53,Параметры!AD$54)</f>
        <v>2 кв. 2026</v>
      </c>
      <c r="AE64" s="479" t="str">
        <f>CHOOSE(Деятельность_УК!$D$2,Параметры!AE$53,Параметры!AE$54)</f>
        <v>3 кв. 2026</v>
      </c>
      <c r="AF64" s="479" t="str">
        <f>CHOOSE(Деятельность_УК!$D$2,Параметры!AF$53,Параметры!AF$54)</f>
        <v>4 кв. 2026</v>
      </c>
      <c r="AG64" s="479" t="str">
        <f>CHOOSE(Деятельность_УК!$D$2,Параметры!AG$53,Параметры!AG$54)</f>
        <v>1 кв. 2027</v>
      </c>
      <c r="AH64" s="479" t="str">
        <f>CHOOSE(Деятельность_УК!$D$2,Параметры!AH$53,Параметры!AH$54)</f>
        <v>2 кв. 2027</v>
      </c>
      <c r="AI64" s="479" t="str">
        <f>CHOOSE(Деятельность_УК!$D$2,Параметры!AI$53,Параметры!AI$54)</f>
        <v>3 кв. 2027</v>
      </c>
      <c r="AJ64" s="479" t="str">
        <f>CHOOSE(Деятельность_УК!$D$2,Параметры!AJ$53,Параметры!AJ$54)</f>
        <v>4 кв. 2027</v>
      </c>
      <c r="AK64" s="479" t="str">
        <f>CHOOSE(Деятельность_УК!$D$2,Параметры!AK$53,Параметры!AK$54)</f>
        <v>1 кв. 2028</v>
      </c>
      <c r="AL64" s="479" t="str">
        <f>CHOOSE(Деятельность_УК!$D$2,Параметры!AL$53,Параметры!AL$54)</f>
        <v>2 кв. 2028</v>
      </c>
      <c r="AM64" s="479" t="str">
        <f>CHOOSE(Деятельность_УК!$D$2,Параметры!AM$53,Параметры!AM$54)</f>
        <v>3 кв. 2028</v>
      </c>
      <c r="AN64" s="479" t="str">
        <f>CHOOSE(Деятельность_УК!$D$2,Параметры!AN$53,Параметры!AN$54)</f>
        <v>4 кв. 2028</v>
      </c>
      <c r="AO64" s="479" t="str">
        <f>CHOOSE(Деятельность_УК!$D$2,Параметры!AO$53,Параметры!AO$54)</f>
        <v>1 кв. 2029</v>
      </c>
      <c r="AP64" s="479" t="str">
        <f>CHOOSE(Деятельность_УК!$D$2,Параметры!AP$53,Параметры!AP$54)</f>
        <v>2 кв. 2029</v>
      </c>
      <c r="AQ64" s="479" t="str">
        <f>CHOOSE(Деятельность_УК!$D$2,Параметры!AQ$53,Параметры!AQ$54)</f>
        <v>3 кв. 2029</v>
      </c>
      <c r="AR64" s="479" t="str">
        <f>CHOOSE(Деятельность_УК!$D$2,Параметры!AR$53,Параметры!AR$54)</f>
        <v>4 кв. 2029</v>
      </c>
      <c r="AS64" s="485"/>
      <c r="AT64" s="485" t="s">
        <v>0</v>
      </c>
    </row>
    <row r="65" spans="1:46" x14ac:dyDescent="0.2">
      <c r="A65" s="44"/>
      <c r="E65" s="266"/>
      <c r="AT65" s="29"/>
    </row>
    <row r="66" spans="1:46" x14ac:dyDescent="0.2">
      <c r="A66" s="44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T66" s="29"/>
    </row>
    <row r="67" spans="1:46" x14ac:dyDescent="0.2">
      <c r="A67" s="76" t="s">
        <v>157</v>
      </c>
      <c r="B67" s="86"/>
      <c r="C67" s="86"/>
      <c r="D67" s="78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T67" s="29"/>
    </row>
    <row r="68" spans="1:46" x14ac:dyDescent="0.2">
      <c r="A68" s="63" t="s">
        <v>45</v>
      </c>
      <c r="C68" s="266" t="str">
        <f>Параметры!$B$64</f>
        <v>тыс. руб.</v>
      </c>
      <c r="E68" s="82">
        <f>IF(Деятельность_УК!E$2=1,$B$26,D68)</f>
        <v>42736.027728946232</v>
      </c>
      <c r="F68" s="82">
        <f>IF(Деятельность_УК!F$2=1,$B$26,E68)</f>
        <v>42736.027728946232</v>
      </c>
      <c r="G68" s="82">
        <f>IF(Деятельность_УК!G$2=1,$B$26,F68)</f>
        <v>42736.027728946232</v>
      </c>
      <c r="H68" s="82">
        <f>IF(Деятельность_УК!H$2=1,$B$26,G68)</f>
        <v>42736.027728946232</v>
      </c>
      <c r="I68" s="82">
        <f>IF(Деятельность_УК!I$2=1,$B$26,H68)</f>
        <v>42736.027728946232</v>
      </c>
      <c r="J68" s="82">
        <f>IF(Деятельность_УК!J$2=1,$B$26,I68)</f>
        <v>42736.027728946232</v>
      </c>
      <c r="K68" s="82">
        <f>IF(Деятельность_УК!K$2=1,$B$26,J68)</f>
        <v>42736.027728946232</v>
      </c>
      <c r="L68" s="82">
        <f>IF(Деятельность_УК!L$2=1,$B$26,K68)</f>
        <v>42736.027728946232</v>
      </c>
      <c r="M68" s="82">
        <f>IF(Деятельность_УК!M$2=1,$B$26,L68)</f>
        <v>42736.027728946232</v>
      </c>
      <c r="N68" s="82">
        <f>IF(Деятельность_УК!N$2=1,$B$26,M68)</f>
        <v>42736.027728946232</v>
      </c>
      <c r="O68" s="82">
        <f>IF(Деятельность_УК!O$2=1,$B$26,N68)</f>
        <v>42736.027728946232</v>
      </c>
      <c r="P68" s="82">
        <f>IF(Деятельность_УК!P$2=1,$B$26,O68)</f>
        <v>42736.027728946232</v>
      </c>
      <c r="Q68" s="82">
        <f>IF(Деятельность_УК!Q$2=1,$B$26,P68)</f>
        <v>42736.027728946232</v>
      </c>
      <c r="R68" s="82">
        <f>IF(Деятельность_УК!R$2=1,$B$26,Q68)</f>
        <v>42736.027728946232</v>
      </c>
      <c r="S68" s="82">
        <f>IF(Деятельность_УК!S$2=1,$B$26,R68)</f>
        <v>42736.027728946232</v>
      </c>
      <c r="T68" s="82">
        <f>IF(Деятельность_УК!T$2=1,$B$26,S68)</f>
        <v>42736.027728946232</v>
      </c>
      <c r="U68" s="82">
        <f>IF(Деятельность_УК!U$2=1,$B$26,T68)</f>
        <v>42736.027728946232</v>
      </c>
      <c r="V68" s="82">
        <f>IF(Деятельность_УК!V$2=1,$B$26,U68)</f>
        <v>42736.027728946232</v>
      </c>
      <c r="W68" s="82">
        <f>IF(Деятельность_УК!W$2=1,$B$26,V68)</f>
        <v>42736.027728946232</v>
      </c>
      <c r="X68" s="82">
        <f>IF(Деятельность_УК!X$2=1,$B$26,W68)</f>
        <v>42736.027728946232</v>
      </c>
      <c r="Y68" s="82">
        <f>IF(Деятельность_УК!Y$2=1,$B$26,X68)</f>
        <v>42736.027728946232</v>
      </c>
      <c r="Z68" s="82">
        <f>IF(Деятельность_УК!Z$2=1,$B$26,Y68)</f>
        <v>42736.027728946232</v>
      </c>
      <c r="AA68" s="82">
        <f>IF(Деятельность_УК!AA$2=1,$B$26,Z68)</f>
        <v>42736.027728946232</v>
      </c>
      <c r="AB68" s="82">
        <f>IF(Деятельность_УК!AB$2=1,$B$26,AA68)</f>
        <v>42736.027728946232</v>
      </c>
      <c r="AC68" s="82">
        <f>IF(Деятельность_УК!AC$2=1,$B$26,AB68)</f>
        <v>42736.027728946232</v>
      </c>
      <c r="AD68" s="82">
        <f>IF(Деятельность_УК!AD$2=1,$B$26,AC68)</f>
        <v>42736.027728946232</v>
      </c>
      <c r="AE68" s="82">
        <f>IF(Деятельность_УК!AE$2=1,$B$26,AD68)</f>
        <v>42736.027728946232</v>
      </c>
      <c r="AF68" s="82">
        <f>IF(Деятельность_УК!AF$2=1,$B$26,AE68)</f>
        <v>42736.027728946232</v>
      </c>
      <c r="AG68" s="82">
        <f>IF(Деятельность_УК!AG$2=1,$B$26,AF68)</f>
        <v>42736.027728946232</v>
      </c>
      <c r="AH68" s="82">
        <f>IF(Деятельность_УК!AH$2=1,$B$26,AG68)</f>
        <v>42736.027728946232</v>
      </c>
      <c r="AI68" s="82">
        <f>IF(Деятельность_УК!AI$2=1,$B$26,AH68)</f>
        <v>42736.027728946232</v>
      </c>
      <c r="AJ68" s="82">
        <f>IF(Деятельность_УК!AJ$2=1,$B$26,AI68)</f>
        <v>42736.027728946232</v>
      </c>
      <c r="AK68" s="82">
        <f>IF(Деятельность_УК!AK$2=1,$B$26,AJ68)</f>
        <v>42736.027728946232</v>
      </c>
      <c r="AL68" s="82">
        <f>IF(Деятельность_УК!AL$2=1,$B$26,AK68)</f>
        <v>42736.027728946232</v>
      </c>
      <c r="AM68" s="82">
        <f>IF(Деятельность_УК!AM$2=1,$B$26,AL68)</f>
        <v>42736.027728946232</v>
      </c>
      <c r="AN68" s="82">
        <f>IF(Деятельность_УК!AN$2=1,$B$26,AM68)</f>
        <v>42736.027728946232</v>
      </c>
      <c r="AO68" s="82">
        <f>IF(Деятельность_УК!AO$2=1,$B$26,AN68)</f>
        <v>42736.027728946232</v>
      </c>
      <c r="AP68" s="82">
        <f>IF(Деятельность_УК!AP$2=1,$B$26,AO68)</f>
        <v>42736.027728946232</v>
      </c>
      <c r="AQ68" s="82">
        <f>IF(Деятельность_УК!AQ$2=1,$B$26,AP68)</f>
        <v>42736.027728946232</v>
      </c>
      <c r="AR68" s="82">
        <f>IF(Деятельность_УК!AR$2=1,$B$26,AQ68)</f>
        <v>42736.027728946232</v>
      </c>
      <c r="AT68" s="29"/>
    </row>
    <row r="69" spans="1:46" x14ac:dyDescent="0.2">
      <c r="A69" s="63" t="s">
        <v>290</v>
      </c>
      <c r="B69" s="339">
        <f>ИД!C28</f>
        <v>349510.08546441566</v>
      </c>
      <c r="C69" s="266" t="str">
        <f>Параметры!$B$64</f>
        <v>тыс. руб.</v>
      </c>
      <c r="E69" s="82">
        <f t="shared" ref="E69:AR69" si="0">IF(E68&gt;0,$B69,0)</f>
        <v>349510.08546441566</v>
      </c>
      <c r="F69" s="82">
        <f t="shared" si="0"/>
        <v>349510.08546441566</v>
      </c>
      <c r="G69" s="82">
        <f t="shared" si="0"/>
        <v>349510.08546441566</v>
      </c>
      <c r="H69" s="82">
        <f t="shared" si="0"/>
        <v>349510.08546441566</v>
      </c>
      <c r="I69" s="82">
        <f t="shared" si="0"/>
        <v>349510.08546441566</v>
      </c>
      <c r="J69" s="82">
        <f t="shared" si="0"/>
        <v>349510.08546441566</v>
      </c>
      <c r="K69" s="82">
        <f t="shared" si="0"/>
        <v>349510.08546441566</v>
      </c>
      <c r="L69" s="82">
        <f t="shared" si="0"/>
        <v>349510.08546441566</v>
      </c>
      <c r="M69" s="82">
        <f t="shared" si="0"/>
        <v>349510.08546441566</v>
      </c>
      <c r="N69" s="82">
        <f t="shared" si="0"/>
        <v>349510.08546441566</v>
      </c>
      <c r="O69" s="82">
        <f t="shared" si="0"/>
        <v>349510.08546441566</v>
      </c>
      <c r="P69" s="82">
        <f t="shared" si="0"/>
        <v>349510.08546441566</v>
      </c>
      <c r="Q69" s="82">
        <f t="shared" si="0"/>
        <v>349510.08546441566</v>
      </c>
      <c r="R69" s="82">
        <f t="shared" si="0"/>
        <v>349510.08546441566</v>
      </c>
      <c r="S69" s="82">
        <f t="shared" si="0"/>
        <v>349510.08546441566</v>
      </c>
      <c r="T69" s="82">
        <f t="shared" si="0"/>
        <v>349510.08546441566</v>
      </c>
      <c r="U69" s="82">
        <f t="shared" si="0"/>
        <v>349510.08546441566</v>
      </c>
      <c r="V69" s="82">
        <f t="shared" si="0"/>
        <v>349510.08546441566</v>
      </c>
      <c r="W69" s="82">
        <f t="shared" si="0"/>
        <v>349510.08546441566</v>
      </c>
      <c r="X69" s="82">
        <f t="shared" si="0"/>
        <v>349510.08546441566</v>
      </c>
      <c r="Y69" s="82">
        <f t="shared" si="0"/>
        <v>349510.08546441566</v>
      </c>
      <c r="Z69" s="82">
        <f t="shared" si="0"/>
        <v>349510.08546441566</v>
      </c>
      <c r="AA69" s="82">
        <f t="shared" si="0"/>
        <v>349510.08546441566</v>
      </c>
      <c r="AB69" s="82">
        <f t="shared" si="0"/>
        <v>349510.08546441566</v>
      </c>
      <c r="AC69" s="82">
        <f t="shared" si="0"/>
        <v>349510.08546441566</v>
      </c>
      <c r="AD69" s="82">
        <f t="shared" si="0"/>
        <v>349510.08546441566</v>
      </c>
      <c r="AE69" s="82">
        <f t="shared" si="0"/>
        <v>349510.08546441566</v>
      </c>
      <c r="AF69" s="82">
        <f t="shared" si="0"/>
        <v>349510.08546441566</v>
      </c>
      <c r="AG69" s="82">
        <f t="shared" si="0"/>
        <v>349510.08546441566</v>
      </c>
      <c r="AH69" s="82">
        <f t="shared" si="0"/>
        <v>349510.08546441566</v>
      </c>
      <c r="AI69" s="82">
        <f t="shared" si="0"/>
        <v>349510.08546441566</v>
      </c>
      <c r="AJ69" s="82">
        <f t="shared" si="0"/>
        <v>349510.08546441566</v>
      </c>
      <c r="AK69" s="82">
        <f t="shared" si="0"/>
        <v>349510.08546441566</v>
      </c>
      <c r="AL69" s="82">
        <f t="shared" si="0"/>
        <v>349510.08546441566</v>
      </c>
      <c r="AM69" s="82">
        <f t="shared" si="0"/>
        <v>349510.08546441566</v>
      </c>
      <c r="AN69" s="82">
        <f t="shared" si="0"/>
        <v>349510.08546441566</v>
      </c>
      <c r="AO69" s="82">
        <f t="shared" si="0"/>
        <v>349510.08546441566</v>
      </c>
      <c r="AP69" s="82">
        <f t="shared" si="0"/>
        <v>349510.08546441566</v>
      </c>
      <c r="AQ69" s="82">
        <f t="shared" si="0"/>
        <v>349510.08546441566</v>
      </c>
      <c r="AR69" s="82">
        <f t="shared" si="0"/>
        <v>349510.08546441566</v>
      </c>
      <c r="AT69" s="29"/>
    </row>
    <row r="70" spans="1:46" x14ac:dyDescent="0.2">
      <c r="A70" s="194" t="str">
        <f>ИД!D28</f>
        <v>в расчете на площадь парка 27,15 га</v>
      </c>
      <c r="B70" s="63"/>
      <c r="C70" s="266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T70" s="29"/>
    </row>
    <row r="71" spans="1:46" x14ac:dyDescent="0.2">
      <c r="A71" s="44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T71" s="29"/>
    </row>
    <row r="72" spans="1:46" x14ac:dyDescent="0.2">
      <c r="A72" s="44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T72" s="29"/>
    </row>
    <row r="73" spans="1:46" x14ac:dyDescent="0.2">
      <c r="A73" s="44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T73" s="29"/>
    </row>
    <row r="74" spans="1:46" x14ac:dyDescent="0.2">
      <c r="A74" s="44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T74" s="29"/>
    </row>
    <row r="75" spans="1:46" x14ac:dyDescent="0.2">
      <c r="A75" s="88"/>
      <c r="B75" s="88"/>
      <c r="C75" s="88"/>
      <c r="D75" s="442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8"/>
      <c r="AT75" s="88"/>
    </row>
    <row r="76" spans="1:46" ht="12" thickBot="1" x14ac:dyDescent="0.25"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T76" s="29"/>
    </row>
    <row r="77" spans="1:46" s="43" customFormat="1" ht="25.5" customHeight="1" thickBot="1" x14ac:dyDescent="0.25">
      <c r="A77" s="481" t="s">
        <v>228</v>
      </c>
      <c r="B77" s="479"/>
      <c r="C77" s="477"/>
      <c r="D77" s="486"/>
      <c r="E77" s="479" t="str">
        <f>CHOOSE(Деятельность_УК!$D$2,Параметры!E$53,Параметры!E$54)</f>
        <v>1 кв. 2020</v>
      </c>
      <c r="F77" s="479" t="str">
        <f>CHOOSE(Деятельность_УК!$D$2,Параметры!F$53,Параметры!F$54)</f>
        <v>2 кв. 2020</v>
      </c>
      <c r="G77" s="479" t="str">
        <f>CHOOSE(Деятельность_УК!$D$2,Параметры!G$53,Параметры!G$54)</f>
        <v>3 кв. 2020</v>
      </c>
      <c r="H77" s="479" t="str">
        <f>CHOOSE(Деятельность_УК!$D$2,Параметры!H$53,Параметры!H$54)</f>
        <v>4 кв. 2020</v>
      </c>
      <c r="I77" s="479" t="str">
        <f>CHOOSE(Деятельность_УК!$D$2,Параметры!I$53,Параметры!I$54)</f>
        <v>1 кв. 2021</v>
      </c>
      <c r="J77" s="479" t="str">
        <f>CHOOSE(Деятельность_УК!$D$2,Параметры!J$53,Параметры!J$54)</f>
        <v>2 кв. 2021</v>
      </c>
      <c r="K77" s="479" t="str">
        <f>CHOOSE(Деятельность_УК!$D$2,Параметры!K$53,Параметры!K$54)</f>
        <v>3 кв. 2021</v>
      </c>
      <c r="L77" s="479" t="str">
        <f>CHOOSE(Деятельность_УК!$D$2,Параметры!L$53,Параметры!L$54)</f>
        <v>4 кв. 2021</v>
      </c>
      <c r="M77" s="479" t="str">
        <f>CHOOSE(Деятельность_УК!$D$2,Параметры!M$53,Параметры!M$54)</f>
        <v>1 кв. 2022</v>
      </c>
      <c r="N77" s="479" t="str">
        <f>CHOOSE(Деятельность_УК!$D$2,Параметры!N$53,Параметры!N$54)</f>
        <v>2 кв. 2022</v>
      </c>
      <c r="O77" s="479" t="str">
        <f>CHOOSE(Деятельность_УК!$D$2,Параметры!O$53,Параметры!O$54)</f>
        <v>3 кв. 2022</v>
      </c>
      <c r="P77" s="479" t="str">
        <f>CHOOSE(Деятельность_УК!$D$2,Параметры!P$53,Параметры!P$54)</f>
        <v>4 кв. 2022</v>
      </c>
      <c r="Q77" s="479" t="str">
        <f>CHOOSE(Деятельность_УК!$D$2,Параметры!Q$53,Параметры!Q$54)</f>
        <v>1 кв. 2023</v>
      </c>
      <c r="R77" s="479" t="str">
        <f>CHOOSE(Деятельность_УК!$D$2,Параметры!R$53,Параметры!R$54)</f>
        <v>2 кв. 2023</v>
      </c>
      <c r="S77" s="479" t="str">
        <f>CHOOSE(Деятельность_УК!$D$2,Параметры!S$53,Параметры!S$54)</f>
        <v>3 кв. 2023</v>
      </c>
      <c r="T77" s="479" t="str">
        <f>CHOOSE(Деятельность_УК!$D$2,Параметры!T$53,Параметры!T$54)</f>
        <v>4 кв. 2023</v>
      </c>
      <c r="U77" s="479" t="str">
        <f>CHOOSE(Деятельность_УК!$D$2,Параметры!U$53,Параметры!U$54)</f>
        <v>1 кв. 2024</v>
      </c>
      <c r="V77" s="479" t="str">
        <f>CHOOSE(Деятельность_УК!$D$2,Параметры!V$53,Параметры!V$54)</f>
        <v>2 кв. 2024</v>
      </c>
      <c r="W77" s="479" t="str">
        <f>CHOOSE(Деятельность_УК!$D$2,Параметры!W$53,Параметры!W$54)</f>
        <v>3 кв. 2024</v>
      </c>
      <c r="X77" s="479" t="str">
        <f>CHOOSE(Деятельность_УК!$D$2,Параметры!X$53,Параметры!X$54)</f>
        <v>4 кв. 2024</v>
      </c>
      <c r="Y77" s="479" t="str">
        <f>CHOOSE(Деятельность_УК!$D$2,Параметры!Y$53,Параметры!Y$54)</f>
        <v>1 кв. 2025</v>
      </c>
      <c r="Z77" s="479" t="str">
        <f>CHOOSE(Деятельность_УК!$D$2,Параметры!Z$53,Параметры!Z$54)</f>
        <v>2 кв. 2025</v>
      </c>
      <c r="AA77" s="479" t="str">
        <f>CHOOSE(Деятельность_УК!$D$2,Параметры!AA$53,Параметры!AA$54)</f>
        <v>3 кв. 2025</v>
      </c>
      <c r="AB77" s="479" t="str">
        <f>CHOOSE(Деятельность_УК!$D$2,Параметры!AB$53,Параметры!AB$54)</f>
        <v>4 кв. 2025</v>
      </c>
      <c r="AC77" s="479" t="str">
        <f>CHOOSE(Деятельность_УК!$D$2,Параметры!AC$53,Параметры!AC$54)</f>
        <v>1 кв. 2026</v>
      </c>
      <c r="AD77" s="479" t="str">
        <f>CHOOSE(Деятельность_УК!$D$2,Параметры!AD$53,Параметры!AD$54)</f>
        <v>2 кв. 2026</v>
      </c>
      <c r="AE77" s="479" t="str">
        <f>CHOOSE(Деятельность_УК!$D$2,Параметры!AE$53,Параметры!AE$54)</f>
        <v>3 кв. 2026</v>
      </c>
      <c r="AF77" s="479" t="str">
        <f>CHOOSE(Деятельность_УК!$D$2,Параметры!AF$53,Параметры!AF$54)</f>
        <v>4 кв. 2026</v>
      </c>
      <c r="AG77" s="479" t="str">
        <f>CHOOSE(Деятельность_УК!$D$2,Параметры!AG$53,Параметры!AG$54)</f>
        <v>1 кв. 2027</v>
      </c>
      <c r="AH77" s="479" t="str">
        <f>CHOOSE(Деятельность_УК!$D$2,Параметры!AH$53,Параметры!AH$54)</f>
        <v>2 кв. 2027</v>
      </c>
      <c r="AI77" s="479" t="str">
        <f>CHOOSE(Деятельность_УК!$D$2,Параметры!AI$53,Параметры!AI$54)</f>
        <v>3 кв. 2027</v>
      </c>
      <c r="AJ77" s="479" t="str">
        <f>CHOOSE(Деятельность_УК!$D$2,Параметры!AJ$53,Параметры!AJ$54)</f>
        <v>4 кв. 2027</v>
      </c>
      <c r="AK77" s="479" t="str">
        <f>CHOOSE(Деятельность_УК!$D$2,Параметры!AK$53,Параметры!AK$54)</f>
        <v>1 кв. 2028</v>
      </c>
      <c r="AL77" s="479" t="str">
        <f>CHOOSE(Деятельность_УК!$D$2,Параметры!AL$53,Параметры!AL$54)</f>
        <v>2 кв. 2028</v>
      </c>
      <c r="AM77" s="479" t="str">
        <f>CHOOSE(Деятельность_УК!$D$2,Параметры!AM$53,Параметры!AM$54)</f>
        <v>3 кв. 2028</v>
      </c>
      <c r="AN77" s="479" t="str">
        <f>CHOOSE(Деятельность_УК!$D$2,Параметры!AN$53,Параметры!AN$54)</f>
        <v>4 кв. 2028</v>
      </c>
      <c r="AO77" s="479" t="str">
        <f>CHOOSE(Деятельность_УК!$D$2,Параметры!AO$53,Параметры!AO$54)</f>
        <v>1 кв. 2029</v>
      </c>
      <c r="AP77" s="479" t="str">
        <f>CHOOSE(Деятельность_УК!$D$2,Параметры!AP$53,Параметры!AP$54)</f>
        <v>2 кв. 2029</v>
      </c>
      <c r="AQ77" s="479" t="str">
        <f>CHOOSE(Деятельность_УК!$D$2,Параметры!AQ$53,Параметры!AQ$54)</f>
        <v>3 кв. 2029</v>
      </c>
      <c r="AR77" s="479" t="str">
        <f>CHOOSE(Деятельность_УК!$D$2,Параметры!AR$53,Параметры!AR$54)</f>
        <v>4 кв. 2029</v>
      </c>
      <c r="AS77" s="485"/>
      <c r="AT77" s="485" t="s">
        <v>0</v>
      </c>
    </row>
    <row r="78" spans="1:46" x14ac:dyDescent="0.2">
      <c r="A78" s="44"/>
      <c r="AS78" s="1"/>
    </row>
    <row r="79" spans="1:46" x14ac:dyDescent="0.2">
      <c r="A79" s="80" t="s">
        <v>86</v>
      </c>
      <c r="B79" s="46"/>
      <c r="C79" s="46"/>
      <c r="D79" s="47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73"/>
      <c r="AT79" s="91"/>
    </row>
    <row r="80" spans="1:46" x14ac:dyDescent="0.2">
      <c r="A80" s="44"/>
      <c r="F80" s="996"/>
      <c r="G80" s="996"/>
      <c r="H80" s="996"/>
      <c r="I80" s="996"/>
      <c r="J80" s="996"/>
      <c r="K80" s="996"/>
      <c r="L80" s="996"/>
      <c r="AS80" s="1"/>
    </row>
    <row r="81" spans="1:46" x14ac:dyDescent="0.2">
      <c r="A81" s="349" t="s">
        <v>985</v>
      </c>
      <c r="B81" s="225" t="s">
        <v>390</v>
      </c>
      <c r="C81" s="287">
        <v>1</v>
      </c>
      <c r="D81" s="65"/>
      <c r="E81" s="64"/>
      <c r="F81" s="995"/>
      <c r="G81" s="995"/>
      <c r="H81" s="995"/>
      <c r="I81" s="995"/>
      <c r="J81" s="995"/>
      <c r="K81" s="995"/>
      <c r="L81" s="995"/>
      <c r="M81" s="995"/>
      <c r="N81" s="995"/>
      <c r="O81" s="995"/>
      <c r="P81" s="995"/>
      <c r="Q81" s="995"/>
      <c r="R81" s="995"/>
      <c r="S81" s="995"/>
      <c r="T81" s="995"/>
      <c r="U81" s="995"/>
      <c r="V81" s="995"/>
      <c r="W81" s="995"/>
      <c r="X81" s="995"/>
      <c r="Y81" s="995"/>
      <c r="Z81" s="995"/>
      <c r="AA81" s="995"/>
      <c r="AB81" s="995"/>
      <c r="AC81" s="995"/>
      <c r="AD81" s="995"/>
      <c r="AE81" s="995"/>
      <c r="AF81" s="995"/>
      <c r="AG81" s="995"/>
      <c r="AH81" s="995"/>
      <c r="AI81" s="995"/>
      <c r="AJ81" s="995"/>
      <c r="AK81" s="995"/>
      <c r="AL81" s="995"/>
      <c r="AM81" s="995"/>
      <c r="AN81" s="64"/>
      <c r="AO81" s="64"/>
      <c r="AP81" s="64"/>
      <c r="AQ81" s="64"/>
      <c r="AR81" s="64"/>
      <c r="AS81" s="41"/>
      <c r="AT81" s="92"/>
    </row>
    <row r="82" spans="1:46" x14ac:dyDescent="0.2">
      <c r="A82" s="93" t="s">
        <v>739</v>
      </c>
      <c r="B82" s="350">
        <f>ИД!C163*(1-ИД!D163)</f>
        <v>576667.5</v>
      </c>
      <c r="C82" s="3" t="str">
        <f>CHOOSE(C81,Параметры!$B$64,Параметры!$B$108,Параметры!$B$117)</f>
        <v>тыс. руб.</v>
      </c>
      <c r="E82" s="94">
        <f>IF(Деятельность_УК!E$2=1, $B82, D87)</f>
        <v>576667.5</v>
      </c>
      <c r="F82" s="94">
        <f>IF(Деятельность_УК!F$2=1, $B82, E87)</f>
        <v>865001.25</v>
      </c>
      <c r="G82" s="94">
        <f ca="1">IF(Деятельность_УК!G$2=1, $B82, F87)</f>
        <v>1153335</v>
      </c>
      <c r="H82" s="94">
        <f ca="1">IF(Деятельность_УК!H$2=1, $B82, G87)</f>
        <v>1127257.3951891144</v>
      </c>
      <c r="I82" s="94">
        <f ca="1">IF(Деятельность_УК!I$2=1, $B82, H87)</f>
        <v>1100658.2382820111</v>
      </c>
      <c r="J82" s="94">
        <f ca="1">IF(Деятельность_УК!J$2=1, $B82, I87)</f>
        <v>1073527.0982367657</v>
      </c>
      <c r="K82" s="94">
        <f ca="1">IF(Деятельность_УК!K$2=1, $B82, J87)</f>
        <v>1045853.3353906154</v>
      </c>
      <c r="L82" s="94">
        <f ca="1">IF(Деятельность_УК!L$2=1, $B82, K87)</f>
        <v>1017626.0972875422</v>
      </c>
      <c r="M82" s="94">
        <f ca="1">IF(Деятельность_УК!M$2=1, $B82, L87)</f>
        <v>988834.31442240742</v>
      </c>
      <c r="N82" s="94">
        <f ca="1">IF(Деятельность_УК!N$2=1, $B82, M87)</f>
        <v>959466.69589997001</v>
      </c>
      <c r="O82" s="94">
        <f ca="1">IF(Деятельность_УК!O$2=1, $B82, N87)</f>
        <v>929511.7250070835</v>
      </c>
      <c r="P82" s="94">
        <f ca="1">IF(Деятельность_УК!P$2=1, $B82, O87)</f>
        <v>898957.65469633986</v>
      </c>
      <c r="Q82" s="94">
        <f ca="1">IF(Деятельность_УК!Q$2=1, $B82, P87)</f>
        <v>867792.50297938101</v>
      </c>
      <c r="R82" s="94">
        <f ca="1">IF(Деятельность_УК!R$2=1, $B82, Q87)</f>
        <v>836004.04822808318</v>
      </c>
      <c r="S82" s="94">
        <f ca="1">IF(Деятельность_УК!S$2=1, $B82, R87)</f>
        <v>803579.82438175916</v>
      </c>
      <c r="T82" s="94">
        <f ca="1">IF(Деятельность_УК!T$2=1, $B82, S87)</f>
        <v>770507.11605850887</v>
      </c>
      <c r="U82" s="94">
        <f ca="1">IF(Деятельность_УК!U$2=1, $B82, T87)</f>
        <v>736772.95356879337</v>
      </c>
      <c r="V82" s="94">
        <f ca="1">IF(Деятельность_УК!V$2=1, $B82, U87)</f>
        <v>702364.10782928369</v>
      </c>
      <c r="W82" s="94">
        <f ca="1">IF(Деятельность_УК!W$2=1, $B82, V87)</f>
        <v>667267.08517498372</v>
      </c>
      <c r="X82" s="94">
        <f ca="1">IF(Деятельность_УК!X$2=1, $B82, W87)</f>
        <v>631468.12206759781</v>
      </c>
      <c r="Y82" s="94">
        <f ca="1">IF(Деятельность_УК!Y$2=1, $B82, X87)</f>
        <v>594953.17969806422</v>
      </c>
      <c r="Z82" s="94">
        <f ca="1">IF(Деятельность_УК!Z$2=1, $B82, Y87)</f>
        <v>557707.93848113995</v>
      </c>
      <c r="AA82" s="94">
        <f ca="1">IF(Деятельность_УК!AA$2=1, $B82, Z87)</f>
        <v>519717.79243987717</v>
      </c>
      <c r="AB82" s="94">
        <f ca="1">IF(Деятельность_УК!AB$2=1, $B82, AA87)</f>
        <v>480967.84347778908</v>
      </c>
      <c r="AC82" s="94">
        <f ca="1">IF(Деятельность_УК!AC$2=1, $B82, AB87)</f>
        <v>441442.89553645928</v>
      </c>
      <c r="AD82" s="94">
        <f ca="1">IF(Деятельность_УК!AD$2=1, $B82, AC87)</f>
        <v>401127.44863630284</v>
      </c>
      <c r="AE82" s="94">
        <f ca="1">IF(Деятельность_УК!AE$2=1, $B82, AD87)</f>
        <v>360005.69279814325</v>
      </c>
      <c r="AF82" s="94">
        <f ca="1">IF(Деятельность_УК!AF$2=1, $B82, AE87)</f>
        <v>318061.50184322055</v>
      </c>
      <c r="AG82" s="94">
        <f ca="1">IF(Деятельность_УК!AG$2=1, $B82, AF87)</f>
        <v>275278.42706919939</v>
      </c>
      <c r="AH82" s="94">
        <f ca="1">IF(Деятельность_УК!AH$2=1, $B82, AG87)</f>
        <v>231639.69079969777</v>
      </c>
      <c r="AI82" s="94">
        <f ca="1">IF(Деятельность_УК!AI$2=1, $B82, AH87)</f>
        <v>187128.17980480613</v>
      </c>
      <c r="AJ82" s="94">
        <f ca="1">IF(Деятельность_УК!AJ$2=1, $B82, AI87)</f>
        <v>141726.43859001668</v>
      </c>
      <c r="AK82" s="94">
        <f ca="1">IF(Деятельность_УК!AK$2=1, $B82, AJ87)</f>
        <v>95416.662550931331</v>
      </c>
      <c r="AL82" s="94">
        <f ca="1">IF(Деятельность_УК!AL$2=1, $B82, AK87)</f>
        <v>48180.690991064301</v>
      </c>
      <c r="AM82" s="94">
        <f ca="1">IF(Деятельность_УК!AM$2=1, $B82, AL87)</f>
        <v>0</v>
      </c>
      <c r="AN82" s="94">
        <f ca="1">IF(Деятельность_УК!AN$2=1, $B82, AM87)</f>
        <v>0</v>
      </c>
      <c r="AO82" s="94">
        <f ca="1">IF(Деятельность_УК!AO$2=1, $B82, AN87)</f>
        <v>0</v>
      </c>
      <c r="AP82" s="94">
        <f ca="1">IF(Деятельность_УК!AP$2=1, $B82, AO87)</f>
        <v>0</v>
      </c>
      <c r="AQ82" s="94">
        <f ca="1">IF(Деятельность_УК!AQ$2=1, $B82, AP87)</f>
        <v>0</v>
      </c>
      <c r="AR82" s="94">
        <f ca="1">IF(Деятельность_УК!AR$2=1, $B82, AQ87)</f>
        <v>0</v>
      </c>
      <c r="AS82" s="94"/>
      <c r="AT82" s="84"/>
    </row>
    <row r="83" spans="1:46" x14ac:dyDescent="0.2">
      <c r="A83" s="93" t="s">
        <v>88</v>
      </c>
      <c r="B83" s="351">
        <f>ИД!C211</f>
        <v>0.08</v>
      </c>
      <c r="C83" s="9" t="s">
        <v>14</v>
      </c>
      <c r="E83" s="352">
        <f>B83</f>
        <v>0.08</v>
      </c>
      <c r="F83" s="352">
        <f>E83</f>
        <v>0.08</v>
      </c>
      <c r="G83" s="352">
        <f t="shared" ref="G83" si="1">F83</f>
        <v>0.08</v>
      </c>
      <c r="H83" s="352">
        <f t="shared" ref="H83" si="2">G83</f>
        <v>0.08</v>
      </c>
      <c r="I83" s="352">
        <f t="shared" ref="I83" si="3">H83</f>
        <v>0.08</v>
      </c>
      <c r="J83" s="352">
        <f t="shared" ref="J83" si="4">I83</f>
        <v>0.08</v>
      </c>
      <c r="K83" s="352">
        <f t="shared" ref="K83" si="5">J83</f>
        <v>0.08</v>
      </c>
      <c r="L83" s="352">
        <f t="shared" ref="L83" si="6">K83</f>
        <v>0.08</v>
      </c>
      <c r="M83" s="352">
        <f t="shared" ref="M83" si="7">L83</f>
        <v>0.08</v>
      </c>
      <c r="N83" s="352">
        <f t="shared" ref="N83" si="8">M83</f>
        <v>0.08</v>
      </c>
      <c r="O83" s="352">
        <f t="shared" ref="O83" si="9">N83</f>
        <v>0.08</v>
      </c>
      <c r="P83" s="352">
        <f t="shared" ref="P83" si="10">O83</f>
        <v>0.08</v>
      </c>
      <c r="Q83" s="352">
        <f t="shared" ref="Q83" si="11">P83</f>
        <v>0.08</v>
      </c>
      <c r="R83" s="352">
        <f t="shared" ref="R83" si="12">Q83</f>
        <v>0.08</v>
      </c>
      <c r="S83" s="352">
        <f t="shared" ref="S83" si="13">R83</f>
        <v>0.08</v>
      </c>
      <c r="T83" s="352">
        <f t="shared" ref="T83" si="14">S83</f>
        <v>0.08</v>
      </c>
      <c r="U83" s="352">
        <f t="shared" ref="U83" si="15">T83</f>
        <v>0.08</v>
      </c>
      <c r="V83" s="352">
        <f t="shared" ref="V83" si="16">U83</f>
        <v>0.08</v>
      </c>
      <c r="W83" s="352">
        <f t="shared" ref="W83" si="17">V83</f>
        <v>0.08</v>
      </c>
      <c r="X83" s="352">
        <f t="shared" ref="X83" si="18">W83</f>
        <v>0.08</v>
      </c>
      <c r="Y83" s="352">
        <f t="shared" ref="Y83" si="19">X83</f>
        <v>0.08</v>
      </c>
      <c r="Z83" s="352">
        <f t="shared" ref="Z83" si="20">Y83</f>
        <v>0.08</v>
      </c>
      <c r="AA83" s="352">
        <f t="shared" ref="AA83" si="21">Z83</f>
        <v>0.08</v>
      </c>
      <c r="AB83" s="352">
        <f t="shared" ref="AB83" si="22">AA83</f>
        <v>0.08</v>
      </c>
      <c r="AC83" s="352">
        <f t="shared" ref="AC83" si="23">AB83</f>
        <v>0.08</v>
      </c>
      <c r="AD83" s="352">
        <f t="shared" ref="AD83" si="24">AC83</f>
        <v>0.08</v>
      </c>
      <c r="AE83" s="352">
        <f t="shared" ref="AE83" si="25">AD83</f>
        <v>0.08</v>
      </c>
      <c r="AF83" s="352">
        <f t="shared" ref="AF83" si="26">AE83</f>
        <v>0.08</v>
      </c>
      <c r="AG83" s="352">
        <f t="shared" ref="AG83" si="27">AF83</f>
        <v>0.08</v>
      </c>
      <c r="AH83" s="352">
        <f t="shared" ref="AH83" si="28">AG83</f>
        <v>0.08</v>
      </c>
      <c r="AI83" s="352">
        <f t="shared" ref="AI83" si="29">AH83</f>
        <v>0.08</v>
      </c>
      <c r="AJ83" s="352">
        <f t="shared" ref="AJ83" si="30">AI83</f>
        <v>0.08</v>
      </c>
      <c r="AK83" s="352">
        <f t="shared" ref="AK83" si="31">AJ83</f>
        <v>0.08</v>
      </c>
      <c r="AL83" s="352">
        <f t="shared" ref="AL83" si="32">AK83</f>
        <v>0.08</v>
      </c>
      <c r="AM83" s="352">
        <f t="shared" ref="AM83" si="33">AL83</f>
        <v>0.08</v>
      </c>
      <c r="AN83" s="352">
        <f t="shared" ref="AN83" si="34">AM83</f>
        <v>0.08</v>
      </c>
      <c r="AO83" s="352">
        <f t="shared" ref="AO83" si="35">AN83</f>
        <v>0.08</v>
      </c>
      <c r="AP83" s="352">
        <f t="shared" ref="AP83" si="36">AO83</f>
        <v>0.08</v>
      </c>
      <c r="AQ83" s="352">
        <f t="shared" ref="AQ83" si="37">AP83</f>
        <v>0.08</v>
      </c>
      <c r="AR83" s="352">
        <f t="shared" ref="AR83" si="38">AQ83</f>
        <v>0.08</v>
      </c>
      <c r="AS83" s="95"/>
      <c r="AT83" s="96"/>
    </row>
    <row r="84" spans="1:46" collapsed="1" x14ac:dyDescent="0.2">
      <c r="A84" s="93" t="s">
        <v>737</v>
      </c>
      <c r="B84" s="158">
        <f ca="1">AT84</f>
        <v>576667.5</v>
      </c>
      <c r="C84" s="3" t="str">
        <f>CHOOSE(C81,Параметры!$B$64,Параметры!$B$108,Параметры!$B$117)</f>
        <v>тыс. руб.</v>
      </c>
      <c r="E84" s="346">
        <f>E392*1.2*ИД!$C$210</f>
        <v>288333.75</v>
      </c>
      <c r="F84" s="346">
        <f ca="1">F392*1.2*ИД!$C$210</f>
        <v>288333.75</v>
      </c>
      <c r="G84" s="346">
        <f ca="1">G392*1.2*ИД!$C$210</f>
        <v>0</v>
      </c>
      <c r="H84" s="346">
        <f ca="1">H392*1.2*ИД!$C$210</f>
        <v>0</v>
      </c>
      <c r="I84" s="346">
        <f ca="1">I392*1.2*ИД!$C$210</f>
        <v>0</v>
      </c>
      <c r="J84" s="346">
        <f ca="1">J392*1.2*ИД!$C$210</f>
        <v>0</v>
      </c>
      <c r="K84" s="346">
        <f ca="1">K392*1.2*ИД!$C$210</f>
        <v>0</v>
      </c>
      <c r="L84" s="346">
        <f ca="1">L392*1.2*ИД!$C$210</f>
        <v>0</v>
      </c>
      <c r="M84" s="346">
        <f ca="1">M392*1.2*ИД!$C$210</f>
        <v>0</v>
      </c>
      <c r="N84" s="346">
        <f ca="1">N392*1.2*ИД!$C$210</f>
        <v>0</v>
      </c>
      <c r="O84" s="346">
        <f ca="1">O392*1.2*ИД!$C$210</f>
        <v>0</v>
      </c>
      <c r="P84" s="346">
        <f ca="1">P392*1.2*ИД!$C$210</f>
        <v>0</v>
      </c>
      <c r="Q84" s="346">
        <f ca="1">Q392*1.2*ИД!$C$210</f>
        <v>0</v>
      </c>
      <c r="R84" s="346">
        <f ca="1">R392*1.2*ИД!$C$210</f>
        <v>0</v>
      </c>
      <c r="S84" s="346">
        <f ca="1">S392*1.2*ИД!$C$210</f>
        <v>0</v>
      </c>
      <c r="T84" s="346">
        <f ca="1">T392*1.2*ИД!$C$210</f>
        <v>0</v>
      </c>
      <c r="U84" s="346">
        <f ca="1">U392*1.2*ИД!$C$210</f>
        <v>0</v>
      </c>
      <c r="V84" s="346">
        <f ca="1">V392*1.2*ИД!$C$210</f>
        <v>0</v>
      </c>
      <c r="W84" s="346">
        <f ca="1">W392*1.2*ИД!$C$210</f>
        <v>0</v>
      </c>
      <c r="X84" s="346">
        <f ca="1">X392*1.2*ИД!$C$210</f>
        <v>0</v>
      </c>
      <c r="Y84" s="346">
        <f ca="1">Y392*1.2*ИД!$C$210</f>
        <v>0</v>
      </c>
      <c r="Z84" s="346">
        <f ca="1">Z392*1.2*ИД!$C$210</f>
        <v>0</v>
      </c>
      <c r="AA84" s="346">
        <f ca="1">AA392*1.2*ИД!$C$210</f>
        <v>0</v>
      </c>
      <c r="AB84" s="346">
        <f ca="1">AB392*1.2*ИД!$C$210</f>
        <v>0</v>
      </c>
      <c r="AC84" s="346">
        <f ca="1">AC392*1.2*ИД!$C$210</f>
        <v>0</v>
      </c>
      <c r="AD84" s="346">
        <f ca="1">AD392*1.2*ИД!$C$210</f>
        <v>0</v>
      </c>
      <c r="AE84" s="346">
        <f ca="1">AE392*1.2*ИД!$C$210</f>
        <v>0</v>
      </c>
      <c r="AF84" s="346">
        <f ca="1">AF392*1.2*ИД!$C$210</f>
        <v>0</v>
      </c>
      <c r="AG84" s="346">
        <f ca="1">AG392*1.2*ИД!$C$210</f>
        <v>0</v>
      </c>
      <c r="AH84" s="346">
        <f ca="1">AH392*1.2*ИД!$C$210</f>
        <v>0</v>
      </c>
      <c r="AI84" s="346">
        <f ca="1">AI392*1.2*ИД!$C$210</f>
        <v>0</v>
      </c>
      <c r="AJ84" s="346">
        <f ca="1">AJ392*1.2*ИД!$C$210</f>
        <v>0</v>
      </c>
      <c r="AK84" s="346">
        <f ca="1">AK392*1.2*ИД!$C$210</f>
        <v>0</v>
      </c>
      <c r="AL84" s="346">
        <f ca="1">AL392*1.2*ИД!$C$210</f>
        <v>0</v>
      </c>
      <c r="AM84" s="346">
        <f ca="1">AM392*1.2*ИД!$C$210</f>
        <v>0</v>
      </c>
      <c r="AN84" s="346">
        <f ca="1">AN392*1.2*ИД!$C$210</f>
        <v>0</v>
      </c>
      <c r="AO84" s="346">
        <f ca="1">AO392*1.2*ИД!$C$210</f>
        <v>0</v>
      </c>
      <c r="AP84" s="346">
        <f ca="1">AP392*1.2*ИД!$C$210</f>
        <v>0</v>
      </c>
      <c r="AQ84" s="346">
        <f ca="1">AQ392*1.2*ИД!$C$210</f>
        <v>0</v>
      </c>
      <c r="AR84" s="346">
        <f ca="1">AR392*1.2*ИД!$C$210</f>
        <v>0</v>
      </c>
      <c r="AS84" s="94"/>
      <c r="AT84" s="84">
        <f ca="1">SUM(E84:AS84)</f>
        <v>576667.5</v>
      </c>
    </row>
    <row r="85" spans="1:46" ht="11.25" customHeight="1" outlineLevel="1" x14ac:dyDescent="0.2">
      <c r="A85" s="101" t="s">
        <v>551</v>
      </c>
      <c r="B85" s="471">
        <f ca="1">MIN(E85:AR85)</f>
        <v>2</v>
      </c>
      <c r="C85" s="2" t="s">
        <v>3</v>
      </c>
      <c r="E85" s="155" t="str">
        <f ca="1">IF(SUM($E84:E84)=$B84,E$2,"")</f>
        <v/>
      </c>
      <c r="F85" s="155">
        <f ca="1">IF(SUM($E84:F84)=$B84,F$2,"")</f>
        <v>2</v>
      </c>
      <c r="G85" s="155">
        <f ca="1">IF(SUM($E84:G84)=$B84,G$2,"")</f>
        <v>3</v>
      </c>
      <c r="H85" s="155">
        <f ca="1">IF(SUM($E84:H84)=$B84,H$2,"")</f>
        <v>4</v>
      </c>
      <c r="I85" s="155">
        <f ca="1">IF(SUM($E84:I84)=$B84,I$2,"")</f>
        <v>5</v>
      </c>
      <c r="J85" s="155">
        <f ca="1">IF(SUM($E84:J84)=$B84,J$2,"")</f>
        <v>6</v>
      </c>
      <c r="K85" s="155">
        <f ca="1">IF(SUM($E84:K84)=$B84,K$2,"")</f>
        <v>7</v>
      </c>
      <c r="L85" s="155">
        <f ca="1">IF(SUM($E84:L84)=$B84,L$2,"")</f>
        <v>8</v>
      </c>
      <c r="M85" s="155">
        <f ca="1">IF(SUM($E84:M84)=$B84,M$2,"")</f>
        <v>9</v>
      </c>
      <c r="N85" s="155">
        <f ca="1">IF(SUM($E84:N84)=$B84,N$2,"")</f>
        <v>10</v>
      </c>
      <c r="O85" s="155">
        <f ca="1">IF(SUM($E84:O84)=$B84,O$2,"")</f>
        <v>11</v>
      </c>
      <c r="P85" s="155">
        <f ca="1">IF(SUM($E84:P84)=$B84,P$2,"")</f>
        <v>12</v>
      </c>
      <c r="Q85" s="155">
        <f ca="1">IF(SUM($E84:Q84)=$B84,Q$2,"")</f>
        <v>13</v>
      </c>
      <c r="R85" s="155">
        <f ca="1">IF(SUM($E84:R84)=$B84,R$2,"")</f>
        <v>14</v>
      </c>
      <c r="S85" s="155">
        <f ca="1">IF(SUM($E84:S84)=$B84,S$2,"")</f>
        <v>15</v>
      </c>
      <c r="T85" s="155">
        <f ca="1">IF(SUM($E84:T84)=$B84,T$2,"")</f>
        <v>16</v>
      </c>
      <c r="U85" s="155">
        <f ca="1">IF(SUM($E84:U84)=$B84,U$2,"")</f>
        <v>17</v>
      </c>
      <c r="V85" s="155">
        <f ca="1">IF(SUM($E84:V84)=$B84,V$2,"")</f>
        <v>18</v>
      </c>
      <c r="W85" s="155">
        <f ca="1">IF(SUM($E84:W84)=$B84,W$2,"")</f>
        <v>19</v>
      </c>
      <c r="X85" s="155">
        <f ca="1">IF(SUM($E84:X84)=$B84,X$2,"")</f>
        <v>20</v>
      </c>
      <c r="Y85" s="155">
        <f ca="1">IF(SUM($E84:Y84)=$B84,Y$2,"")</f>
        <v>21</v>
      </c>
      <c r="Z85" s="155">
        <f ca="1">IF(SUM($E84:Z84)=$B84,Z$2,"")</f>
        <v>22</v>
      </c>
      <c r="AA85" s="155">
        <f ca="1">IF(SUM($E84:AA84)=$B84,AA$2,"")</f>
        <v>23</v>
      </c>
      <c r="AB85" s="155">
        <f ca="1">IF(SUM($E84:AB84)=$B84,AB$2,"")</f>
        <v>24</v>
      </c>
      <c r="AC85" s="155">
        <f ca="1">IF(SUM($E84:AC84)=$B84,AC$2,"")</f>
        <v>25</v>
      </c>
      <c r="AD85" s="155">
        <f ca="1">IF(SUM($E84:AD84)=$B84,AD$2,"")</f>
        <v>26</v>
      </c>
      <c r="AE85" s="155">
        <f ca="1">IF(SUM($E84:AE84)=$B84,AE$2,"")</f>
        <v>27</v>
      </c>
      <c r="AF85" s="155">
        <f ca="1">IF(SUM($E84:AF84)=$B84,AF$2,"")</f>
        <v>28</v>
      </c>
      <c r="AG85" s="155">
        <f ca="1">IF(SUM($E84:AG84)=$B84,AG$2,"")</f>
        <v>29</v>
      </c>
      <c r="AH85" s="155">
        <f ca="1">IF(SUM($E84:AH84)=$B84,AH$2,"")</f>
        <v>30</v>
      </c>
      <c r="AI85" s="155">
        <f ca="1">IF(SUM($E84:AI84)=$B84,AI$2,"")</f>
        <v>31</v>
      </c>
      <c r="AJ85" s="155">
        <f ca="1">IF(SUM($E84:AJ84)=$B84,AJ$2,"")</f>
        <v>32</v>
      </c>
      <c r="AK85" s="155">
        <f ca="1">IF(SUM($E84:AK84)=$B84,AK$2,"")</f>
        <v>33</v>
      </c>
      <c r="AL85" s="155">
        <f ca="1">IF(SUM($E84:AL84)=$B84,AL$2,"")</f>
        <v>34</v>
      </c>
      <c r="AM85" s="155">
        <f ca="1">IF(SUM($E84:AM84)=$B84,AM$2,"")</f>
        <v>35</v>
      </c>
      <c r="AN85" s="155">
        <f ca="1">IF(SUM($E84:AN84)=$B84,AN$2,"")</f>
        <v>36</v>
      </c>
      <c r="AO85" s="155">
        <f ca="1">IF(SUM($E84:AO84)=$B84,AO$2,"")</f>
        <v>37</v>
      </c>
      <c r="AP85" s="155">
        <f ca="1">IF(SUM($E84:AP84)=$B84,AP$2,"")</f>
        <v>38</v>
      </c>
      <c r="AQ85" s="155">
        <f ca="1">IF(SUM($E84:AQ84)=$B84,AQ$2,"")</f>
        <v>39</v>
      </c>
      <c r="AR85" s="155">
        <f ca="1">IF(SUM($E84:AR84)=$B84,AR$2,"")</f>
        <v>40</v>
      </c>
      <c r="AS85" s="129"/>
      <c r="AT85" s="103"/>
    </row>
    <row r="86" spans="1:46" x14ac:dyDescent="0.2">
      <c r="A86" s="93" t="s">
        <v>91</v>
      </c>
      <c r="B86" s="158">
        <f ca="1">AT86</f>
        <v>1153335</v>
      </c>
      <c r="C86" s="3" t="str">
        <f>CHOOSE(C81,Параметры!$B$64,Параметры!$B$108,Параметры!$B$117)</f>
        <v>тыс. руб.</v>
      </c>
      <c r="E86" s="346">
        <v>0</v>
      </c>
      <c r="F86" s="346">
        <f ca="1">IFERROR(-IF(F2&gt;$B$85,1,0)*PPMT($B$83/4,F$2-$B$85,ИД!$C$212*4-$B$85,$B$82+$B$84,0),0)</f>
        <v>0</v>
      </c>
      <c r="G86" s="346">
        <f ca="1">IFERROR(-IF(G2&gt;$B$85,1,0)*PPMT($B$83/4,G$2-$B$85,ИД!$C$212*4-$B$85,$B$82+$B$84,0),0)</f>
        <v>26077.604810885598</v>
      </c>
      <c r="H86" s="346">
        <f ca="1">IFERROR(-IF(H2&gt;$B$85,1,0)*PPMT($B$83/4,H$2-$B$85,ИД!$C$212*4-$B$85,$B$82+$B$84,0),0)</f>
        <v>26599.156907103305</v>
      </c>
      <c r="I86" s="346">
        <f ca="1">IFERROR(-IF(I2&gt;$B$85,1,0)*PPMT($B$83/4,I$2-$B$85,ИД!$C$212*4-$B$85,$B$82+$B$84,0),0)</f>
        <v>27131.140045245374</v>
      </c>
      <c r="J86" s="346">
        <f ca="1">IFERROR(-IF(J2&gt;$B$85,1,0)*PPMT($B$83/4,J$2-$B$85,ИД!$C$212*4-$B$85,$B$82+$B$84,0),0)</f>
        <v>27673.762846150279</v>
      </c>
      <c r="K86" s="346">
        <f ca="1">IFERROR(-IF(K2&gt;$B$85,1,0)*PPMT($B$83/4,K$2-$B$85,ИД!$C$212*4-$B$85,$B$82+$B$84,0),0)</f>
        <v>28227.238103073287</v>
      </c>
      <c r="L86" s="346">
        <f ca="1">IFERROR(-IF(L2&gt;$B$85,1,0)*PPMT($B$83/4,L$2-$B$85,ИД!$C$212*4-$B$85,$B$82+$B$84,0),0)</f>
        <v>28791.782865134752</v>
      </c>
      <c r="M86" s="346">
        <f ca="1">IFERROR(-IF(M2&gt;$B$85,1,0)*PPMT($B$83/4,M$2-$B$85,ИД!$C$212*4-$B$85,$B$82+$B$84,0),0)</f>
        <v>29367.618522437442</v>
      </c>
      <c r="N86" s="346">
        <f ca="1">IFERROR(-IF(N2&gt;$B$85,1,0)*PPMT($B$83/4,N$2-$B$85,ИД!$C$212*4-$B$85,$B$82+$B$84,0),0)</f>
        <v>29954.970892886195</v>
      </c>
      <c r="O86" s="346">
        <f ca="1">IFERROR(-IF(O2&gt;$B$85,1,0)*PPMT($B$83/4,O$2-$B$85,ИД!$C$212*4-$B$85,$B$82+$B$84,0),0)</f>
        <v>30554.070310743919</v>
      </c>
      <c r="P86" s="346">
        <f ca="1">IFERROR(-IF(P2&gt;$B$85,1,0)*PPMT($B$83/4,P$2-$B$85,ИД!$C$212*4-$B$85,$B$82+$B$84,0),0)</f>
        <v>31165.151716958797</v>
      </c>
      <c r="Q86" s="346">
        <f ca="1">IFERROR(-IF(Q2&gt;$B$85,1,0)*PPMT($B$83/4,Q$2-$B$85,ИД!$C$212*4-$B$85,$B$82+$B$84,0),0)</f>
        <v>31788.454751297973</v>
      </c>
      <c r="R86" s="346">
        <f ca="1">IFERROR(-IF(R2&gt;$B$85,1,0)*PPMT($B$83/4,R$2-$B$85,ИД!$C$212*4-$B$85,$B$82+$B$84,0),0)</f>
        <v>32424.22384632393</v>
      </c>
      <c r="S86" s="346">
        <f ca="1">IFERROR(-IF(S2&gt;$B$85,1,0)*PPMT($B$83/4,S$2-$B$85,ИД!$C$212*4-$B$85,$B$82+$B$84,0),0)</f>
        <v>33072.708323250408</v>
      </c>
      <c r="T86" s="346">
        <f ca="1">IFERROR(-IF(T2&gt;$B$85,1,0)*PPMT($B$83/4,T$2-$B$85,ИД!$C$212*4-$B$85,$B$82+$B$84,0),0)</f>
        <v>33734.162489715418</v>
      </c>
      <c r="U86" s="346">
        <f ca="1">IFERROR(-IF(U2&gt;$B$85,1,0)*PPMT($B$83/4,U$2-$B$85,ИД!$C$212*4-$B$85,$B$82+$B$84,0),0)</f>
        <v>34408.845739509721</v>
      </c>
      <c r="V86" s="346">
        <f ca="1">IFERROR(-IF(V2&gt;$B$85,1,0)*PPMT($B$83/4,V$2-$B$85,ИД!$C$212*4-$B$85,$B$82+$B$84,0),0)</f>
        <v>35097.022654299923</v>
      </c>
      <c r="W86" s="346">
        <f ca="1">IFERROR(-IF(W2&gt;$B$85,1,0)*PPMT($B$83/4,W$2-$B$85,ИД!$C$212*4-$B$85,$B$82+$B$84,0),0)</f>
        <v>35798.96310738592</v>
      </c>
      <c r="X86" s="346">
        <f ca="1">IFERROR(-IF(X2&gt;$B$85,1,0)*PPMT($B$83/4,X$2-$B$85,ИД!$C$212*4-$B$85,$B$82+$B$84,0),0)</f>
        <v>36514.942369533645</v>
      </c>
      <c r="Y86" s="346">
        <f ca="1">IFERROR(-IF(Y2&gt;$B$85,1,0)*PPMT($B$83/4,Y$2-$B$85,ИД!$C$212*4-$B$85,$B$82+$B$84,0),0)</f>
        <v>37245.241216924311</v>
      </c>
      <c r="Z86" s="346">
        <f ca="1">IFERROR(-IF(Z2&gt;$B$85,1,0)*PPMT($B$83/4,Z$2-$B$85,ИД!$C$212*4-$B$85,$B$82+$B$84,0),0)</f>
        <v>37990.1460412628</v>
      </c>
      <c r="AA86" s="346">
        <f ca="1">IFERROR(-IF(AA2&gt;$B$85,1,0)*PPMT($B$83/4,AA$2-$B$85,ИД!$C$212*4-$B$85,$B$82+$B$84,0),0)</f>
        <v>38749.948962088049</v>
      </c>
      <c r="AB86" s="346">
        <f ca="1">IFERROR(-IF(AB2&gt;$B$85,1,0)*PPMT($B$83/4,AB$2-$B$85,ИД!$C$212*4-$B$85,$B$82+$B$84,0),0)</f>
        <v>39524.947941329818</v>
      </c>
      <c r="AC86" s="346">
        <f ca="1">IFERROR(-IF(AC2&gt;$B$85,1,0)*PPMT($B$83/4,AC$2-$B$85,ИД!$C$212*4-$B$85,$B$82+$B$84,0),0)</f>
        <v>40315.446900156414</v>
      </c>
      <c r="AD86" s="346">
        <f ca="1">IFERROR(-IF(AD2&gt;$B$85,1,0)*PPMT($B$83/4,AD$2-$B$85,ИД!$C$212*4-$B$85,$B$82+$B$84,0),0)</f>
        <v>41121.755838159537</v>
      </c>
      <c r="AE86" s="346">
        <f ca="1">IFERROR(-IF(AE2&gt;$B$85,1,0)*PPMT($B$83/4,AE$2-$B$85,ИД!$C$212*4-$B$85,$B$82+$B$84,0),0)</f>
        <v>41944.190954922728</v>
      </c>
      <c r="AF86" s="346">
        <f ca="1">IFERROR(-IF(AF2&gt;$B$85,1,0)*PPMT($B$83/4,AF$2-$B$85,ИД!$C$212*4-$B$85,$B$82+$B$84,0),0)</f>
        <v>42783.074774021181</v>
      </c>
      <c r="AG86" s="346">
        <f ca="1">IFERROR(-IF(AG2&gt;$B$85,1,0)*PPMT($B$83/4,AG$2-$B$85,ИД!$C$212*4-$B$85,$B$82+$B$84,0),0)</f>
        <v>43638.736269501605</v>
      </c>
      <c r="AH86" s="346">
        <f ca="1">IFERROR(-IF(AH2&gt;$B$85,1,0)*PPMT($B$83/4,AH$2-$B$85,ИД!$C$212*4-$B$85,$B$82+$B$84,0),0)</f>
        <v>44511.510994891636</v>
      </c>
      <c r="AI86" s="346">
        <f ca="1">IFERROR(-IF(AI2&gt;$B$85,1,0)*PPMT($B$83/4,AI$2-$B$85,ИД!$C$212*4-$B$85,$B$82+$B$84,0),0)</f>
        <v>45401.741214789472</v>
      </c>
      <c r="AJ86" s="346">
        <f ca="1">IFERROR(-IF(AJ2&gt;$B$85,1,0)*PPMT($B$83/4,AJ$2-$B$85,ИД!$C$212*4-$B$85,$B$82+$B$84,0),0)</f>
        <v>46309.776039085256</v>
      </c>
      <c r="AK86" s="346">
        <f ca="1">IFERROR(-IF(AK2&gt;$B$85,1,0)*PPMT($B$83/4,AK$2-$B$85,ИД!$C$212*4-$B$85,$B$82+$B$84,0),0)</f>
        <v>47235.971559866965</v>
      </c>
      <c r="AL86" s="346">
        <f ca="1">IFERROR(-IF(AL2&gt;$B$85,1,0)*PPMT($B$83/4,AL$2-$B$85,ИД!$C$212*4-$B$85,$B$82+$B$84,0),0)</f>
        <v>48180.690991064301</v>
      </c>
      <c r="AM86" s="346">
        <f ca="1">IFERROR(-IF(AM2&gt;$B$85,1,0)*PPMT($B$83/4,AM$2-$B$85,ИД!$C$212*4-$B$85,$B$82+$B$84,0),0)</f>
        <v>0</v>
      </c>
      <c r="AN86" s="346">
        <f ca="1">IFERROR(-IF(AN2&gt;$B$85,1,0)*PPMT($B$83/4,AN$2-$B$85,ИД!$C$212*4-$B$85,$B$82+$B$84,0),0)</f>
        <v>0</v>
      </c>
      <c r="AO86" s="346">
        <f ca="1">IFERROR(-IF(AO2&gt;$B$85,1,0)*PPMT($B$83/4,AO$2-$B$85,ИД!$C$212*4-$B$85,$B$82+$B$84,0),0)</f>
        <v>0</v>
      </c>
      <c r="AP86" s="346">
        <f ca="1">IFERROR(-IF(AP2&gt;$B$85,1,0)*PPMT($B$83/4,AP$2-$B$85,ИД!$C$212*4-$B$85,$B$82+$B$84,0),0)</f>
        <v>0</v>
      </c>
      <c r="AQ86" s="346">
        <f ca="1">IFERROR(-IF(AQ2&gt;$B$85,1,0)*PPMT($B$83/4,AQ$2-$B$85,ИД!$C$212*4-$B$85,$B$82+$B$84,0),0)</f>
        <v>0</v>
      </c>
      <c r="AR86" s="346">
        <f ca="1">IFERROR(-IF(AR2&gt;$B$85,1,0)*PPMT($B$83/4,AR$2-$B$85,ИД!$C$212*4-$B$85,$B$82+$B$84,0),0)</f>
        <v>0</v>
      </c>
      <c r="AS86" s="94"/>
      <c r="AT86" s="84">
        <f ca="1">SUM(E86:AS86)</f>
        <v>1153335</v>
      </c>
    </row>
    <row r="87" spans="1:46" x14ac:dyDescent="0.2">
      <c r="A87" s="97" t="s">
        <v>740</v>
      </c>
      <c r="B87" s="11"/>
      <c r="C87" s="3" t="str">
        <f>CHOOSE(C81,Параметры!$B$64,Параметры!$B$108,Параметры!$B$117)</f>
        <v>тыс. руб.</v>
      </c>
      <c r="E87" s="98">
        <f>$B82+SUM($E88:E88)+SUM($E84:E84)-SUM($E89:E89)-SUM($E86:E86)</f>
        <v>865001.25</v>
      </c>
      <c r="F87" s="98">
        <f ca="1">$B82+SUM($E88:F88)+SUM($E84:F84)-SUM($E89:F89)-SUM($E86:F86)</f>
        <v>1153335</v>
      </c>
      <c r="G87" s="98">
        <f ca="1">$B82+SUM($E88:G88)+SUM($E84:G84)-SUM($E89:G89)-SUM($E86:G86)</f>
        <v>1127257.3951891144</v>
      </c>
      <c r="H87" s="98">
        <f ca="1">$B82+SUM($E88:H88)+SUM($E84:H84)-SUM($E89:H89)-SUM($E86:H86)</f>
        <v>1100658.2382820111</v>
      </c>
      <c r="I87" s="98">
        <f ca="1">$B82+SUM($E88:I88)+SUM($E84:I84)-SUM($E89:I89)-SUM($E86:I86)</f>
        <v>1073527.0982367657</v>
      </c>
      <c r="J87" s="98">
        <f ca="1">$B82+SUM($E88:J88)+SUM($E84:J84)-SUM($E89:J89)-SUM($E86:J86)</f>
        <v>1045853.3353906154</v>
      </c>
      <c r="K87" s="98">
        <f ca="1">$B82+SUM($E88:K88)+SUM($E84:K84)-SUM($E89:K89)-SUM($E86:K86)</f>
        <v>1017626.0972875422</v>
      </c>
      <c r="L87" s="98">
        <f ca="1">$B82+SUM($E88:L88)+SUM($E84:L84)-SUM($E89:L89)-SUM($E86:L86)</f>
        <v>988834.31442240742</v>
      </c>
      <c r="M87" s="98">
        <f ca="1">$B82+SUM($E88:M88)+SUM($E84:M84)-SUM($E89:M89)-SUM($E86:M86)</f>
        <v>959466.69589997001</v>
      </c>
      <c r="N87" s="98">
        <f ca="1">$B82+SUM($E88:N88)+SUM($E84:N84)-SUM($E89:N89)-SUM($E86:N86)</f>
        <v>929511.7250070835</v>
      </c>
      <c r="O87" s="98">
        <f ca="1">$B82+SUM($E88:O88)+SUM($E84:O84)-SUM($E89:O89)-SUM($E86:O86)</f>
        <v>898957.65469633986</v>
      </c>
      <c r="P87" s="98">
        <f ca="1">$B82+SUM($E88:P88)+SUM($E84:P84)-SUM($E89:P89)-SUM($E86:P86)</f>
        <v>867792.50297938101</v>
      </c>
      <c r="Q87" s="98">
        <f ca="1">$B82+SUM($E88:Q88)+SUM($E84:Q84)-SUM($E89:Q89)-SUM($E86:Q86)</f>
        <v>836004.04822808318</v>
      </c>
      <c r="R87" s="98">
        <f ca="1">$B82+SUM($E88:R88)+SUM($E84:R84)-SUM($E89:R89)-SUM($E86:R86)</f>
        <v>803579.82438175916</v>
      </c>
      <c r="S87" s="98">
        <f ca="1">$B82+SUM($E88:S88)+SUM($E84:S84)-SUM($E89:S89)-SUM($E86:S86)</f>
        <v>770507.11605850887</v>
      </c>
      <c r="T87" s="98">
        <f ca="1">$B82+SUM($E88:T88)+SUM($E84:T84)-SUM($E89:T89)-SUM($E86:T86)</f>
        <v>736772.95356879337</v>
      </c>
      <c r="U87" s="98">
        <f ca="1">$B82+SUM($E88:U88)+SUM($E84:U84)-SUM($E89:U89)-SUM($E86:U86)</f>
        <v>702364.10782928369</v>
      </c>
      <c r="V87" s="98">
        <f ca="1">$B82+SUM($E88:V88)+SUM($E84:V84)-SUM($E89:V89)-SUM($E86:V86)</f>
        <v>667267.08517498372</v>
      </c>
      <c r="W87" s="98">
        <f ca="1">$B82+SUM($E88:W88)+SUM($E84:W84)-SUM($E89:W89)-SUM($E86:W86)</f>
        <v>631468.12206759781</v>
      </c>
      <c r="X87" s="98">
        <f ca="1">$B82+SUM($E88:X88)+SUM($E84:X84)-SUM($E89:X89)-SUM($E86:X86)</f>
        <v>594953.17969806422</v>
      </c>
      <c r="Y87" s="98">
        <f ca="1">$B82+SUM($E88:Y88)+SUM($E84:Y84)-SUM($E89:Y89)-SUM($E86:Y86)</f>
        <v>557707.93848113995</v>
      </c>
      <c r="Z87" s="98">
        <f ca="1">$B82+SUM($E88:Z88)+SUM($E84:Z84)-SUM($E89:Z89)-SUM($E86:Z86)</f>
        <v>519717.79243987717</v>
      </c>
      <c r="AA87" s="98">
        <f ca="1">$B82+SUM($E88:AA88)+SUM($E84:AA84)-SUM($E89:AA89)-SUM($E86:AA86)</f>
        <v>480967.84347778908</v>
      </c>
      <c r="AB87" s="98">
        <f ca="1">$B82+SUM($E88:AB88)+SUM($E84:AB84)-SUM($E89:AB89)-SUM($E86:AB86)</f>
        <v>441442.89553645928</v>
      </c>
      <c r="AC87" s="98">
        <f ca="1">$B82+SUM($E88:AC88)+SUM($E84:AC84)-SUM($E89:AC89)-SUM($E86:AC86)</f>
        <v>401127.44863630284</v>
      </c>
      <c r="AD87" s="98">
        <f ca="1">$B82+SUM($E88:AD88)+SUM($E84:AD84)-SUM($E89:AD89)-SUM($E86:AD86)</f>
        <v>360005.69279814325</v>
      </c>
      <c r="AE87" s="98">
        <f ca="1">$B82+SUM($E88:AE88)+SUM($E84:AE84)-SUM($E89:AE89)-SUM($E86:AE86)</f>
        <v>318061.50184322055</v>
      </c>
      <c r="AF87" s="98">
        <f ca="1">$B82+SUM($E88:AF88)+SUM($E84:AF84)-SUM($E89:AF89)-SUM($E86:AF86)</f>
        <v>275278.42706919939</v>
      </c>
      <c r="AG87" s="98">
        <f ca="1">$B82+SUM($E88:AG88)+SUM($E84:AG84)-SUM($E89:AG89)-SUM($E86:AG86)</f>
        <v>231639.69079969777</v>
      </c>
      <c r="AH87" s="98">
        <f ca="1">$B82+SUM($E88:AH88)+SUM($E84:AH84)-SUM($E89:AH89)-SUM($E86:AH86)</f>
        <v>187128.17980480613</v>
      </c>
      <c r="AI87" s="98">
        <f ca="1">$B82+SUM($E88:AI88)+SUM($E84:AI84)-SUM($E89:AI89)-SUM($E86:AI86)</f>
        <v>141726.43859001668</v>
      </c>
      <c r="AJ87" s="98">
        <f ca="1">$B82+SUM($E88:AJ88)+SUM($E84:AJ84)-SUM($E89:AJ89)-SUM($E86:AJ86)</f>
        <v>95416.662550931331</v>
      </c>
      <c r="AK87" s="98">
        <f ca="1">$B82+SUM($E88:AK88)+SUM($E84:AK84)-SUM($E89:AK89)-SUM($E86:AK86)</f>
        <v>48180.690991064301</v>
      </c>
      <c r="AL87" s="98">
        <f ca="1">$B82+SUM($E88:AL88)+SUM($E84:AL84)-SUM($E89:AL89)-SUM($E86:AL86)</f>
        <v>0</v>
      </c>
      <c r="AM87" s="98">
        <f ca="1">$B82+SUM($E88:AM88)+SUM($E84:AM84)-SUM($E89:AM89)-SUM($E86:AM86)</f>
        <v>0</v>
      </c>
      <c r="AN87" s="98">
        <f ca="1">$B82+SUM($E88:AN88)+SUM($E84:AN84)-SUM($E89:AN89)-SUM($E86:AN86)</f>
        <v>0</v>
      </c>
      <c r="AO87" s="98">
        <f ca="1">$B82+SUM($E88:AO88)+SUM($E84:AO84)-SUM($E89:AO89)-SUM($E86:AO86)</f>
        <v>0</v>
      </c>
      <c r="AP87" s="98">
        <f ca="1">$B82+SUM($E88:AP88)+SUM($E84:AP84)-SUM($E89:AP89)-SUM($E86:AP86)</f>
        <v>0</v>
      </c>
      <c r="AQ87" s="98">
        <f ca="1">$B82+SUM($E88:AQ88)+SUM($E84:AQ84)-SUM($E89:AQ89)-SUM($E86:AQ86)</f>
        <v>0</v>
      </c>
      <c r="AR87" s="98">
        <f ca="1">$B82+SUM($E88:AR88)+SUM($E84:AR84)-SUM($E89:AR89)-SUM($E86:AR86)</f>
        <v>0</v>
      </c>
      <c r="AS87" s="99"/>
      <c r="AT87" s="100"/>
    </row>
    <row r="88" spans="1:46" collapsed="1" x14ac:dyDescent="0.2">
      <c r="A88" s="97" t="s">
        <v>92</v>
      </c>
      <c r="B88" s="158">
        <f ca="1">AT88</f>
        <v>436582.77894833899</v>
      </c>
      <c r="C88" s="3" t="str">
        <f>CHOOSE(C81,Параметры!$B$64,Параметры!$B$108,Параметры!$B$117)</f>
        <v>тыс. руб.</v>
      </c>
      <c r="E88" s="98">
        <f>($B82 - SUM($E86:E86) + SUM($E84:E84) + SUM($D88:D88) - SUM($D89:D89)) * E83/12*Параметры!E$40</f>
        <v>17300.025000000001</v>
      </c>
      <c r="F88" s="98">
        <f ca="1">($B82 - SUM($E86:F86) + SUM($E84:F84) + SUM($D88:E88) - SUM($D89:E89)) * F83/12*Параметры!F$40</f>
        <v>23066.7</v>
      </c>
      <c r="G88" s="98">
        <f ca="1">($B82 - SUM($E86:G86) + SUM($E84:G84) + SUM($D88:F88) - SUM($D89:F89)) * G83/12*Параметры!G$40</f>
        <v>22545.147903782286</v>
      </c>
      <c r="H88" s="98">
        <f ca="1">($B82 - SUM($E86:H86) + SUM($E84:H84) + SUM($D88:G88) - SUM($D89:G89)) * H83/12*Параметры!H$40</f>
        <v>22013.164765640217</v>
      </c>
      <c r="I88" s="98">
        <f ca="1">($B82 - SUM($E86:I86) + SUM($E84:I84) + SUM($D88:H88) - SUM($D89:H89)) * I83/12*Параметры!I$40</f>
        <v>21470.541964735316</v>
      </c>
      <c r="J88" s="98">
        <f ca="1">($B82 - SUM($E86:J86) + SUM($E84:J84) + SUM($D88:I88) - SUM($D89:I89)) * J83/12*Параметры!J$40</f>
        <v>20917.066707812308</v>
      </c>
      <c r="K88" s="98">
        <f ca="1">($B82 - SUM($E86:K86) + SUM($E84:K84) + SUM($D88:J88) - SUM($D89:J89)) * K83/12*Параметры!K$40</f>
        <v>20352.521945750843</v>
      </c>
      <c r="L88" s="98">
        <f ca="1">($B82 - SUM($E86:L86) + SUM($E84:L84) + SUM($D88:K88) - SUM($D89:K89)) * L83/12*Параметры!L$40</f>
        <v>19776.686288448149</v>
      </c>
      <c r="M88" s="98">
        <f ca="1">($B82 - SUM($E86:M86) + SUM($E84:M84) + SUM($D88:L88) - SUM($D89:L89)) * M83/12*Параметры!M$40</f>
        <v>19189.333917999404</v>
      </c>
      <c r="N88" s="98">
        <f ca="1">($B82 - SUM($E86:N86) + SUM($E84:N84) + SUM($D88:M88) - SUM($D89:M89)) * N83/12*Параметры!N$40</f>
        <v>18590.234500141676</v>
      </c>
      <c r="O88" s="98">
        <f ca="1">($B82 - SUM($E86:O86) + SUM($E84:O84) + SUM($D88:N88) - SUM($D89:N89)) * O83/12*Параметры!O$40</f>
        <v>17979.153093926798</v>
      </c>
      <c r="P88" s="98">
        <f ca="1">($B82 - SUM($E86:P86) + SUM($E84:P84) + SUM($D88:O88) - SUM($D89:O89)) * P83/12*Параметры!P$40</f>
        <v>17355.850059587621</v>
      </c>
      <c r="Q88" s="98">
        <f ca="1">($B82 - SUM($E86:Q86) + SUM($E84:Q84) + SUM($D88:P88) - SUM($D89:P89)) * Q83/12*Параметры!Q$40</f>
        <v>16720.080964561665</v>
      </c>
      <c r="R88" s="98">
        <f ca="1">($B82 - SUM($E86:R86) + SUM($E84:R84) + SUM($D88:Q88) - SUM($D89:Q89)) * R83/12*Параметры!R$40</f>
        <v>16071.596487635186</v>
      </c>
      <c r="S88" s="98">
        <f ca="1">($B82 - SUM($E86:S86) + SUM($E84:S84) + SUM($D88:R88) - SUM($D89:R89)) * S83/12*Параметры!S$40</f>
        <v>15410.142321170177</v>
      </c>
      <c r="T88" s="98">
        <f ca="1">($B82 - SUM($E86:T86) + SUM($E84:T84) + SUM($D88:S88) - SUM($D89:S89)) * T83/12*Параметры!T$40</f>
        <v>14735.45907137587</v>
      </c>
      <c r="U88" s="98">
        <f ca="1">($B82 - SUM($E86:U86) + SUM($E84:U84) + SUM($D88:T88) - SUM($D89:T89)) * U83/12*Параметры!U$40</f>
        <v>14047.282156585676</v>
      </c>
      <c r="V88" s="98">
        <f ca="1">($B82 - SUM($E86:V86) + SUM($E84:V84) + SUM($D88:U88) - SUM($D89:U89)) * V83/12*Параметры!V$40</f>
        <v>13345.341703499676</v>
      </c>
      <c r="W88" s="98">
        <f ca="1">($B82 - SUM($E86:W86) + SUM($E84:W84) + SUM($D88:V88) - SUM($D89:V89)) * W83/12*Параметры!W$40</f>
        <v>12629.362441351957</v>
      </c>
      <c r="X88" s="98">
        <f ca="1">($B82 - SUM($E86:X86) + SUM($E84:X84) + SUM($D88:W88) - SUM($D89:W89)) * X83/12*Параметры!X$40</f>
        <v>11899.063593961284</v>
      </c>
      <c r="Y88" s="98">
        <f ca="1">($B82 - SUM($E86:Y86) + SUM($E84:Y84) + SUM($D88:X88) - SUM($D89:X89)) * Y83/12*Параметры!Y$40</f>
        <v>11154.1587696228</v>
      </c>
      <c r="Z88" s="98">
        <f ca="1">($B82 - SUM($E86:Z86) + SUM($E84:Z84) + SUM($D88:Y88) - SUM($D89:Y89)) * Z83/12*Параметры!Z$40</f>
        <v>10394.355848797544</v>
      </c>
      <c r="AA88" s="98">
        <f ca="1">($B82 - SUM($E86:AA86) + SUM($E84:AA84) + SUM($D88:Z88) - SUM($D89:Z89)) * AA83/12*Параметры!AA$40</f>
        <v>9619.3568695557824</v>
      </c>
      <c r="AB88" s="98">
        <f ca="1">($B82 - SUM($E86:AB86) + SUM($E84:AB84) + SUM($D88:AA88) - SUM($D89:AA89)) * AB83/12*Параметры!AB$40</f>
        <v>8828.8579107291862</v>
      </c>
      <c r="AC88" s="98">
        <f ca="1">($B82 - SUM($E86:AC86) + SUM($E84:AC84) + SUM($D88:AB88) - SUM($D89:AB89)) * AC83/12*Параметры!AC$40</f>
        <v>8022.5489727260574</v>
      </c>
      <c r="AD88" s="98">
        <f ca="1">($B82 - SUM($E86:AD86) + SUM($E84:AD84) + SUM($D88:AC88) - SUM($D89:AC89)) * AD83/12*Параметры!AD$40</f>
        <v>7200.1138559628644</v>
      </c>
      <c r="AE88" s="98">
        <f ca="1">($B82 - SUM($E86:AE86) + SUM($E84:AE84) + SUM($D88:AD88) - SUM($D89:AD89)) * AE83/12*Параметры!AE$40</f>
        <v>6361.2300368644101</v>
      </c>
      <c r="AF88" s="98">
        <f ca="1">($B82 - SUM($E86:AF86) + SUM($E84:AF84) + SUM($D88:AE88) - SUM($D89:AE89)) * AF83/12*Параметры!AF$40</f>
        <v>5505.5685413839865</v>
      </c>
      <c r="AG88" s="98">
        <f ca="1">($B82 - SUM($E86:AG86) + SUM($E84:AG84) + SUM($D88:AF88) - SUM($D89:AF89)) * AG83/12*Параметры!AG$40</f>
        <v>4632.7938159939558</v>
      </c>
      <c r="AH88" s="98">
        <f ca="1">($B82 - SUM($E86:AH86) + SUM($E84:AH84) + SUM($D88:AG88) - SUM($D89:AG89)) * AH83/12*Параметры!AH$40</f>
        <v>3742.5635960961226</v>
      </c>
      <c r="AI88" s="98">
        <f ca="1">($B82 - SUM($E86:AI86) + SUM($E84:AI84) + SUM($D88:AH88) - SUM($D89:AH89)) * AI83/12*Параметры!AI$40</f>
        <v>2834.5287718003337</v>
      </c>
      <c r="AJ88" s="98">
        <f ca="1">($B82 - SUM($E86:AJ86) + SUM($E84:AJ84) + SUM($D88:AI88) - SUM($D89:AI89)) * AJ83/12*Параметры!AJ$40</f>
        <v>1908.3332510186267</v>
      </c>
      <c r="AK88" s="98">
        <f ca="1">($B82 - SUM($E86:AK86) + SUM($E84:AK84) + SUM($D88:AJ88) - SUM($D89:AJ89)) * AK83/12*Параметры!AK$40</f>
        <v>963.61381982128603</v>
      </c>
      <c r="AL88" s="98">
        <f ca="1">($B82 - SUM($E86:AL86) + SUM($E84:AL84) + SUM($D88:AK88) - SUM($D89:AK89)) * AL83/12*Параметры!AL$40</f>
        <v>0</v>
      </c>
      <c r="AM88" s="98">
        <f ca="1">($B82 - SUM($E86:AM86) + SUM($E84:AM84) + SUM($D88:AL88) - SUM($D89:AL89)) * AM83/12*Параметры!AM$40</f>
        <v>0</v>
      </c>
      <c r="AN88" s="98">
        <f ca="1">($B82 - SUM($E86:AN86) + SUM($E84:AN84) + SUM($D88:AM88) - SUM($D89:AM89)) * AN83/12*Параметры!AN$40</f>
        <v>0</v>
      </c>
      <c r="AO88" s="98">
        <f ca="1">($B82 - SUM($E86:AO86) + SUM($E84:AO84) + SUM($D88:AN88) - SUM($D89:AN89)) * AO83/12*Параметры!AO$40</f>
        <v>0</v>
      </c>
      <c r="AP88" s="98">
        <f ca="1">($B82 - SUM($E86:AP86) + SUM($E84:AP84) + SUM($D88:AO88) - SUM($D89:AO89)) * AP83/12*Параметры!AP$40</f>
        <v>0</v>
      </c>
      <c r="AQ88" s="98">
        <f ca="1">($B82 - SUM($E86:AQ86) + SUM($E84:AQ84) + SUM($D88:AP88) - SUM($D89:AP89)) * AQ83/12*Параметры!AQ$40</f>
        <v>0</v>
      </c>
      <c r="AR88" s="98">
        <f ca="1">($B82 - SUM($E86:AR86) + SUM($E84:AR84) + SUM($D88:AQ88) - SUM($D89:AQ89)) * AR83/12*Параметры!AR$40</f>
        <v>0</v>
      </c>
      <c r="AS88" s="99"/>
      <c r="AT88" s="100">
        <f ca="1">SUM(E88:AS88)</f>
        <v>436582.77894833899</v>
      </c>
    </row>
    <row r="89" spans="1:46" outlineLevel="1" x14ac:dyDescent="0.2">
      <c r="A89" s="101" t="s">
        <v>93</v>
      </c>
      <c r="B89" s="155">
        <f ca="1">AT89</f>
        <v>436582.77894833899</v>
      </c>
      <c r="C89" s="2" t="str">
        <f>CHOOSE(C81,Параметры!$B$64,Параметры!$B$108,Параметры!$B$117)</f>
        <v>тыс. руб.</v>
      </c>
      <c r="E89" s="353">
        <f t="shared" ref="E89:AR89" si="39">E88</f>
        <v>17300.025000000001</v>
      </c>
      <c r="F89" s="353">
        <f t="shared" ca="1" si="39"/>
        <v>23066.7</v>
      </c>
      <c r="G89" s="353">
        <f t="shared" ca="1" si="39"/>
        <v>22545.147903782286</v>
      </c>
      <c r="H89" s="353">
        <f t="shared" ca="1" si="39"/>
        <v>22013.164765640217</v>
      </c>
      <c r="I89" s="353">
        <f t="shared" ca="1" si="39"/>
        <v>21470.541964735316</v>
      </c>
      <c r="J89" s="353">
        <f t="shared" ca="1" si="39"/>
        <v>20917.066707812308</v>
      </c>
      <c r="K89" s="353">
        <f t="shared" ca="1" si="39"/>
        <v>20352.521945750843</v>
      </c>
      <c r="L89" s="353">
        <f t="shared" ca="1" si="39"/>
        <v>19776.686288448149</v>
      </c>
      <c r="M89" s="353">
        <f t="shared" ca="1" si="39"/>
        <v>19189.333917999404</v>
      </c>
      <c r="N89" s="353">
        <f t="shared" ca="1" si="39"/>
        <v>18590.234500141676</v>
      </c>
      <c r="O89" s="353">
        <f t="shared" ca="1" si="39"/>
        <v>17979.153093926798</v>
      </c>
      <c r="P89" s="353">
        <f t="shared" ca="1" si="39"/>
        <v>17355.850059587621</v>
      </c>
      <c r="Q89" s="353">
        <f t="shared" ca="1" si="39"/>
        <v>16720.080964561665</v>
      </c>
      <c r="R89" s="353">
        <f t="shared" ca="1" si="39"/>
        <v>16071.596487635186</v>
      </c>
      <c r="S89" s="353">
        <f t="shared" ca="1" si="39"/>
        <v>15410.142321170177</v>
      </c>
      <c r="T89" s="353">
        <f t="shared" ca="1" si="39"/>
        <v>14735.45907137587</v>
      </c>
      <c r="U89" s="353">
        <f t="shared" ca="1" si="39"/>
        <v>14047.282156585676</v>
      </c>
      <c r="V89" s="353">
        <f t="shared" ca="1" si="39"/>
        <v>13345.341703499676</v>
      </c>
      <c r="W89" s="353">
        <f t="shared" ca="1" si="39"/>
        <v>12629.362441351957</v>
      </c>
      <c r="X89" s="353">
        <f t="shared" ca="1" si="39"/>
        <v>11899.063593961284</v>
      </c>
      <c r="Y89" s="353">
        <f t="shared" ca="1" si="39"/>
        <v>11154.1587696228</v>
      </c>
      <c r="Z89" s="353">
        <f t="shared" ca="1" si="39"/>
        <v>10394.355848797544</v>
      </c>
      <c r="AA89" s="353">
        <f t="shared" ca="1" si="39"/>
        <v>9619.3568695557824</v>
      </c>
      <c r="AB89" s="353">
        <f t="shared" ca="1" si="39"/>
        <v>8828.8579107291862</v>
      </c>
      <c r="AC89" s="353">
        <f t="shared" ca="1" si="39"/>
        <v>8022.5489727260574</v>
      </c>
      <c r="AD89" s="353">
        <f t="shared" ca="1" si="39"/>
        <v>7200.1138559628644</v>
      </c>
      <c r="AE89" s="353">
        <f t="shared" ca="1" si="39"/>
        <v>6361.2300368644101</v>
      </c>
      <c r="AF89" s="353">
        <f t="shared" ca="1" si="39"/>
        <v>5505.5685413839865</v>
      </c>
      <c r="AG89" s="353">
        <f t="shared" ca="1" si="39"/>
        <v>4632.7938159939558</v>
      </c>
      <c r="AH89" s="353">
        <f t="shared" ca="1" si="39"/>
        <v>3742.5635960961226</v>
      </c>
      <c r="AI89" s="353">
        <f t="shared" ca="1" si="39"/>
        <v>2834.5287718003337</v>
      </c>
      <c r="AJ89" s="353">
        <f t="shared" ca="1" si="39"/>
        <v>1908.3332510186267</v>
      </c>
      <c r="AK89" s="353">
        <f t="shared" ca="1" si="39"/>
        <v>963.61381982128603</v>
      </c>
      <c r="AL89" s="353">
        <f t="shared" ca="1" si="39"/>
        <v>0</v>
      </c>
      <c r="AM89" s="353">
        <f t="shared" ca="1" si="39"/>
        <v>0</v>
      </c>
      <c r="AN89" s="353">
        <f t="shared" ca="1" si="39"/>
        <v>0</v>
      </c>
      <c r="AO89" s="353">
        <f t="shared" ca="1" si="39"/>
        <v>0</v>
      </c>
      <c r="AP89" s="353">
        <f t="shared" ca="1" si="39"/>
        <v>0</v>
      </c>
      <c r="AQ89" s="353">
        <f t="shared" ca="1" si="39"/>
        <v>0</v>
      </c>
      <c r="AR89" s="353">
        <f t="shared" ca="1" si="39"/>
        <v>0</v>
      </c>
      <c r="AS89" s="102"/>
      <c r="AT89" s="103">
        <f ca="1">SUM(E89:AS89)</f>
        <v>436582.77894833899</v>
      </c>
    </row>
    <row r="90" spans="1:46" x14ac:dyDescent="0.2">
      <c r="A90" s="44"/>
      <c r="AS90" s="1"/>
    </row>
    <row r="91" spans="1:46" s="60" customFormat="1" collapsed="1" x14ac:dyDescent="0.2">
      <c r="A91" s="52" t="s">
        <v>182</v>
      </c>
      <c r="B91" s="29"/>
      <c r="C91" s="266" t="str">
        <f>Параметры!$B$64</f>
        <v>тыс. руб.</v>
      </c>
      <c r="D91" s="40"/>
      <c r="E91" s="85">
        <f t="shared" ref="E91:AR91" si="40">E98+E99</f>
        <v>865001.25</v>
      </c>
      <c r="F91" s="85">
        <f t="shared" ca="1" si="40"/>
        <v>1153335</v>
      </c>
      <c r="G91" s="85">
        <f t="shared" ca="1" si="40"/>
        <v>1127257.3951891144</v>
      </c>
      <c r="H91" s="85">
        <f t="shared" ca="1" si="40"/>
        <v>1100658.2382820111</v>
      </c>
      <c r="I91" s="85">
        <f t="shared" ca="1" si="40"/>
        <v>1073527.0982367657</v>
      </c>
      <c r="J91" s="85">
        <f t="shared" ca="1" si="40"/>
        <v>1045853.3353906154</v>
      </c>
      <c r="K91" s="85">
        <f t="shared" ca="1" si="40"/>
        <v>1017626.0972875422</v>
      </c>
      <c r="L91" s="85">
        <f t="shared" ca="1" si="40"/>
        <v>988834.31442240742</v>
      </c>
      <c r="M91" s="85">
        <f t="shared" ca="1" si="40"/>
        <v>959466.69589997001</v>
      </c>
      <c r="N91" s="85">
        <f t="shared" ca="1" si="40"/>
        <v>929511.7250070835</v>
      </c>
      <c r="O91" s="85">
        <f t="shared" ca="1" si="40"/>
        <v>898957.65469633986</v>
      </c>
      <c r="P91" s="85">
        <f t="shared" ca="1" si="40"/>
        <v>867792.50297938101</v>
      </c>
      <c r="Q91" s="85">
        <f t="shared" ca="1" si="40"/>
        <v>836004.04822808318</v>
      </c>
      <c r="R91" s="85">
        <f t="shared" ca="1" si="40"/>
        <v>803579.82438175916</v>
      </c>
      <c r="S91" s="85">
        <f t="shared" ca="1" si="40"/>
        <v>770507.11605850887</v>
      </c>
      <c r="T91" s="85">
        <f t="shared" ca="1" si="40"/>
        <v>736772.95356879337</v>
      </c>
      <c r="U91" s="85">
        <f t="shared" ca="1" si="40"/>
        <v>702364.10782928369</v>
      </c>
      <c r="V91" s="85">
        <f t="shared" ca="1" si="40"/>
        <v>667267.08517498372</v>
      </c>
      <c r="W91" s="85">
        <f t="shared" ca="1" si="40"/>
        <v>631468.12206759781</v>
      </c>
      <c r="X91" s="85">
        <f t="shared" ca="1" si="40"/>
        <v>594953.17969806422</v>
      </c>
      <c r="Y91" s="85">
        <f t="shared" ca="1" si="40"/>
        <v>557707.93848113995</v>
      </c>
      <c r="Z91" s="85">
        <f t="shared" ca="1" si="40"/>
        <v>519717.79243987717</v>
      </c>
      <c r="AA91" s="85">
        <f t="shared" ca="1" si="40"/>
        <v>480967.84347778908</v>
      </c>
      <c r="AB91" s="85">
        <f t="shared" ca="1" si="40"/>
        <v>441442.89553645928</v>
      </c>
      <c r="AC91" s="85">
        <f t="shared" ca="1" si="40"/>
        <v>401127.44863630284</v>
      </c>
      <c r="AD91" s="85">
        <f t="shared" ca="1" si="40"/>
        <v>360005.69279814325</v>
      </c>
      <c r="AE91" s="85">
        <f t="shared" ca="1" si="40"/>
        <v>318061.50184322055</v>
      </c>
      <c r="AF91" s="85">
        <f t="shared" ca="1" si="40"/>
        <v>275278.42706919939</v>
      </c>
      <c r="AG91" s="85">
        <f t="shared" ca="1" si="40"/>
        <v>231639.69079969777</v>
      </c>
      <c r="AH91" s="85">
        <f t="shared" ca="1" si="40"/>
        <v>187128.17980480613</v>
      </c>
      <c r="AI91" s="85">
        <f t="shared" ca="1" si="40"/>
        <v>141726.43859001668</v>
      </c>
      <c r="AJ91" s="85">
        <f t="shared" ca="1" si="40"/>
        <v>95416.662550931331</v>
      </c>
      <c r="AK91" s="85">
        <f t="shared" ca="1" si="40"/>
        <v>48180.690991064301</v>
      </c>
      <c r="AL91" s="85">
        <f t="shared" ca="1" si="40"/>
        <v>0</v>
      </c>
      <c r="AM91" s="85">
        <f t="shared" ca="1" si="40"/>
        <v>0</v>
      </c>
      <c r="AN91" s="85">
        <f t="shared" ca="1" si="40"/>
        <v>0</v>
      </c>
      <c r="AO91" s="85">
        <f t="shared" ca="1" si="40"/>
        <v>0</v>
      </c>
      <c r="AP91" s="85">
        <f t="shared" ca="1" si="40"/>
        <v>0</v>
      </c>
      <c r="AQ91" s="85">
        <f t="shared" ca="1" si="40"/>
        <v>0</v>
      </c>
      <c r="AR91" s="85">
        <f t="shared" ca="1" si="40"/>
        <v>0</v>
      </c>
      <c r="AS91" s="1"/>
      <c r="AT91" s="30"/>
    </row>
    <row r="92" spans="1:46" s="60" customFormat="1" outlineLevel="1" x14ac:dyDescent="0.2">
      <c r="A92" s="63" t="s">
        <v>738</v>
      </c>
      <c r="B92" s="155">
        <f t="shared" ref="B92:B95" ca="1" si="41">AT92</f>
        <v>576667.5</v>
      </c>
      <c r="C92" s="266" t="str">
        <f>Параметры!$B$64</f>
        <v>тыс. руб.</v>
      </c>
      <c r="D92" s="40"/>
      <c r="E92" s="82">
        <f t="shared" ref="E92:AR92" si="42">SUM(E$84)</f>
        <v>288333.75</v>
      </c>
      <c r="F92" s="82">
        <f t="shared" ca="1" si="42"/>
        <v>288333.75</v>
      </c>
      <c r="G92" s="82">
        <f t="shared" ca="1" si="42"/>
        <v>0</v>
      </c>
      <c r="H92" s="82">
        <f t="shared" ca="1" si="42"/>
        <v>0</v>
      </c>
      <c r="I92" s="82">
        <f t="shared" ca="1" si="42"/>
        <v>0</v>
      </c>
      <c r="J92" s="82">
        <f t="shared" ca="1" si="42"/>
        <v>0</v>
      </c>
      <c r="K92" s="82">
        <f t="shared" ca="1" si="42"/>
        <v>0</v>
      </c>
      <c r="L92" s="82">
        <f t="shared" ca="1" si="42"/>
        <v>0</v>
      </c>
      <c r="M92" s="82">
        <f t="shared" ca="1" si="42"/>
        <v>0</v>
      </c>
      <c r="N92" s="82">
        <f t="shared" ca="1" si="42"/>
        <v>0</v>
      </c>
      <c r="O92" s="82">
        <f t="shared" ca="1" si="42"/>
        <v>0</v>
      </c>
      <c r="P92" s="82">
        <f t="shared" ca="1" si="42"/>
        <v>0</v>
      </c>
      <c r="Q92" s="82">
        <f t="shared" ca="1" si="42"/>
        <v>0</v>
      </c>
      <c r="R92" s="82">
        <f t="shared" ca="1" si="42"/>
        <v>0</v>
      </c>
      <c r="S92" s="82">
        <f t="shared" ca="1" si="42"/>
        <v>0</v>
      </c>
      <c r="T92" s="82">
        <f t="shared" ca="1" si="42"/>
        <v>0</v>
      </c>
      <c r="U92" s="82">
        <f t="shared" ca="1" si="42"/>
        <v>0</v>
      </c>
      <c r="V92" s="82">
        <f t="shared" ca="1" si="42"/>
        <v>0</v>
      </c>
      <c r="W92" s="82">
        <f t="shared" ca="1" si="42"/>
        <v>0</v>
      </c>
      <c r="X92" s="82">
        <f t="shared" ca="1" si="42"/>
        <v>0</v>
      </c>
      <c r="Y92" s="82">
        <f t="shared" ca="1" si="42"/>
        <v>0</v>
      </c>
      <c r="Z92" s="82">
        <f t="shared" ca="1" si="42"/>
        <v>0</v>
      </c>
      <c r="AA92" s="82">
        <f t="shared" ca="1" si="42"/>
        <v>0</v>
      </c>
      <c r="AB92" s="82">
        <f t="shared" ca="1" si="42"/>
        <v>0</v>
      </c>
      <c r="AC92" s="82">
        <f t="shared" ca="1" si="42"/>
        <v>0</v>
      </c>
      <c r="AD92" s="82">
        <f t="shared" ca="1" si="42"/>
        <v>0</v>
      </c>
      <c r="AE92" s="82">
        <f t="shared" ca="1" si="42"/>
        <v>0</v>
      </c>
      <c r="AF92" s="82">
        <f t="shared" ca="1" si="42"/>
        <v>0</v>
      </c>
      <c r="AG92" s="82">
        <f t="shared" ca="1" si="42"/>
        <v>0</v>
      </c>
      <c r="AH92" s="82">
        <f t="shared" ca="1" si="42"/>
        <v>0</v>
      </c>
      <c r="AI92" s="82">
        <f t="shared" ca="1" si="42"/>
        <v>0</v>
      </c>
      <c r="AJ92" s="82">
        <f t="shared" ca="1" si="42"/>
        <v>0</v>
      </c>
      <c r="AK92" s="82">
        <f t="shared" ca="1" si="42"/>
        <v>0</v>
      </c>
      <c r="AL92" s="82">
        <f t="shared" ca="1" si="42"/>
        <v>0</v>
      </c>
      <c r="AM92" s="82">
        <f t="shared" ca="1" si="42"/>
        <v>0</v>
      </c>
      <c r="AN92" s="82">
        <f t="shared" ca="1" si="42"/>
        <v>0</v>
      </c>
      <c r="AO92" s="82">
        <f t="shared" ca="1" si="42"/>
        <v>0</v>
      </c>
      <c r="AP92" s="82">
        <f t="shared" ca="1" si="42"/>
        <v>0</v>
      </c>
      <c r="AQ92" s="82">
        <f t="shared" ca="1" si="42"/>
        <v>0</v>
      </c>
      <c r="AR92" s="82">
        <f t="shared" ca="1" si="42"/>
        <v>0</v>
      </c>
      <c r="AS92" s="1"/>
      <c r="AT92" s="84">
        <f ca="1">SUM(E92:AS92)</f>
        <v>576667.5</v>
      </c>
    </row>
    <row r="93" spans="1:46" s="60" customFormat="1" outlineLevel="1" x14ac:dyDescent="0.2">
      <c r="A93" s="63" t="s">
        <v>177</v>
      </c>
      <c r="B93" s="155">
        <f t="shared" ca="1" si="41"/>
        <v>1153335</v>
      </c>
      <c r="C93" s="266" t="str">
        <f>Параметры!$B$64</f>
        <v>тыс. руб.</v>
      </c>
      <c r="D93" s="40"/>
      <c r="E93" s="82">
        <f>SUM(E$86*CHOOSE($C$81,1,Параметры!E$109,Параметры!E$118))</f>
        <v>0</v>
      </c>
      <c r="F93" s="82">
        <f ca="1">SUM(F$86*CHOOSE($C$81,1,Параметры!F$109,Параметры!F$118))</f>
        <v>0</v>
      </c>
      <c r="G93" s="82">
        <f ca="1">SUM(G$86*CHOOSE($C$81,1,Параметры!G$109,Параметры!G$118))</f>
        <v>26077.604810885598</v>
      </c>
      <c r="H93" s="82">
        <f ca="1">SUM(H$86*CHOOSE($C$81,1,Параметры!H$109,Параметры!H$118))</f>
        <v>26599.156907103305</v>
      </c>
      <c r="I93" s="82">
        <f ca="1">SUM(I$86*CHOOSE($C$81,1,Параметры!I$109,Параметры!I$118))</f>
        <v>27131.140045245374</v>
      </c>
      <c r="J93" s="82">
        <f ca="1">SUM(J$86*CHOOSE($C$81,1,Параметры!J$109,Параметры!J$118))</f>
        <v>27673.762846150279</v>
      </c>
      <c r="K93" s="82">
        <f ca="1">SUM(K$86*CHOOSE($C$81,1,Параметры!K$109,Параметры!K$118))</f>
        <v>28227.238103073287</v>
      </c>
      <c r="L93" s="82">
        <f ca="1">SUM(L$86*CHOOSE($C$81,1,Параметры!L$109,Параметры!L$118))</f>
        <v>28791.782865134752</v>
      </c>
      <c r="M93" s="82">
        <f ca="1">SUM(M$86*CHOOSE($C$81,1,Параметры!M$109,Параметры!M$118))</f>
        <v>29367.618522437442</v>
      </c>
      <c r="N93" s="82">
        <f ca="1">SUM(N$86*CHOOSE($C$81,1,Параметры!N$109,Параметры!N$118))</f>
        <v>29954.970892886195</v>
      </c>
      <c r="O93" s="82">
        <f ca="1">SUM(O$86*CHOOSE($C$81,1,Параметры!O$109,Параметры!O$118))</f>
        <v>30554.070310743919</v>
      </c>
      <c r="P93" s="82">
        <f ca="1">SUM(P$86*CHOOSE($C$81,1,Параметры!P$109,Параметры!P$118))</f>
        <v>31165.151716958797</v>
      </c>
      <c r="Q93" s="82">
        <f ca="1">SUM(Q$86*CHOOSE($C$81,1,Параметры!Q$109,Параметры!Q$118))</f>
        <v>31788.454751297973</v>
      </c>
      <c r="R93" s="82">
        <f ca="1">SUM(R$86*CHOOSE($C$81,1,Параметры!R$109,Параметры!R$118))</f>
        <v>32424.22384632393</v>
      </c>
      <c r="S93" s="82">
        <f ca="1">SUM(S$86*CHOOSE($C$81,1,Параметры!S$109,Параметры!S$118))</f>
        <v>33072.708323250408</v>
      </c>
      <c r="T93" s="82">
        <f ca="1">SUM(T$86*CHOOSE($C$81,1,Параметры!T$109,Параметры!T$118))</f>
        <v>33734.162489715418</v>
      </c>
      <c r="U93" s="82">
        <f ca="1">SUM(U$86*CHOOSE($C$81,1,Параметры!U$109,Параметры!U$118))</f>
        <v>34408.845739509721</v>
      </c>
      <c r="V93" s="82">
        <f ca="1">SUM(V$86*CHOOSE($C$81,1,Параметры!V$109,Параметры!V$118))</f>
        <v>35097.022654299923</v>
      </c>
      <c r="W93" s="82">
        <f ca="1">SUM(W$86*CHOOSE($C$81,1,Параметры!W$109,Параметры!W$118))</f>
        <v>35798.96310738592</v>
      </c>
      <c r="X93" s="82">
        <f ca="1">SUM(X$86*CHOOSE($C$81,1,Параметры!X$109,Параметры!X$118))</f>
        <v>36514.942369533645</v>
      </c>
      <c r="Y93" s="82">
        <f ca="1">SUM(Y$86*CHOOSE($C$81,1,Параметры!Y$109,Параметры!Y$118))</f>
        <v>37245.241216924311</v>
      </c>
      <c r="Z93" s="82">
        <f ca="1">SUM(Z$86*CHOOSE($C$81,1,Параметры!Z$109,Параметры!Z$118))</f>
        <v>37990.1460412628</v>
      </c>
      <c r="AA93" s="82">
        <f ca="1">SUM(AA$86*CHOOSE($C$81,1,Параметры!AA$109,Параметры!AA$118))</f>
        <v>38749.948962088049</v>
      </c>
      <c r="AB93" s="82">
        <f ca="1">SUM(AB$86*CHOOSE($C$81,1,Параметры!AB$109,Параметры!AB$118))</f>
        <v>39524.947941329818</v>
      </c>
      <c r="AC93" s="82">
        <f ca="1">SUM(AC$86*CHOOSE($C$81,1,Параметры!AC$109,Параметры!AC$118))</f>
        <v>40315.446900156414</v>
      </c>
      <c r="AD93" s="82">
        <f ca="1">SUM(AD$86*CHOOSE($C$81,1,Параметры!AD$109,Параметры!AD$118))</f>
        <v>41121.755838159537</v>
      </c>
      <c r="AE93" s="82">
        <f ca="1">SUM(AE$86*CHOOSE($C$81,1,Параметры!AE$109,Параметры!AE$118))</f>
        <v>41944.190954922728</v>
      </c>
      <c r="AF93" s="82">
        <f ca="1">SUM(AF$86*CHOOSE($C$81,1,Параметры!AF$109,Параметры!AF$118))</f>
        <v>42783.074774021181</v>
      </c>
      <c r="AG93" s="82">
        <f ca="1">SUM(AG$86*CHOOSE($C$81,1,Параметры!AG$109,Параметры!AG$118))</f>
        <v>43638.736269501605</v>
      </c>
      <c r="AH93" s="82">
        <f ca="1">SUM(AH$86*CHOOSE($C$81,1,Параметры!AH$109,Параметры!AH$118))</f>
        <v>44511.510994891636</v>
      </c>
      <c r="AI93" s="82">
        <f ca="1">SUM(AI$86*CHOOSE($C$81,1,Параметры!AI$109,Параметры!AI$118))</f>
        <v>45401.741214789472</v>
      </c>
      <c r="AJ93" s="82">
        <f ca="1">SUM(AJ$86*CHOOSE($C$81,1,Параметры!AJ$109,Параметры!AJ$118))</f>
        <v>46309.776039085256</v>
      </c>
      <c r="AK93" s="82">
        <f ca="1">SUM(AK$86*CHOOSE($C$81,1,Параметры!AK$109,Параметры!AK$118))</f>
        <v>47235.971559866965</v>
      </c>
      <c r="AL93" s="82">
        <f ca="1">SUM(AL$86*CHOOSE($C$81,1,Параметры!AL$109,Параметры!AL$118))</f>
        <v>48180.690991064301</v>
      </c>
      <c r="AM93" s="82">
        <f ca="1">SUM(AM$86*CHOOSE($C$81,1,Параметры!AM$109,Параметры!AM$118))</f>
        <v>0</v>
      </c>
      <c r="AN93" s="82">
        <f ca="1">SUM(AN$86*CHOOSE($C$81,1,Параметры!AN$109,Параметры!AN$118))</f>
        <v>0</v>
      </c>
      <c r="AO93" s="82">
        <f ca="1">SUM(AO$86*CHOOSE($C$81,1,Параметры!AO$109,Параметры!AO$118))</f>
        <v>0</v>
      </c>
      <c r="AP93" s="82">
        <f ca="1">SUM(AP$86*CHOOSE($C$81,1,Параметры!AP$109,Параметры!AP$118))</f>
        <v>0</v>
      </c>
      <c r="AQ93" s="82">
        <f ca="1">SUM(AQ$86*CHOOSE($C$81,1,Параметры!AQ$109,Параметры!AQ$118))</f>
        <v>0</v>
      </c>
      <c r="AR93" s="82">
        <f ca="1">SUM(AR$86*CHOOSE($C$81,1,Параметры!AR$109,Параметры!AR$118))</f>
        <v>0</v>
      </c>
      <c r="AS93" s="1"/>
      <c r="AT93" s="84">
        <f ca="1">SUM(E93:AS93)</f>
        <v>1153335</v>
      </c>
    </row>
    <row r="94" spans="1:46" s="60" customFormat="1" outlineLevel="1" x14ac:dyDescent="0.2">
      <c r="A94" s="63" t="s">
        <v>178</v>
      </c>
      <c r="B94" s="155">
        <f t="shared" ca="1" si="41"/>
        <v>436582.77894833899</v>
      </c>
      <c r="C94" s="266" t="str">
        <f>Параметры!$B$64</f>
        <v>тыс. руб.</v>
      </c>
      <c r="D94" s="40"/>
      <c r="E94" s="82">
        <f>SUM(E$88*CHOOSE($C$81,1,Параметры!E$109,Параметры!E$118))</f>
        <v>17300.025000000001</v>
      </c>
      <c r="F94" s="82">
        <f ca="1">SUM(F$88*CHOOSE($C$81,1,Параметры!F$109,Параметры!F$118))</f>
        <v>23066.7</v>
      </c>
      <c r="G94" s="82">
        <f ca="1">SUM(G$88*CHOOSE($C$81,1,Параметры!G$109,Параметры!G$118))</f>
        <v>22545.147903782286</v>
      </c>
      <c r="H94" s="82">
        <f ca="1">SUM(H$88*CHOOSE($C$81,1,Параметры!H$109,Параметры!H$118))</f>
        <v>22013.164765640217</v>
      </c>
      <c r="I94" s="82">
        <f ca="1">SUM(I$88*CHOOSE($C$81,1,Параметры!I$109,Параметры!I$118))</f>
        <v>21470.541964735316</v>
      </c>
      <c r="J94" s="82">
        <f ca="1">SUM(J$88*CHOOSE($C$81,1,Параметры!J$109,Параметры!J$118))</f>
        <v>20917.066707812308</v>
      </c>
      <c r="K94" s="82">
        <f ca="1">SUM(K$88*CHOOSE($C$81,1,Параметры!K$109,Параметры!K$118))</f>
        <v>20352.521945750843</v>
      </c>
      <c r="L94" s="82">
        <f ca="1">SUM(L$88*CHOOSE($C$81,1,Параметры!L$109,Параметры!L$118))</f>
        <v>19776.686288448149</v>
      </c>
      <c r="M94" s="82">
        <f ca="1">SUM(M$88*CHOOSE($C$81,1,Параметры!M$109,Параметры!M$118))</f>
        <v>19189.333917999404</v>
      </c>
      <c r="N94" s="82">
        <f ca="1">SUM(N$88*CHOOSE($C$81,1,Параметры!N$109,Параметры!N$118))</f>
        <v>18590.234500141676</v>
      </c>
      <c r="O94" s="82">
        <f ca="1">SUM(O$88*CHOOSE($C$81,1,Параметры!O$109,Параметры!O$118))</f>
        <v>17979.153093926798</v>
      </c>
      <c r="P94" s="82">
        <f ca="1">SUM(P$88*CHOOSE($C$81,1,Параметры!P$109,Параметры!P$118))</f>
        <v>17355.850059587621</v>
      </c>
      <c r="Q94" s="82">
        <f ca="1">SUM(Q$88*CHOOSE($C$81,1,Параметры!Q$109,Параметры!Q$118))</f>
        <v>16720.080964561665</v>
      </c>
      <c r="R94" s="82">
        <f ca="1">SUM(R$88*CHOOSE($C$81,1,Параметры!R$109,Параметры!R$118))</f>
        <v>16071.596487635186</v>
      </c>
      <c r="S94" s="82">
        <f ca="1">SUM(S$88*CHOOSE($C$81,1,Параметры!S$109,Параметры!S$118))</f>
        <v>15410.142321170177</v>
      </c>
      <c r="T94" s="82">
        <f ca="1">SUM(T$88*CHOOSE($C$81,1,Параметры!T$109,Параметры!T$118))</f>
        <v>14735.45907137587</v>
      </c>
      <c r="U94" s="82">
        <f ca="1">SUM(U$88*CHOOSE($C$81,1,Параметры!U$109,Параметры!U$118))</f>
        <v>14047.282156585676</v>
      </c>
      <c r="V94" s="82">
        <f ca="1">SUM(V$88*CHOOSE($C$81,1,Параметры!V$109,Параметры!V$118))</f>
        <v>13345.341703499676</v>
      </c>
      <c r="W94" s="82">
        <f ca="1">SUM(W$88*CHOOSE($C$81,1,Параметры!W$109,Параметры!W$118))</f>
        <v>12629.362441351957</v>
      </c>
      <c r="X94" s="82">
        <f ca="1">SUM(X$88*CHOOSE($C$81,1,Параметры!X$109,Параметры!X$118))</f>
        <v>11899.063593961284</v>
      </c>
      <c r="Y94" s="82">
        <f ca="1">SUM(Y$88*CHOOSE($C$81,1,Параметры!Y$109,Параметры!Y$118))</f>
        <v>11154.1587696228</v>
      </c>
      <c r="Z94" s="82">
        <f ca="1">SUM(Z$88*CHOOSE($C$81,1,Параметры!Z$109,Параметры!Z$118))</f>
        <v>10394.355848797544</v>
      </c>
      <c r="AA94" s="82">
        <f ca="1">SUM(AA$88*CHOOSE($C$81,1,Параметры!AA$109,Параметры!AA$118))</f>
        <v>9619.3568695557824</v>
      </c>
      <c r="AB94" s="82">
        <f ca="1">SUM(AB$88*CHOOSE($C$81,1,Параметры!AB$109,Параметры!AB$118))</f>
        <v>8828.8579107291862</v>
      </c>
      <c r="AC94" s="82">
        <f ca="1">SUM(AC$88*CHOOSE($C$81,1,Параметры!AC$109,Параметры!AC$118))</f>
        <v>8022.5489727260574</v>
      </c>
      <c r="AD94" s="82">
        <f ca="1">SUM(AD$88*CHOOSE($C$81,1,Параметры!AD$109,Параметры!AD$118))</f>
        <v>7200.1138559628644</v>
      </c>
      <c r="AE94" s="82">
        <f ca="1">SUM(AE$88*CHOOSE($C$81,1,Параметры!AE$109,Параметры!AE$118))</f>
        <v>6361.2300368644101</v>
      </c>
      <c r="AF94" s="82">
        <f ca="1">SUM(AF$88*CHOOSE($C$81,1,Параметры!AF$109,Параметры!AF$118))</f>
        <v>5505.5685413839865</v>
      </c>
      <c r="AG94" s="82">
        <f ca="1">SUM(AG$88*CHOOSE($C$81,1,Параметры!AG$109,Параметры!AG$118))</f>
        <v>4632.7938159939558</v>
      </c>
      <c r="AH94" s="82">
        <f ca="1">SUM(AH$88*CHOOSE($C$81,1,Параметры!AH$109,Параметры!AH$118))</f>
        <v>3742.5635960961226</v>
      </c>
      <c r="AI94" s="82">
        <f ca="1">SUM(AI$88*CHOOSE($C$81,1,Параметры!AI$109,Параметры!AI$118))</f>
        <v>2834.5287718003337</v>
      </c>
      <c r="AJ94" s="82">
        <f ca="1">SUM(AJ$88*CHOOSE($C$81,1,Параметры!AJ$109,Параметры!AJ$118))</f>
        <v>1908.3332510186267</v>
      </c>
      <c r="AK94" s="82">
        <f ca="1">SUM(AK$88*CHOOSE($C$81,1,Параметры!AK$109,Параметры!AK$118))</f>
        <v>963.61381982128603</v>
      </c>
      <c r="AL94" s="82">
        <f ca="1">SUM(AL$88*CHOOSE($C$81,1,Параметры!AL$109,Параметры!AL$118))</f>
        <v>0</v>
      </c>
      <c r="AM94" s="82">
        <f ca="1">SUM(AM$88*CHOOSE($C$81,1,Параметры!AM$109,Параметры!AM$118))</f>
        <v>0</v>
      </c>
      <c r="AN94" s="82">
        <f ca="1">SUM(AN$88*CHOOSE($C$81,1,Параметры!AN$109,Параметры!AN$118))</f>
        <v>0</v>
      </c>
      <c r="AO94" s="82">
        <f ca="1">SUM(AO$88*CHOOSE($C$81,1,Параметры!AO$109,Параметры!AO$118))</f>
        <v>0</v>
      </c>
      <c r="AP94" s="82">
        <f ca="1">SUM(AP$88*CHOOSE($C$81,1,Параметры!AP$109,Параметры!AP$118))</f>
        <v>0</v>
      </c>
      <c r="AQ94" s="82">
        <f ca="1">SUM(AQ$88*CHOOSE($C$81,1,Параметры!AQ$109,Параметры!AQ$118))</f>
        <v>0</v>
      </c>
      <c r="AR94" s="82">
        <f ca="1">SUM(AR$88*CHOOSE($C$81,1,Параметры!AR$109,Параметры!AR$118))</f>
        <v>0</v>
      </c>
      <c r="AS94" s="1"/>
      <c r="AT94" s="84">
        <f ca="1">SUM(E94:AS94)</f>
        <v>436582.77894833899</v>
      </c>
    </row>
    <row r="95" spans="1:46" s="60" customFormat="1" outlineLevel="1" x14ac:dyDescent="0.2">
      <c r="A95" s="63" t="s">
        <v>179</v>
      </c>
      <c r="B95" s="155">
        <f t="shared" ca="1" si="41"/>
        <v>436582.77894833899</v>
      </c>
      <c r="C95" s="266" t="str">
        <f>Параметры!$B$64</f>
        <v>тыс. руб.</v>
      </c>
      <c r="D95" s="40"/>
      <c r="E95" s="82">
        <f>SUM(E$89*CHOOSE($C$81,1,Параметры!E$109,Параметры!E$118))</f>
        <v>17300.025000000001</v>
      </c>
      <c r="F95" s="82">
        <f ca="1">SUM(F$89*CHOOSE($C$81,1,Параметры!F$109,Параметры!F$118))</f>
        <v>23066.7</v>
      </c>
      <c r="G95" s="82">
        <f ca="1">SUM(G$89*CHOOSE($C$81,1,Параметры!G$109,Параметры!G$118))</f>
        <v>22545.147903782286</v>
      </c>
      <c r="H95" s="82">
        <f ca="1">SUM(H$89*CHOOSE($C$81,1,Параметры!H$109,Параметры!H$118))</f>
        <v>22013.164765640217</v>
      </c>
      <c r="I95" s="82">
        <f ca="1">SUM(I$89*CHOOSE($C$81,1,Параметры!I$109,Параметры!I$118))</f>
        <v>21470.541964735316</v>
      </c>
      <c r="J95" s="82">
        <f ca="1">SUM(J$89*CHOOSE($C$81,1,Параметры!J$109,Параметры!J$118))</f>
        <v>20917.066707812308</v>
      </c>
      <c r="K95" s="82">
        <f ca="1">SUM(K$89*CHOOSE($C$81,1,Параметры!K$109,Параметры!K$118))</f>
        <v>20352.521945750843</v>
      </c>
      <c r="L95" s="82">
        <f ca="1">SUM(L$89*CHOOSE($C$81,1,Параметры!L$109,Параметры!L$118))</f>
        <v>19776.686288448149</v>
      </c>
      <c r="M95" s="82">
        <f ca="1">SUM(M$89*CHOOSE($C$81,1,Параметры!M$109,Параметры!M$118))</f>
        <v>19189.333917999404</v>
      </c>
      <c r="N95" s="82">
        <f ca="1">SUM(N$89*CHOOSE($C$81,1,Параметры!N$109,Параметры!N$118))</f>
        <v>18590.234500141676</v>
      </c>
      <c r="O95" s="82">
        <f ca="1">SUM(O$89*CHOOSE($C$81,1,Параметры!O$109,Параметры!O$118))</f>
        <v>17979.153093926798</v>
      </c>
      <c r="P95" s="82">
        <f ca="1">SUM(P$89*CHOOSE($C$81,1,Параметры!P$109,Параметры!P$118))</f>
        <v>17355.850059587621</v>
      </c>
      <c r="Q95" s="82">
        <f ca="1">SUM(Q$89*CHOOSE($C$81,1,Параметры!Q$109,Параметры!Q$118))</f>
        <v>16720.080964561665</v>
      </c>
      <c r="R95" s="82">
        <f ca="1">SUM(R$89*CHOOSE($C$81,1,Параметры!R$109,Параметры!R$118))</f>
        <v>16071.596487635186</v>
      </c>
      <c r="S95" s="82">
        <f ca="1">SUM(S$89*CHOOSE($C$81,1,Параметры!S$109,Параметры!S$118))</f>
        <v>15410.142321170177</v>
      </c>
      <c r="T95" s="82">
        <f ca="1">SUM(T$89*CHOOSE($C$81,1,Параметры!T$109,Параметры!T$118))</f>
        <v>14735.45907137587</v>
      </c>
      <c r="U95" s="82">
        <f ca="1">SUM(U$89*CHOOSE($C$81,1,Параметры!U$109,Параметры!U$118))</f>
        <v>14047.282156585676</v>
      </c>
      <c r="V95" s="82">
        <f ca="1">SUM(V$89*CHOOSE($C$81,1,Параметры!V$109,Параметры!V$118))</f>
        <v>13345.341703499676</v>
      </c>
      <c r="W95" s="82">
        <f ca="1">SUM(W$89*CHOOSE($C$81,1,Параметры!W$109,Параметры!W$118))</f>
        <v>12629.362441351957</v>
      </c>
      <c r="X95" s="82">
        <f ca="1">SUM(X$89*CHOOSE($C$81,1,Параметры!X$109,Параметры!X$118))</f>
        <v>11899.063593961284</v>
      </c>
      <c r="Y95" s="82">
        <f ca="1">SUM(Y$89*CHOOSE($C$81,1,Параметры!Y$109,Параметры!Y$118))</f>
        <v>11154.1587696228</v>
      </c>
      <c r="Z95" s="82">
        <f ca="1">SUM(Z$89*CHOOSE($C$81,1,Параметры!Z$109,Параметры!Z$118))</f>
        <v>10394.355848797544</v>
      </c>
      <c r="AA95" s="82">
        <f ca="1">SUM(AA$89*CHOOSE($C$81,1,Параметры!AA$109,Параметры!AA$118))</f>
        <v>9619.3568695557824</v>
      </c>
      <c r="AB95" s="82">
        <f ca="1">SUM(AB$89*CHOOSE($C$81,1,Параметры!AB$109,Параметры!AB$118))</f>
        <v>8828.8579107291862</v>
      </c>
      <c r="AC95" s="82">
        <f ca="1">SUM(AC$89*CHOOSE($C$81,1,Параметры!AC$109,Параметры!AC$118))</f>
        <v>8022.5489727260574</v>
      </c>
      <c r="AD95" s="82">
        <f ca="1">SUM(AD$89*CHOOSE($C$81,1,Параметры!AD$109,Параметры!AD$118))</f>
        <v>7200.1138559628644</v>
      </c>
      <c r="AE95" s="82">
        <f ca="1">SUM(AE$89*CHOOSE($C$81,1,Параметры!AE$109,Параметры!AE$118))</f>
        <v>6361.2300368644101</v>
      </c>
      <c r="AF95" s="82">
        <f ca="1">SUM(AF$89*CHOOSE($C$81,1,Параметры!AF$109,Параметры!AF$118))</f>
        <v>5505.5685413839865</v>
      </c>
      <c r="AG95" s="82">
        <f ca="1">SUM(AG$89*CHOOSE($C$81,1,Параметры!AG$109,Параметры!AG$118))</f>
        <v>4632.7938159939558</v>
      </c>
      <c r="AH95" s="82">
        <f ca="1">SUM(AH$89*CHOOSE($C$81,1,Параметры!AH$109,Параметры!AH$118))</f>
        <v>3742.5635960961226</v>
      </c>
      <c r="AI95" s="82">
        <f ca="1">SUM(AI$89*CHOOSE($C$81,1,Параметры!AI$109,Параметры!AI$118))</f>
        <v>2834.5287718003337</v>
      </c>
      <c r="AJ95" s="82">
        <f ca="1">SUM(AJ$89*CHOOSE($C$81,1,Параметры!AJ$109,Параметры!AJ$118))</f>
        <v>1908.3332510186267</v>
      </c>
      <c r="AK95" s="82">
        <f ca="1">SUM(AK$89*CHOOSE($C$81,1,Параметры!AK$109,Параметры!AK$118))</f>
        <v>963.61381982128603</v>
      </c>
      <c r="AL95" s="82">
        <f ca="1">SUM(AL$89*CHOOSE($C$81,1,Параметры!AL$109,Параметры!AL$118))</f>
        <v>0</v>
      </c>
      <c r="AM95" s="82">
        <f ca="1">SUM(AM$89*CHOOSE($C$81,1,Параметры!AM$109,Параметры!AM$118))</f>
        <v>0</v>
      </c>
      <c r="AN95" s="82">
        <f ca="1">SUM(AN$89*CHOOSE($C$81,1,Параметры!AN$109,Параметры!AN$118))</f>
        <v>0</v>
      </c>
      <c r="AO95" s="82">
        <f ca="1">SUM(AO$89*CHOOSE($C$81,1,Параметры!AO$109,Параметры!AO$118))</f>
        <v>0</v>
      </c>
      <c r="AP95" s="82">
        <f ca="1">SUM(AP$89*CHOOSE($C$81,1,Параметры!AP$109,Параметры!AP$118))</f>
        <v>0</v>
      </c>
      <c r="AQ95" s="82">
        <f ca="1">SUM(AQ$89*CHOOSE($C$81,1,Параметры!AQ$109,Параметры!AQ$118))</f>
        <v>0</v>
      </c>
      <c r="AR95" s="82">
        <f ca="1">SUM(AR$89*CHOOSE($C$81,1,Параметры!AR$109,Параметры!AR$118))</f>
        <v>0</v>
      </c>
      <c r="AS95" s="1"/>
      <c r="AT95" s="84">
        <f ca="1">SUM(E95:AS95)</f>
        <v>436582.77894833899</v>
      </c>
    </row>
    <row r="96" spans="1:46" s="60" customFormat="1" outlineLevel="1" x14ac:dyDescent="0.2">
      <c r="A96" s="63" t="s">
        <v>186</v>
      </c>
      <c r="B96" s="29"/>
      <c r="C96" s="266" t="str">
        <f>Параметры!$B$64</f>
        <v>тыс. руб.</v>
      </c>
      <c r="D96" s="40"/>
      <c r="E96" s="82">
        <f>SUM(E$82*CHOOSE($C$81,1,Параметры!E$109,Параметры!E$118))</f>
        <v>576667.5</v>
      </c>
      <c r="F96" s="82">
        <f>SUM(F$82*CHOOSE($C$81,1,Параметры!F$109,Параметры!F$118))</f>
        <v>865001.25</v>
      </c>
      <c r="G96" s="82">
        <f ca="1">SUM(G$82*CHOOSE($C$81,1,Параметры!G$109,Параметры!G$118))</f>
        <v>1153335</v>
      </c>
      <c r="H96" s="82">
        <f ca="1">SUM(H$82*CHOOSE($C$81,1,Параметры!H$109,Параметры!H$118))</f>
        <v>1127257.3951891144</v>
      </c>
      <c r="I96" s="82">
        <f ca="1">SUM(I$82*CHOOSE($C$81,1,Параметры!I$109,Параметры!I$118))</f>
        <v>1100658.2382820111</v>
      </c>
      <c r="J96" s="82">
        <f ca="1">SUM(J$82*CHOOSE($C$81,1,Параметры!J$109,Параметры!J$118))</f>
        <v>1073527.0982367657</v>
      </c>
      <c r="K96" s="82">
        <f ca="1">SUM(K$82*CHOOSE($C$81,1,Параметры!K$109,Параметры!K$118))</f>
        <v>1045853.3353906154</v>
      </c>
      <c r="L96" s="82">
        <f ca="1">SUM(L$82*CHOOSE($C$81,1,Параметры!L$109,Параметры!L$118))</f>
        <v>1017626.0972875422</v>
      </c>
      <c r="M96" s="82">
        <f ca="1">SUM(M$82*CHOOSE($C$81,1,Параметры!M$109,Параметры!M$118))</f>
        <v>988834.31442240742</v>
      </c>
      <c r="N96" s="82">
        <f ca="1">SUM(N$82*CHOOSE($C$81,1,Параметры!N$109,Параметры!N$118))</f>
        <v>959466.69589997001</v>
      </c>
      <c r="O96" s="82">
        <f ca="1">SUM(O$82*CHOOSE($C$81,1,Параметры!O$109,Параметры!O$118))</f>
        <v>929511.7250070835</v>
      </c>
      <c r="P96" s="82">
        <f ca="1">SUM(P$82*CHOOSE($C$81,1,Параметры!P$109,Параметры!P$118))</f>
        <v>898957.65469633986</v>
      </c>
      <c r="Q96" s="82">
        <f ca="1">SUM(Q$82*CHOOSE($C$81,1,Параметры!Q$109,Параметры!Q$118))</f>
        <v>867792.50297938101</v>
      </c>
      <c r="R96" s="82">
        <f ca="1">SUM(R$82*CHOOSE($C$81,1,Параметры!R$109,Параметры!R$118))</f>
        <v>836004.04822808318</v>
      </c>
      <c r="S96" s="82">
        <f ca="1">SUM(S$82*CHOOSE($C$81,1,Параметры!S$109,Параметры!S$118))</f>
        <v>803579.82438175916</v>
      </c>
      <c r="T96" s="82">
        <f ca="1">SUM(T$82*CHOOSE($C$81,1,Параметры!T$109,Параметры!T$118))</f>
        <v>770507.11605850887</v>
      </c>
      <c r="U96" s="82">
        <f ca="1">SUM(U$82*CHOOSE($C$81,1,Параметры!U$109,Параметры!U$118))</f>
        <v>736772.95356879337</v>
      </c>
      <c r="V96" s="82">
        <f ca="1">SUM(V$82*CHOOSE($C$81,1,Параметры!V$109,Параметры!V$118))</f>
        <v>702364.10782928369</v>
      </c>
      <c r="W96" s="82">
        <f ca="1">SUM(W$82*CHOOSE($C$81,1,Параметры!W$109,Параметры!W$118))</f>
        <v>667267.08517498372</v>
      </c>
      <c r="X96" s="82">
        <f ca="1">SUM(X$82*CHOOSE($C$81,1,Параметры!X$109,Параметры!X$118))</f>
        <v>631468.12206759781</v>
      </c>
      <c r="Y96" s="82">
        <f ca="1">SUM(Y$82*CHOOSE($C$81,1,Параметры!Y$109,Параметры!Y$118))</f>
        <v>594953.17969806422</v>
      </c>
      <c r="Z96" s="82">
        <f ca="1">SUM(Z$82*CHOOSE($C$81,1,Параметры!Z$109,Параметры!Z$118))</f>
        <v>557707.93848113995</v>
      </c>
      <c r="AA96" s="82">
        <f ca="1">SUM(AA$82*CHOOSE($C$81,1,Параметры!AA$109,Параметры!AA$118))</f>
        <v>519717.79243987717</v>
      </c>
      <c r="AB96" s="82">
        <f ca="1">SUM(AB$82*CHOOSE($C$81,1,Параметры!AB$109,Параметры!AB$118))</f>
        <v>480967.84347778908</v>
      </c>
      <c r="AC96" s="82">
        <f ca="1">SUM(AC$82*CHOOSE($C$81,1,Параметры!AC$109,Параметры!AC$118))</f>
        <v>441442.89553645928</v>
      </c>
      <c r="AD96" s="82">
        <f ca="1">SUM(AD$82*CHOOSE($C$81,1,Параметры!AD$109,Параметры!AD$118))</f>
        <v>401127.44863630284</v>
      </c>
      <c r="AE96" s="82">
        <f ca="1">SUM(AE$82*CHOOSE($C$81,1,Параметры!AE$109,Параметры!AE$118))</f>
        <v>360005.69279814325</v>
      </c>
      <c r="AF96" s="82">
        <f ca="1">SUM(AF$82*CHOOSE($C$81,1,Параметры!AF$109,Параметры!AF$118))</f>
        <v>318061.50184322055</v>
      </c>
      <c r="AG96" s="82">
        <f ca="1">SUM(AG$82*CHOOSE($C$81,1,Параметры!AG$109,Параметры!AG$118))</f>
        <v>275278.42706919939</v>
      </c>
      <c r="AH96" s="82">
        <f ca="1">SUM(AH$82*CHOOSE($C$81,1,Параметры!AH$109,Параметры!AH$118))</f>
        <v>231639.69079969777</v>
      </c>
      <c r="AI96" s="82">
        <f ca="1">SUM(AI$82*CHOOSE($C$81,1,Параметры!AI$109,Параметры!AI$118))</f>
        <v>187128.17980480613</v>
      </c>
      <c r="AJ96" s="82">
        <f ca="1">SUM(AJ$82*CHOOSE($C$81,1,Параметры!AJ$109,Параметры!AJ$118))</f>
        <v>141726.43859001668</v>
      </c>
      <c r="AK96" s="82">
        <f ca="1">SUM(AK$82*CHOOSE($C$81,1,Параметры!AK$109,Параметры!AK$118))</f>
        <v>95416.662550931331</v>
      </c>
      <c r="AL96" s="82">
        <f ca="1">SUM(AL$82*CHOOSE($C$81,1,Параметры!AL$109,Параметры!AL$118))</f>
        <v>48180.690991064301</v>
      </c>
      <c r="AM96" s="82">
        <f ca="1">SUM(AM$82*CHOOSE($C$81,1,Параметры!AM$109,Параметры!AM$118))</f>
        <v>0</v>
      </c>
      <c r="AN96" s="82">
        <f ca="1">SUM(AN$82*CHOOSE($C$81,1,Параметры!AN$109,Параметры!AN$118))</f>
        <v>0</v>
      </c>
      <c r="AO96" s="82">
        <f ca="1">SUM(AO$82*CHOOSE($C$81,1,Параметры!AO$109,Параметры!AO$118))</f>
        <v>0</v>
      </c>
      <c r="AP96" s="82">
        <f ca="1">SUM(AP$82*CHOOSE($C$81,1,Параметры!AP$109,Параметры!AP$118))</f>
        <v>0</v>
      </c>
      <c r="AQ96" s="82">
        <f ca="1">SUM(AQ$82*CHOOSE($C$81,1,Параметры!AQ$109,Параметры!AQ$118))</f>
        <v>0</v>
      </c>
      <c r="AR96" s="82">
        <f ca="1">SUM(AR$82*CHOOSE($C$81,1,Параметры!AR$109,Параметры!AR$118))</f>
        <v>0</v>
      </c>
      <c r="AS96" s="1"/>
      <c r="AT96" s="30"/>
    </row>
    <row r="97" spans="1:46" s="60" customFormat="1" outlineLevel="1" x14ac:dyDescent="0.2">
      <c r="A97" s="63" t="s">
        <v>187</v>
      </c>
      <c r="B97" s="29"/>
      <c r="C97" s="266" t="str">
        <f>Параметры!$B$64</f>
        <v>тыс. руб.</v>
      </c>
      <c r="D97" s="40"/>
      <c r="E97" s="82">
        <v>0</v>
      </c>
      <c r="F97" s="82">
        <v>0</v>
      </c>
      <c r="G97" s="82">
        <v>0</v>
      </c>
      <c r="H97" s="82">
        <v>0</v>
      </c>
      <c r="I97" s="82">
        <v>0</v>
      </c>
      <c r="J97" s="82">
        <v>0</v>
      </c>
      <c r="K97" s="82">
        <v>0</v>
      </c>
      <c r="L97" s="82">
        <v>0</v>
      </c>
      <c r="M97" s="82">
        <v>0</v>
      </c>
      <c r="N97" s="82">
        <v>0</v>
      </c>
      <c r="O97" s="82">
        <v>0</v>
      </c>
      <c r="P97" s="82">
        <v>0</v>
      </c>
      <c r="Q97" s="82">
        <v>0</v>
      </c>
      <c r="R97" s="82">
        <v>0</v>
      </c>
      <c r="S97" s="82">
        <v>0</v>
      </c>
      <c r="T97" s="82">
        <v>0</v>
      </c>
      <c r="U97" s="82">
        <v>0</v>
      </c>
      <c r="V97" s="82">
        <v>0</v>
      </c>
      <c r="W97" s="82">
        <v>0</v>
      </c>
      <c r="X97" s="82">
        <v>0</v>
      </c>
      <c r="Y97" s="82">
        <v>0</v>
      </c>
      <c r="Z97" s="82">
        <v>0</v>
      </c>
      <c r="AA97" s="82">
        <v>0</v>
      </c>
      <c r="AB97" s="82">
        <v>0</v>
      </c>
      <c r="AC97" s="82">
        <v>0</v>
      </c>
      <c r="AD97" s="82">
        <v>0</v>
      </c>
      <c r="AE97" s="82">
        <v>0</v>
      </c>
      <c r="AF97" s="82">
        <v>0</v>
      </c>
      <c r="AG97" s="82">
        <v>0</v>
      </c>
      <c r="AH97" s="82">
        <v>0</v>
      </c>
      <c r="AI97" s="82">
        <v>0</v>
      </c>
      <c r="AJ97" s="82">
        <v>0</v>
      </c>
      <c r="AK97" s="82">
        <v>0</v>
      </c>
      <c r="AL97" s="82">
        <v>0</v>
      </c>
      <c r="AM97" s="82">
        <v>0</v>
      </c>
      <c r="AN97" s="82">
        <v>0</v>
      </c>
      <c r="AO97" s="82">
        <v>0</v>
      </c>
      <c r="AP97" s="82">
        <v>0</v>
      </c>
      <c r="AQ97" s="82">
        <v>0</v>
      </c>
      <c r="AR97" s="82">
        <v>0</v>
      </c>
      <c r="AS97" s="1"/>
      <c r="AT97" s="30"/>
    </row>
    <row r="98" spans="1:46" s="60" customFormat="1" outlineLevel="1" x14ac:dyDescent="0.2">
      <c r="A98" s="63" t="s">
        <v>180</v>
      </c>
      <c r="B98" s="29"/>
      <c r="C98" s="266" t="str">
        <f>Параметры!$B$64</f>
        <v>тыс. руб.</v>
      </c>
      <c r="D98" s="40"/>
      <c r="E98" s="82">
        <f>SUM(E$87*CHOOSE($C$81,1,Параметры!E$109,Параметры!E$118))</f>
        <v>865001.25</v>
      </c>
      <c r="F98" s="82">
        <f ca="1">SUM(F$87*CHOOSE($C$81,1,Параметры!F$109,Параметры!F$118))</f>
        <v>1153335</v>
      </c>
      <c r="G98" s="82">
        <f ca="1">SUM(G$87*CHOOSE($C$81,1,Параметры!G$109,Параметры!G$118))</f>
        <v>1127257.3951891144</v>
      </c>
      <c r="H98" s="82">
        <f ca="1">SUM(H$87*CHOOSE($C$81,1,Параметры!H$109,Параметры!H$118))</f>
        <v>1100658.2382820111</v>
      </c>
      <c r="I98" s="82">
        <f ca="1">SUM(I$87*CHOOSE($C$81,1,Параметры!I$109,Параметры!I$118))</f>
        <v>1073527.0982367657</v>
      </c>
      <c r="J98" s="82">
        <f ca="1">SUM(J$87*CHOOSE($C$81,1,Параметры!J$109,Параметры!J$118))</f>
        <v>1045853.3353906154</v>
      </c>
      <c r="K98" s="82">
        <f ca="1">SUM(K$87*CHOOSE($C$81,1,Параметры!K$109,Параметры!K$118))</f>
        <v>1017626.0972875422</v>
      </c>
      <c r="L98" s="82">
        <f ca="1">SUM(L$87*CHOOSE($C$81,1,Параметры!L$109,Параметры!L$118))</f>
        <v>988834.31442240742</v>
      </c>
      <c r="M98" s="82">
        <f ca="1">SUM(M$87*CHOOSE($C$81,1,Параметры!M$109,Параметры!M$118))</f>
        <v>959466.69589997001</v>
      </c>
      <c r="N98" s="82">
        <f ca="1">SUM(N$87*CHOOSE($C$81,1,Параметры!N$109,Параметры!N$118))</f>
        <v>929511.7250070835</v>
      </c>
      <c r="O98" s="82">
        <f ca="1">SUM(O$87*CHOOSE($C$81,1,Параметры!O$109,Параметры!O$118))</f>
        <v>898957.65469633986</v>
      </c>
      <c r="P98" s="82">
        <f ca="1">SUM(P$87*CHOOSE($C$81,1,Параметры!P$109,Параметры!P$118))</f>
        <v>867792.50297938101</v>
      </c>
      <c r="Q98" s="82">
        <f ca="1">SUM(Q$87*CHOOSE($C$81,1,Параметры!Q$109,Параметры!Q$118))</f>
        <v>836004.04822808318</v>
      </c>
      <c r="R98" s="82">
        <f ca="1">SUM(R$87*CHOOSE($C$81,1,Параметры!R$109,Параметры!R$118))</f>
        <v>803579.82438175916</v>
      </c>
      <c r="S98" s="82">
        <f ca="1">SUM(S$87*CHOOSE($C$81,1,Параметры!S$109,Параметры!S$118))</f>
        <v>770507.11605850887</v>
      </c>
      <c r="T98" s="82">
        <f ca="1">SUM(T$87*CHOOSE($C$81,1,Параметры!T$109,Параметры!T$118))</f>
        <v>736772.95356879337</v>
      </c>
      <c r="U98" s="82">
        <f ca="1">SUM(U$87*CHOOSE($C$81,1,Параметры!U$109,Параметры!U$118))</f>
        <v>702364.10782928369</v>
      </c>
      <c r="V98" s="82">
        <f ca="1">SUM(V$87*CHOOSE($C$81,1,Параметры!V$109,Параметры!V$118))</f>
        <v>667267.08517498372</v>
      </c>
      <c r="W98" s="82">
        <f ca="1">SUM(W$87*CHOOSE($C$81,1,Параметры!W$109,Параметры!W$118))</f>
        <v>631468.12206759781</v>
      </c>
      <c r="X98" s="82">
        <f ca="1">SUM(X$87*CHOOSE($C$81,1,Параметры!X$109,Параметры!X$118))</f>
        <v>594953.17969806422</v>
      </c>
      <c r="Y98" s="82">
        <f ca="1">SUM(Y$87*CHOOSE($C$81,1,Параметры!Y$109,Параметры!Y$118))</f>
        <v>557707.93848113995</v>
      </c>
      <c r="Z98" s="82">
        <f ca="1">SUM(Z$87*CHOOSE($C$81,1,Параметры!Z$109,Параметры!Z$118))</f>
        <v>519717.79243987717</v>
      </c>
      <c r="AA98" s="82">
        <f ca="1">SUM(AA$87*CHOOSE($C$81,1,Параметры!AA$109,Параметры!AA$118))</f>
        <v>480967.84347778908</v>
      </c>
      <c r="AB98" s="82">
        <f ca="1">SUM(AB$87*CHOOSE($C$81,1,Параметры!AB$109,Параметры!AB$118))</f>
        <v>441442.89553645928</v>
      </c>
      <c r="AC98" s="82">
        <f ca="1">SUM(AC$87*CHOOSE($C$81,1,Параметры!AC$109,Параметры!AC$118))</f>
        <v>401127.44863630284</v>
      </c>
      <c r="AD98" s="82">
        <f ca="1">SUM(AD$87*CHOOSE($C$81,1,Параметры!AD$109,Параметры!AD$118))</f>
        <v>360005.69279814325</v>
      </c>
      <c r="AE98" s="82">
        <f ca="1">SUM(AE$87*CHOOSE($C$81,1,Параметры!AE$109,Параметры!AE$118))</f>
        <v>318061.50184322055</v>
      </c>
      <c r="AF98" s="82">
        <f ca="1">SUM(AF$87*CHOOSE($C$81,1,Параметры!AF$109,Параметры!AF$118))</f>
        <v>275278.42706919939</v>
      </c>
      <c r="AG98" s="82">
        <f ca="1">SUM(AG$87*CHOOSE($C$81,1,Параметры!AG$109,Параметры!AG$118))</f>
        <v>231639.69079969777</v>
      </c>
      <c r="AH98" s="82">
        <f ca="1">SUM(AH$87*CHOOSE($C$81,1,Параметры!AH$109,Параметры!AH$118))</f>
        <v>187128.17980480613</v>
      </c>
      <c r="AI98" s="82">
        <f ca="1">SUM(AI$87*CHOOSE($C$81,1,Параметры!AI$109,Параметры!AI$118))</f>
        <v>141726.43859001668</v>
      </c>
      <c r="AJ98" s="82">
        <f ca="1">SUM(AJ$87*CHOOSE($C$81,1,Параметры!AJ$109,Параметры!AJ$118))</f>
        <v>95416.662550931331</v>
      </c>
      <c r="AK98" s="82">
        <f ca="1">SUM(AK$87*CHOOSE($C$81,1,Параметры!AK$109,Параметры!AK$118))</f>
        <v>48180.690991064301</v>
      </c>
      <c r="AL98" s="82">
        <f ca="1">SUM(AL$87*CHOOSE($C$81,1,Параметры!AL$109,Параметры!AL$118))</f>
        <v>0</v>
      </c>
      <c r="AM98" s="82">
        <f ca="1">SUM(AM$87*CHOOSE($C$81,1,Параметры!AM$109,Параметры!AM$118))</f>
        <v>0</v>
      </c>
      <c r="AN98" s="82">
        <f ca="1">SUM(AN$87*CHOOSE($C$81,1,Параметры!AN$109,Параметры!AN$118))</f>
        <v>0</v>
      </c>
      <c r="AO98" s="82">
        <f ca="1">SUM(AO$87*CHOOSE($C$81,1,Параметры!AO$109,Параметры!AO$118))</f>
        <v>0</v>
      </c>
      <c r="AP98" s="82">
        <f ca="1">SUM(AP$87*CHOOSE($C$81,1,Параметры!AP$109,Параметры!AP$118))</f>
        <v>0</v>
      </c>
      <c r="AQ98" s="82">
        <f ca="1">SUM(AQ$87*CHOOSE($C$81,1,Параметры!AQ$109,Параметры!AQ$118))</f>
        <v>0</v>
      </c>
      <c r="AR98" s="82">
        <f ca="1">SUM(AR$87*CHOOSE($C$81,1,Параметры!AR$109,Параметры!AR$118))</f>
        <v>0</v>
      </c>
      <c r="AS98" s="1"/>
      <c r="AT98" s="30"/>
    </row>
    <row r="99" spans="1:46" s="60" customFormat="1" outlineLevel="1" x14ac:dyDescent="0.2">
      <c r="A99" s="63" t="s">
        <v>181</v>
      </c>
      <c r="B99" s="29"/>
      <c r="C99" s="266" t="str">
        <f>Параметры!$B$64</f>
        <v>тыс. руб.</v>
      </c>
      <c r="D99" s="40"/>
      <c r="E99" s="82">
        <v>0</v>
      </c>
      <c r="F99" s="82">
        <v>0</v>
      </c>
      <c r="G99" s="82">
        <v>0</v>
      </c>
      <c r="H99" s="82">
        <v>0</v>
      </c>
      <c r="I99" s="82">
        <v>0</v>
      </c>
      <c r="J99" s="82">
        <v>0</v>
      </c>
      <c r="K99" s="82">
        <v>0</v>
      </c>
      <c r="L99" s="82">
        <v>0</v>
      </c>
      <c r="M99" s="82">
        <v>0</v>
      </c>
      <c r="N99" s="82">
        <v>0</v>
      </c>
      <c r="O99" s="82">
        <v>0</v>
      </c>
      <c r="P99" s="82">
        <v>0</v>
      </c>
      <c r="Q99" s="82">
        <v>0</v>
      </c>
      <c r="R99" s="82">
        <v>0</v>
      </c>
      <c r="S99" s="82">
        <v>0</v>
      </c>
      <c r="T99" s="82">
        <v>0</v>
      </c>
      <c r="U99" s="82">
        <v>0</v>
      </c>
      <c r="V99" s="82">
        <v>0</v>
      </c>
      <c r="W99" s="82">
        <v>0</v>
      </c>
      <c r="X99" s="82">
        <v>0</v>
      </c>
      <c r="Y99" s="82">
        <v>0</v>
      </c>
      <c r="Z99" s="82">
        <v>0</v>
      </c>
      <c r="AA99" s="82">
        <v>0</v>
      </c>
      <c r="AB99" s="82">
        <v>0</v>
      </c>
      <c r="AC99" s="82">
        <v>0</v>
      </c>
      <c r="AD99" s="82">
        <v>0</v>
      </c>
      <c r="AE99" s="82">
        <v>0</v>
      </c>
      <c r="AF99" s="82">
        <v>0</v>
      </c>
      <c r="AG99" s="82">
        <v>0</v>
      </c>
      <c r="AH99" s="82">
        <v>0</v>
      </c>
      <c r="AI99" s="82">
        <v>0</v>
      </c>
      <c r="AJ99" s="82">
        <v>0</v>
      </c>
      <c r="AK99" s="82">
        <v>0</v>
      </c>
      <c r="AL99" s="82">
        <v>0</v>
      </c>
      <c r="AM99" s="82">
        <v>0</v>
      </c>
      <c r="AN99" s="82">
        <v>0</v>
      </c>
      <c r="AO99" s="82">
        <v>0</v>
      </c>
      <c r="AP99" s="82">
        <v>0</v>
      </c>
      <c r="AQ99" s="82">
        <v>0</v>
      </c>
      <c r="AR99" s="82">
        <v>0</v>
      </c>
      <c r="AS99" s="1"/>
      <c r="AT99" s="30"/>
    </row>
    <row r="100" spans="1:46" s="60" customFormat="1" outlineLevel="1" x14ac:dyDescent="0.2">
      <c r="A100" s="63" t="s">
        <v>230</v>
      </c>
      <c r="B100" s="29"/>
      <c r="C100" s="266" t="str">
        <f>Параметры!$B$64</f>
        <v>тыс. руб.</v>
      </c>
      <c r="D100" s="40"/>
      <c r="E100" s="82">
        <f>IF(Деятельность_УК!E$2=1,0,$E96+$E97-SUM($D93:E93)-E98-E99+SUM($D94:E94)-SUM($D95:E95)-SUM($D100:D100)+SUM($D92:E92))</f>
        <v>0</v>
      </c>
      <c r="F100" s="82">
        <f ca="1">IF(Деятельность_УК!F$2=1,0,$E96+$E97-SUM($D93:F93)-F98-F99+SUM($D94:F94)-SUM($D95:F95)-SUM($D100:E100)+SUM($D92:F92))</f>
        <v>0</v>
      </c>
      <c r="G100" s="82">
        <f ca="1">IF(Деятельность_УК!G$2=1,0,$E96+$E97-SUM($D93:G93)-G98-G99+SUM($D94:G94)-SUM($D95:G95)-SUM($D100:F100)+SUM($D92:G92))</f>
        <v>0</v>
      </c>
      <c r="H100" s="82">
        <f ca="1">IF(Деятельность_УК!H$2=1,0,$E96+$E97-SUM($D93:H93)-H98-H99+SUM($D94:H94)-SUM($D95:H95)-SUM($D100:G100)+SUM($D92:H92))</f>
        <v>0</v>
      </c>
      <c r="I100" s="82">
        <f ca="1">IF(Деятельность_УК!I$2=1,0,$E96+$E97-SUM($D93:I93)-I98-I99+SUM($D94:I94)-SUM($D95:I95)-SUM($D100:H100)+SUM($D92:I92))</f>
        <v>0</v>
      </c>
      <c r="J100" s="82">
        <f ca="1">IF(Деятельность_УК!J$2=1,0,$E96+$E97-SUM($D93:J93)-J98-J99+SUM($D94:J94)-SUM($D95:J95)-SUM($D100:I100)+SUM($D92:J92))</f>
        <v>0</v>
      </c>
      <c r="K100" s="82">
        <f ca="1">IF(Деятельность_УК!K$2=1,0,$E96+$E97-SUM($D93:K93)-K98-K99+SUM($D94:K94)-SUM($D95:K95)-SUM($D100:J100)+SUM($D92:K92))</f>
        <v>0</v>
      </c>
      <c r="L100" s="82">
        <f ca="1">IF(Деятельность_УК!L$2=1,0,$E96+$E97-SUM($D93:L93)-L98-L99+SUM($D94:L94)-SUM($D95:L95)-SUM($D100:K100)+SUM($D92:L92))</f>
        <v>0</v>
      </c>
      <c r="M100" s="82">
        <f ca="1">IF(Деятельность_УК!M$2=1,0,$E96+$E97-SUM($D93:M93)-M98-M99+SUM($D94:M94)-SUM($D95:M95)-SUM($D100:L100)+SUM($D92:M92))</f>
        <v>0</v>
      </c>
      <c r="N100" s="82">
        <f ca="1">IF(Деятельность_УК!N$2=1,0,$E96+$E97-SUM($D93:N93)-N98-N99+SUM($D94:N94)-SUM($D95:N95)-SUM($D100:M100)+SUM($D92:N92))</f>
        <v>2.3283064365386963E-10</v>
      </c>
      <c r="O100" s="82">
        <f ca="1">IF(Деятельность_УК!O$2=1,0,$E96+$E97-SUM($D93:O93)-O98-O99+SUM($D94:O94)-SUM($D95:O95)-SUM($D100:N100)+SUM($D92:O92))</f>
        <v>-2.3283064365386963E-10</v>
      </c>
      <c r="P100" s="82">
        <f ca="1">IF(Деятельность_УК!P$2=1,0,$E96+$E97-SUM($D93:P93)-P98-P99+SUM($D94:P94)-SUM($D95:P95)-SUM($D100:O100)+SUM($D92:P92))</f>
        <v>0</v>
      </c>
      <c r="Q100" s="82">
        <f ca="1">IF(Деятельность_УК!Q$2=1,0,$E96+$E97-SUM($D93:Q93)-Q98-Q99+SUM($D94:Q94)-SUM($D95:Q95)-SUM($D100:P100)+SUM($D92:Q92))</f>
        <v>0</v>
      </c>
      <c r="R100" s="82">
        <f ca="1">IF(Деятельность_УК!R$2=1,0,$E96+$E97-SUM($D93:R93)-R98-R99+SUM($D94:R94)-SUM($D95:R95)-SUM($D100:Q100)+SUM($D92:R92))</f>
        <v>0</v>
      </c>
      <c r="S100" s="82">
        <f ca="1">IF(Деятельность_УК!S$2=1,0,$E96+$E97-SUM($D93:S93)-S98-S99+SUM($D94:S94)-SUM($D95:S95)-SUM($D100:R100)+SUM($D92:S92))</f>
        <v>0</v>
      </c>
      <c r="T100" s="82">
        <f ca="1">IF(Деятельность_УК!T$2=1,0,$E96+$E97-SUM($D93:T93)-T98-T99+SUM($D94:T94)-SUM($D95:T95)-SUM($D100:S100)+SUM($D92:T92))</f>
        <v>0</v>
      </c>
      <c r="U100" s="82">
        <f ca="1">IF(Деятельность_УК!U$2=1,0,$E96+$E97-SUM($D93:U93)-U98-U99+SUM($D94:U94)-SUM($D95:U95)-SUM($D100:T100)+SUM($D92:U92))</f>
        <v>0</v>
      </c>
      <c r="V100" s="82">
        <f ca="1">IF(Деятельность_УК!V$2=1,0,$E96+$E97-SUM($D93:V93)-V98-V99+SUM($D94:V94)-SUM($D95:V95)-SUM($D100:U100)+SUM($D92:V92))</f>
        <v>0</v>
      </c>
      <c r="W100" s="82">
        <f ca="1">IF(Деятельность_УК!W$2=1,0,$E96+$E97-SUM($D93:W93)-W98-W99+SUM($D94:W94)-SUM($D95:W95)-SUM($D100:V100)+SUM($D92:W92))</f>
        <v>0</v>
      </c>
      <c r="X100" s="82">
        <f ca="1">IF(Деятельность_УК!X$2=1,0,$E96+$E97-SUM($D93:X93)-X98-X99+SUM($D94:X94)-SUM($D95:X95)-SUM($D100:W100)+SUM($D92:X92))</f>
        <v>0</v>
      </c>
      <c r="Y100" s="82">
        <f ca="1">IF(Деятельность_УК!Y$2=1,0,$E96+$E97-SUM($D93:Y93)-Y98-Y99+SUM($D94:Y94)-SUM($D95:Y95)-SUM($D100:X100)+SUM($D92:Y92))</f>
        <v>0</v>
      </c>
      <c r="Z100" s="82">
        <f ca="1">IF(Деятельность_УК!Z$2=1,0,$E96+$E97-SUM($D93:Z93)-Z98-Z99+SUM($D94:Z94)-SUM($D95:Z95)-SUM($D100:Y100)+SUM($D92:Z92))</f>
        <v>0</v>
      </c>
      <c r="AA100" s="82">
        <f ca="1">IF(Деятельность_УК!AA$2=1,0,$E96+$E97-SUM($D93:AA93)-AA98-AA99+SUM($D94:AA94)-SUM($D95:AA95)-SUM($D100:Z100)+SUM($D92:AA92))</f>
        <v>0</v>
      </c>
      <c r="AB100" s="82">
        <f ca="1">IF(Деятельность_УК!AB$2=1,0,$E96+$E97-SUM($D93:AB93)-AB98-AB99+SUM($D94:AB94)-SUM($D95:AB95)-SUM($D100:AA100)+SUM($D92:AB92))</f>
        <v>0</v>
      </c>
      <c r="AC100" s="82">
        <f ca="1">IF(Деятельность_УК!AC$2=1,0,$E96+$E97-SUM($D93:AC93)-AC98-AC99+SUM($D94:AC94)-SUM($D95:AC95)-SUM($D100:AB100)+SUM($D92:AC92))</f>
        <v>0</v>
      </c>
      <c r="AD100" s="82">
        <f ca="1">IF(Деятельность_УК!AD$2=1,0,$E96+$E97-SUM($D93:AD93)-AD98-AD99+SUM($D94:AD94)-SUM($D95:AD95)-SUM($D100:AC100)+SUM($D92:AD92))</f>
        <v>0</v>
      </c>
      <c r="AE100" s="82">
        <f ca="1">IF(Деятельность_УК!AE$2=1,0,$E96+$E97-SUM($D93:AE93)-AE98-AE99+SUM($D94:AE94)-SUM($D95:AE95)-SUM($D100:AD100)+SUM($D92:AE92))</f>
        <v>0</v>
      </c>
      <c r="AF100" s="82">
        <f ca="1">IF(Деятельность_УК!AF$2=1,0,$E96+$E97-SUM($D93:AF93)-AF98-AF99+SUM($D94:AF94)-SUM($D95:AF95)-SUM($D100:AE100)+SUM($D92:AF92))</f>
        <v>0</v>
      </c>
      <c r="AG100" s="82">
        <f ca="1">IF(Деятельность_УК!AG$2=1,0,$E96+$E97-SUM($D93:AG93)-AG98-AG99+SUM($D94:AG94)-SUM($D95:AG95)-SUM($D100:AF100)+SUM($D92:AG92))</f>
        <v>0</v>
      </c>
      <c r="AH100" s="82">
        <f ca="1">IF(Деятельность_УК!AH$2=1,0,$E96+$E97-SUM($D93:AH93)-AH98-AH99+SUM($D94:AH94)-SUM($D95:AH95)-SUM($D100:AG100)+SUM($D92:AH92))</f>
        <v>0</v>
      </c>
      <c r="AI100" s="82">
        <f ca="1">IF(Деятельность_УК!AI$2=1,0,$E96+$E97-SUM($D93:AI93)-AI98-AI99+SUM($D94:AI94)-SUM($D95:AI95)-SUM($D100:AH100)+SUM($D92:AI92))</f>
        <v>0</v>
      </c>
      <c r="AJ100" s="82">
        <f ca="1">IF(Деятельность_УК!AJ$2=1,0,$E96+$E97-SUM($D93:AJ93)-AJ98-AJ99+SUM($D94:AJ94)-SUM($D95:AJ95)-SUM($D100:AI100)+SUM($D92:AJ92))</f>
        <v>0</v>
      </c>
      <c r="AK100" s="82">
        <f ca="1">IF(Деятельность_УК!AK$2=1,0,$E96+$E97-SUM($D93:AK93)-AK98-AK99+SUM($D94:AK94)-SUM($D95:AK95)-SUM($D100:AJ100)+SUM($D92:AK92))</f>
        <v>0</v>
      </c>
      <c r="AL100" s="82">
        <f ca="1">IF(Деятельность_УК!AL$2=1,0,$E96+$E97-SUM($D93:AL93)-AL98-AL99+SUM($D94:AL94)-SUM($D95:AL95)-SUM($D100:AK100)+SUM($D92:AL92))</f>
        <v>0</v>
      </c>
      <c r="AM100" s="82">
        <f ca="1">IF(Деятельность_УК!AM$2=1,0,$E96+$E97-SUM($D93:AM93)-AM98-AM99+SUM($D94:AM94)-SUM($D95:AM95)-SUM($D100:AL100)+SUM($D92:AM92))</f>
        <v>0</v>
      </c>
      <c r="AN100" s="82">
        <f ca="1">IF(Деятельность_УК!AN$2=1,0,$E96+$E97-SUM($D93:AN93)-AN98-AN99+SUM($D94:AN94)-SUM($D95:AN95)-SUM($D100:AM100)+SUM($D92:AN92))</f>
        <v>0</v>
      </c>
      <c r="AO100" s="82">
        <f ca="1">IF(Деятельность_УК!AO$2=1,0,$E96+$E97-SUM($D93:AO93)-AO98-AO99+SUM($D94:AO94)-SUM($D95:AO95)-SUM($D100:AN100)+SUM($D92:AO92))</f>
        <v>0</v>
      </c>
      <c r="AP100" s="82">
        <f ca="1">IF(Деятельность_УК!AP$2=1,0,$E96+$E97-SUM($D93:AP93)-AP98-AP99+SUM($D94:AP94)-SUM($D95:AP95)-SUM($D100:AO100)+SUM($D92:AP92))</f>
        <v>0</v>
      </c>
      <c r="AQ100" s="82">
        <f ca="1">IF(Деятельность_УК!AQ$2=1,0,$E96+$E97-SUM($D93:AQ93)-AQ98-AQ99+SUM($D94:AQ94)-SUM($D95:AQ95)-SUM($D100:AP100)+SUM($D92:AQ92))</f>
        <v>0</v>
      </c>
      <c r="AR100" s="82">
        <f ca="1">IF(Деятельность_УК!AR$2=1,0,$E96+$E97-SUM($D93:AR93)-AR98-AR99+SUM($D94:AR94)-SUM($D95:AR95)-SUM($D100:AQ100)+SUM($D92:AR92))</f>
        <v>0</v>
      </c>
      <c r="AS100" s="1"/>
      <c r="AT100" s="84">
        <f ca="1">SUM(E100:AS100)</f>
        <v>0</v>
      </c>
    </row>
    <row r="101" spans="1:46" s="60" customFormat="1" x14ac:dyDescent="0.2">
      <c r="A101" s="93"/>
      <c r="B101" s="82"/>
      <c r="C101" s="266"/>
      <c r="D101" s="40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1"/>
      <c r="AT101" s="30"/>
    </row>
    <row r="102" spans="1:46" s="60" customFormat="1" x14ac:dyDescent="0.2">
      <c r="A102" s="44" t="s">
        <v>184</v>
      </c>
      <c r="B102" s="29"/>
      <c r="C102" s="266" t="str">
        <f>Параметры!$B$64</f>
        <v>тыс. руб.</v>
      </c>
      <c r="D102" s="40"/>
      <c r="E102" s="82">
        <f>IF(Деятельность_УК!E$2=1, $B$46-$E$96, D102)</f>
        <v>0</v>
      </c>
      <c r="F102" s="82">
        <f>IF(Деятельность_УК!F$2=1, $B$46-$E$96, E102)</f>
        <v>0</v>
      </c>
      <c r="G102" s="82">
        <f>IF(Деятельность_УК!G$2=1, $B$46-$E$96, F102)</f>
        <v>0</v>
      </c>
      <c r="H102" s="82">
        <f>IF(Деятельность_УК!H$2=1, $B$46-$E$96, G102)</f>
        <v>0</v>
      </c>
      <c r="I102" s="82">
        <f>IF(Деятельность_УК!I$2=1, $B$46-$E$96, H102)</f>
        <v>0</v>
      </c>
      <c r="J102" s="82">
        <f>IF(Деятельность_УК!J$2=1, $B$46-$E$96, I102)</f>
        <v>0</v>
      </c>
      <c r="K102" s="82">
        <f>IF(Деятельность_УК!K$2=1, $B$46-$E$96, J102)</f>
        <v>0</v>
      </c>
      <c r="L102" s="82">
        <f>IF(Деятельность_УК!L$2=1, $B$46-$E$96, K102)</f>
        <v>0</v>
      </c>
      <c r="M102" s="82">
        <f>IF(Деятельность_УК!M$2=1, $B$46-$E$96, L102)</f>
        <v>0</v>
      </c>
      <c r="N102" s="82">
        <f>IF(Деятельность_УК!N$2=1, $B$46-$E$96, M102)</f>
        <v>0</v>
      </c>
      <c r="O102" s="82">
        <f>IF(Деятельность_УК!O$2=1, $B$46-$E$96, N102)</f>
        <v>0</v>
      </c>
      <c r="P102" s="82">
        <f>IF(Деятельность_УК!P$2=1, $B$46-$E$96, O102)</f>
        <v>0</v>
      </c>
      <c r="Q102" s="82">
        <f>IF(Деятельность_УК!Q$2=1, $B$46-$E$96, P102)</f>
        <v>0</v>
      </c>
      <c r="R102" s="82">
        <f>IF(Деятельность_УК!R$2=1, $B$46-$E$96, Q102)</f>
        <v>0</v>
      </c>
      <c r="S102" s="82">
        <f>IF(Деятельность_УК!S$2=1, $B$46-$E$96, R102)</f>
        <v>0</v>
      </c>
      <c r="T102" s="82">
        <f>IF(Деятельность_УК!T$2=1, $B$46-$E$96, S102)</f>
        <v>0</v>
      </c>
      <c r="U102" s="82">
        <f>IF(Деятельность_УК!U$2=1, $B$46-$E$96, T102)</f>
        <v>0</v>
      </c>
      <c r="V102" s="82">
        <f>IF(Деятельность_УК!V$2=1, $B$46-$E$96, U102)</f>
        <v>0</v>
      </c>
      <c r="W102" s="82">
        <f>IF(Деятельность_УК!W$2=1, $B$46-$E$96, V102)</f>
        <v>0</v>
      </c>
      <c r="X102" s="82">
        <f>IF(Деятельность_УК!X$2=1, $B$46-$E$96, W102)</f>
        <v>0</v>
      </c>
      <c r="Y102" s="82">
        <f>IF(Деятельность_УК!Y$2=1, $B$46-$E$96, X102)</f>
        <v>0</v>
      </c>
      <c r="Z102" s="82">
        <f>IF(Деятельность_УК!Z$2=1, $B$46-$E$96, Y102)</f>
        <v>0</v>
      </c>
      <c r="AA102" s="82">
        <f>IF(Деятельность_УК!AA$2=1, $B$46-$E$96, Z102)</f>
        <v>0</v>
      </c>
      <c r="AB102" s="82">
        <f>IF(Деятельность_УК!AB$2=1, $B$46-$E$96, AA102)</f>
        <v>0</v>
      </c>
      <c r="AC102" s="82">
        <f>IF(Деятельность_УК!AC$2=1, $B$46-$E$96, AB102)</f>
        <v>0</v>
      </c>
      <c r="AD102" s="82">
        <f>IF(Деятельность_УК!AD$2=1, $B$46-$E$96, AC102)</f>
        <v>0</v>
      </c>
      <c r="AE102" s="82">
        <f>IF(Деятельность_УК!AE$2=1, $B$46-$E$96, AD102)</f>
        <v>0</v>
      </c>
      <c r="AF102" s="82">
        <f>IF(Деятельность_УК!AF$2=1, $B$46-$E$96, AE102)</f>
        <v>0</v>
      </c>
      <c r="AG102" s="82">
        <f>IF(Деятельность_УК!AG$2=1, $B$46-$E$96, AF102)</f>
        <v>0</v>
      </c>
      <c r="AH102" s="82">
        <f>IF(Деятельность_УК!AH$2=1, $B$46-$E$96, AG102)</f>
        <v>0</v>
      </c>
      <c r="AI102" s="82">
        <f>IF(Деятельность_УК!AI$2=1, $B$46-$E$96, AH102)</f>
        <v>0</v>
      </c>
      <c r="AJ102" s="82">
        <f>IF(Деятельность_УК!AJ$2=1, $B$46-$E$96, AI102)</f>
        <v>0</v>
      </c>
      <c r="AK102" s="82">
        <f>IF(Деятельность_УК!AK$2=1, $B$46-$E$96, AJ102)</f>
        <v>0</v>
      </c>
      <c r="AL102" s="82">
        <f>IF(Деятельность_УК!AL$2=1, $B$46-$E$96, AK102)</f>
        <v>0</v>
      </c>
      <c r="AM102" s="82">
        <f>IF(Деятельность_УК!AM$2=1, $B$46-$E$96, AL102)</f>
        <v>0</v>
      </c>
      <c r="AN102" s="82">
        <f>IF(Деятельность_УК!AN$2=1, $B$46-$E$96, AM102)</f>
        <v>0</v>
      </c>
      <c r="AO102" s="82">
        <f>IF(Деятельность_УК!AO$2=1, $B$46-$E$96, AN102)</f>
        <v>0</v>
      </c>
      <c r="AP102" s="82">
        <f>IF(Деятельность_УК!AP$2=1, $B$46-$E$96, AO102)</f>
        <v>0</v>
      </c>
      <c r="AQ102" s="82">
        <f>IF(Деятельность_УК!AQ$2=1, $B$46-$E$96, AP102)</f>
        <v>0</v>
      </c>
      <c r="AR102" s="82">
        <f>IF(Деятельность_УК!AR$2=1, $B$46-$E$96, AQ102)</f>
        <v>0</v>
      </c>
      <c r="AS102" s="1"/>
      <c r="AT102" s="30"/>
    </row>
    <row r="103" spans="1:46" s="60" customFormat="1" x14ac:dyDescent="0.2">
      <c r="A103" s="44" t="s">
        <v>185</v>
      </c>
      <c r="B103" s="29"/>
      <c r="C103" s="266" t="str">
        <f>Параметры!$B$64</f>
        <v>тыс. руб.</v>
      </c>
      <c r="D103" s="40"/>
      <c r="E103" s="82">
        <f>IF(Деятельность_УК!E$2=1, $B$42-$E$97, D103)</f>
        <v>0</v>
      </c>
      <c r="F103" s="82">
        <f>IF(Деятельность_УК!F$2=1, $B$42-$E$97, E103)</f>
        <v>0</v>
      </c>
      <c r="G103" s="82">
        <f>IF(Деятельность_УК!G$2=1, $B$42-$E$97, F103)</f>
        <v>0</v>
      </c>
      <c r="H103" s="82">
        <f>IF(Деятельность_УК!H$2=1, $B$42-$E$97, G103)</f>
        <v>0</v>
      </c>
      <c r="I103" s="82">
        <f>IF(Деятельность_УК!I$2=1, $B$42-$E$97, H103)</f>
        <v>0</v>
      </c>
      <c r="J103" s="82">
        <f>IF(Деятельность_УК!J$2=1, $B$42-$E$97, I103)</f>
        <v>0</v>
      </c>
      <c r="K103" s="82">
        <f>IF(Деятельность_УК!K$2=1, $B$42-$E$97, J103)</f>
        <v>0</v>
      </c>
      <c r="L103" s="82">
        <f>IF(Деятельность_УК!L$2=1, $B$42-$E$97, K103)</f>
        <v>0</v>
      </c>
      <c r="M103" s="82">
        <f>IF(Деятельность_УК!M$2=1, $B$42-$E$97, L103)</f>
        <v>0</v>
      </c>
      <c r="N103" s="82">
        <f>IF(Деятельность_УК!N$2=1, $B$42-$E$97, M103)</f>
        <v>0</v>
      </c>
      <c r="O103" s="82">
        <f>IF(Деятельность_УК!O$2=1, $B$42-$E$97, N103)</f>
        <v>0</v>
      </c>
      <c r="P103" s="82">
        <f>IF(Деятельность_УК!P$2=1, $B$42-$E$97, O103)</f>
        <v>0</v>
      </c>
      <c r="Q103" s="82">
        <f>IF(Деятельность_УК!Q$2=1, $B$42-$E$97, P103)</f>
        <v>0</v>
      </c>
      <c r="R103" s="82">
        <f>IF(Деятельность_УК!R$2=1, $B$42-$E$97, Q103)</f>
        <v>0</v>
      </c>
      <c r="S103" s="82">
        <f>IF(Деятельность_УК!S$2=1, $B$42-$E$97, R103)</f>
        <v>0</v>
      </c>
      <c r="T103" s="82">
        <f>IF(Деятельность_УК!T$2=1, $B$42-$E$97, S103)</f>
        <v>0</v>
      </c>
      <c r="U103" s="82">
        <f>IF(Деятельность_УК!U$2=1, $B$42-$E$97, T103)</f>
        <v>0</v>
      </c>
      <c r="V103" s="82">
        <f>IF(Деятельность_УК!V$2=1, $B$42-$E$97, U103)</f>
        <v>0</v>
      </c>
      <c r="W103" s="82">
        <f>IF(Деятельность_УК!W$2=1, $B$42-$E$97, V103)</f>
        <v>0</v>
      </c>
      <c r="X103" s="82">
        <f>IF(Деятельность_УК!X$2=1, $B$42-$E$97, W103)</f>
        <v>0</v>
      </c>
      <c r="Y103" s="82">
        <f>IF(Деятельность_УК!Y$2=1, $B$42-$E$97, X103)</f>
        <v>0</v>
      </c>
      <c r="Z103" s="82">
        <f>IF(Деятельность_УК!Z$2=1, $B$42-$E$97, Y103)</f>
        <v>0</v>
      </c>
      <c r="AA103" s="82">
        <f>IF(Деятельность_УК!AA$2=1, $B$42-$E$97, Z103)</f>
        <v>0</v>
      </c>
      <c r="AB103" s="82">
        <f>IF(Деятельность_УК!AB$2=1, $B$42-$E$97, AA103)</f>
        <v>0</v>
      </c>
      <c r="AC103" s="82">
        <f>IF(Деятельность_УК!AC$2=1, $B$42-$E$97, AB103)</f>
        <v>0</v>
      </c>
      <c r="AD103" s="82">
        <f>IF(Деятельность_УК!AD$2=1, $B$42-$E$97, AC103)</f>
        <v>0</v>
      </c>
      <c r="AE103" s="82">
        <f>IF(Деятельность_УК!AE$2=1, $B$42-$E$97, AD103)</f>
        <v>0</v>
      </c>
      <c r="AF103" s="82">
        <f>IF(Деятельность_УК!AF$2=1, $B$42-$E$97, AE103)</f>
        <v>0</v>
      </c>
      <c r="AG103" s="82">
        <f>IF(Деятельность_УК!AG$2=1, $B$42-$E$97, AF103)</f>
        <v>0</v>
      </c>
      <c r="AH103" s="82">
        <f>IF(Деятельность_УК!AH$2=1, $B$42-$E$97, AG103)</f>
        <v>0</v>
      </c>
      <c r="AI103" s="82">
        <f>IF(Деятельность_УК!AI$2=1, $B$42-$E$97, AH103)</f>
        <v>0</v>
      </c>
      <c r="AJ103" s="82">
        <f>IF(Деятельность_УК!AJ$2=1, $B$42-$E$97, AI103)</f>
        <v>0</v>
      </c>
      <c r="AK103" s="82">
        <f>IF(Деятельность_УК!AK$2=1, $B$42-$E$97, AJ103)</f>
        <v>0</v>
      </c>
      <c r="AL103" s="82">
        <f>IF(Деятельность_УК!AL$2=1, $B$42-$E$97, AK103)</f>
        <v>0</v>
      </c>
      <c r="AM103" s="82">
        <f>IF(Деятельность_УК!AM$2=1, $B$42-$E$97, AL103)</f>
        <v>0</v>
      </c>
      <c r="AN103" s="82">
        <f>IF(Деятельность_УК!AN$2=1, $B$42-$E$97, AM103)</f>
        <v>0</v>
      </c>
      <c r="AO103" s="82">
        <f>IF(Деятельность_УК!AO$2=1, $B$42-$E$97, AN103)</f>
        <v>0</v>
      </c>
      <c r="AP103" s="82">
        <f>IF(Деятельность_УК!AP$2=1, $B$42-$E$97, AO103)</f>
        <v>0</v>
      </c>
      <c r="AQ103" s="82">
        <f>IF(Деятельность_УК!AQ$2=1, $B$42-$E$97, AP103)</f>
        <v>0</v>
      </c>
      <c r="AR103" s="82">
        <f>IF(Деятельность_УК!AR$2=1, $B$42-$E$97, AQ103)</f>
        <v>0</v>
      </c>
      <c r="AS103" s="1"/>
      <c r="AT103" s="30"/>
    </row>
    <row r="104" spans="1:46" x14ac:dyDescent="0.2">
      <c r="A104" s="45"/>
      <c r="B104" s="46"/>
      <c r="C104" s="46"/>
      <c r="D104" s="47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73"/>
      <c r="AT104" s="91"/>
    </row>
    <row r="105" spans="1:46" x14ac:dyDescent="0.2">
      <c r="AT105" s="29"/>
    </row>
    <row r="106" spans="1:46" ht="12" thickBot="1" x14ac:dyDescent="0.25">
      <c r="AT106" s="29"/>
    </row>
    <row r="107" spans="1:46" s="105" customFormat="1" ht="25.5" customHeight="1" thickBot="1" x14ac:dyDescent="0.25">
      <c r="A107" s="481" t="s">
        <v>316</v>
      </c>
      <c r="B107" s="479"/>
      <c r="C107" s="490"/>
      <c r="D107" s="487"/>
      <c r="E107" s="479" t="str">
        <f>CHOOSE($D$2,Параметры!E$53,Параметры!E$54)</f>
        <v>1 кв. 2020</v>
      </c>
      <c r="F107" s="479" t="str">
        <f>CHOOSE($D$2,Параметры!F$53,Параметры!F$54)</f>
        <v>2 кв. 2020</v>
      </c>
      <c r="G107" s="479" t="str">
        <f>CHOOSE($D$2,Параметры!G$53,Параметры!G$54)</f>
        <v>3 кв. 2020</v>
      </c>
      <c r="H107" s="479" t="str">
        <f>CHOOSE($D$2,Параметры!H$53,Параметры!H$54)</f>
        <v>4 кв. 2020</v>
      </c>
      <c r="I107" s="479" t="str">
        <f>CHOOSE($D$2,Параметры!I$53,Параметры!I$54)</f>
        <v>1 кв. 2021</v>
      </c>
      <c r="J107" s="479" t="str">
        <f>CHOOSE($D$2,Параметры!J$53,Параметры!J$54)</f>
        <v>2 кв. 2021</v>
      </c>
      <c r="K107" s="479" t="str">
        <f>CHOOSE($D$2,Параметры!K$53,Параметры!K$54)</f>
        <v>3 кв. 2021</v>
      </c>
      <c r="L107" s="479" t="str">
        <f>CHOOSE($D$2,Параметры!L$53,Параметры!L$54)</f>
        <v>4 кв. 2021</v>
      </c>
      <c r="M107" s="479" t="str">
        <f>CHOOSE($D$2,Параметры!M$53,Параметры!M$54)</f>
        <v>1 кв. 2022</v>
      </c>
      <c r="N107" s="479" t="str">
        <f>CHOOSE($D$2,Параметры!N$53,Параметры!N$54)</f>
        <v>2 кв. 2022</v>
      </c>
      <c r="O107" s="479" t="str">
        <f>CHOOSE($D$2,Параметры!O$53,Параметры!O$54)</f>
        <v>3 кв. 2022</v>
      </c>
      <c r="P107" s="479" t="str">
        <f>CHOOSE($D$2,Параметры!P$53,Параметры!P$54)</f>
        <v>4 кв. 2022</v>
      </c>
      <c r="Q107" s="479" t="str">
        <f>CHOOSE($D$2,Параметры!Q$53,Параметры!Q$54)</f>
        <v>1 кв. 2023</v>
      </c>
      <c r="R107" s="479" t="str">
        <f>CHOOSE($D$2,Параметры!R$53,Параметры!R$54)</f>
        <v>2 кв. 2023</v>
      </c>
      <c r="S107" s="479" t="str">
        <f>CHOOSE($D$2,Параметры!S$53,Параметры!S$54)</f>
        <v>3 кв. 2023</v>
      </c>
      <c r="T107" s="479" t="str">
        <f>CHOOSE($D$2,Параметры!T$53,Параметры!T$54)</f>
        <v>4 кв. 2023</v>
      </c>
      <c r="U107" s="479" t="str">
        <f>CHOOSE($D$2,Параметры!U$53,Параметры!U$54)</f>
        <v>1 кв. 2024</v>
      </c>
      <c r="V107" s="479" t="str">
        <f>CHOOSE($D$2,Параметры!V$53,Параметры!V$54)</f>
        <v>2 кв. 2024</v>
      </c>
      <c r="W107" s="479" t="str">
        <f>CHOOSE($D$2,Параметры!W$53,Параметры!W$54)</f>
        <v>3 кв. 2024</v>
      </c>
      <c r="X107" s="479" t="str">
        <f>CHOOSE($D$2,Параметры!X$53,Параметры!X$54)</f>
        <v>4 кв. 2024</v>
      </c>
      <c r="Y107" s="479" t="str">
        <f>CHOOSE($D$2,Параметры!Y$53,Параметры!Y$54)</f>
        <v>1 кв. 2025</v>
      </c>
      <c r="Z107" s="479" t="str">
        <f>CHOOSE($D$2,Параметры!Z$53,Параметры!Z$54)</f>
        <v>2 кв. 2025</v>
      </c>
      <c r="AA107" s="479" t="str">
        <f>CHOOSE($D$2,Параметры!AA$53,Параметры!AA$54)</f>
        <v>3 кв. 2025</v>
      </c>
      <c r="AB107" s="479" t="str">
        <f>CHOOSE($D$2,Параметры!AB$53,Параметры!AB$54)</f>
        <v>4 кв. 2025</v>
      </c>
      <c r="AC107" s="479" t="str">
        <f>CHOOSE($D$2,Параметры!AC$53,Параметры!AC$54)</f>
        <v>1 кв. 2026</v>
      </c>
      <c r="AD107" s="479" t="str">
        <f>CHOOSE($D$2,Параметры!AD$53,Параметры!AD$54)</f>
        <v>2 кв. 2026</v>
      </c>
      <c r="AE107" s="479" t="str">
        <f>CHOOSE($D$2,Параметры!AE$53,Параметры!AE$54)</f>
        <v>3 кв. 2026</v>
      </c>
      <c r="AF107" s="479" t="str">
        <f>CHOOSE($D$2,Параметры!AF$53,Параметры!AF$54)</f>
        <v>4 кв. 2026</v>
      </c>
      <c r="AG107" s="479" t="str">
        <f>CHOOSE($D$2,Параметры!AG$53,Параметры!AG$54)</f>
        <v>1 кв. 2027</v>
      </c>
      <c r="AH107" s="479" t="str">
        <f>CHOOSE($D$2,Параметры!AH$53,Параметры!AH$54)</f>
        <v>2 кв. 2027</v>
      </c>
      <c r="AI107" s="479" t="str">
        <f>CHOOSE($D$2,Параметры!AI$53,Параметры!AI$54)</f>
        <v>3 кв. 2027</v>
      </c>
      <c r="AJ107" s="479" t="str">
        <f>CHOOSE($D$2,Параметры!AJ$53,Параметры!AJ$54)</f>
        <v>4 кв. 2027</v>
      </c>
      <c r="AK107" s="479" t="str">
        <f>CHOOSE($D$2,Параметры!AK$53,Параметры!AK$54)</f>
        <v>1 кв. 2028</v>
      </c>
      <c r="AL107" s="479" t="str">
        <f>CHOOSE($D$2,Параметры!AL$53,Параметры!AL$54)</f>
        <v>2 кв. 2028</v>
      </c>
      <c r="AM107" s="479" t="str">
        <f>CHOOSE($D$2,Параметры!AM$53,Параметры!AM$54)</f>
        <v>3 кв. 2028</v>
      </c>
      <c r="AN107" s="479" t="str">
        <f>CHOOSE($D$2,Параметры!AN$53,Параметры!AN$54)</f>
        <v>4 кв. 2028</v>
      </c>
      <c r="AO107" s="479" t="str">
        <f>CHOOSE($D$2,Параметры!AO$53,Параметры!AO$54)</f>
        <v>1 кв. 2029</v>
      </c>
      <c r="AP107" s="479" t="str">
        <f>CHOOSE($D$2,Параметры!AP$53,Параметры!AP$54)</f>
        <v>2 кв. 2029</v>
      </c>
      <c r="AQ107" s="479" t="str">
        <f>CHOOSE($D$2,Параметры!AQ$53,Параметры!AQ$54)</f>
        <v>3 кв. 2029</v>
      </c>
      <c r="AR107" s="479" t="str">
        <f>CHOOSE($D$2,Параметры!AR$53,Параметры!AR$54)</f>
        <v>4 кв. 2029</v>
      </c>
      <c r="AS107" s="479"/>
      <c r="AT107" s="479" t="s">
        <v>0</v>
      </c>
    </row>
    <row r="108" spans="1:46" s="60" customFormat="1" x14ac:dyDescent="0.2">
      <c r="A108" s="29"/>
      <c r="B108" s="29"/>
      <c r="C108" s="266"/>
      <c r="D108" s="40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1"/>
      <c r="AT108" s="30"/>
    </row>
    <row r="109" spans="1:46" x14ac:dyDescent="0.2">
      <c r="AS109" s="1"/>
    </row>
    <row r="110" spans="1:46" x14ac:dyDescent="0.2">
      <c r="A110" s="354" t="s">
        <v>770</v>
      </c>
      <c r="B110" s="221" t="s">
        <v>390</v>
      </c>
      <c r="C110" s="286">
        <v>1</v>
      </c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92"/>
    </row>
    <row r="111" spans="1:46" s="40" customFormat="1" ht="45" x14ac:dyDescent="0.2">
      <c r="A111" s="110" t="s">
        <v>847</v>
      </c>
      <c r="B111" s="545" t="s">
        <v>643</v>
      </c>
      <c r="C111" s="540"/>
      <c r="E111" s="563"/>
      <c r="F111" s="563"/>
      <c r="G111" s="563"/>
      <c r="H111" s="563"/>
      <c r="I111" s="563"/>
      <c r="J111" s="563"/>
      <c r="K111" s="563"/>
      <c r="L111" s="563"/>
      <c r="M111" s="563"/>
      <c r="N111" s="563"/>
      <c r="O111" s="563"/>
      <c r="P111" s="563"/>
      <c r="Q111" s="563"/>
      <c r="R111" s="563"/>
      <c r="S111" s="563"/>
      <c r="T111" s="563"/>
      <c r="U111" s="563"/>
      <c r="V111" s="563"/>
      <c r="W111" s="563"/>
      <c r="X111" s="563"/>
      <c r="Y111" s="563"/>
      <c r="Z111" s="563"/>
      <c r="AA111" s="563"/>
      <c r="AB111" s="563"/>
      <c r="AC111" s="563"/>
      <c r="AD111" s="563"/>
      <c r="AE111" s="563"/>
      <c r="AF111" s="563"/>
      <c r="AG111" s="563"/>
      <c r="AH111" s="563"/>
      <c r="AI111" s="563"/>
      <c r="AJ111" s="563"/>
      <c r="AK111" s="563"/>
      <c r="AL111" s="563"/>
      <c r="AM111" s="563"/>
      <c r="AN111" s="563"/>
      <c r="AO111" s="563"/>
      <c r="AP111" s="563"/>
      <c r="AQ111" s="563"/>
      <c r="AR111" s="563"/>
      <c r="AS111" s="118"/>
      <c r="AT111" s="119"/>
    </row>
    <row r="112" spans="1:46" x14ac:dyDescent="0.2">
      <c r="A112" s="254" t="str">
        <f>Резиденты!A9</f>
        <v>Корпус А4</v>
      </c>
      <c r="B112" s="571">
        <f>ИД!C87/1.2*Графики_УК!$D$399</f>
        <v>0.59833333333333338</v>
      </c>
      <c r="C112" s="107" t="str">
        <f>$C$114</f>
        <v>тыс. руб.</v>
      </c>
      <c r="E112" s="111">
        <f>Резиденты!E9*$B112*3</f>
        <v>0</v>
      </c>
      <c r="F112" s="111">
        <f>Резиденты!F9*$B112*3</f>
        <v>0</v>
      </c>
      <c r="G112" s="952">
        <f>Резиденты!G9*$B112*2</f>
        <v>17351.666666666668</v>
      </c>
      <c r="H112" s="111">
        <f>Резиденты!H9*$B112*3</f>
        <v>26027.5</v>
      </c>
      <c r="I112" s="111">
        <f>Резиденты!I9*$B112*3</f>
        <v>26027.5</v>
      </c>
      <c r="J112" s="111">
        <f>Резиденты!J9*$B112*3</f>
        <v>26027.5</v>
      </c>
      <c r="K112" s="111">
        <f>Резиденты!K9*$B112*3</f>
        <v>26027.5</v>
      </c>
      <c r="L112" s="111">
        <f>Резиденты!L9*$B112*3</f>
        <v>26027.5</v>
      </c>
      <c r="M112" s="111">
        <f>Резиденты!M9*$B112*3</f>
        <v>26027.5</v>
      </c>
      <c r="N112" s="111">
        <f>Резиденты!N9*$B112*3</f>
        <v>26027.5</v>
      </c>
      <c r="O112" s="111">
        <f>Резиденты!O9*$B112*3</f>
        <v>26027.5</v>
      </c>
      <c r="P112" s="111">
        <f>Резиденты!P9*$B112*3</f>
        <v>26027.5</v>
      </c>
      <c r="Q112" s="111">
        <f>Резиденты!Q9*$B112*3</f>
        <v>26027.5</v>
      </c>
      <c r="R112" s="111">
        <f>Резиденты!R9*$B112*3</f>
        <v>26027.5</v>
      </c>
      <c r="S112" s="111">
        <f>Резиденты!S9*$B112*3</f>
        <v>26027.5</v>
      </c>
      <c r="T112" s="111">
        <f>Резиденты!T9*$B112*3</f>
        <v>26027.5</v>
      </c>
      <c r="U112" s="111">
        <f>Резиденты!U9*$B112*3</f>
        <v>26027.5</v>
      </c>
      <c r="V112" s="111">
        <f>Резиденты!V9*$B112*3</f>
        <v>26027.5</v>
      </c>
      <c r="W112" s="111">
        <f>Резиденты!W9*$B112*3</f>
        <v>26027.5</v>
      </c>
      <c r="X112" s="111">
        <f>Резиденты!X9*$B112*3</f>
        <v>26027.5</v>
      </c>
      <c r="Y112" s="111">
        <f>Резиденты!Y9*$B112*3</f>
        <v>26027.5</v>
      </c>
      <c r="Z112" s="111">
        <f>Резиденты!Z9*$B112*3</f>
        <v>26027.5</v>
      </c>
      <c r="AA112" s="111">
        <f>Резиденты!AA9*$B112*3</f>
        <v>26027.5</v>
      </c>
      <c r="AB112" s="111">
        <f>Резиденты!AB9*$B112*3</f>
        <v>26027.5</v>
      </c>
      <c r="AC112" s="111">
        <f>Резиденты!AC9*$B112*3</f>
        <v>26027.5</v>
      </c>
      <c r="AD112" s="111">
        <f>Резиденты!AD9*$B112*3</f>
        <v>26027.5</v>
      </c>
      <c r="AE112" s="111">
        <f>Резиденты!AE9*$B112*3</f>
        <v>26027.5</v>
      </c>
      <c r="AF112" s="111">
        <f>Резиденты!AF9*$B112*3</f>
        <v>26027.5</v>
      </c>
      <c r="AG112" s="111">
        <f>Резиденты!AG9*$B112*3</f>
        <v>26027.5</v>
      </c>
      <c r="AH112" s="111">
        <f>Резиденты!AH9*$B112*3</f>
        <v>26027.5</v>
      </c>
      <c r="AI112" s="111">
        <f>Резиденты!AI9*$B112*3</f>
        <v>26027.5</v>
      </c>
      <c r="AJ112" s="111">
        <f>Резиденты!AJ9*$B112*3</f>
        <v>26027.5</v>
      </c>
      <c r="AK112" s="111">
        <f>Резиденты!AK9*$B112*3</f>
        <v>26027.5</v>
      </c>
      <c r="AL112" s="111">
        <f>Резиденты!AL9*$B112*3</f>
        <v>26027.5</v>
      </c>
      <c r="AM112" s="111">
        <f>Резиденты!AM9*$B112*3</f>
        <v>26027.5</v>
      </c>
      <c r="AN112" s="111">
        <f>Резиденты!AN9*$B112*3</f>
        <v>26027.5</v>
      </c>
      <c r="AO112" s="111">
        <f>Резиденты!AO9*$B112*3</f>
        <v>26027.5</v>
      </c>
      <c r="AP112" s="111">
        <f>Резиденты!AP9*$B112*3</f>
        <v>26027.5</v>
      </c>
      <c r="AQ112" s="111">
        <f>Резиденты!AQ9*$B112*3</f>
        <v>26027.5</v>
      </c>
      <c r="AR112" s="111">
        <f>Резиденты!AR9*$B112*3</f>
        <v>26027.5</v>
      </c>
      <c r="AS112" s="109"/>
      <c r="AT112" s="30">
        <f>SUM(E112:AS112)</f>
        <v>980369.16666666674</v>
      </c>
    </row>
    <row r="113" spans="1:46" x14ac:dyDescent="0.2">
      <c r="A113" s="254" t="str">
        <f>Резиденты!A10</f>
        <v>Корпус B2</v>
      </c>
      <c r="B113" s="571">
        <f>ИД!C90/1.2*Графики_УК!$D$399</f>
        <v>0.70833333333333337</v>
      </c>
      <c r="C113" s="107" t="str">
        <f>$C$114</f>
        <v>тыс. руб.</v>
      </c>
      <c r="E113" s="111">
        <f>Резиденты!E10*$B113*3</f>
        <v>0</v>
      </c>
      <c r="F113" s="111">
        <f>Резиденты!F10*$B113*3</f>
        <v>0</v>
      </c>
      <c r="G113" s="111">
        <f>Резиденты!G10*$B113*3</f>
        <v>0</v>
      </c>
      <c r="H113" s="111">
        <f>Резиденты!H10*$B113*3</f>
        <v>0</v>
      </c>
      <c r="I113" s="111">
        <f>Резиденты!I10*$B113*3</f>
        <v>0</v>
      </c>
      <c r="J113" s="111">
        <f>Резиденты!J10*$B113*3</f>
        <v>0</v>
      </c>
      <c r="K113" s="111">
        <f>Резиденты!K10*$B113*3</f>
        <v>0</v>
      </c>
      <c r="L113" s="111">
        <f>Резиденты!L10*$B113*3</f>
        <v>0</v>
      </c>
      <c r="M113" s="111">
        <f>Резиденты!M10*$B113*3</f>
        <v>15342.5</v>
      </c>
      <c r="N113" s="111">
        <f>Резиденты!N10*$B113*3</f>
        <v>15342.5</v>
      </c>
      <c r="O113" s="111">
        <f>Резиденты!O10*$B113*3</f>
        <v>15342.5</v>
      </c>
      <c r="P113" s="111">
        <f>Резиденты!P10*$B113*3</f>
        <v>15342.5</v>
      </c>
      <c r="Q113" s="111">
        <f>Резиденты!Q10*$B113*3</f>
        <v>15342.5</v>
      </c>
      <c r="R113" s="111">
        <f>Резиденты!R10*$B113*3</f>
        <v>15342.5</v>
      </c>
      <c r="S113" s="111">
        <f>Резиденты!S10*$B113*3</f>
        <v>15342.5</v>
      </c>
      <c r="T113" s="111">
        <f>Резиденты!T10*$B113*3</f>
        <v>15342.5</v>
      </c>
      <c r="U113" s="111">
        <f>Резиденты!U10*$B113*3</f>
        <v>15342.5</v>
      </c>
      <c r="V113" s="111">
        <f>Резиденты!V10*$B113*3</f>
        <v>15342.5</v>
      </c>
      <c r="W113" s="111">
        <f>Резиденты!W10*$B113*3</f>
        <v>15342.5</v>
      </c>
      <c r="X113" s="111">
        <f>Резиденты!X10*$B113*3</f>
        <v>15342.5</v>
      </c>
      <c r="Y113" s="111">
        <f>Резиденты!Y10*$B113*3</f>
        <v>15342.5</v>
      </c>
      <c r="Z113" s="111">
        <f>Резиденты!Z10*$B113*3</f>
        <v>15342.5</v>
      </c>
      <c r="AA113" s="111">
        <f>Резиденты!AA10*$B113*3</f>
        <v>15342.5</v>
      </c>
      <c r="AB113" s="111">
        <f>Резиденты!AB10*$B113*3</f>
        <v>15342.5</v>
      </c>
      <c r="AC113" s="111">
        <f>Резиденты!AC10*$B113*3</f>
        <v>15342.5</v>
      </c>
      <c r="AD113" s="111">
        <f>Резиденты!AD10*$B113*3</f>
        <v>15342.5</v>
      </c>
      <c r="AE113" s="111">
        <f>Резиденты!AE10*$B113*3</f>
        <v>15342.5</v>
      </c>
      <c r="AF113" s="111">
        <f>Резиденты!AF10*$B113*3</f>
        <v>15342.5</v>
      </c>
      <c r="AG113" s="111">
        <f>Резиденты!AG10*$B113*3</f>
        <v>15342.5</v>
      </c>
      <c r="AH113" s="111">
        <f>Резиденты!AH10*$B113*3</f>
        <v>15342.5</v>
      </c>
      <c r="AI113" s="111">
        <f>Резиденты!AI10*$B113*3</f>
        <v>15342.5</v>
      </c>
      <c r="AJ113" s="111">
        <f>Резиденты!AJ10*$B113*3</f>
        <v>15342.5</v>
      </c>
      <c r="AK113" s="111">
        <f>Резиденты!AK10*$B113*3</f>
        <v>15342.5</v>
      </c>
      <c r="AL113" s="111">
        <f>Резиденты!AL10*$B113*3</f>
        <v>15342.5</v>
      </c>
      <c r="AM113" s="111">
        <f>Резиденты!AM10*$B113*3</f>
        <v>15342.5</v>
      </c>
      <c r="AN113" s="111">
        <f>Резиденты!AN10*$B113*3</f>
        <v>15342.5</v>
      </c>
      <c r="AO113" s="111">
        <f>Резиденты!AO10*$B113*3</f>
        <v>15342.5</v>
      </c>
      <c r="AP113" s="111">
        <f>Резиденты!AP10*$B113*3</f>
        <v>15342.5</v>
      </c>
      <c r="AQ113" s="111">
        <f>Резиденты!AQ10*$B113*3</f>
        <v>15342.5</v>
      </c>
      <c r="AR113" s="111">
        <f>Резиденты!AR10*$B113*3</f>
        <v>15342.5</v>
      </c>
      <c r="AS113" s="109"/>
      <c r="AT113" s="30">
        <f>SUM(E113:AS113)</f>
        <v>490960</v>
      </c>
    </row>
    <row r="114" spans="1:46" x14ac:dyDescent="0.2">
      <c r="A114" s="106" t="s">
        <v>790</v>
      </c>
      <c r="B114" s="350">
        <v>0</v>
      </c>
      <c r="C114" s="3" t="str">
        <f>CHOOSE(C110,Параметры!$B$64,Параметры!$B$108,Параметры!$B$117)</f>
        <v>тыс. руб.</v>
      </c>
      <c r="E114" s="348">
        <f t="shared" ref="E114:AR114" si="43">SUM(E112:E113)</f>
        <v>0</v>
      </c>
      <c r="F114" s="348">
        <f t="shared" si="43"/>
        <v>0</v>
      </c>
      <c r="G114" s="348">
        <f t="shared" si="43"/>
        <v>17351.666666666668</v>
      </c>
      <c r="H114" s="348">
        <f t="shared" si="43"/>
        <v>26027.5</v>
      </c>
      <c r="I114" s="348">
        <f t="shared" si="43"/>
        <v>26027.5</v>
      </c>
      <c r="J114" s="348">
        <f t="shared" si="43"/>
        <v>26027.5</v>
      </c>
      <c r="K114" s="348">
        <f t="shared" si="43"/>
        <v>26027.5</v>
      </c>
      <c r="L114" s="348">
        <f t="shared" si="43"/>
        <v>26027.5</v>
      </c>
      <c r="M114" s="348">
        <f t="shared" si="43"/>
        <v>41370</v>
      </c>
      <c r="N114" s="348">
        <f t="shared" si="43"/>
        <v>41370</v>
      </c>
      <c r="O114" s="348">
        <f t="shared" si="43"/>
        <v>41370</v>
      </c>
      <c r="P114" s="348">
        <f t="shared" si="43"/>
        <v>41370</v>
      </c>
      <c r="Q114" s="348">
        <f t="shared" si="43"/>
        <v>41370</v>
      </c>
      <c r="R114" s="348">
        <f t="shared" si="43"/>
        <v>41370</v>
      </c>
      <c r="S114" s="348">
        <f t="shared" si="43"/>
        <v>41370</v>
      </c>
      <c r="T114" s="348">
        <f t="shared" si="43"/>
        <v>41370</v>
      </c>
      <c r="U114" s="348">
        <f t="shared" si="43"/>
        <v>41370</v>
      </c>
      <c r="V114" s="348">
        <f t="shared" si="43"/>
        <v>41370</v>
      </c>
      <c r="W114" s="348">
        <f t="shared" si="43"/>
        <v>41370</v>
      </c>
      <c r="X114" s="348">
        <f t="shared" si="43"/>
        <v>41370</v>
      </c>
      <c r="Y114" s="348">
        <f t="shared" si="43"/>
        <v>41370</v>
      </c>
      <c r="Z114" s="348">
        <f t="shared" si="43"/>
        <v>41370</v>
      </c>
      <c r="AA114" s="348">
        <f t="shared" si="43"/>
        <v>41370</v>
      </c>
      <c r="AB114" s="348">
        <f t="shared" si="43"/>
        <v>41370</v>
      </c>
      <c r="AC114" s="348">
        <f t="shared" si="43"/>
        <v>41370</v>
      </c>
      <c r="AD114" s="348">
        <f t="shared" si="43"/>
        <v>41370</v>
      </c>
      <c r="AE114" s="348">
        <f t="shared" si="43"/>
        <v>41370</v>
      </c>
      <c r="AF114" s="348">
        <f t="shared" si="43"/>
        <v>41370</v>
      </c>
      <c r="AG114" s="348">
        <f t="shared" si="43"/>
        <v>41370</v>
      </c>
      <c r="AH114" s="348">
        <f t="shared" si="43"/>
        <v>41370</v>
      </c>
      <c r="AI114" s="348">
        <f t="shared" si="43"/>
        <v>41370</v>
      </c>
      <c r="AJ114" s="348">
        <f t="shared" si="43"/>
        <v>41370</v>
      </c>
      <c r="AK114" s="348">
        <f t="shared" si="43"/>
        <v>41370</v>
      </c>
      <c r="AL114" s="348">
        <f t="shared" si="43"/>
        <v>41370</v>
      </c>
      <c r="AM114" s="348">
        <f t="shared" si="43"/>
        <v>41370</v>
      </c>
      <c r="AN114" s="348">
        <f t="shared" si="43"/>
        <v>41370</v>
      </c>
      <c r="AO114" s="348">
        <f t="shared" si="43"/>
        <v>41370</v>
      </c>
      <c r="AP114" s="348">
        <f t="shared" si="43"/>
        <v>41370</v>
      </c>
      <c r="AQ114" s="348">
        <f t="shared" si="43"/>
        <v>41370</v>
      </c>
      <c r="AR114" s="348">
        <f t="shared" si="43"/>
        <v>41370</v>
      </c>
      <c r="AS114" s="90"/>
      <c r="AT114" s="30">
        <f>SUM(E114:AS114)</f>
        <v>1471329.1666666667</v>
      </c>
    </row>
    <row r="115" spans="1:46" collapsed="1" x14ac:dyDescent="0.2">
      <c r="A115" s="106" t="s">
        <v>791</v>
      </c>
      <c r="B115" s="9"/>
      <c r="C115" s="3" t="str">
        <f>CHOOSE(C110,Параметры!$B$64,Параметры!$B$108,Параметры!$B$117)</f>
        <v>тыс. руб.</v>
      </c>
      <c r="E115" s="111">
        <f t="shared" ref="E115:AR115" si="44">E114*E121</f>
        <v>0</v>
      </c>
      <c r="F115" s="111">
        <f t="shared" ca="1" si="44"/>
        <v>0</v>
      </c>
      <c r="G115" s="111">
        <f t="shared" ca="1" si="44"/>
        <v>17351.666666666668</v>
      </c>
      <c r="H115" s="111">
        <f t="shared" ca="1" si="44"/>
        <v>26027.5</v>
      </c>
      <c r="I115" s="111">
        <f t="shared" ca="1" si="44"/>
        <v>26027.5</v>
      </c>
      <c r="J115" s="111">
        <f t="shared" ca="1" si="44"/>
        <v>26284.667968876318</v>
      </c>
      <c r="K115" s="111">
        <f t="shared" ca="1" si="44"/>
        <v>26544.376918031801</v>
      </c>
      <c r="L115" s="111">
        <f t="shared" ca="1" si="44"/>
        <v>26806.651953939887</v>
      </c>
      <c r="M115" s="111">
        <f t="shared" ca="1" si="44"/>
        <v>43029.438766548097</v>
      </c>
      <c r="N115" s="111">
        <f t="shared" ca="1" si="44"/>
        <v>43452.917151950503</v>
      </c>
      <c r="O115" s="111">
        <f t="shared" ca="1" si="44"/>
        <v>43880.563240861105</v>
      </c>
      <c r="P115" s="111">
        <f t="shared" ca="1" si="44"/>
        <v>44312.418050137268</v>
      </c>
      <c r="Q115" s="111">
        <f t="shared" ca="1" si="44"/>
        <v>44748.523000307738</v>
      </c>
      <c r="R115" s="111">
        <f t="shared" ca="1" si="44"/>
        <v>45187.267779792033</v>
      </c>
      <c r="S115" s="111">
        <f t="shared" ca="1" si="44"/>
        <v>45630.314309783796</v>
      </c>
      <c r="T115" s="111">
        <f t="shared" ca="1" si="44"/>
        <v>46077.704767553936</v>
      </c>
      <c r="U115" s="111">
        <f t="shared" ca="1" si="44"/>
        <v>46529.481743907862</v>
      </c>
      <c r="V115" s="111">
        <f t="shared" ca="1" si="44"/>
        <v>46986.709296388857</v>
      </c>
      <c r="W115" s="111">
        <f t="shared" ca="1" si="44"/>
        <v>47448.429850444605</v>
      </c>
      <c r="X115" s="111">
        <f t="shared" ca="1" si="44"/>
        <v>47914.687557095844</v>
      </c>
      <c r="Y115" s="111">
        <f t="shared" ca="1" si="44"/>
        <v>48385.527001218616</v>
      </c>
      <c r="Z115" s="111">
        <f t="shared" ca="1" si="44"/>
        <v>48861.349583331925</v>
      </c>
      <c r="AA115" s="111">
        <f t="shared" ca="1" si="44"/>
        <v>49341.851397928185</v>
      </c>
      <c r="AB115" s="111">
        <f t="shared" ca="1" si="44"/>
        <v>49827.078460512872</v>
      </c>
      <c r="AC115" s="111">
        <f t="shared" ca="1" si="44"/>
        <v>50317.077239107275</v>
      </c>
      <c r="AD115" s="111">
        <f t="shared" ca="1" si="44"/>
        <v>50811.283880816176</v>
      </c>
      <c r="AE115" s="111">
        <f t="shared" ca="1" si="44"/>
        <v>51310.34454462077</v>
      </c>
      <c r="AF115" s="111">
        <f t="shared" ca="1" si="44"/>
        <v>51814.306905984129</v>
      </c>
      <c r="AG115" s="111">
        <f t="shared" ca="1" si="44"/>
        <v>52323.219108630481</v>
      </c>
      <c r="AH115" s="111">
        <f t="shared" ca="1" si="44"/>
        <v>52835.605364658244</v>
      </c>
      <c r="AI115" s="111">
        <f t="shared" ca="1" si="44"/>
        <v>53353.009272119518</v>
      </c>
      <c r="AJ115" s="111">
        <f t="shared" ca="1" si="44"/>
        <v>53875.479967433574</v>
      </c>
      <c r="AK115" s="111">
        <f t="shared" ca="1" si="44"/>
        <v>54403.067068198528</v>
      </c>
      <c r="AL115" s="111">
        <f t="shared" ca="1" si="44"/>
        <v>54934.235541136666</v>
      </c>
      <c r="AM115" s="111">
        <f t="shared" ca="1" si="44"/>
        <v>55470.59011776065</v>
      </c>
      <c r="AN115" s="111">
        <f t="shared" ca="1" si="44"/>
        <v>56012.18143298728</v>
      </c>
      <c r="AO115" s="111">
        <f t="shared" ca="1" si="44"/>
        <v>56559.06061611123</v>
      </c>
      <c r="AP115" s="111">
        <f t="shared" ca="1" si="44"/>
        <v>57110.18057921555</v>
      </c>
      <c r="AQ115" s="111">
        <f t="shared" ca="1" si="44"/>
        <v>57666.670737836277</v>
      </c>
      <c r="AR115" s="111">
        <f t="shared" ca="1" si="44"/>
        <v>58228.583419963332</v>
      </c>
      <c r="AS115" s="112"/>
      <c r="AT115" s="113">
        <f ca="1">SUM(E115:AS115)</f>
        <v>1757681.5212618574</v>
      </c>
    </row>
    <row r="116" spans="1:46" outlineLevel="1" x14ac:dyDescent="0.2">
      <c r="A116" s="114" t="s">
        <v>235</v>
      </c>
      <c r="B116" s="16"/>
      <c r="C116" s="21" t="str">
        <f>CHOOSE(C110,Параметры!$B$64,Параметры!$B$108,Параметры!$B$117)</f>
        <v>тыс. руб.</v>
      </c>
      <c r="E116" s="115">
        <f t="shared" ref="E116:AR116" si="45">E115+E118-IF(E$2=1,0,0)+IF(E$2=1,0,0)</f>
        <v>0</v>
      </c>
      <c r="F116" s="115">
        <f t="shared" ca="1" si="45"/>
        <v>0</v>
      </c>
      <c r="G116" s="115">
        <f t="shared" ca="1" si="45"/>
        <v>20822</v>
      </c>
      <c r="H116" s="115">
        <f t="shared" ca="1" si="45"/>
        <v>31233</v>
      </c>
      <c r="I116" s="115">
        <f t="shared" ca="1" si="45"/>
        <v>31233</v>
      </c>
      <c r="J116" s="115">
        <f t="shared" ca="1" si="45"/>
        <v>31541.60156265158</v>
      </c>
      <c r="K116" s="115">
        <f t="shared" ca="1" si="45"/>
        <v>31853.25230163816</v>
      </c>
      <c r="L116" s="115">
        <f t="shared" ca="1" si="45"/>
        <v>32167.982344727865</v>
      </c>
      <c r="M116" s="115">
        <f t="shared" ca="1" si="45"/>
        <v>51635.326519857714</v>
      </c>
      <c r="N116" s="115">
        <f t="shared" ca="1" si="45"/>
        <v>52143.500582340603</v>
      </c>
      <c r="O116" s="115">
        <f t="shared" ca="1" si="45"/>
        <v>52656.675889033329</v>
      </c>
      <c r="P116" s="115">
        <f t="shared" ca="1" si="45"/>
        <v>53174.901660164724</v>
      </c>
      <c r="Q116" s="115">
        <f t="shared" ca="1" si="45"/>
        <v>53698.227600369282</v>
      </c>
      <c r="R116" s="115">
        <f t="shared" ca="1" si="45"/>
        <v>54224.721335750437</v>
      </c>
      <c r="S116" s="115">
        <f t="shared" ca="1" si="45"/>
        <v>54756.377171740554</v>
      </c>
      <c r="T116" s="115">
        <f t="shared" ca="1" si="45"/>
        <v>55293.245721064726</v>
      </c>
      <c r="U116" s="115">
        <f t="shared" ca="1" si="45"/>
        <v>55835.378092689432</v>
      </c>
      <c r="V116" s="115">
        <f t="shared" ca="1" si="45"/>
        <v>56384.051155666632</v>
      </c>
      <c r="W116" s="115">
        <f t="shared" ca="1" si="45"/>
        <v>56938.115820533523</v>
      </c>
      <c r="X116" s="115">
        <f t="shared" ca="1" si="45"/>
        <v>57497.625068515015</v>
      </c>
      <c r="Y116" s="115">
        <f t="shared" ca="1" si="45"/>
        <v>58062.632401462339</v>
      </c>
      <c r="Z116" s="115">
        <f t="shared" ca="1" si="45"/>
        <v>58633.619499998313</v>
      </c>
      <c r="AA116" s="115">
        <f t="shared" ca="1" si="45"/>
        <v>59210.221677513822</v>
      </c>
      <c r="AB116" s="115">
        <f t="shared" ca="1" si="45"/>
        <v>59792.494152615443</v>
      </c>
      <c r="AC116" s="115">
        <f t="shared" ca="1" si="45"/>
        <v>60380.49268692873</v>
      </c>
      <c r="AD116" s="115">
        <f t="shared" ca="1" si="45"/>
        <v>60973.540656979414</v>
      </c>
      <c r="AE116" s="115">
        <f t="shared" ca="1" si="45"/>
        <v>61572.413453544927</v>
      </c>
      <c r="AF116" s="115">
        <f t="shared" ca="1" si="45"/>
        <v>62177.168287180953</v>
      </c>
      <c r="AG116" s="115">
        <f t="shared" ca="1" si="45"/>
        <v>62787.862930356576</v>
      </c>
      <c r="AH116" s="115">
        <f t="shared" ca="1" si="45"/>
        <v>63402.726437589896</v>
      </c>
      <c r="AI116" s="115">
        <f t="shared" ca="1" si="45"/>
        <v>64023.611126543423</v>
      </c>
      <c r="AJ116" s="115">
        <f t="shared" ca="1" si="45"/>
        <v>64650.575960920287</v>
      </c>
      <c r="AK116" s="115">
        <f t="shared" ca="1" si="45"/>
        <v>65283.680481838237</v>
      </c>
      <c r="AL116" s="115">
        <f t="shared" ca="1" si="45"/>
        <v>65921.082649364005</v>
      </c>
      <c r="AM116" s="115">
        <f t="shared" ca="1" si="45"/>
        <v>66564.708141312789</v>
      </c>
      <c r="AN116" s="115">
        <f t="shared" ca="1" si="45"/>
        <v>67214.617719584741</v>
      </c>
      <c r="AO116" s="115">
        <f t="shared" ca="1" si="45"/>
        <v>67870.872739333485</v>
      </c>
      <c r="AP116" s="115">
        <f t="shared" ca="1" si="45"/>
        <v>68532.216695058654</v>
      </c>
      <c r="AQ116" s="115">
        <f t="shared" ca="1" si="45"/>
        <v>69200.004885403527</v>
      </c>
      <c r="AR116" s="115">
        <f t="shared" ca="1" si="45"/>
        <v>69874.300103956004</v>
      </c>
      <c r="AS116" s="115"/>
      <c r="AT116" s="103">
        <f ca="1">SUM(E116:AS116)</f>
        <v>2109217.825514229</v>
      </c>
    </row>
    <row r="117" spans="1:46" outlineLevel="1" x14ac:dyDescent="0.2">
      <c r="A117" s="114" t="s">
        <v>52</v>
      </c>
      <c r="B117" s="24"/>
      <c r="C117" s="2" t="s">
        <v>1</v>
      </c>
      <c r="E117" s="359">
        <f>Параметры!E$136</f>
        <v>0.2</v>
      </c>
      <c r="F117" s="359">
        <f>Параметры!F$136</f>
        <v>0.2</v>
      </c>
      <c r="G117" s="359">
        <f>Параметры!G$136</f>
        <v>0.2</v>
      </c>
      <c r="H117" s="359">
        <f>Параметры!H$136</f>
        <v>0.2</v>
      </c>
      <c r="I117" s="359">
        <f>Параметры!I$136</f>
        <v>0.2</v>
      </c>
      <c r="J117" s="359">
        <f>Параметры!J$136</f>
        <v>0.2</v>
      </c>
      <c r="K117" s="359">
        <f>Параметры!K$136</f>
        <v>0.2</v>
      </c>
      <c r="L117" s="359">
        <f>Параметры!L$136</f>
        <v>0.2</v>
      </c>
      <c r="M117" s="359">
        <f>Параметры!M$136</f>
        <v>0.2</v>
      </c>
      <c r="N117" s="359">
        <f>Параметры!N$136</f>
        <v>0.2</v>
      </c>
      <c r="O117" s="359">
        <f>Параметры!O$136</f>
        <v>0.2</v>
      </c>
      <c r="P117" s="359">
        <f>Параметры!P$136</f>
        <v>0.2</v>
      </c>
      <c r="Q117" s="359">
        <f>Параметры!Q$136</f>
        <v>0.2</v>
      </c>
      <c r="R117" s="359">
        <f>Параметры!R$136</f>
        <v>0.2</v>
      </c>
      <c r="S117" s="359">
        <f>Параметры!S$136</f>
        <v>0.2</v>
      </c>
      <c r="T117" s="359">
        <f>Параметры!T$136</f>
        <v>0.2</v>
      </c>
      <c r="U117" s="359">
        <f>Параметры!U$136</f>
        <v>0.2</v>
      </c>
      <c r="V117" s="359">
        <f>Параметры!V$136</f>
        <v>0.2</v>
      </c>
      <c r="W117" s="359">
        <f>Параметры!W$136</f>
        <v>0.2</v>
      </c>
      <c r="X117" s="359">
        <f>Параметры!X$136</f>
        <v>0.2</v>
      </c>
      <c r="Y117" s="359">
        <f>Параметры!Y$136</f>
        <v>0.2</v>
      </c>
      <c r="Z117" s="359">
        <f>Параметры!Z$136</f>
        <v>0.2</v>
      </c>
      <c r="AA117" s="359">
        <f>Параметры!AA$136</f>
        <v>0.2</v>
      </c>
      <c r="AB117" s="359">
        <f>Параметры!AB$136</f>
        <v>0.2</v>
      </c>
      <c r="AC117" s="359">
        <f>Параметры!AC$136</f>
        <v>0.2</v>
      </c>
      <c r="AD117" s="359">
        <f>Параметры!AD$136</f>
        <v>0.2</v>
      </c>
      <c r="AE117" s="359">
        <f>Параметры!AE$136</f>
        <v>0.2</v>
      </c>
      <c r="AF117" s="359">
        <f>Параметры!AF$136</f>
        <v>0.2</v>
      </c>
      <c r="AG117" s="359">
        <f>Параметры!AG$136</f>
        <v>0.2</v>
      </c>
      <c r="AH117" s="359">
        <f>Параметры!AH$136</f>
        <v>0.2</v>
      </c>
      <c r="AI117" s="359">
        <f>Параметры!AI$136</f>
        <v>0.2</v>
      </c>
      <c r="AJ117" s="359">
        <f>Параметры!AJ$136</f>
        <v>0.2</v>
      </c>
      <c r="AK117" s="359">
        <f>Параметры!AK$136</f>
        <v>0.2</v>
      </c>
      <c r="AL117" s="359">
        <f>Параметры!AL$136</f>
        <v>0.2</v>
      </c>
      <c r="AM117" s="359">
        <f>Параметры!AM$136</f>
        <v>0.2</v>
      </c>
      <c r="AN117" s="359">
        <f>Параметры!AN$136</f>
        <v>0.2</v>
      </c>
      <c r="AO117" s="359">
        <f>Параметры!AO$136</f>
        <v>0.2</v>
      </c>
      <c r="AP117" s="359">
        <f>Параметры!AP$136</f>
        <v>0.2</v>
      </c>
      <c r="AQ117" s="359">
        <f>Параметры!AQ$136</f>
        <v>0.2</v>
      </c>
      <c r="AR117" s="359">
        <f>Параметры!AR$136</f>
        <v>0.2</v>
      </c>
      <c r="AS117" s="118"/>
      <c r="AT117" s="116"/>
    </row>
    <row r="118" spans="1:46" outlineLevel="1" x14ac:dyDescent="0.2">
      <c r="A118" s="114" t="s">
        <v>64</v>
      </c>
      <c r="B118" s="2"/>
      <c r="C118" s="2" t="str">
        <f>CHOOSE(C110,Параметры!$B$64,Параметры!$B$108,Параметры!$B$117)</f>
        <v>тыс. руб.</v>
      </c>
      <c r="E118" s="121">
        <f t="shared" ref="E118:AR118" si="46">(E115)*E117</f>
        <v>0</v>
      </c>
      <c r="F118" s="121">
        <f t="shared" ca="1" si="46"/>
        <v>0</v>
      </c>
      <c r="G118" s="121">
        <f t="shared" ca="1" si="46"/>
        <v>3470.3333333333339</v>
      </c>
      <c r="H118" s="121">
        <f t="shared" ca="1" si="46"/>
        <v>5205.5</v>
      </c>
      <c r="I118" s="121">
        <f t="shared" ca="1" si="46"/>
        <v>5205.5</v>
      </c>
      <c r="J118" s="121">
        <f t="shared" ca="1" si="46"/>
        <v>5256.9335937752639</v>
      </c>
      <c r="K118" s="121">
        <f t="shared" ca="1" si="46"/>
        <v>5308.8753836063606</v>
      </c>
      <c r="L118" s="121">
        <f t="shared" ca="1" si="46"/>
        <v>5361.3303907879781</v>
      </c>
      <c r="M118" s="121">
        <f t="shared" ca="1" si="46"/>
        <v>8605.8877533096202</v>
      </c>
      <c r="N118" s="121">
        <f t="shared" ca="1" si="46"/>
        <v>8690.5834303901011</v>
      </c>
      <c r="O118" s="121">
        <f t="shared" ca="1" si="46"/>
        <v>8776.1126481722222</v>
      </c>
      <c r="P118" s="121">
        <f t="shared" ca="1" si="46"/>
        <v>8862.4836100274533</v>
      </c>
      <c r="Q118" s="121">
        <f t="shared" ca="1" si="46"/>
        <v>8949.7046000615483</v>
      </c>
      <c r="R118" s="121">
        <f t="shared" ca="1" si="46"/>
        <v>9037.4535559584074</v>
      </c>
      <c r="S118" s="121">
        <f t="shared" ca="1" si="46"/>
        <v>9126.0628619567597</v>
      </c>
      <c r="T118" s="121">
        <f t="shared" ca="1" si="46"/>
        <v>9215.5409535107883</v>
      </c>
      <c r="U118" s="121">
        <f t="shared" ca="1" si="46"/>
        <v>9305.8963487815727</v>
      </c>
      <c r="V118" s="121">
        <f t="shared" ca="1" si="46"/>
        <v>9397.3418592777725</v>
      </c>
      <c r="W118" s="121">
        <f t="shared" ca="1" si="46"/>
        <v>9489.6859700889217</v>
      </c>
      <c r="X118" s="121">
        <f t="shared" ca="1" si="46"/>
        <v>9582.9375114191698</v>
      </c>
      <c r="Y118" s="121">
        <f t="shared" ca="1" si="46"/>
        <v>9677.1054002437231</v>
      </c>
      <c r="Z118" s="121">
        <f t="shared" ca="1" si="46"/>
        <v>9772.2699166663861</v>
      </c>
      <c r="AA118" s="121">
        <f t="shared" ca="1" si="46"/>
        <v>9868.370279585637</v>
      </c>
      <c r="AB118" s="121">
        <f t="shared" ca="1" si="46"/>
        <v>9965.4156921025751</v>
      </c>
      <c r="AC118" s="121">
        <f t="shared" ca="1" si="46"/>
        <v>10063.415447821455</v>
      </c>
      <c r="AD118" s="121">
        <f t="shared" ca="1" si="46"/>
        <v>10162.256776163236</v>
      </c>
      <c r="AE118" s="121">
        <f t="shared" ca="1" si="46"/>
        <v>10262.068908924155</v>
      </c>
      <c r="AF118" s="121">
        <f t="shared" ca="1" si="46"/>
        <v>10362.861381196826</v>
      </c>
      <c r="AG118" s="121">
        <f t="shared" ca="1" si="46"/>
        <v>10464.643821726097</v>
      </c>
      <c r="AH118" s="121">
        <f t="shared" ca="1" si="46"/>
        <v>10567.12107293165</v>
      </c>
      <c r="AI118" s="121">
        <f t="shared" ca="1" si="46"/>
        <v>10670.601854423905</v>
      </c>
      <c r="AJ118" s="121">
        <f t="shared" ca="1" si="46"/>
        <v>10775.095993486715</v>
      </c>
      <c r="AK118" s="121">
        <f t="shared" ca="1" si="46"/>
        <v>10880.613413639707</v>
      </c>
      <c r="AL118" s="121">
        <f t="shared" ca="1" si="46"/>
        <v>10986.847108227334</v>
      </c>
      <c r="AM118" s="121">
        <f t="shared" ca="1" si="46"/>
        <v>11094.118023552131</v>
      </c>
      <c r="AN118" s="121">
        <f t="shared" ca="1" si="46"/>
        <v>11202.436286597456</v>
      </c>
      <c r="AO118" s="121">
        <f t="shared" ca="1" si="46"/>
        <v>11311.812123222247</v>
      </c>
      <c r="AP118" s="121">
        <f t="shared" ca="1" si="46"/>
        <v>11422.036115843111</v>
      </c>
      <c r="AQ118" s="121">
        <f t="shared" ca="1" si="46"/>
        <v>11533.334147567257</v>
      </c>
      <c r="AR118" s="121">
        <f t="shared" ca="1" si="46"/>
        <v>11645.716683992667</v>
      </c>
      <c r="AS118" s="115"/>
      <c r="AT118" s="103">
        <f ca="1">SUM(E118:AS118)</f>
        <v>351536.30425237154</v>
      </c>
    </row>
    <row r="119" spans="1:46" outlineLevel="1" x14ac:dyDescent="0.2">
      <c r="A119" s="419" t="str">
        <f>Параметры!$A$65</f>
        <v>Инфляция</v>
      </c>
      <c r="B119" s="263" t="s">
        <v>391</v>
      </c>
      <c r="C119" s="2" t="s">
        <v>14</v>
      </c>
      <c r="E119" s="358">
        <f>CHOOSE($C$110,Параметры!E$65,Параметры!E$113,Параметры!E$122)</f>
        <v>0</v>
      </c>
      <c r="F119" s="358">
        <f>CHOOSE($C$110,Параметры!F$65,Параметры!F$113,Параметры!F$122)</f>
        <v>0</v>
      </c>
      <c r="G119" s="358">
        <f>CHOOSE($C$110,Параметры!G$65,Параметры!G$113,Параметры!G$122)</f>
        <v>0</v>
      </c>
      <c r="H119" s="358">
        <f>CHOOSE($C$110,Параметры!H$65,Параметры!H$113,Параметры!H$122)</f>
        <v>0</v>
      </c>
      <c r="I119" s="358">
        <f>CHOOSE($C$110,Параметры!I$65,Параметры!I$113,Параметры!I$122)</f>
        <v>4.011212875388237E-2</v>
      </c>
      <c r="J119" s="358">
        <f>CHOOSE($C$110,Параметры!J$65,Параметры!J$113,Параметры!J$122)</f>
        <v>4.011212875388237E-2</v>
      </c>
      <c r="K119" s="358">
        <f>CHOOSE($C$110,Параметры!K$65,Параметры!K$113,Параметры!K$122)</f>
        <v>4.011212875388237E-2</v>
      </c>
      <c r="L119" s="358">
        <f>CHOOSE($C$110,Параметры!L$65,Параметры!L$113,Параметры!L$122)</f>
        <v>4.011212875388237E-2</v>
      </c>
      <c r="M119" s="358">
        <f>CHOOSE($C$110,Параметры!M$65,Параметры!M$113,Параметры!M$122)</f>
        <v>3.9951351517419909E-2</v>
      </c>
      <c r="N119" s="358">
        <f>CHOOSE($C$110,Параметры!N$65,Параметры!N$113,Параметры!N$122)</f>
        <v>3.9951351517419909E-2</v>
      </c>
      <c r="O119" s="358">
        <f>CHOOSE($C$110,Параметры!O$65,Параметры!O$113,Параметры!O$122)</f>
        <v>3.9951351517419909E-2</v>
      </c>
      <c r="P119" s="358">
        <f>CHOOSE($C$110,Параметры!P$65,Параметры!P$113,Параметры!P$122)</f>
        <v>3.9951351517419909E-2</v>
      </c>
      <c r="Q119" s="358">
        <f>CHOOSE($C$110,Параметры!Q$65,Параметры!Q$113,Параметры!Q$122)</f>
        <v>3.9799274348962799E-2</v>
      </c>
      <c r="R119" s="358">
        <f>CHOOSE($C$110,Параметры!R$65,Параметры!R$113,Параметры!R$122)</f>
        <v>3.9799274348962799E-2</v>
      </c>
      <c r="S119" s="358">
        <f>CHOOSE($C$110,Параметры!S$65,Параметры!S$113,Параметры!S$122)</f>
        <v>3.9799274348962799E-2</v>
      </c>
      <c r="T119" s="358">
        <f>CHOOSE($C$110,Параметры!T$65,Параметры!T$113,Параметры!T$122)</f>
        <v>3.9799274348962799E-2</v>
      </c>
      <c r="U119" s="358">
        <f>CHOOSE($C$110,Параметры!U$65,Параметры!U$113,Параметры!U$122)</f>
        <v>3.9889661086839556E-2</v>
      </c>
      <c r="V119" s="358">
        <f>CHOOSE($C$110,Параметры!V$65,Параметры!V$113,Параметры!V$122)</f>
        <v>3.9889661086839556E-2</v>
      </c>
      <c r="W119" s="358">
        <f>CHOOSE($C$110,Параметры!W$65,Параметры!W$113,Параметры!W$122)</f>
        <v>3.9889661086839556E-2</v>
      </c>
      <c r="X119" s="358">
        <f>CHOOSE($C$110,Параметры!X$65,Параметры!X$113,Параметры!X$122)</f>
        <v>3.9889661086839556E-2</v>
      </c>
      <c r="Y119" s="358">
        <f>CHOOSE($C$110,Параметры!Y$65,Параметры!Y$113,Параметры!Y$122)</f>
        <v>3.9919999999999956E-2</v>
      </c>
      <c r="Z119" s="358">
        <f>CHOOSE($C$110,Параметры!Z$65,Параметры!Z$113,Параметры!Z$122)</f>
        <v>3.9919999999999956E-2</v>
      </c>
      <c r="AA119" s="358">
        <f>CHOOSE($C$110,Параметры!AA$65,Параметры!AA$113,Параметры!AA$122)</f>
        <v>3.9919999999999956E-2</v>
      </c>
      <c r="AB119" s="358">
        <f>CHOOSE($C$110,Параметры!AB$65,Параметры!AB$113,Параметры!AB$122)</f>
        <v>3.9919999999999956E-2</v>
      </c>
      <c r="AC119" s="358">
        <f>CHOOSE($C$110,Параметры!AC$65,Параметры!AC$113,Параметры!AC$122)</f>
        <v>3.986999999999985E-2</v>
      </c>
      <c r="AD119" s="358">
        <f>CHOOSE($C$110,Параметры!AD$65,Параметры!AD$113,Параметры!AD$122)</f>
        <v>3.986999999999985E-2</v>
      </c>
      <c r="AE119" s="358">
        <f>CHOOSE($C$110,Параметры!AE$65,Параметры!AE$113,Параметры!AE$122)</f>
        <v>3.986999999999985E-2</v>
      </c>
      <c r="AF119" s="358">
        <f>CHOOSE($C$110,Параметры!AF$65,Параметры!AF$113,Параметры!AF$122)</f>
        <v>3.986999999999985E-2</v>
      </c>
      <c r="AG119" s="358">
        <f>CHOOSE($C$110,Параметры!AG$65,Параметры!AG$113,Параметры!AG$122)</f>
        <v>3.9749999999999952E-2</v>
      </c>
      <c r="AH119" s="358">
        <f>CHOOSE($C$110,Параметры!AH$65,Параметры!AH$113,Параметры!AH$122)</f>
        <v>3.9749999999999952E-2</v>
      </c>
      <c r="AI119" s="358">
        <f>CHOOSE($C$110,Параметры!AI$65,Параметры!AI$113,Параметры!AI$122)</f>
        <v>3.9749999999999952E-2</v>
      </c>
      <c r="AJ119" s="358">
        <f>CHOOSE($C$110,Параметры!AJ$65,Параметры!AJ$113,Параметры!AJ$122)</f>
        <v>3.9749999999999952E-2</v>
      </c>
      <c r="AK119" s="358">
        <f>CHOOSE($C$110,Параметры!AK$65,Параметры!AK$113,Параметры!AK$122)</f>
        <v>3.9629999999999832E-2</v>
      </c>
      <c r="AL119" s="358">
        <f>CHOOSE($C$110,Параметры!AL$65,Параметры!AL$113,Параметры!AL$122)</f>
        <v>3.9629999999999832E-2</v>
      </c>
      <c r="AM119" s="358">
        <f>CHOOSE($C$110,Параметры!AM$65,Параметры!AM$113,Параметры!AM$122)</f>
        <v>3.9629999999999832E-2</v>
      </c>
      <c r="AN119" s="358">
        <f>CHOOSE($C$110,Параметры!AN$65,Параметры!AN$113,Параметры!AN$122)</f>
        <v>3.9629999999999832E-2</v>
      </c>
      <c r="AO119" s="358">
        <f>CHOOSE($C$110,Параметры!AO$65,Параметры!AO$113,Параметры!AO$122)</f>
        <v>3.9549999999999974E-2</v>
      </c>
      <c r="AP119" s="358">
        <f>CHOOSE($C$110,Параметры!AP$65,Параметры!AP$113,Параметры!AP$122)</f>
        <v>3.9549999999999974E-2</v>
      </c>
      <c r="AQ119" s="358">
        <f>CHOOSE($C$110,Параметры!AQ$65,Параметры!AQ$113,Параметры!AQ$122)</f>
        <v>3.9549999999999974E-2</v>
      </c>
      <c r="AR119" s="358">
        <f>CHOOSE($C$110,Параметры!AR$65,Параметры!AR$113,Параметры!AR$122)</f>
        <v>3.9549999999999974E-2</v>
      </c>
      <c r="AS119" s="118"/>
      <c r="AT119" s="119"/>
    </row>
    <row r="120" spans="1:46" outlineLevel="1" x14ac:dyDescent="0.2">
      <c r="A120" s="302" t="s">
        <v>392</v>
      </c>
      <c r="B120" s="24"/>
      <c r="C120" s="2" t="s">
        <v>133</v>
      </c>
      <c r="E120" s="416">
        <f ca="1">IF(E$2=1,1,IF(Параметры!$B$62=1,POWER(1+OFFSET(E119,0,-1),Параметры!E$39/360),1) * IF(E$2&gt;1,D120, 1))</f>
        <v>1</v>
      </c>
      <c r="F120" s="416">
        <f ca="1">IF(F$2=1,1,IF(Параметры!$B$62=1,POWER(1+OFFSET(F119,0,-1),Параметры!F$39/360),1) * IF(F$2&gt;1,E120, 1))</f>
        <v>1</v>
      </c>
      <c r="G120" s="416">
        <f ca="1">IF(G$2=1,1,IF(Параметры!$B$62=1,POWER(1+OFFSET(G119,0,-1),Параметры!G$39/360),1) * IF(G$2&gt;1,F120, 1))</f>
        <v>1</v>
      </c>
      <c r="H120" s="416">
        <f ca="1">IF(H$2=1,1,IF(Параметры!$B$62=1,POWER(1+OFFSET(H119,0,-1),Параметры!H$39/360),1) * IF(H$2&gt;1,G120, 1))</f>
        <v>1</v>
      </c>
      <c r="I120" s="416">
        <f ca="1">IF(I$2=1,1,IF(Параметры!$B$62=1,POWER(1+OFFSET(I119,0,-1),Параметры!I$39/360),1) * IF(I$2&gt;1,H120, 1))</f>
        <v>1</v>
      </c>
      <c r="J120" s="416">
        <f ca="1">IF(J$2=1,1,IF(Параметры!$B$62=1,POWER(1+OFFSET(J119,0,-1),Параметры!J$39/360),1) * IF(J$2&gt;1,I120, 1))</f>
        <v>1.009880625064886</v>
      </c>
      <c r="K120" s="416">
        <f ca="1">IF(K$2=1,1,IF(Параметры!$B$62=1,POWER(1+OFFSET(K119,0,-1),Параметры!K$39/360),1) * IF(K$2&gt;1,J120, 1))</f>
        <v>1.0198588768814447</v>
      </c>
      <c r="L120" s="416">
        <f ca="1">IF(L$2=1,1,IF(Параметры!$B$62=1,POWER(1+OFFSET(L119,0,-1),Параметры!L$39/360),1) * IF(L$2&gt;1,K120, 1))</f>
        <v>1.0299357200630059</v>
      </c>
      <c r="M120" s="416">
        <f ca="1">IF(M$2=1,1,IF(Параметры!$B$62=1,POWER(1+OFFSET(M119,0,-1),Параметры!M$39/360),1) * IF(M$2&gt;1,L120, 1))</f>
        <v>1.0401121287538819</v>
      </c>
      <c r="N120" s="416">
        <f ca="1">IF(N$2=1,1,IF(Параметры!$B$62=1,POWER(1+OFFSET(N119,0,-1),Параметры!N$39/360),1) * IF(N$2&gt;1,M120, 1))</f>
        <v>1.0503484929163767</v>
      </c>
      <c r="O120" s="416">
        <f ca="1">IF(O$2=1,1,IF(Параметры!$B$62=1,POWER(1+OFFSET(O119,0,-1),Параметры!O$39/360),1) * IF(O$2&gt;1,N120, 1))</f>
        <v>1.0606855992473074</v>
      </c>
      <c r="P120" s="416">
        <f ca="1">IF(P$2=1,1,IF(Параметры!$B$62=1,POWER(1+OFFSET(P119,0,-1),Параметры!P$39/360),1) * IF(P$2&gt;1,O120, 1))</f>
        <v>1.0711244392104731</v>
      </c>
      <c r="Q120" s="416">
        <f ca="1">IF(Q$2=1,1,IF(Параметры!$B$62=1,POWER(1+OFFSET(Q119,0,-1),Параметры!Q$39/360),1) * IF(Q$2&gt;1,P120, 1))</f>
        <v>1.0816660140272598</v>
      </c>
      <c r="R120" s="416">
        <f ca="1">IF(R$2=1,1,IF(Параметры!$B$62=1,POWER(1+OFFSET(R119,0,-1),Параметры!R$39/360),1) * IF(R$2&gt;1,Q120, 1))</f>
        <v>1.092271399076433</v>
      </c>
      <c r="S120" s="416">
        <f ca="1">IF(S$2=1,1,IF(Параметры!$B$62=1,POWER(1+OFFSET(S119,0,-1),Параметры!S$39/360),1) * IF(S$2&gt;1,R120, 1))</f>
        <v>1.1029807664922358</v>
      </c>
      <c r="T120" s="416">
        <f ca="1">IF(T$2=1,1,IF(Параметры!$B$62=1,POWER(1+OFFSET(T119,0,-1),Параметры!T$39/360),1) * IF(T$2&gt;1,S120, 1))</f>
        <v>1.1137951357881057</v>
      </c>
      <c r="U120" s="416">
        <f ca="1">IF(U$2=1,1,IF(Параметры!$B$62=1,POWER(1+OFFSET(U119,0,-1),Параметры!U$39/360),1) * IF(U$2&gt;1,T120, 1))</f>
        <v>1.1247155364734798</v>
      </c>
      <c r="V120" s="416">
        <f ca="1">IF(V$2=1,1,IF(Параметры!$B$62=1,POWER(1+OFFSET(V119,0,-1),Параметры!V$39/360),1) * IF(V$2&gt;1,U120, 1))</f>
        <v>1.1357676890594357</v>
      </c>
      <c r="W120" s="416">
        <f ca="1">IF(W$2=1,1,IF(Параметры!$B$62=1,POWER(1+OFFSET(W119,0,-1),Параметры!W$39/360),1) * IF(W$2&gt;1,V120, 1))</f>
        <v>1.1469284469529757</v>
      </c>
      <c r="X120" s="416">
        <f ca="1">IF(X$2=1,1,IF(Параметры!$B$62=1,POWER(1+OFFSET(X119,0,-1),Параметры!X$39/360),1) * IF(X$2&gt;1,W120, 1))</f>
        <v>1.158198877377226</v>
      </c>
      <c r="Y120" s="416">
        <f ca="1">IF(Y$2=1,1,IF(Параметры!$B$62=1,POWER(1+OFFSET(Y119,0,-1),Параметры!Y$39/360),1) * IF(Y$2&gt;1,X120, 1))</f>
        <v>1.1695800580425095</v>
      </c>
      <c r="Z120" s="416">
        <f ca="1">IF(Z$2=1,1,IF(Параметры!$B$62=1,POWER(1+OFFSET(Z119,0,-1),Параметры!Z$39/360),1) * IF(Z$2&gt;1,Y120, 1))</f>
        <v>1.1810816916444749</v>
      </c>
      <c r="AA120" s="416">
        <f ca="1">IF(AA$2=1,1,IF(Параметры!$B$62=1,POWER(1+OFFSET(AA119,0,-1),Параметры!AA$39/360),1) * IF(AA$2&gt;1,Z120, 1))</f>
        <v>1.1926964321471643</v>
      </c>
      <c r="AB120" s="416">
        <f ca="1">IF(AB$2=1,1,IF(Параметры!$B$62=1,POWER(1+OFFSET(AB119,0,-1),Параметры!AB$39/360),1) * IF(AB$2&gt;1,AA120, 1))</f>
        <v>1.2044253918422256</v>
      </c>
      <c r="AC120" s="416">
        <f ca="1">IF(AC$2=1,1,IF(Параметры!$B$62=1,POWER(1+OFFSET(AC119,0,-1),Параметры!AC$39/360),1) * IF(AC$2&gt;1,AB120, 1))</f>
        <v>1.2162696939595667</v>
      </c>
      <c r="AD120" s="416">
        <f ca="1">IF(AD$2=1,1,IF(Параметры!$B$62=1,POWER(1+OFFSET(AD119,0,-1),Параметры!AD$39/360),1) * IF(AD$2&gt;1,AC120, 1))</f>
        <v>1.2282157089875798</v>
      </c>
      <c r="AE120" s="416">
        <f ca="1">IF(AE$2=1,1,IF(Параметры!$B$62=1,POWER(1+OFFSET(AE119,0,-1),Параметры!AE$39/360),1) * IF(AE$2&gt;1,AD120, 1))</f>
        <v>1.2402790559492571</v>
      </c>
      <c r="AF120" s="416">
        <f ca="1">IF(AF$2=1,1,IF(Параметры!$B$62=1,POWER(1+OFFSET(AF119,0,-1),Параметры!AF$39/360),1) * IF(AF$2&gt;1,AE120, 1))</f>
        <v>1.2524608872609169</v>
      </c>
      <c r="AG120" s="416">
        <f ca="1">IF(AG$2=1,1,IF(Параметры!$B$62=1,POWER(1+OFFSET(AG119,0,-1),Параметры!AG$39/360),1) * IF(AG$2&gt;1,AF120, 1))</f>
        <v>1.2647623666577346</v>
      </c>
      <c r="AH120" s="416">
        <f ca="1">IF(AH$2=1,1,IF(Параметры!$B$62=1,POWER(1+OFFSET(AH119,0,-1),Параметры!AH$39/360),1) * IF(AH$2&gt;1,AG120, 1))</f>
        <v>1.2771478212390197</v>
      </c>
      <c r="AI120" s="416">
        <f ca="1">IF(AI$2=1,1,IF(Параметры!$B$62=1,POWER(1+OFFSET(AI119,0,-1),Параметры!AI$39/360),1) * IF(AI$2&gt;1,AH120, 1))</f>
        <v>1.2896545630195677</v>
      </c>
      <c r="AJ120" s="416">
        <f ca="1">IF(AJ$2=1,1,IF(Параметры!$B$62=1,POWER(1+OFFSET(AJ119,0,-1),Параметры!AJ$39/360),1) * IF(AJ$2&gt;1,AI120, 1))</f>
        <v>1.3022837797300839</v>
      </c>
      <c r="AK120" s="416">
        <f ca="1">IF(AK$2=1,1,IF(Параметры!$B$62=1,POWER(1+OFFSET(AK119,0,-1),Параметры!AK$39/360),1) * IF(AK$2&gt;1,AJ120, 1))</f>
        <v>1.3150366707323793</v>
      </c>
      <c r="AL120" s="416">
        <f ca="1">IF(AL$2=1,1,IF(Параметры!$B$62=1,POWER(1+OFFSET(AL119,0,-1),Параметры!AL$39/360),1) * IF(AL$2&gt;1,AK120, 1))</f>
        <v>1.3278761310402869</v>
      </c>
      <c r="AM120" s="416">
        <f ca="1">IF(AM$2=1,1,IF(Параметры!$B$62=1,POWER(1+OFFSET(AM119,0,-1),Параметры!AM$39/360),1) * IF(AM$2&gt;1,AL120, 1))</f>
        <v>1.3408409503930541</v>
      </c>
      <c r="AN120" s="416">
        <f ca="1">IF(AN$2=1,1,IF(Параметры!$B$62=1,POWER(1+OFFSET(AN119,0,-1),Параметры!AN$39/360),1) * IF(AN$2&gt;1,AM120, 1))</f>
        <v>1.3539323527432265</v>
      </c>
      <c r="AO120" s="416">
        <f ca="1">IF(AO$2=1,1,IF(Параметры!$B$62=1,POWER(1+OFFSET(AO119,0,-1),Параметры!AO$39/360),1) * IF(AO$2&gt;1,AN120, 1))</f>
        <v>1.3671515739935032</v>
      </c>
      <c r="AP120" s="416">
        <f ca="1">IF(AP$2=1,1,IF(Параметры!$B$62=1,POWER(1+OFFSET(AP119,0,-1),Параметры!AP$39/360),1) * IF(AP$2&gt;1,AO120, 1))</f>
        <v>1.380473303824403</v>
      </c>
      <c r="AQ120" s="416">
        <f ca="1">IF(AQ$2=1,1,IF(Параметры!$B$62=1,POWER(1+OFFSET(AQ119,0,-1),Параметры!AQ$39/360),1) * IF(AQ$2&gt;1,AP120, 1))</f>
        <v>1.3939248425872921</v>
      </c>
      <c r="AR120" s="416">
        <f ca="1">IF(AR$2=1,1,IF(Параметры!$B$62=1,POWER(1+OFFSET(AR119,0,-1),Параметры!AR$39/360),1) * IF(AR$2&gt;1,AQ120, 1))</f>
        <v>1.4075074551598581</v>
      </c>
      <c r="AS120" s="120"/>
      <c r="AT120" s="116"/>
    </row>
    <row r="121" spans="1:46" outlineLevel="1" x14ac:dyDescent="0.2">
      <c r="A121" s="319" t="s">
        <v>491</v>
      </c>
      <c r="B121" s="24"/>
      <c r="C121" s="2" t="s">
        <v>133</v>
      </c>
      <c r="D121" s="310"/>
      <c r="E121" s="417">
        <f>IF(E$2=1,1,CHOOSE($B$8,E120,IF(Параметры!E$43=1,E120,D121),IF(Параметры!E$48=1,E120,D121),IF(Параметры!E$45&lt;&gt;Параметры!D$45,E120,D121),IF(Параметры!E$50&lt;&gt;Параметры!D$50,E120,D121)))</f>
        <v>1</v>
      </c>
      <c r="F121" s="417">
        <f ca="1">IF(F$2=1,1,CHOOSE($B$8,F120,IF(Параметры!F$43=1,F120,E121),IF(Параметры!F$48=1,F120,E121),IF(Параметры!F$45&lt;&gt;Параметры!E$45,F120,E121),IF(Параметры!F$50&lt;&gt;Параметры!E$50,F120,E121)))</f>
        <v>1</v>
      </c>
      <c r="G121" s="417">
        <f ca="1">IF(G$2=1,1,CHOOSE($B$8,G120,IF(Параметры!G$43=1,G120,F121),IF(Параметры!G$48=1,G120,F121),IF(Параметры!G$45&lt;&gt;Параметры!F$45,G120,F121),IF(Параметры!G$50&lt;&gt;Параметры!F$50,G120,F121)))</f>
        <v>1</v>
      </c>
      <c r="H121" s="417">
        <f ca="1">IF(H$2=1,1,CHOOSE($B$8,H120,IF(Параметры!H$43=1,H120,G121),IF(Параметры!H$48=1,H120,G121),IF(Параметры!H$45&lt;&gt;Параметры!G$45,H120,G121),IF(Параметры!H$50&lt;&gt;Параметры!G$50,H120,G121)))</f>
        <v>1</v>
      </c>
      <c r="I121" s="417">
        <f ca="1">IF(I$2=1,1,CHOOSE($B$8,I120,IF(Параметры!I$43=1,I120,H121),IF(Параметры!I$48=1,I120,H121),IF(Параметры!I$45&lt;&gt;Параметры!H$45,I120,H121),IF(Параметры!I$50&lt;&gt;Параметры!H$50,I120,H121)))</f>
        <v>1</v>
      </c>
      <c r="J121" s="417">
        <f ca="1">IF(J$2=1,1,CHOOSE($B$8,J120,IF(Параметры!J$43=1,J120,I121),IF(Параметры!J$48=1,J120,I121),IF(Параметры!J$45&lt;&gt;Параметры!I$45,J120,I121),IF(Параметры!J$50&lt;&gt;Параметры!I$50,J120,I121)))</f>
        <v>1.009880625064886</v>
      </c>
      <c r="K121" s="417">
        <f ca="1">IF(K$2=1,1,CHOOSE($B$8,K120,IF(Параметры!K$43=1,K120,J121),IF(Параметры!K$48=1,K120,J121),IF(Параметры!K$45&lt;&gt;Параметры!J$45,K120,J121),IF(Параметры!K$50&lt;&gt;Параметры!J$50,K120,J121)))</f>
        <v>1.0198588768814447</v>
      </c>
      <c r="L121" s="417">
        <f ca="1">IF(L$2=1,1,CHOOSE($B$8,L120,IF(Параметры!L$43=1,L120,K121),IF(Параметры!L$48=1,L120,K121),IF(Параметры!L$45&lt;&gt;Параметры!K$45,L120,K121),IF(Параметры!L$50&lt;&gt;Параметры!K$50,L120,K121)))</f>
        <v>1.0299357200630059</v>
      </c>
      <c r="M121" s="417">
        <f ca="1">IF(M$2=1,1,CHOOSE($B$8,M120,IF(Параметры!M$43=1,M120,L121),IF(Параметры!M$48=1,M120,L121),IF(Параметры!M$45&lt;&gt;Параметры!L$45,M120,L121),IF(Параметры!M$50&lt;&gt;Параметры!L$50,M120,L121)))</f>
        <v>1.0401121287538819</v>
      </c>
      <c r="N121" s="417">
        <f ca="1">IF(N$2=1,1,CHOOSE($B$8,N120,IF(Параметры!N$43=1,N120,M121),IF(Параметры!N$48=1,N120,M121),IF(Параметры!N$45&lt;&gt;Параметры!M$45,N120,M121),IF(Параметры!N$50&lt;&gt;Параметры!M$50,N120,M121)))</f>
        <v>1.0503484929163767</v>
      </c>
      <c r="O121" s="417">
        <f ca="1">IF(O$2=1,1,CHOOSE($B$8,O120,IF(Параметры!O$43=1,O120,N121),IF(Параметры!O$48=1,O120,N121),IF(Параметры!O$45&lt;&gt;Параметры!N$45,O120,N121),IF(Параметры!O$50&lt;&gt;Параметры!N$50,O120,N121)))</f>
        <v>1.0606855992473074</v>
      </c>
      <c r="P121" s="417">
        <f ca="1">IF(P$2=1,1,CHOOSE($B$8,P120,IF(Параметры!P$43=1,P120,O121),IF(Параметры!P$48=1,P120,O121),IF(Параметры!P$45&lt;&gt;Параметры!O$45,P120,O121),IF(Параметры!P$50&lt;&gt;Параметры!O$50,P120,O121)))</f>
        <v>1.0711244392104731</v>
      </c>
      <c r="Q121" s="417">
        <f ca="1">IF(Q$2=1,1,CHOOSE($B$8,Q120,IF(Параметры!Q$43=1,Q120,P121),IF(Параметры!Q$48=1,Q120,P121),IF(Параметры!Q$45&lt;&gt;Параметры!P$45,Q120,P121),IF(Параметры!Q$50&lt;&gt;Параметры!P$50,Q120,P121)))</f>
        <v>1.0816660140272598</v>
      </c>
      <c r="R121" s="417">
        <f ca="1">IF(R$2=1,1,CHOOSE($B$8,R120,IF(Параметры!R$43=1,R120,Q121),IF(Параметры!R$48=1,R120,Q121),IF(Параметры!R$45&lt;&gt;Параметры!Q$45,R120,Q121),IF(Параметры!R$50&lt;&gt;Параметры!Q$50,R120,Q121)))</f>
        <v>1.092271399076433</v>
      </c>
      <c r="S121" s="417">
        <f ca="1">IF(S$2=1,1,CHOOSE($B$8,S120,IF(Параметры!S$43=1,S120,R121),IF(Параметры!S$48=1,S120,R121),IF(Параметры!S$45&lt;&gt;Параметры!R$45,S120,R121),IF(Параметры!S$50&lt;&gt;Параметры!R$50,S120,R121)))</f>
        <v>1.1029807664922358</v>
      </c>
      <c r="T121" s="417">
        <f ca="1">IF(T$2=1,1,CHOOSE($B$8,T120,IF(Параметры!T$43=1,T120,S121),IF(Параметры!T$48=1,T120,S121),IF(Параметры!T$45&lt;&gt;Параметры!S$45,T120,S121),IF(Параметры!T$50&lt;&gt;Параметры!S$50,T120,S121)))</f>
        <v>1.1137951357881057</v>
      </c>
      <c r="U121" s="417">
        <f ca="1">IF(U$2=1,1,CHOOSE($B$8,U120,IF(Параметры!U$43=1,U120,T121),IF(Параметры!U$48=1,U120,T121),IF(Параметры!U$45&lt;&gt;Параметры!T$45,U120,T121),IF(Параметры!U$50&lt;&gt;Параметры!T$50,U120,T121)))</f>
        <v>1.1247155364734798</v>
      </c>
      <c r="V121" s="417">
        <f ca="1">IF(V$2=1,1,CHOOSE($B$8,V120,IF(Параметры!V$43=1,V120,U121),IF(Параметры!V$48=1,V120,U121),IF(Параметры!V$45&lt;&gt;Параметры!U$45,V120,U121),IF(Параметры!V$50&lt;&gt;Параметры!U$50,V120,U121)))</f>
        <v>1.1357676890594357</v>
      </c>
      <c r="W121" s="417">
        <f ca="1">IF(W$2=1,1,CHOOSE($B$8,W120,IF(Параметры!W$43=1,W120,V121),IF(Параметры!W$48=1,W120,V121),IF(Параметры!W$45&lt;&gt;Параметры!V$45,W120,V121),IF(Параметры!W$50&lt;&gt;Параметры!V$50,W120,V121)))</f>
        <v>1.1469284469529757</v>
      </c>
      <c r="X121" s="417">
        <f ca="1">IF(X$2=1,1,CHOOSE($B$8,X120,IF(Параметры!X$43=1,X120,W121),IF(Параметры!X$48=1,X120,W121),IF(Параметры!X$45&lt;&gt;Параметры!W$45,X120,W121),IF(Параметры!X$50&lt;&gt;Параметры!W$50,X120,W121)))</f>
        <v>1.158198877377226</v>
      </c>
      <c r="Y121" s="417">
        <f ca="1">IF(Y$2=1,1,CHOOSE($B$8,Y120,IF(Параметры!Y$43=1,Y120,X121),IF(Параметры!Y$48=1,Y120,X121),IF(Параметры!Y$45&lt;&gt;Параметры!X$45,Y120,X121),IF(Параметры!Y$50&lt;&gt;Параметры!X$50,Y120,X121)))</f>
        <v>1.1695800580425095</v>
      </c>
      <c r="Z121" s="417">
        <f ca="1">IF(Z$2=1,1,CHOOSE($B$8,Z120,IF(Параметры!Z$43=1,Z120,Y121),IF(Параметры!Z$48=1,Z120,Y121),IF(Параметры!Z$45&lt;&gt;Параметры!Y$45,Z120,Y121),IF(Параметры!Z$50&lt;&gt;Параметры!Y$50,Z120,Y121)))</f>
        <v>1.1810816916444749</v>
      </c>
      <c r="AA121" s="417">
        <f ca="1">IF(AA$2=1,1,CHOOSE($B$8,AA120,IF(Параметры!AA$43=1,AA120,Z121),IF(Параметры!AA$48=1,AA120,Z121),IF(Параметры!AA$45&lt;&gt;Параметры!Z$45,AA120,Z121),IF(Параметры!AA$50&lt;&gt;Параметры!Z$50,AA120,Z121)))</f>
        <v>1.1926964321471643</v>
      </c>
      <c r="AB121" s="417">
        <f ca="1">IF(AB$2=1,1,CHOOSE($B$8,AB120,IF(Параметры!AB$43=1,AB120,AA121),IF(Параметры!AB$48=1,AB120,AA121),IF(Параметры!AB$45&lt;&gt;Параметры!AA$45,AB120,AA121),IF(Параметры!AB$50&lt;&gt;Параметры!AA$50,AB120,AA121)))</f>
        <v>1.2044253918422256</v>
      </c>
      <c r="AC121" s="417">
        <f ca="1">IF(AC$2=1,1,CHOOSE($B$8,AC120,IF(Параметры!AC$43=1,AC120,AB121),IF(Параметры!AC$48=1,AC120,AB121),IF(Параметры!AC$45&lt;&gt;Параметры!AB$45,AC120,AB121),IF(Параметры!AC$50&lt;&gt;Параметры!AB$50,AC120,AB121)))</f>
        <v>1.2162696939595667</v>
      </c>
      <c r="AD121" s="417">
        <f ca="1">IF(AD$2=1,1,CHOOSE($B$8,AD120,IF(Параметры!AD$43=1,AD120,AC121),IF(Параметры!AD$48=1,AD120,AC121),IF(Параметры!AD$45&lt;&gt;Параметры!AC$45,AD120,AC121),IF(Параметры!AD$50&lt;&gt;Параметры!AC$50,AD120,AC121)))</f>
        <v>1.2282157089875798</v>
      </c>
      <c r="AE121" s="417">
        <f ca="1">IF(AE$2=1,1,CHOOSE($B$8,AE120,IF(Параметры!AE$43=1,AE120,AD121),IF(Параметры!AE$48=1,AE120,AD121),IF(Параметры!AE$45&lt;&gt;Параметры!AD$45,AE120,AD121),IF(Параметры!AE$50&lt;&gt;Параметры!AD$50,AE120,AD121)))</f>
        <v>1.2402790559492571</v>
      </c>
      <c r="AF121" s="417">
        <f ca="1">IF(AF$2=1,1,CHOOSE($B$8,AF120,IF(Параметры!AF$43=1,AF120,AE121),IF(Параметры!AF$48=1,AF120,AE121),IF(Параметры!AF$45&lt;&gt;Параметры!AE$45,AF120,AE121),IF(Параметры!AF$50&lt;&gt;Параметры!AE$50,AF120,AE121)))</f>
        <v>1.2524608872609169</v>
      </c>
      <c r="AG121" s="417">
        <f ca="1">IF(AG$2=1,1,CHOOSE($B$8,AG120,IF(Параметры!AG$43=1,AG120,AF121),IF(Параметры!AG$48=1,AG120,AF121),IF(Параметры!AG$45&lt;&gt;Параметры!AF$45,AG120,AF121),IF(Параметры!AG$50&lt;&gt;Параметры!AF$50,AG120,AF121)))</f>
        <v>1.2647623666577346</v>
      </c>
      <c r="AH121" s="417">
        <f ca="1">IF(AH$2=1,1,CHOOSE($B$8,AH120,IF(Параметры!AH$43=1,AH120,AG121),IF(Параметры!AH$48=1,AH120,AG121),IF(Параметры!AH$45&lt;&gt;Параметры!AG$45,AH120,AG121),IF(Параметры!AH$50&lt;&gt;Параметры!AG$50,AH120,AG121)))</f>
        <v>1.2771478212390197</v>
      </c>
      <c r="AI121" s="417">
        <f ca="1">IF(AI$2=1,1,CHOOSE($B$8,AI120,IF(Параметры!AI$43=1,AI120,AH121),IF(Параметры!AI$48=1,AI120,AH121),IF(Параметры!AI$45&lt;&gt;Параметры!AH$45,AI120,AH121),IF(Параметры!AI$50&lt;&gt;Параметры!AH$50,AI120,AH121)))</f>
        <v>1.2896545630195677</v>
      </c>
      <c r="AJ121" s="417">
        <f ca="1">IF(AJ$2=1,1,CHOOSE($B$8,AJ120,IF(Параметры!AJ$43=1,AJ120,AI121),IF(Параметры!AJ$48=1,AJ120,AI121),IF(Параметры!AJ$45&lt;&gt;Параметры!AI$45,AJ120,AI121),IF(Параметры!AJ$50&lt;&gt;Параметры!AI$50,AJ120,AI121)))</f>
        <v>1.3022837797300839</v>
      </c>
      <c r="AK121" s="417">
        <f ca="1">IF(AK$2=1,1,CHOOSE($B$8,AK120,IF(Параметры!AK$43=1,AK120,AJ121),IF(Параметры!AK$48=1,AK120,AJ121),IF(Параметры!AK$45&lt;&gt;Параметры!AJ$45,AK120,AJ121),IF(Параметры!AK$50&lt;&gt;Параметры!AJ$50,AK120,AJ121)))</f>
        <v>1.3150366707323793</v>
      </c>
      <c r="AL121" s="417">
        <f ca="1">IF(AL$2=1,1,CHOOSE($B$8,AL120,IF(Параметры!AL$43=1,AL120,AK121),IF(Параметры!AL$48=1,AL120,AK121),IF(Параметры!AL$45&lt;&gt;Параметры!AK$45,AL120,AK121),IF(Параметры!AL$50&lt;&gt;Параметры!AK$50,AL120,AK121)))</f>
        <v>1.3278761310402869</v>
      </c>
      <c r="AM121" s="417">
        <f ca="1">IF(AM$2=1,1,CHOOSE($B$8,AM120,IF(Параметры!AM$43=1,AM120,AL121),IF(Параметры!AM$48=1,AM120,AL121),IF(Параметры!AM$45&lt;&gt;Параметры!AL$45,AM120,AL121),IF(Параметры!AM$50&lt;&gt;Параметры!AL$50,AM120,AL121)))</f>
        <v>1.3408409503930541</v>
      </c>
      <c r="AN121" s="417">
        <f ca="1">IF(AN$2=1,1,CHOOSE($B$8,AN120,IF(Параметры!AN$43=1,AN120,AM121),IF(Параметры!AN$48=1,AN120,AM121),IF(Параметры!AN$45&lt;&gt;Параметры!AM$45,AN120,AM121),IF(Параметры!AN$50&lt;&gt;Параметры!AM$50,AN120,AM121)))</f>
        <v>1.3539323527432265</v>
      </c>
      <c r="AO121" s="417">
        <f ca="1">IF(AO$2=1,1,CHOOSE($B$8,AO120,IF(Параметры!AO$43=1,AO120,AN121),IF(Параметры!AO$48=1,AO120,AN121),IF(Параметры!AO$45&lt;&gt;Параметры!AN$45,AO120,AN121),IF(Параметры!AO$50&lt;&gt;Параметры!AN$50,AO120,AN121)))</f>
        <v>1.3671515739935032</v>
      </c>
      <c r="AP121" s="417">
        <f ca="1">IF(AP$2=1,1,CHOOSE($B$8,AP120,IF(Параметры!AP$43=1,AP120,AO121),IF(Параметры!AP$48=1,AP120,AO121),IF(Параметры!AP$45&lt;&gt;Параметры!AO$45,AP120,AO121),IF(Параметры!AP$50&lt;&gt;Параметры!AO$50,AP120,AO121)))</f>
        <v>1.380473303824403</v>
      </c>
      <c r="AQ121" s="417">
        <f ca="1">IF(AQ$2=1,1,CHOOSE($B$8,AQ120,IF(Параметры!AQ$43=1,AQ120,AP121),IF(Параметры!AQ$48=1,AQ120,AP121),IF(Параметры!AQ$45&lt;&gt;Параметры!AP$45,AQ120,AP121),IF(Параметры!AQ$50&lt;&gt;Параметры!AP$50,AQ120,AP121)))</f>
        <v>1.3939248425872921</v>
      </c>
      <c r="AR121" s="417">
        <f ca="1">IF(AR$2=1,1,CHOOSE($B$8,AR120,IF(Параметры!AR$43=1,AR120,AQ121),IF(Параметры!AR$48=1,AR120,AQ121),IF(Параметры!AR$45&lt;&gt;Параметры!AQ$45,AR120,AQ121),IF(Параметры!AR$50&lt;&gt;Параметры!AQ$50,AR120,AQ121)))</f>
        <v>1.4075074551598581</v>
      </c>
      <c r="AS121" s="120"/>
      <c r="AT121" s="116"/>
    </row>
    <row r="122" spans="1:46" x14ac:dyDescent="0.2">
      <c r="A122" s="546" t="s">
        <v>773</v>
      </c>
      <c r="B122" s="221" t="s">
        <v>390</v>
      </c>
      <c r="C122" s="286">
        <v>1</v>
      </c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92"/>
    </row>
    <row r="123" spans="1:46" ht="45" x14ac:dyDescent="0.2">
      <c r="A123" s="110" t="s">
        <v>847</v>
      </c>
      <c r="B123" s="545" t="s">
        <v>643</v>
      </c>
      <c r="C123" s="107"/>
      <c r="E123" s="580"/>
      <c r="F123" s="580"/>
      <c r="G123" s="580"/>
      <c r="H123" s="580"/>
      <c r="I123" s="580"/>
      <c r="J123" s="580"/>
      <c r="K123" s="580"/>
      <c r="L123" s="580"/>
      <c r="M123" s="580"/>
      <c r="N123" s="580"/>
      <c r="O123" s="580"/>
      <c r="P123" s="580"/>
      <c r="Q123" s="580"/>
      <c r="R123" s="580"/>
      <c r="S123" s="580"/>
      <c r="T123" s="580"/>
      <c r="U123" s="580"/>
      <c r="V123" s="580"/>
      <c r="W123" s="580"/>
      <c r="X123" s="580"/>
      <c r="Y123" s="580"/>
      <c r="Z123" s="580"/>
      <c r="AA123" s="580"/>
      <c r="AB123" s="580"/>
      <c r="AC123" s="580"/>
      <c r="AD123" s="580"/>
      <c r="AE123" s="580"/>
      <c r="AF123" s="580"/>
      <c r="AG123" s="580"/>
      <c r="AH123" s="580"/>
      <c r="AI123" s="580"/>
      <c r="AJ123" s="580"/>
      <c r="AK123" s="580"/>
      <c r="AL123" s="580"/>
      <c r="AM123" s="580"/>
      <c r="AN123" s="580"/>
      <c r="AO123" s="580"/>
      <c r="AP123" s="580"/>
      <c r="AQ123" s="580"/>
      <c r="AR123" s="580"/>
      <c r="AS123" s="109"/>
      <c r="AT123" s="103"/>
    </row>
    <row r="124" spans="1:46" x14ac:dyDescent="0.2">
      <c r="A124" s="579" t="str">
        <f>A420</f>
        <v>Бизнес-пространство с ЦОД</v>
      </c>
      <c r="B124" s="571">
        <f>ИД!C88/1.2*Графики_УК!$D$399</f>
        <v>0.625</v>
      </c>
      <c r="C124" s="107" t="str">
        <f>$C$128</f>
        <v>тыс. руб.</v>
      </c>
      <c r="E124" s="580">
        <f t="shared" ref="E124:AR124" ca="1" si="47">(E412-E420)*$B124*3</f>
        <v>0</v>
      </c>
      <c r="F124" s="580">
        <f t="shared" ca="1" si="47"/>
        <v>0</v>
      </c>
      <c r="G124" s="580">
        <f t="shared" ca="1" si="47"/>
        <v>0</v>
      </c>
      <c r="H124" s="580">
        <f t="shared" ca="1" si="47"/>
        <v>0</v>
      </c>
      <c r="I124" s="580">
        <f t="shared" ca="1" si="47"/>
        <v>0</v>
      </c>
      <c r="J124" s="580">
        <f t="shared" ca="1" si="47"/>
        <v>0</v>
      </c>
      <c r="K124" s="580">
        <f t="shared" ca="1" si="47"/>
        <v>0</v>
      </c>
      <c r="L124" s="580">
        <f t="shared" ca="1" si="47"/>
        <v>0</v>
      </c>
      <c r="M124" s="580">
        <f t="shared" ca="1" si="47"/>
        <v>0</v>
      </c>
      <c r="N124" s="580">
        <f t="shared" ca="1" si="47"/>
        <v>0</v>
      </c>
      <c r="O124" s="580">
        <f t="shared" ca="1" si="47"/>
        <v>0</v>
      </c>
      <c r="P124" s="580">
        <f t="shared" ca="1" si="47"/>
        <v>0</v>
      </c>
      <c r="Q124" s="580">
        <f t="shared" ca="1" si="47"/>
        <v>0</v>
      </c>
      <c r="R124" s="580">
        <f t="shared" ca="1" si="47"/>
        <v>0</v>
      </c>
      <c r="S124" s="580">
        <f t="shared" ca="1" si="47"/>
        <v>0</v>
      </c>
      <c r="T124" s="580">
        <f t="shared" ca="1" si="47"/>
        <v>0</v>
      </c>
      <c r="U124" s="580">
        <f t="shared" ca="1" si="47"/>
        <v>45684.375</v>
      </c>
      <c r="V124" s="580">
        <f t="shared" ca="1" si="47"/>
        <v>45684.375</v>
      </c>
      <c r="W124" s="580">
        <f t="shared" ca="1" si="47"/>
        <v>45684.375</v>
      </c>
      <c r="X124" s="580">
        <f t="shared" ca="1" si="47"/>
        <v>45684.375</v>
      </c>
      <c r="Y124" s="580">
        <f t="shared" ca="1" si="47"/>
        <v>45684.375</v>
      </c>
      <c r="Z124" s="580">
        <f t="shared" ca="1" si="47"/>
        <v>45684.375</v>
      </c>
      <c r="AA124" s="580">
        <f t="shared" ca="1" si="47"/>
        <v>45684.375</v>
      </c>
      <c r="AB124" s="580">
        <f t="shared" ca="1" si="47"/>
        <v>45684.375</v>
      </c>
      <c r="AC124" s="580">
        <f t="shared" ca="1" si="47"/>
        <v>45684.375</v>
      </c>
      <c r="AD124" s="580">
        <f t="shared" ca="1" si="47"/>
        <v>45684.375</v>
      </c>
      <c r="AE124" s="580">
        <f t="shared" ca="1" si="47"/>
        <v>45684.375</v>
      </c>
      <c r="AF124" s="580">
        <f t="shared" ca="1" si="47"/>
        <v>45684.375</v>
      </c>
      <c r="AG124" s="580">
        <f t="shared" ca="1" si="47"/>
        <v>45684.375</v>
      </c>
      <c r="AH124" s="580">
        <f t="shared" ca="1" si="47"/>
        <v>45684.375</v>
      </c>
      <c r="AI124" s="580">
        <f t="shared" ca="1" si="47"/>
        <v>45684.375</v>
      </c>
      <c r="AJ124" s="580">
        <f t="shared" ca="1" si="47"/>
        <v>45684.375</v>
      </c>
      <c r="AK124" s="580">
        <f t="shared" ca="1" si="47"/>
        <v>45684.375</v>
      </c>
      <c r="AL124" s="580">
        <f t="shared" ca="1" si="47"/>
        <v>45684.375</v>
      </c>
      <c r="AM124" s="580">
        <f t="shared" ca="1" si="47"/>
        <v>45684.375</v>
      </c>
      <c r="AN124" s="580">
        <f t="shared" ca="1" si="47"/>
        <v>45684.375</v>
      </c>
      <c r="AO124" s="580">
        <f t="shared" ca="1" si="47"/>
        <v>0</v>
      </c>
      <c r="AP124" s="580">
        <f t="shared" ca="1" si="47"/>
        <v>0</v>
      </c>
      <c r="AQ124" s="580">
        <f t="shared" ca="1" si="47"/>
        <v>0</v>
      </c>
      <c r="AR124" s="580">
        <f t="shared" ca="1" si="47"/>
        <v>0</v>
      </c>
      <c r="AS124" s="109"/>
      <c r="AT124" s="103">
        <f t="shared" ref="AT124:AT127" ca="1" si="48">SUM(E124:AS124)</f>
        <v>913687.5</v>
      </c>
    </row>
    <row r="125" spans="1:46" x14ac:dyDescent="0.2">
      <c r="A125" s="579" t="str">
        <f>A421</f>
        <v>Корпус В1</v>
      </c>
      <c r="B125" s="571">
        <f>ИД!C89/1.2*Графики_УК!$D$399</f>
        <v>0.70833333333333337</v>
      </c>
      <c r="C125" s="107" t="str">
        <f>$C$128</f>
        <v>тыс. руб.</v>
      </c>
      <c r="E125" s="580">
        <f t="shared" ref="E125:AR125" ca="1" si="49">(E413-E421)*$B125*3</f>
        <v>0</v>
      </c>
      <c r="F125" s="580">
        <f t="shared" ca="1" si="49"/>
        <v>0</v>
      </c>
      <c r="G125" s="580">
        <f t="shared" ca="1" si="49"/>
        <v>0</v>
      </c>
      <c r="H125" s="580">
        <f t="shared" ca="1" si="49"/>
        <v>0</v>
      </c>
      <c r="I125" s="580">
        <f t="shared" ca="1" si="49"/>
        <v>0</v>
      </c>
      <c r="J125" s="580">
        <f t="shared" ca="1" si="49"/>
        <v>0</v>
      </c>
      <c r="K125" s="580">
        <f t="shared" ca="1" si="49"/>
        <v>0</v>
      </c>
      <c r="L125" s="580">
        <f t="shared" ca="1" si="49"/>
        <v>0</v>
      </c>
      <c r="M125" s="580">
        <f t="shared" ca="1" si="49"/>
        <v>0</v>
      </c>
      <c r="N125" s="580">
        <f t="shared" ca="1" si="49"/>
        <v>0</v>
      </c>
      <c r="O125" s="580">
        <f t="shared" ca="1" si="49"/>
        <v>0</v>
      </c>
      <c r="P125" s="580">
        <f t="shared" ca="1" si="49"/>
        <v>0</v>
      </c>
      <c r="Q125" s="580">
        <f t="shared" ca="1" si="49"/>
        <v>7671.25</v>
      </c>
      <c r="R125" s="580">
        <f t="shared" ca="1" si="49"/>
        <v>7671.25</v>
      </c>
      <c r="S125" s="580">
        <f t="shared" ca="1" si="49"/>
        <v>7671.25</v>
      </c>
      <c r="T125" s="580">
        <f t="shared" ca="1" si="49"/>
        <v>7671.25</v>
      </c>
      <c r="U125" s="580">
        <f t="shared" ca="1" si="49"/>
        <v>7671.25</v>
      </c>
      <c r="V125" s="580">
        <f t="shared" ca="1" si="49"/>
        <v>7671.25</v>
      </c>
      <c r="W125" s="580">
        <f t="shared" ca="1" si="49"/>
        <v>7671.25</v>
      </c>
      <c r="X125" s="580">
        <f t="shared" ca="1" si="49"/>
        <v>7671.25</v>
      </c>
      <c r="Y125" s="580">
        <f t="shared" ca="1" si="49"/>
        <v>7671.25</v>
      </c>
      <c r="Z125" s="580">
        <f t="shared" ca="1" si="49"/>
        <v>7671.25</v>
      </c>
      <c r="AA125" s="580">
        <f t="shared" ca="1" si="49"/>
        <v>7671.25</v>
      </c>
      <c r="AB125" s="580">
        <f t="shared" ca="1" si="49"/>
        <v>7671.25</v>
      </c>
      <c r="AC125" s="580">
        <f t="shared" ca="1" si="49"/>
        <v>7671.25</v>
      </c>
      <c r="AD125" s="580">
        <f t="shared" ca="1" si="49"/>
        <v>7671.25</v>
      </c>
      <c r="AE125" s="580">
        <f t="shared" ca="1" si="49"/>
        <v>7671.25</v>
      </c>
      <c r="AF125" s="580">
        <f t="shared" ca="1" si="49"/>
        <v>7671.25</v>
      </c>
      <c r="AG125" s="580">
        <f t="shared" ca="1" si="49"/>
        <v>7671.25</v>
      </c>
      <c r="AH125" s="580">
        <f t="shared" ca="1" si="49"/>
        <v>7671.25</v>
      </c>
      <c r="AI125" s="580">
        <f t="shared" ca="1" si="49"/>
        <v>7671.25</v>
      </c>
      <c r="AJ125" s="580">
        <f t="shared" ca="1" si="49"/>
        <v>7671.25</v>
      </c>
      <c r="AK125" s="580">
        <f t="shared" ca="1" si="49"/>
        <v>0</v>
      </c>
      <c r="AL125" s="580">
        <f t="shared" ca="1" si="49"/>
        <v>0</v>
      </c>
      <c r="AM125" s="580">
        <f t="shared" ca="1" si="49"/>
        <v>0</v>
      </c>
      <c r="AN125" s="580">
        <f t="shared" ca="1" si="49"/>
        <v>0</v>
      </c>
      <c r="AO125" s="580">
        <f t="shared" ca="1" si="49"/>
        <v>0</v>
      </c>
      <c r="AP125" s="580">
        <f t="shared" ca="1" si="49"/>
        <v>0</v>
      </c>
      <c r="AQ125" s="580">
        <f t="shared" ca="1" si="49"/>
        <v>0</v>
      </c>
      <c r="AR125" s="580">
        <f t="shared" ca="1" si="49"/>
        <v>0</v>
      </c>
      <c r="AS125" s="109"/>
      <c r="AT125" s="103">
        <f t="shared" ca="1" si="48"/>
        <v>153425</v>
      </c>
    </row>
    <row r="126" spans="1:46" x14ac:dyDescent="0.2">
      <c r="A126" s="579" t="str">
        <f t="shared" ref="A126:A127" si="50">A423</f>
        <v>Корпус В3</v>
      </c>
      <c r="B126" s="571">
        <f>ИД!C91/1.2*Графики_УК!$D$399</f>
        <v>0.63333333333333341</v>
      </c>
      <c r="C126" s="107" t="str">
        <f>$C$128</f>
        <v>тыс. руб.</v>
      </c>
      <c r="E126" s="580">
        <f t="shared" ref="E126:AR126" ca="1" si="51">(E415-E423)*$B126*3</f>
        <v>0</v>
      </c>
      <c r="F126" s="580">
        <f t="shared" ca="1" si="51"/>
        <v>0</v>
      </c>
      <c r="G126" s="580">
        <f t="shared" ca="1" si="51"/>
        <v>0</v>
      </c>
      <c r="H126" s="580">
        <f t="shared" ca="1" si="51"/>
        <v>0</v>
      </c>
      <c r="I126" s="580">
        <f t="shared" ca="1" si="51"/>
        <v>0</v>
      </c>
      <c r="J126" s="580">
        <f t="shared" ca="1" si="51"/>
        <v>0</v>
      </c>
      <c r="K126" s="580">
        <f t="shared" ca="1" si="51"/>
        <v>0</v>
      </c>
      <c r="L126" s="580">
        <f t="shared" ca="1" si="51"/>
        <v>0</v>
      </c>
      <c r="M126" s="580">
        <f t="shared" ca="1" si="51"/>
        <v>0</v>
      </c>
      <c r="N126" s="580">
        <f t="shared" ca="1" si="51"/>
        <v>0</v>
      </c>
      <c r="O126" s="580">
        <f t="shared" ca="1" si="51"/>
        <v>0</v>
      </c>
      <c r="P126" s="580">
        <f t="shared" ca="1" si="51"/>
        <v>0</v>
      </c>
      <c r="Q126" s="580">
        <f t="shared" ca="1" si="51"/>
        <v>0</v>
      </c>
      <c r="R126" s="580">
        <f t="shared" ca="1" si="51"/>
        <v>0</v>
      </c>
      <c r="S126" s="580">
        <f t="shared" ca="1" si="51"/>
        <v>0</v>
      </c>
      <c r="T126" s="580">
        <f t="shared" ca="1" si="51"/>
        <v>0</v>
      </c>
      <c r="U126" s="580">
        <f t="shared" ca="1" si="51"/>
        <v>16397</v>
      </c>
      <c r="V126" s="580">
        <f t="shared" ca="1" si="51"/>
        <v>16397</v>
      </c>
      <c r="W126" s="580">
        <f t="shared" ca="1" si="51"/>
        <v>16397</v>
      </c>
      <c r="X126" s="580">
        <f t="shared" ca="1" si="51"/>
        <v>16397</v>
      </c>
      <c r="Y126" s="580">
        <f t="shared" ca="1" si="51"/>
        <v>16397</v>
      </c>
      <c r="Z126" s="580">
        <f t="shared" ca="1" si="51"/>
        <v>16397</v>
      </c>
      <c r="AA126" s="580">
        <f t="shared" ca="1" si="51"/>
        <v>16397</v>
      </c>
      <c r="AB126" s="580">
        <f t="shared" ca="1" si="51"/>
        <v>16397</v>
      </c>
      <c r="AC126" s="580">
        <f t="shared" ca="1" si="51"/>
        <v>16397</v>
      </c>
      <c r="AD126" s="580">
        <f t="shared" ca="1" si="51"/>
        <v>16397</v>
      </c>
      <c r="AE126" s="580">
        <f t="shared" ca="1" si="51"/>
        <v>16397</v>
      </c>
      <c r="AF126" s="580">
        <f t="shared" ca="1" si="51"/>
        <v>16397</v>
      </c>
      <c r="AG126" s="580">
        <f t="shared" ca="1" si="51"/>
        <v>16397</v>
      </c>
      <c r="AH126" s="580">
        <f t="shared" ca="1" si="51"/>
        <v>16397</v>
      </c>
      <c r="AI126" s="580">
        <f t="shared" ca="1" si="51"/>
        <v>16397</v>
      </c>
      <c r="AJ126" s="580">
        <f t="shared" ca="1" si="51"/>
        <v>16397</v>
      </c>
      <c r="AK126" s="580">
        <f t="shared" ca="1" si="51"/>
        <v>16397</v>
      </c>
      <c r="AL126" s="580">
        <f t="shared" ca="1" si="51"/>
        <v>16397</v>
      </c>
      <c r="AM126" s="580">
        <f t="shared" ca="1" si="51"/>
        <v>16397</v>
      </c>
      <c r="AN126" s="580">
        <f t="shared" ca="1" si="51"/>
        <v>16397</v>
      </c>
      <c r="AO126" s="580">
        <f t="shared" ca="1" si="51"/>
        <v>0</v>
      </c>
      <c r="AP126" s="580">
        <f t="shared" ca="1" si="51"/>
        <v>0</v>
      </c>
      <c r="AQ126" s="580">
        <f t="shared" ca="1" si="51"/>
        <v>0</v>
      </c>
      <c r="AR126" s="580">
        <f t="shared" ca="1" si="51"/>
        <v>0</v>
      </c>
      <c r="AS126" s="109"/>
      <c r="AT126" s="103">
        <f t="shared" ca="1" si="48"/>
        <v>327940</v>
      </c>
    </row>
    <row r="127" spans="1:46" x14ac:dyDescent="0.2">
      <c r="A127" s="579" t="str">
        <f t="shared" si="50"/>
        <v>Объект II очереди</v>
      </c>
      <c r="B127" s="571">
        <f>ИД!C92/1.2*Графики_УК!$D$399</f>
        <v>0.58333333333333337</v>
      </c>
      <c r="C127" s="107" t="str">
        <f>$C$128</f>
        <v>тыс. руб.</v>
      </c>
      <c r="E127" s="580">
        <f t="shared" ref="E127:AR127" ca="1" si="52">(E416-E424)*$B127*3</f>
        <v>0</v>
      </c>
      <c r="F127" s="580">
        <f t="shared" ca="1" si="52"/>
        <v>0</v>
      </c>
      <c r="G127" s="580">
        <f t="shared" ca="1" si="52"/>
        <v>0</v>
      </c>
      <c r="H127" s="580">
        <f t="shared" ca="1" si="52"/>
        <v>0</v>
      </c>
      <c r="I127" s="580">
        <f t="shared" ca="1" si="52"/>
        <v>0</v>
      </c>
      <c r="J127" s="580">
        <f t="shared" ca="1" si="52"/>
        <v>0</v>
      </c>
      <c r="K127" s="580">
        <f t="shared" ca="1" si="52"/>
        <v>0</v>
      </c>
      <c r="L127" s="580">
        <f t="shared" ca="1" si="52"/>
        <v>0</v>
      </c>
      <c r="M127" s="580">
        <f t="shared" ca="1" si="52"/>
        <v>0</v>
      </c>
      <c r="N127" s="580">
        <f t="shared" ca="1" si="52"/>
        <v>0</v>
      </c>
      <c r="O127" s="580">
        <f t="shared" ca="1" si="52"/>
        <v>0</v>
      </c>
      <c r="P127" s="580">
        <f t="shared" ca="1" si="52"/>
        <v>0</v>
      </c>
      <c r="Q127" s="580">
        <f t="shared" ca="1" si="52"/>
        <v>0</v>
      </c>
      <c r="R127" s="580">
        <f t="shared" ca="1" si="52"/>
        <v>0</v>
      </c>
      <c r="S127" s="580">
        <f t="shared" ca="1" si="52"/>
        <v>0</v>
      </c>
      <c r="T127" s="580">
        <f t="shared" ca="1" si="52"/>
        <v>0</v>
      </c>
      <c r="U127" s="580">
        <f t="shared" ca="1" si="52"/>
        <v>38946.25</v>
      </c>
      <c r="V127" s="580">
        <f t="shared" ca="1" si="52"/>
        <v>38946.25</v>
      </c>
      <c r="W127" s="580">
        <f t="shared" ca="1" si="52"/>
        <v>38946.25</v>
      </c>
      <c r="X127" s="580">
        <f t="shared" ca="1" si="52"/>
        <v>38946.25</v>
      </c>
      <c r="Y127" s="580">
        <f t="shared" ca="1" si="52"/>
        <v>38946.25</v>
      </c>
      <c r="Z127" s="580">
        <f t="shared" ca="1" si="52"/>
        <v>38946.25</v>
      </c>
      <c r="AA127" s="580">
        <f t="shared" ca="1" si="52"/>
        <v>38946.25</v>
      </c>
      <c r="AB127" s="580">
        <f t="shared" ca="1" si="52"/>
        <v>38946.25</v>
      </c>
      <c r="AC127" s="580">
        <f t="shared" ca="1" si="52"/>
        <v>38946.25</v>
      </c>
      <c r="AD127" s="580">
        <f t="shared" ca="1" si="52"/>
        <v>38946.25</v>
      </c>
      <c r="AE127" s="580">
        <f t="shared" ca="1" si="52"/>
        <v>38946.25</v>
      </c>
      <c r="AF127" s="580">
        <f t="shared" ca="1" si="52"/>
        <v>38946.25</v>
      </c>
      <c r="AG127" s="580">
        <f t="shared" ca="1" si="52"/>
        <v>38946.25</v>
      </c>
      <c r="AH127" s="580">
        <f t="shared" ca="1" si="52"/>
        <v>38946.25</v>
      </c>
      <c r="AI127" s="580">
        <f t="shared" ca="1" si="52"/>
        <v>38946.25</v>
      </c>
      <c r="AJ127" s="580">
        <f t="shared" ca="1" si="52"/>
        <v>38946.25</v>
      </c>
      <c r="AK127" s="580">
        <f t="shared" ca="1" si="52"/>
        <v>38946.25</v>
      </c>
      <c r="AL127" s="580">
        <f t="shared" ca="1" si="52"/>
        <v>38946.25</v>
      </c>
      <c r="AM127" s="580">
        <f t="shared" ca="1" si="52"/>
        <v>38946.25</v>
      </c>
      <c r="AN127" s="580">
        <f t="shared" ca="1" si="52"/>
        <v>38946.25</v>
      </c>
      <c r="AO127" s="580">
        <f t="shared" ca="1" si="52"/>
        <v>0</v>
      </c>
      <c r="AP127" s="580">
        <f t="shared" ca="1" si="52"/>
        <v>0</v>
      </c>
      <c r="AQ127" s="580">
        <f t="shared" ca="1" si="52"/>
        <v>0</v>
      </c>
      <c r="AR127" s="580">
        <f t="shared" ca="1" si="52"/>
        <v>0</v>
      </c>
      <c r="AS127" s="109"/>
      <c r="AT127" s="103">
        <f t="shared" ca="1" si="48"/>
        <v>778925</v>
      </c>
    </row>
    <row r="128" spans="1:46" x14ac:dyDescent="0.2">
      <c r="A128" s="106" t="s">
        <v>790</v>
      </c>
      <c r="B128" s="107"/>
      <c r="C128" s="3" t="str">
        <f>CHOOSE(C122,Параметры!$B$64,Параметры!$B$108,Параметры!$B$117)</f>
        <v>тыс. руб.</v>
      </c>
      <c r="E128" s="348">
        <f ca="1">SUM(E124:E127)</f>
        <v>0</v>
      </c>
      <c r="F128" s="348">
        <f t="shared" ref="F128:AR128" ca="1" si="53">SUM(F124:F127)</f>
        <v>0</v>
      </c>
      <c r="G128" s="348">
        <f t="shared" ca="1" si="53"/>
        <v>0</v>
      </c>
      <c r="H128" s="348">
        <f t="shared" ca="1" si="53"/>
        <v>0</v>
      </c>
      <c r="I128" s="348">
        <f t="shared" ca="1" si="53"/>
        <v>0</v>
      </c>
      <c r="J128" s="348">
        <f t="shared" ca="1" si="53"/>
        <v>0</v>
      </c>
      <c r="K128" s="348">
        <f t="shared" ca="1" si="53"/>
        <v>0</v>
      </c>
      <c r="L128" s="348">
        <f t="shared" ca="1" si="53"/>
        <v>0</v>
      </c>
      <c r="M128" s="348">
        <f t="shared" ca="1" si="53"/>
        <v>0</v>
      </c>
      <c r="N128" s="348">
        <f t="shared" ca="1" si="53"/>
        <v>0</v>
      </c>
      <c r="O128" s="348">
        <f t="shared" ca="1" si="53"/>
        <v>0</v>
      </c>
      <c r="P128" s="348">
        <f t="shared" ca="1" si="53"/>
        <v>0</v>
      </c>
      <c r="Q128" s="348">
        <f t="shared" ca="1" si="53"/>
        <v>7671.25</v>
      </c>
      <c r="R128" s="348">
        <f t="shared" ca="1" si="53"/>
        <v>7671.25</v>
      </c>
      <c r="S128" s="348">
        <f t="shared" ca="1" si="53"/>
        <v>7671.25</v>
      </c>
      <c r="T128" s="348">
        <f t="shared" ca="1" si="53"/>
        <v>7671.25</v>
      </c>
      <c r="U128" s="348">
        <f t="shared" ca="1" si="53"/>
        <v>108698.875</v>
      </c>
      <c r="V128" s="348">
        <f t="shared" ca="1" si="53"/>
        <v>108698.875</v>
      </c>
      <c r="W128" s="348">
        <f t="shared" ca="1" si="53"/>
        <v>108698.875</v>
      </c>
      <c r="X128" s="348">
        <f t="shared" ca="1" si="53"/>
        <v>108698.875</v>
      </c>
      <c r="Y128" s="348">
        <f t="shared" ca="1" si="53"/>
        <v>108698.875</v>
      </c>
      <c r="Z128" s="348">
        <f t="shared" ca="1" si="53"/>
        <v>108698.875</v>
      </c>
      <c r="AA128" s="348">
        <f t="shared" ca="1" si="53"/>
        <v>108698.875</v>
      </c>
      <c r="AB128" s="348">
        <f t="shared" ca="1" si="53"/>
        <v>108698.875</v>
      </c>
      <c r="AC128" s="348">
        <f t="shared" ca="1" si="53"/>
        <v>108698.875</v>
      </c>
      <c r="AD128" s="348">
        <f t="shared" ca="1" si="53"/>
        <v>108698.875</v>
      </c>
      <c r="AE128" s="348">
        <f t="shared" ca="1" si="53"/>
        <v>108698.875</v>
      </c>
      <c r="AF128" s="348">
        <f t="shared" ca="1" si="53"/>
        <v>108698.875</v>
      </c>
      <c r="AG128" s="348">
        <f t="shared" ca="1" si="53"/>
        <v>108698.875</v>
      </c>
      <c r="AH128" s="348">
        <f t="shared" ca="1" si="53"/>
        <v>108698.875</v>
      </c>
      <c r="AI128" s="348">
        <f t="shared" ca="1" si="53"/>
        <v>108698.875</v>
      </c>
      <c r="AJ128" s="348">
        <f t="shared" ca="1" si="53"/>
        <v>108698.875</v>
      </c>
      <c r="AK128" s="348">
        <f t="shared" ca="1" si="53"/>
        <v>101027.625</v>
      </c>
      <c r="AL128" s="348">
        <f t="shared" ca="1" si="53"/>
        <v>101027.625</v>
      </c>
      <c r="AM128" s="348">
        <f t="shared" ca="1" si="53"/>
        <v>101027.625</v>
      </c>
      <c r="AN128" s="348">
        <f t="shared" ca="1" si="53"/>
        <v>101027.625</v>
      </c>
      <c r="AO128" s="348">
        <f t="shared" ca="1" si="53"/>
        <v>0</v>
      </c>
      <c r="AP128" s="348">
        <f t="shared" ca="1" si="53"/>
        <v>0</v>
      </c>
      <c r="AQ128" s="348">
        <f t="shared" ca="1" si="53"/>
        <v>0</v>
      </c>
      <c r="AR128" s="348">
        <f t="shared" ca="1" si="53"/>
        <v>0</v>
      </c>
      <c r="AS128" s="90"/>
      <c r="AT128" s="30">
        <f ca="1">SUM(E128:AS128)</f>
        <v>2173977.5</v>
      </c>
    </row>
    <row r="129" spans="1:46" collapsed="1" x14ac:dyDescent="0.2">
      <c r="A129" s="106" t="s">
        <v>791</v>
      </c>
      <c r="B129" s="9"/>
      <c r="C129" s="3" t="str">
        <f>CHOOSE(C122,Параметры!$B$64,Параметры!$B$108,Параметры!$B$117)</f>
        <v>тыс. руб.</v>
      </c>
      <c r="E129" s="111">
        <f t="shared" ref="E129:AR129" ca="1" si="54">E128*E135</f>
        <v>0</v>
      </c>
      <c r="F129" s="111">
        <f t="shared" ca="1" si="54"/>
        <v>0</v>
      </c>
      <c r="G129" s="111">
        <f t="shared" ca="1" si="54"/>
        <v>0</v>
      </c>
      <c r="H129" s="111">
        <f t="shared" ca="1" si="54"/>
        <v>0</v>
      </c>
      <c r="I129" s="111">
        <f t="shared" ca="1" si="54"/>
        <v>0</v>
      </c>
      <c r="J129" s="111">
        <f t="shared" ca="1" si="54"/>
        <v>0</v>
      </c>
      <c r="K129" s="111">
        <f t="shared" ca="1" si="54"/>
        <v>0</v>
      </c>
      <c r="L129" s="111">
        <f t="shared" ca="1" si="54"/>
        <v>0</v>
      </c>
      <c r="M129" s="111">
        <f t="shared" ca="1" si="54"/>
        <v>0</v>
      </c>
      <c r="N129" s="111">
        <f t="shared" ca="1" si="54"/>
        <v>0</v>
      </c>
      <c r="O129" s="111">
        <f t="shared" ca="1" si="54"/>
        <v>0</v>
      </c>
      <c r="P129" s="111">
        <f t="shared" ca="1" si="54"/>
        <v>0</v>
      </c>
      <c r="Q129" s="111">
        <f t="shared" ca="1" si="54"/>
        <v>8470.7247674775044</v>
      </c>
      <c r="R129" s="111">
        <f t="shared" ca="1" si="54"/>
        <v>8573.1832841906744</v>
      </c>
      <c r="S129" s="111">
        <f t="shared" ca="1" si="54"/>
        <v>8676.8810983589301</v>
      </c>
      <c r="T129" s="111">
        <f t="shared" ca="1" si="54"/>
        <v>8781.8332000312312</v>
      </c>
      <c r="U129" s="111">
        <f t="shared" ca="1" si="54"/>
        <v>125940.56423821105</v>
      </c>
      <c r="V129" s="111">
        <f t="shared" ca="1" si="54"/>
        <v>127403.2839407735</v>
      </c>
      <c r="W129" s="111">
        <f t="shared" ca="1" si="54"/>
        <v>128882.99220410037</v>
      </c>
      <c r="X129" s="111">
        <f t="shared" ca="1" si="54"/>
        <v>130379.88633954005</v>
      </c>
      <c r="Y129" s="111">
        <f t="shared" ca="1" si="54"/>
        <v>131894.16595008699</v>
      </c>
      <c r="Z129" s="111">
        <f t="shared" ca="1" si="54"/>
        <v>133383.62572012321</v>
      </c>
      <c r="AA129" s="111">
        <f t="shared" ca="1" si="54"/>
        <v>134889.90572167287</v>
      </c>
      <c r="AB129" s="111">
        <f t="shared" ca="1" si="54"/>
        <v>136413.19590292653</v>
      </c>
      <c r="AC129" s="111">
        <f t="shared" ca="1" si="54"/>
        <v>137953.68835712931</v>
      </c>
      <c r="AD129" s="111">
        <f t="shared" ca="1" si="54"/>
        <v>139516.30791524966</v>
      </c>
      <c r="AE129" s="111">
        <f t="shared" ca="1" si="54"/>
        <v>141096.62747046686</v>
      </c>
      <c r="AF129" s="111">
        <f t="shared" ca="1" si="54"/>
        <v>142694.8475129742</v>
      </c>
      <c r="AG129" s="111">
        <f t="shared" ca="1" si="54"/>
        <v>144311.17080394371</v>
      </c>
      <c r="AH129" s="111">
        <f t="shared" ca="1" si="54"/>
        <v>145944.60411419187</v>
      </c>
      <c r="AI129" s="111">
        <f t="shared" ca="1" si="54"/>
        <v>147596.52597500867</v>
      </c>
      <c r="AJ129" s="111">
        <f t="shared" ca="1" si="54"/>
        <v>149267.14565511662</v>
      </c>
      <c r="AK129" s="111">
        <f t="shared" ca="1" si="54"/>
        <v>140303.1478672114</v>
      </c>
      <c r="AL129" s="111">
        <f t="shared" ca="1" si="54"/>
        <v>141894.76050450071</v>
      </c>
      <c r="AM129" s="111">
        <f t="shared" ca="1" si="54"/>
        <v>143504.42855127787</v>
      </c>
      <c r="AN129" s="111">
        <f t="shared" ca="1" si="54"/>
        <v>145132.35682987471</v>
      </c>
      <c r="AO129" s="111">
        <f t="shared" ca="1" si="54"/>
        <v>0</v>
      </c>
      <c r="AP129" s="111">
        <f t="shared" ca="1" si="54"/>
        <v>0</v>
      </c>
      <c r="AQ129" s="111">
        <f t="shared" ca="1" si="54"/>
        <v>0</v>
      </c>
      <c r="AR129" s="111">
        <f t="shared" ca="1" si="54"/>
        <v>0</v>
      </c>
      <c r="AS129" s="112"/>
      <c r="AT129" s="113">
        <f ca="1">SUM(E129:AS129)</f>
        <v>2802905.8539244388</v>
      </c>
    </row>
    <row r="130" spans="1:46" outlineLevel="1" x14ac:dyDescent="0.2">
      <c r="A130" s="114" t="s">
        <v>235</v>
      </c>
      <c r="B130" s="16"/>
      <c r="C130" s="21" t="str">
        <f>CHOOSE(C122,Параметры!$B$64,Параметры!$B$108,Параметры!$B$117)</f>
        <v>тыс. руб.</v>
      </c>
      <c r="E130" s="115">
        <f t="shared" ref="E130:AR130" ca="1" si="55">E129+E132-IF(E$2=1,0,0)+IF(E$2=1,0,0)</f>
        <v>0</v>
      </c>
      <c r="F130" s="115">
        <f t="shared" ca="1" si="55"/>
        <v>0</v>
      </c>
      <c r="G130" s="115">
        <f t="shared" ca="1" si="55"/>
        <v>0</v>
      </c>
      <c r="H130" s="115">
        <f t="shared" ca="1" si="55"/>
        <v>0</v>
      </c>
      <c r="I130" s="115">
        <f t="shared" ca="1" si="55"/>
        <v>0</v>
      </c>
      <c r="J130" s="115">
        <f t="shared" ca="1" si="55"/>
        <v>0</v>
      </c>
      <c r="K130" s="115">
        <f t="shared" ca="1" si="55"/>
        <v>0</v>
      </c>
      <c r="L130" s="115">
        <f t="shared" ca="1" si="55"/>
        <v>0</v>
      </c>
      <c r="M130" s="115">
        <f t="shared" ca="1" si="55"/>
        <v>0</v>
      </c>
      <c r="N130" s="115">
        <f t="shared" ca="1" si="55"/>
        <v>0</v>
      </c>
      <c r="O130" s="115">
        <f t="shared" ca="1" si="55"/>
        <v>0</v>
      </c>
      <c r="P130" s="115">
        <f t="shared" ca="1" si="55"/>
        <v>0</v>
      </c>
      <c r="Q130" s="115">
        <f t="shared" ca="1" si="55"/>
        <v>10164.869720973005</v>
      </c>
      <c r="R130" s="115">
        <f t="shared" ca="1" si="55"/>
        <v>10287.819941028809</v>
      </c>
      <c r="S130" s="115">
        <f t="shared" ca="1" si="55"/>
        <v>10412.257318030715</v>
      </c>
      <c r="T130" s="115">
        <f t="shared" ca="1" si="55"/>
        <v>10538.199840037478</v>
      </c>
      <c r="U130" s="115">
        <f t="shared" ca="1" si="55"/>
        <v>151128.67708585327</v>
      </c>
      <c r="V130" s="115">
        <f t="shared" ca="1" si="55"/>
        <v>152883.9407289282</v>
      </c>
      <c r="W130" s="115">
        <f t="shared" ca="1" si="55"/>
        <v>154659.59064492045</v>
      </c>
      <c r="X130" s="115">
        <f t="shared" ca="1" si="55"/>
        <v>156455.86360744806</v>
      </c>
      <c r="Y130" s="115">
        <f t="shared" ca="1" si="55"/>
        <v>158272.9991401044</v>
      </c>
      <c r="Z130" s="115">
        <f t="shared" ca="1" si="55"/>
        <v>160060.35086414785</v>
      </c>
      <c r="AA130" s="115">
        <f t="shared" ca="1" si="55"/>
        <v>161867.88686600744</v>
      </c>
      <c r="AB130" s="115">
        <f t="shared" ca="1" si="55"/>
        <v>163695.83508351183</v>
      </c>
      <c r="AC130" s="115">
        <f t="shared" ca="1" si="55"/>
        <v>165544.42602855517</v>
      </c>
      <c r="AD130" s="115">
        <f t="shared" ca="1" si="55"/>
        <v>167419.56949829959</v>
      </c>
      <c r="AE130" s="115">
        <f t="shared" ca="1" si="55"/>
        <v>169315.95296456025</v>
      </c>
      <c r="AF130" s="115">
        <f t="shared" ca="1" si="55"/>
        <v>171233.81701556905</v>
      </c>
      <c r="AG130" s="115">
        <f t="shared" ca="1" si="55"/>
        <v>173173.40496473244</v>
      </c>
      <c r="AH130" s="115">
        <f t="shared" ca="1" si="55"/>
        <v>175133.52493703025</v>
      </c>
      <c r="AI130" s="115">
        <f t="shared" ca="1" si="55"/>
        <v>177115.83117001041</v>
      </c>
      <c r="AJ130" s="115">
        <f t="shared" ca="1" si="55"/>
        <v>179120.57478613994</v>
      </c>
      <c r="AK130" s="115">
        <f t="shared" ca="1" si="55"/>
        <v>168363.77744065368</v>
      </c>
      <c r="AL130" s="115">
        <f t="shared" ca="1" si="55"/>
        <v>170273.71260540085</v>
      </c>
      <c r="AM130" s="115">
        <f t="shared" ca="1" si="55"/>
        <v>172205.31426153344</v>
      </c>
      <c r="AN130" s="115">
        <f t="shared" ca="1" si="55"/>
        <v>174158.82819584967</v>
      </c>
      <c r="AO130" s="115">
        <f t="shared" ca="1" si="55"/>
        <v>0</v>
      </c>
      <c r="AP130" s="115">
        <f t="shared" ca="1" si="55"/>
        <v>0</v>
      </c>
      <c r="AQ130" s="115">
        <f t="shared" ca="1" si="55"/>
        <v>0</v>
      </c>
      <c r="AR130" s="115">
        <f t="shared" ca="1" si="55"/>
        <v>0</v>
      </c>
      <c r="AS130" s="115"/>
      <c r="AT130" s="103">
        <f ca="1">SUM(E130:AS130)</f>
        <v>3363487.0247093262</v>
      </c>
    </row>
    <row r="131" spans="1:46" outlineLevel="1" x14ac:dyDescent="0.2">
      <c r="A131" s="114" t="s">
        <v>52</v>
      </c>
      <c r="B131" s="24"/>
      <c r="C131" s="2" t="s">
        <v>1</v>
      </c>
      <c r="E131" s="359">
        <f>Параметры!E$136</f>
        <v>0.2</v>
      </c>
      <c r="F131" s="359">
        <f>Параметры!F$136</f>
        <v>0.2</v>
      </c>
      <c r="G131" s="359">
        <f>Параметры!G$136</f>
        <v>0.2</v>
      </c>
      <c r="H131" s="359">
        <f>Параметры!H$136</f>
        <v>0.2</v>
      </c>
      <c r="I131" s="359">
        <f>Параметры!I$136</f>
        <v>0.2</v>
      </c>
      <c r="J131" s="359">
        <f>Параметры!J$136</f>
        <v>0.2</v>
      </c>
      <c r="K131" s="359">
        <f>Параметры!K$136</f>
        <v>0.2</v>
      </c>
      <c r="L131" s="359">
        <f>Параметры!L$136</f>
        <v>0.2</v>
      </c>
      <c r="M131" s="359">
        <f>Параметры!M$136</f>
        <v>0.2</v>
      </c>
      <c r="N131" s="359">
        <f>Параметры!N$136</f>
        <v>0.2</v>
      </c>
      <c r="O131" s="359">
        <f>Параметры!O$136</f>
        <v>0.2</v>
      </c>
      <c r="P131" s="359">
        <f>Параметры!P$136</f>
        <v>0.2</v>
      </c>
      <c r="Q131" s="359">
        <f>Параметры!Q$136</f>
        <v>0.2</v>
      </c>
      <c r="R131" s="359">
        <f>Параметры!R$136</f>
        <v>0.2</v>
      </c>
      <c r="S131" s="359">
        <f>Параметры!S$136</f>
        <v>0.2</v>
      </c>
      <c r="T131" s="359">
        <f>Параметры!T$136</f>
        <v>0.2</v>
      </c>
      <c r="U131" s="359">
        <f>Параметры!U$136</f>
        <v>0.2</v>
      </c>
      <c r="V131" s="359">
        <f>Параметры!V$136</f>
        <v>0.2</v>
      </c>
      <c r="W131" s="359">
        <f>Параметры!W$136</f>
        <v>0.2</v>
      </c>
      <c r="X131" s="359">
        <f>Параметры!X$136</f>
        <v>0.2</v>
      </c>
      <c r="Y131" s="359">
        <f>Параметры!Y$136</f>
        <v>0.2</v>
      </c>
      <c r="Z131" s="359">
        <f>Параметры!Z$136</f>
        <v>0.2</v>
      </c>
      <c r="AA131" s="359">
        <f>Параметры!AA$136</f>
        <v>0.2</v>
      </c>
      <c r="AB131" s="359">
        <f>Параметры!AB$136</f>
        <v>0.2</v>
      </c>
      <c r="AC131" s="359">
        <f>Параметры!AC$136</f>
        <v>0.2</v>
      </c>
      <c r="AD131" s="359">
        <f>Параметры!AD$136</f>
        <v>0.2</v>
      </c>
      <c r="AE131" s="359">
        <f>Параметры!AE$136</f>
        <v>0.2</v>
      </c>
      <c r="AF131" s="359">
        <f>Параметры!AF$136</f>
        <v>0.2</v>
      </c>
      <c r="AG131" s="359">
        <f>Параметры!AG$136</f>
        <v>0.2</v>
      </c>
      <c r="AH131" s="359">
        <f>Параметры!AH$136</f>
        <v>0.2</v>
      </c>
      <c r="AI131" s="359">
        <f>Параметры!AI$136</f>
        <v>0.2</v>
      </c>
      <c r="AJ131" s="359">
        <f>Параметры!AJ$136</f>
        <v>0.2</v>
      </c>
      <c r="AK131" s="359">
        <f>Параметры!AK$136</f>
        <v>0.2</v>
      </c>
      <c r="AL131" s="359">
        <f>Параметры!AL$136</f>
        <v>0.2</v>
      </c>
      <c r="AM131" s="359">
        <f>Параметры!AM$136</f>
        <v>0.2</v>
      </c>
      <c r="AN131" s="359">
        <f>Параметры!AN$136</f>
        <v>0.2</v>
      </c>
      <c r="AO131" s="359">
        <f>Параметры!AO$136</f>
        <v>0.2</v>
      </c>
      <c r="AP131" s="359">
        <f>Параметры!AP$136</f>
        <v>0.2</v>
      </c>
      <c r="AQ131" s="359">
        <f>Параметры!AQ$136</f>
        <v>0.2</v>
      </c>
      <c r="AR131" s="359">
        <f>Параметры!AR$136</f>
        <v>0.2</v>
      </c>
      <c r="AS131" s="118"/>
      <c r="AT131" s="116"/>
    </row>
    <row r="132" spans="1:46" outlineLevel="1" x14ac:dyDescent="0.2">
      <c r="A132" s="114" t="s">
        <v>64</v>
      </c>
      <c r="B132" s="2"/>
      <c r="C132" s="2" t="str">
        <f>CHOOSE(C122,Параметры!$B$64,Параметры!$B$108,Параметры!$B$117)</f>
        <v>тыс. руб.</v>
      </c>
      <c r="E132" s="121">
        <f t="shared" ref="E132:AR132" ca="1" si="56">(E129)*E131</f>
        <v>0</v>
      </c>
      <c r="F132" s="121">
        <f t="shared" ca="1" si="56"/>
        <v>0</v>
      </c>
      <c r="G132" s="121">
        <f t="shared" ca="1" si="56"/>
        <v>0</v>
      </c>
      <c r="H132" s="121">
        <f t="shared" ca="1" si="56"/>
        <v>0</v>
      </c>
      <c r="I132" s="121">
        <f t="shared" ca="1" si="56"/>
        <v>0</v>
      </c>
      <c r="J132" s="121">
        <f t="shared" ca="1" si="56"/>
        <v>0</v>
      </c>
      <c r="K132" s="121">
        <f t="shared" ca="1" si="56"/>
        <v>0</v>
      </c>
      <c r="L132" s="121">
        <f t="shared" ca="1" si="56"/>
        <v>0</v>
      </c>
      <c r="M132" s="121">
        <f t="shared" ca="1" si="56"/>
        <v>0</v>
      </c>
      <c r="N132" s="121">
        <f t="shared" ca="1" si="56"/>
        <v>0</v>
      </c>
      <c r="O132" s="121">
        <f t="shared" ca="1" si="56"/>
        <v>0</v>
      </c>
      <c r="P132" s="121">
        <f t="shared" ca="1" si="56"/>
        <v>0</v>
      </c>
      <c r="Q132" s="121">
        <f t="shared" ca="1" si="56"/>
        <v>1694.1449534955009</v>
      </c>
      <c r="R132" s="121">
        <f t="shared" ca="1" si="56"/>
        <v>1714.636656838135</v>
      </c>
      <c r="S132" s="121">
        <f t="shared" ca="1" si="56"/>
        <v>1735.3762196717862</v>
      </c>
      <c r="T132" s="121">
        <f t="shared" ca="1" si="56"/>
        <v>1756.3666400062464</v>
      </c>
      <c r="U132" s="121">
        <f t="shared" ca="1" si="56"/>
        <v>25188.112847642213</v>
      </c>
      <c r="V132" s="121">
        <f t="shared" ca="1" si="56"/>
        <v>25480.656788154702</v>
      </c>
      <c r="W132" s="121">
        <f t="shared" ca="1" si="56"/>
        <v>25776.598440820075</v>
      </c>
      <c r="X132" s="121">
        <f t="shared" ca="1" si="56"/>
        <v>26075.977267908012</v>
      </c>
      <c r="Y132" s="121">
        <f t="shared" ca="1" si="56"/>
        <v>26378.833190017398</v>
      </c>
      <c r="Z132" s="121">
        <f t="shared" ca="1" si="56"/>
        <v>26676.725144024644</v>
      </c>
      <c r="AA132" s="121">
        <f t="shared" ca="1" si="56"/>
        <v>26977.981144334575</v>
      </c>
      <c r="AB132" s="121">
        <f t="shared" ca="1" si="56"/>
        <v>27282.639180585305</v>
      </c>
      <c r="AC132" s="121">
        <f t="shared" ca="1" si="56"/>
        <v>27590.737671425864</v>
      </c>
      <c r="AD132" s="121">
        <f t="shared" ca="1" si="56"/>
        <v>27903.261583049934</v>
      </c>
      <c r="AE132" s="121">
        <f t="shared" ca="1" si="56"/>
        <v>28219.325494093373</v>
      </c>
      <c r="AF132" s="121">
        <f t="shared" ca="1" si="56"/>
        <v>28538.969502594842</v>
      </c>
      <c r="AG132" s="121">
        <f t="shared" ca="1" si="56"/>
        <v>28862.234160788743</v>
      </c>
      <c r="AH132" s="121">
        <f t="shared" ca="1" si="56"/>
        <v>29188.920822838376</v>
      </c>
      <c r="AI132" s="121">
        <f t="shared" ca="1" si="56"/>
        <v>29519.305195001736</v>
      </c>
      <c r="AJ132" s="121">
        <f t="shared" ca="1" si="56"/>
        <v>29853.429131023324</v>
      </c>
      <c r="AK132" s="121">
        <f t="shared" ca="1" si="56"/>
        <v>28060.629573442282</v>
      </c>
      <c r="AL132" s="121">
        <f t="shared" ca="1" si="56"/>
        <v>28378.952100900144</v>
      </c>
      <c r="AM132" s="121">
        <f t="shared" ca="1" si="56"/>
        <v>28700.885710255578</v>
      </c>
      <c r="AN132" s="121">
        <f t="shared" ca="1" si="56"/>
        <v>29026.471365974943</v>
      </c>
      <c r="AO132" s="121">
        <f t="shared" ca="1" si="56"/>
        <v>0</v>
      </c>
      <c r="AP132" s="121">
        <f t="shared" ca="1" si="56"/>
        <v>0</v>
      </c>
      <c r="AQ132" s="121">
        <f t="shared" ca="1" si="56"/>
        <v>0</v>
      </c>
      <c r="AR132" s="121">
        <f t="shared" ca="1" si="56"/>
        <v>0</v>
      </c>
      <c r="AS132" s="115"/>
      <c r="AT132" s="103">
        <f ca="1">SUM(E132:AS132)</f>
        <v>560581.17078488774</v>
      </c>
    </row>
    <row r="133" spans="1:46" outlineLevel="1" x14ac:dyDescent="0.2">
      <c r="A133" s="419" t="str">
        <f>Параметры!$A$101</f>
        <v>Изменение цен в строительстве</v>
      </c>
      <c r="B133" s="263" t="s">
        <v>391</v>
      </c>
      <c r="C133" s="2" t="s">
        <v>14</v>
      </c>
      <c r="E133" s="358">
        <f>CHOOSE($C$122,Параметры!E$101,Параметры!E$113,Параметры!E$122)</f>
        <v>0</v>
      </c>
      <c r="F133" s="358">
        <f>CHOOSE($C$122,Параметры!F$101,Параметры!F$113,Параметры!F$122)</f>
        <v>0</v>
      </c>
      <c r="G133" s="358">
        <f>CHOOSE($C$122,Параметры!G$101,Параметры!G$113,Параметры!G$122)</f>
        <v>0</v>
      </c>
      <c r="H133" s="358">
        <f>CHOOSE($C$122,Параметры!H$101,Параметры!H$113,Параметры!H$122)</f>
        <v>0</v>
      </c>
      <c r="I133" s="358">
        <f>CHOOSE($C$122,Параметры!I$101,Параметры!I$113,Параметры!I$122)</f>
        <v>5.1271423484030576E-2</v>
      </c>
      <c r="J133" s="358">
        <f>CHOOSE($C$122,Параметры!J$101,Параметры!J$113,Параметры!J$122)</f>
        <v>5.1271423484030576E-2</v>
      </c>
      <c r="K133" s="358">
        <f>CHOOSE($C$122,Параметры!K$101,Параметры!K$113,Параметры!K$122)</f>
        <v>5.1271423484030576E-2</v>
      </c>
      <c r="L133" s="358">
        <f>CHOOSE($C$122,Параметры!L$101,Параметры!L$113,Параметры!L$122)</f>
        <v>5.1271423484030576E-2</v>
      </c>
      <c r="M133" s="358">
        <f>CHOOSE($C$122,Параметры!M$101,Параметры!M$113,Параметры!M$122)</f>
        <v>5.0363387780470337E-2</v>
      </c>
      <c r="N133" s="358">
        <f>CHOOSE($C$122,Параметры!N$101,Параметры!N$113,Параметры!N$122)</f>
        <v>5.0363387780470337E-2</v>
      </c>
      <c r="O133" s="358">
        <f>CHOOSE($C$122,Параметры!O$101,Параметры!O$113,Параметры!O$122)</f>
        <v>5.0363387780470337E-2</v>
      </c>
      <c r="P133" s="358">
        <f>CHOOSE($C$122,Параметры!P$101,Параметры!P$113,Параметры!P$122)</f>
        <v>5.0363387780470337E-2</v>
      </c>
      <c r="Q133" s="358">
        <f>CHOOSE($C$122,Параметры!Q$101,Параметры!Q$113,Параметры!Q$122)</f>
        <v>4.9267330074872273E-2</v>
      </c>
      <c r="R133" s="358">
        <f>CHOOSE($C$122,Параметры!R$101,Параметры!R$113,Параметры!R$122)</f>
        <v>4.9267330074872273E-2</v>
      </c>
      <c r="S133" s="358">
        <f>CHOOSE($C$122,Параметры!S$101,Параметры!S$113,Параметры!S$122)</f>
        <v>4.9267330074872273E-2</v>
      </c>
      <c r="T133" s="358">
        <f>CHOOSE($C$122,Параметры!T$101,Параметры!T$113,Параметры!T$122)</f>
        <v>4.9267330074872273E-2</v>
      </c>
      <c r="U133" s="358">
        <f>CHOOSE($C$122,Параметры!U$101,Параметры!U$113,Параметры!U$122)</f>
        <v>4.7273106547426114E-2</v>
      </c>
      <c r="V133" s="358">
        <f>CHOOSE($C$122,Параметры!V$101,Параметры!V$113,Параметры!V$122)</f>
        <v>4.7273106547426114E-2</v>
      </c>
      <c r="W133" s="358">
        <f>CHOOSE($C$122,Параметры!W$101,Параметры!W$113,Параметры!W$122)</f>
        <v>4.7273106547426114E-2</v>
      </c>
      <c r="X133" s="358">
        <f>CHOOSE($C$122,Параметры!X$101,Параметры!X$113,Параметры!X$122)</f>
        <v>4.7273106547426114E-2</v>
      </c>
      <c r="Y133" s="358">
        <f>CHOOSE($C$122,Параметры!Y$101,Параметры!Y$113,Параметры!Y$122)</f>
        <v>4.5942308087647987E-2</v>
      </c>
      <c r="Z133" s="358">
        <f>CHOOSE($C$122,Параметры!Z$101,Параметры!Z$113,Параметры!Z$122)</f>
        <v>4.5942308087647987E-2</v>
      </c>
      <c r="AA133" s="358">
        <f>CHOOSE($C$122,Параметры!AA$101,Параметры!AA$113,Параметры!AA$122)</f>
        <v>4.5942308087647987E-2</v>
      </c>
      <c r="AB133" s="358">
        <f>CHOOSE($C$122,Параметры!AB$101,Параметры!AB$113,Параметры!AB$122)</f>
        <v>4.5942308087647987E-2</v>
      </c>
      <c r="AC133" s="358">
        <f>CHOOSE($C$122,Параметры!AC$101,Параметры!AC$113,Параметры!AC$122)</f>
        <v>4.6084178846717894E-2</v>
      </c>
      <c r="AD133" s="358">
        <f>CHOOSE($C$122,Параметры!AD$101,Параметры!AD$113,Параметры!AD$122)</f>
        <v>4.6084178846717894E-2</v>
      </c>
      <c r="AE133" s="358">
        <f>CHOOSE($C$122,Параметры!AE$101,Параметры!AE$113,Параметры!AE$122)</f>
        <v>4.6084178846717894E-2</v>
      </c>
      <c r="AF133" s="358">
        <f>CHOOSE($C$122,Параметры!AF$101,Параметры!AF$113,Параметры!AF$122)</f>
        <v>4.6084178846717894E-2</v>
      </c>
      <c r="AG133" s="358">
        <f>CHOOSE($C$122,Параметры!AG$101,Параметры!AG$113,Параметры!AG$122)</f>
        <v>4.6049823800539347E-2</v>
      </c>
      <c r="AH133" s="358">
        <f>CHOOSE($C$122,Параметры!AH$101,Параметры!AH$113,Параметры!AH$122)</f>
        <v>4.6049823800539347E-2</v>
      </c>
      <c r="AI133" s="358">
        <f>CHOOSE($C$122,Параметры!AI$101,Параметры!AI$113,Параметры!AI$122)</f>
        <v>4.6049823800539347E-2</v>
      </c>
      <c r="AJ133" s="358">
        <f>CHOOSE($C$122,Параметры!AJ$101,Параметры!AJ$113,Параметры!AJ$122)</f>
        <v>4.6049823800539347E-2</v>
      </c>
      <c r="AK133" s="358">
        <f>CHOOSE($C$122,Параметры!AK$101,Параметры!AK$113,Параметры!AK$122)</f>
        <v>4.6154378696228848E-2</v>
      </c>
      <c r="AL133" s="358">
        <f>CHOOSE($C$122,Параметры!AL$101,Параметры!AL$113,Параметры!AL$122)</f>
        <v>4.6154378696228848E-2</v>
      </c>
      <c r="AM133" s="358">
        <f>CHOOSE($C$122,Параметры!AM$101,Параметры!AM$113,Параметры!AM$122)</f>
        <v>4.6154378696228848E-2</v>
      </c>
      <c r="AN133" s="358">
        <f>CHOOSE($C$122,Параметры!AN$101,Параметры!AN$113,Параметры!AN$122)</f>
        <v>4.6154378696228848E-2</v>
      </c>
      <c r="AO133" s="358">
        <f>CHOOSE($C$122,Параметры!AO$101,Параметры!AO$113,Параметры!AO$122)</f>
        <v>4.601469397743041E-2</v>
      </c>
      <c r="AP133" s="358">
        <f>CHOOSE($C$122,Параметры!AP$101,Параметры!AP$113,Параметры!AP$122)</f>
        <v>4.601469397743041E-2</v>
      </c>
      <c r="AQ133" s="358">
        <f>CHOOSE($C$122,Параметры!AQ$101,Параметры!AQ$113,Параметры!AQ$122)</f>
        <v>4.601469397743041E-2</v>
      </c>
      <c r="AR133" s="358">
        <f>CHOOSE($C$122,Параметры!AR$101,Параметры!AR$113,Параметры!AR$122)</f>
        <v>4.601469397743041E-2</v>
      </c>
      <c r="AS133" s="118"/>
      <c r="AT133" s="119"/>
    </row>
    <row r="134" spans="1:46" outlineLevel="1" x14ac:dyDescent="0.2">
      <c r="A134" s="302" t="s">
        <v>392</v>
      </c>
      <c r="B134" s="24"/>
      <c r="C134" s="2" t="s">
        <v>133</v>
      </c>
      <c r="E134" s="416">
        <f ca="1">IF(E$2=1,1,IF(Параметры!$B$62=1,POWER(1+OFFSET(E133,0,-1),Параметры!E$39/360),1) * IF(E$2&gt;1,D134, 1))</f>
        <v>1</v>
      </c>
      <c r="F134" s="416">
        <f ca="1">IF(F$2=1,1,IF(Параметры!$B$62=1,POWER(1+OFFSET(F133,0,-1),Параметры!F$39/360),1) * IF(F$2&gt;1,E134, 1))</f>
        <v>1</v>
      </c>
      <c r="G134" s="416">
        <f ca="1">IF(G$2=1,1,IF(Параметры!$B$62=1,POWER(1+OFFSET(G133,0,-1),Параметры!G$39/360),1) * IF(G$2&gt;1,F134, 1))</f>
        <v>1</v>
      </c>
      <c r="H134" s="416">
        <f ca="1">IF(H$2=1,1,IF(Параметры!$B$62=1,POWER(1+OFFSET(H133,0,-1),Параметры!H$39/360),1) * IF(H$2&gt;1,G134, 1))</f>
        <v>1</v>
      </c>
      <c r="I134" s="416">
        <f ca="1">IF(I$2=1,1,IF(Параметры!$B$62=1,POWER(1+OFFSET(I133,0,-1),Параметры!I$39/360),1) * IF(I$2&gt;1,H134, 1))</f>
        <v>1</v>
      </c>
      <c r="J134" s="416">
        <f ca="1">IF(J$2=1,1,IF(Параметры!$B$62=1,POWER(1+OFFSET(J133,0,-1),Параметры!J$39/360),1) * IF(J$2&gt;1,I134, 1))</f>
        <v>1.0125785303077766</v>
      </c>
      <c r="K134" s="416">
        <f ca="1">IF(K$2=1,1,IF(Параметры!$B$62=1,POWER(1+OFFSET(K133,0,-1),Параметры!K$39/360),1) * IF(K$2&gt;1,J134, 1))</f>
        <v>1.0253152800402567</v>
      </c>
      <c r="L134" s="416">
        <f ca="1">IF(L$2=1,1,IF(Параметры!$B$62=1,POWER(1+OFFSET(L133,0,-1),Параметры!L$39/360),1) * IF(L$2&gt;1,K134, 1))</f>
        <v>1.0382122393652695</v>
      </c>
      <c r="M134" s="416">
        <f ca="1">IF(M$2=1,1,IF(Параметры!$B$62=1,POWER(1+OFFSET(M133,0,-1),Параметры!M$39/360),1) * IF(M$2&gt;1,L134, 1))</f>
        <v>1.0512714234840301</v>
      </c>
      <c r="N134" s="416">
        <f ca="1">IF(N$2=1,1,IF(Параметры!$B$62=1,POWER(1+OFFSET(N133,0,-1),Параметры!N$39/360),1) * IF(N$2&gt;1,M134, 1))</f>
        <v>1.0642649340894372</v>
      </c>
      <c r="O134" s="416">
        <f ca="1">IF(O$2=1,1,IF(Параметры!$B$62=1,POWER(1+OFFSET(O133,0,-1),Параметры!O$39/360),1) * IF(O$2&gt;1,N134, 1))</f>
        <v>1.0774190419621925</v>
      </c>
      <c r="P134" s="416">
        <f ca="1">IF(P$2=1,1,IF(Параметры!$B$62=1,POWER(1+OFFSET(P133,0,-1),Параметры!P$39/360),1) * IF(P$2&gt;1,O134, 1))</f>
        <v>1.0907357320533275</v>
      </c>
      <c r="Q134" s="416">
        <f ca="1">IF(Q$2=1,1,IF(Параметры!$B$62=1,POWER(1+OFFSET(Q133,0,-1),Параметры!Q$39/360),1) * IF(Q$2&gt;1,P134, 1))</f>
        <v>1.1042170138474832</v>
      </c>
      <c r="R134" s="416">
        <f ca="1">IF(R$2=1,1,IF(Параметры!$B$62=1,POWER(1+OFFSET(R133,0,-1),Параметры!R$39/360),1) * IF(R$2&gt;1,Q134, 1))</f>
        <v>1.117573183534714</v>
      </c>
      <c r="S134" s="416">
        <f ca="1">IF(S$2=1,1,IF(Параметры!$B$62=1,POWER(1+OFFSET(S133,0,-1),Параметры!S$39/360),1) * IF(S$2&gt;1,R134, 1))</f>
        <v>1.1310909041367352</v>
      </c>
      <c r="T134" s="416">
        <f ca="1">IF(T$2=1,1,IF(Параметры!$B$62=1,POWER(1+OFFSET(T133,0,-1),Параметры!T$39/360),1) * IF(T$2&gt;1,S134, 1))</f>
        <v>1.1447721297091389</v>
      </c>
      <c r="U134" s="416">
        <f ca="1">IF(U$2=1,1,IF(Параметры!$B$62=1,POWER(1+OFFSET(U133,0,-1),Параметры!U$39/360),1) * IF(U$2&gt;1,T134, 1))</f>
        <v>1.1586188379429967</v>
      </c>
      <c r="V134" s="416">
        <f ca="1">IF(V$2=1,1,IF(Параметры!$B$62=1,POWER(1+OFFSET(V133,0,-1),Параметры!V$39/360),1) * IF(V$2&gt;1,U134, 1))</f>
        <v>1.1720754602177208</v>
      </c>
      <c r="W134" s="416">
        <f ca="1">IF(W$2=1,1,IF(Параметры!$B$62=1,POWER(1+OFFSET(W133,0,-1),Параметры!W$39/360),1) * IF(W$2&gt;1,V134, 1))</f>
        <v>1.1856883726174754</v>
      </c>
      <c r="X134" s="416">
        <f ca="1">IF(X$2=1,1,IF(Параметры!$B$62=1,POWER(1+OFFSET(X133,0,-1),Параметры!X$39/360),1) * IF(X$2&gt;1,W134, 1))</f>
        <v>1.1994593903528445</v>
      </c>
      <c r="Y134" s="416">
        <f ca="1">IF(Y$2=1,1,IF(Параметры!$B$62=1,POWER(1+OFFSET(Y133,0,-1),Параметры!Y$39/360),1) * IF(Y$2&gt;1,X134, 1))</f>
        <v>1.2133903497169312</v>
      </c>
      <c r="Z134" s="416">
        <f ca="1">IF(Z$2=1,1,IF(Параметры!$B$62=1,POWER(1+OFFSET(Z133,0,-1),Параметры!Z$39/360),1) * IF(Z$2&gt;1,Y134, 1))</f>
        <v>1.2270929733184746</v>
      </c>
      <c r="AA134" s="416">
        <f ca="1">IF(AA$2=1,1,IF(Параметры!$B$62=1,POWER(1+OFFSET(AA133,0,-1),Параметры!AA$39/360),1) * IF(AA$2&gt;1,Z134, 1))</f>
        <v>1.240950338461855</v>
      </c>
      <c r="AB134" s="416">
        <f ca="1">IF(AB$2=1,1,IF(Параметры!$B$62=1,POWER(1+OFFSET(AB133,0,-1),Параметры!AB$39/360),1) * IF(AB$2&gt;1,AA134, 1))</f>
        <v>1.254964192618613</v>
      </c>
      <c r="AC134" s="416">
        <f ca="1">IF(AC$2=1,1,IF(Параметры!$B$62=1,POWER(1+OFFSET(AC133,0,-1),Параметры!AC$39/360),1) * IF(AC$2&gt;1,AB134, 1))</f>
        <v>1.269136302994206</v>
      </c>
      <c r="AD134" s="416">
        <f ca="1">IF(AD$2=1,1,IF(Параметры!$B$62=1,POWER(1+OFFSET(AD133,0,-1),Параметры!AD$39/360),1) * IF(AD$2&gt;1,AC134, 1))</f>
        <v>1.2835119766901881</v>
      </c>
      <c r="AE134" s="416">
        <f ca="1">IF(AE$2=1,1,IF(Параметры!$B$62=1,POWER(1+OFFSET(AE133,0,-1),Параметры!AE$39/360),1) * IF(AE$2&gt;1,AD134, 1))</f>
        <v>1.2980504855313992</v>
      </c>
      <c r="AF134" s="416">
        <f ca="1">IF(AF$2=1,1,IF(Параметры!$B$62=1,POWER(1+OFFSET(AF133,0,-1),Параметры!AF$39/360),1) * IF(AF$2&gt;1,AE134, 1))</f>
        <v>1.3127536739729293</v>
      </c>
      <c r="AG134" s="416">
        <f ca="1">IF(AG$2=1,1,IF(Параметры!$B$62=1,POWER(1+OFFSET(AG133,0,-1),Параметры!AG$39/360),1) * IF(AG$2&gt;1,AF134, 1))</f>
        <v>1.3276234073622537</v>
      </c>
      <c r="AH134" s="416">
        <f ca="1">IF(AH$2=1,1,IF(Параметры!$B$62=1,POWER(1+OFFSET(AH133,0,-1),Параметры!AH$39/360),1) * IF(AH$2&gt;1,AG134, 1))</f>
        <v>1.3426505482618092</v>
      </c>
      <c r="AI134" s="416">
        <f ca="1">IF(AI$2=1,1,IF(Параметры!$B$62=1,POWER(1+OFFSET(AI133,0,-1),Параметры!AI$39/360),1) * IF(AI$2&gt;1,AH134, 1))</f>
        <v>1.3578477787834389</v>
      </c>
      <c r="AJ134" s="416">
        <f ca="1">IF(AJ$2=1,1,IF(Параметры!$B$62=1,POWER(1+OFFSET(AJ133,0,-1),Параметры!AJ$39/360),1) * IF(AJ$2&gt;1,AI134, 1))</f>
        <v>1.3732170241423072</v>
      </c>
      <c r="AK134" s="416">
        <f ca="1">IF(AK$2=1,1,IF(Параметры!$B$62=1,POWER(1+OFFSET(AK133,0,-1),Параметры!AK$39/360),1) * IF(AK$2&gt;1,AJ134, 1))</f>
        <v>1.3887602313447576</v>
      </c>
      <c r="AL134" s="416">
        <f ca="1">IF(AL$2=1,1,IF(Параметры!$B$62=1,POWER(1+OFFSET(AL133,0,-1),Параметры!AL$39/360),1) * IF(AL$2&gt;1,AK134, 1))</f>
        <v>1.4045144632916067</v>
      </c>
      <c r="AM134" s="416">
        <f ca="1">IF(AM$2=1,1,IF(Параметры!$B$62=1,POWER(1+OFFSET(AM133,0,-1),Параметры!AM$39/360),1) * IF(AM$2&gt;1,AL134, 1))</f>
        <v>1.4204474127871249</v>
      </c>
      <c r="AN134" s="416">
        <f ca="1">IF(AN$2=1,1,IF(Параметры!$B$62=1,POWER(1+OFFSET(AN133,0,-1),Параметры!AN$39/360),1) * IF(AN$2&gt;1,AM134, 1))</f>
        <v>1.4365611072206708</v>
      </c>
      <c r="AO134" s="416">
        <f ca="1">IF(AO$2=1,1,IF(Параметры!$B$62=1,POWER(1+OFFSET(AO133,0,-1),Параметры!AO$39/360),1) * IF(AO$2&gt;1,AN134, 1))</f>
        <v>1.4528575969805062</v>
      </c>
      <c r="AP134" s="416">
        <f ca="1">IF(AP$2=1,1,IF(Параметры!$B$62=1,POWER(1+OFFSET(AP133,0,-1),Параметры!AP$39/360),1) * IF(AP$2&gt;1,AO134, 1))</f>
        <v>1.4692899059567068</v>
      </c>
      <c r="AQ134" s="416">
        <f ca="1">IF(AQ$2=1,1,IF(Параметры!$B$62=1,POWER(1+OFFSET(AQ133,0,-1),Параметры!AQ$39/360),1) * IF(AQ$2&gt;1,AP134, 1))</f>
        <v>1.4859080698844529</v>
      </c>
      <c r="AR134" s="416">
        <f ca="1">IF(AR$2=1,1,IF(Параметры!$B$62=1,POWER(1+OFFSET(AR133,0,-1),Параметры!AR$39/360),1) * IF(AR$2&gt;1,AQ134, 1))</f>
        <v>1.5027141908458721</v>
      </c>
      <c r="AS134" s="120"/>
      <c r="AT134" s="116"/>
    </row>
    <row r="135" spans="1:46" outlineLevel="1" x14ac:dyDescent="0.2">
      <c r="A135" s="319" t="s">
        <v>491</v>
      </c>
      <c r="B135" s="24"/>
      <c r="C135" s="2" t="s">
        <v>133</v>
      </c>
      <c r="D135" s="310"/>
      <c r="E135" s="417">
        <f>IF(E$2=1,1,CHOOSE($B$8,E134,IF(Параметры!E$43=1,E134,D135),IF(Параметры!E$48=1,E134,D135),IF(Параметры!E$45&lt;&gt;Параметры!D$45,E134,D135),IF(Параметры!E$50&lt;&gt;Параметры!D$50,E134,D135)))</f>
        <v>1</v>
      </c>
      <c r="F135" s="417">
        <f ca="1">IF(F$2=1,1,CHOOSE($B$8,F134,IF(Параметры!F$43=1,F134,E135),IF(Параметры!F$48=1,F134,E135),IF(Параметры!F$45&lt;&gt;Параметры!E$45,F134,E135),IF(Параметры!F$50&lt;&gt;Параметры!E$50,F134,E135)))</f>
        <v>1</v>
      </c>
      <c r="G135" s="417">
        <f ca="1">IF(G$2=1,1,CHOOSE($B$8,G134,IF(Параметры!G$43=1,G134,F135),IF(Параметры!G$48=1,G134,F135),IF(Параметры!G$45&lt;&gt;Параметры!F$45,G134,F135),IF(Параметры!G$50&lt;&gt;Параметры!F$50,G134,F135)))</f>
        <v>1</v>
      </c>
      <c r="H135" s="417">
        <f ca="1">IF(H$2=1,1,CHOOSE($B$8,H134,IF(Параметры!H$43=1,H134,G135),IF(Параметры!H$48=1,H134,G135),IF(Параметры!H$45&lt;&gt;Параметры!G$45,H134,G135),IF(Параметры!H$50&lt;&gt;Параметры!G$50,H134,G135)))</f>
        <v>1</v>
      </c>
      <c r="I135" s="417">
        <f ca="1">IF(I$2=1,1,CHOOSE($B$8,I134,IF(Параметры!I$43=1,I134,H135),IF(Параметры!I$48=1,I134,H135),IF(Параметры!I$45&lt;&gt;Параметры!H$45,I134,H135),IF(Параметры!I$50&lt;&gt;Параметры!H$50,I134,H135)))</f>
        <v>1</v>
      </c>
      <c r="J135" s="417">
        <f ca="1">IF(J$2=1,1,CHOOSE($B$8,J134,IF(Параметры!J$43=1,J134,I135),IF(Параметры!J$48=1,J134,I135),IF(Параметры!J$45&lt;&gt;Параметры!I$45,J134,I135),IF(Параметры!J$50&lt;&gt;Параметры!I$50,J134,I135)))</f>
        <v>1.0125785303077766</v>
      </c>
      <c r="K135" s="417">
        <f ca="1">IF(K$2=1,1,CHOOSE($B$8,K134,IF(Параметры!K$43=1,K134,J135),IF(Параметры!K$48=1,K134,J135),IF(Параметры!K$45&lt;&gt;Параметры!J$45,K134,J135),IF(Параметры!K$50&lt;&gt;Параметры!J$50,K134,J135)))</f>
        <v>1.0253152800402567</v>
      </c>
      <c r="L135" s="417">
        <f ca="1">IF(L$2=1,1,CHOOSE($B$8,L134,IF(Параметры!L$43=1,L134,K135),IF(Параметры!L$48=1,L134,K135),IF(Параметры!L$45&lt;&gt;Параметры!K$45,L134,K135),IF(Параметры!L$50&lt;&gt;Параметры!K$50,L134,K135)))</f>
        <v>1.0382122393652695</v>
      </c>
      <c r="M135" s="417">
        <f ca="1">IF(M$2=1,1,CHOOSE($B$8,M134,IF(Параметры!M$43=1,M134,L135),IF(Параметры!M$48=1,M134,L135),IF(Параметры!M$45&lt;&gt;Параметры!L$45,M134,L135),IF(Параметры!M$50&lt;&gt;Параметры!L$50,M134,L135)))</f>
        <v>1.0512714234840301</v>
      </c>
      <c r="N135" s="417">
        <f ca="1">IF(N$2=1,1,CHOOSE($B$8,N134,IF(Параметры!N$43=1,N134,M135),IF(Параметры!N$48=1,N134,M135),IF(Параметры!N$45&lt;&gt;Параметры!M$45,N134,M135),IF(Параметры!N$50&lt;&gt;Параметры!M$50,N134,M135)))</f>
        <v>1.0642649340894372</v>
      </c>
      <c r="O135" s="417">
        <f ca="1">IF(O$2=1,1,CHOOSE($B$8,O134,IF(Параметры!O$43=1,O134,N135),IF(Параметры!O$48=1,O134,N135),IF(Параметры!O$45&lt;&gt;Параметры!N$45,O134,N135),IF(Параметры!O$50&lt;&gt;Параметры!N$50,O134,N135)))</f>
        <v>1.0774190419621925</v>
      </c>
      <c r="P135" s="417">
        <f ca="1">IF(P$2=1,1,CHOOSE($B$8,P134,IF(Параметры!P$43=1,P134,O135),IF(Параметры!P$48=1,P134,O135),IF(Параметры!P$45&lt;&gt;Параметры!O$45,P134,O135),IF(Параметры!P$50&lt;&gt;Параметры!O$50,P134,O135)))</f>
        <v>1.0907357320533275</v>
      </c>
      <c r="Q135" s="417">
        <f ca="1">IF(Q$2=1,1,CHOOSE($B$8,Q134,IF(Параметры!Q$43=1,Q134,P135),IF(Параметры!Q$48=1,Q134,P135),IF(Параметры!Q$45&lt;&gt;Параметры!P$45,Q134,P135),IF(Параметры!Q$50&lt;&gt;Параметры!P$50,Q134,P135)))</f>
        <v>1.1042170138474832</v>
      </c>
      <c r="R135" s="417">
        <f ca="1">IF(R$2=1,1,CHOOSE($B$8,R134,IF(Параметры!R$43=1,R134,Q135),IF(Параметры!R$48=1,R134,Q135),IF(Параметры!R$45&lt;&gt;Параметры!Q$45,R134,Q135),IF(Параметры!R$50&lt;&gt;Параметры!Q$50,R134,Q135)))</f>
        <v>1.117573183534714</v>
      </c>
      <c r="S135" s="417">
        <f ca="1">IF(S$2=1,1,CHOOSE($B$8,S134,IF(Параметры!S$43=1,S134,R135),IF(Параметры!S$48=1,S134,R135),IF(Параметры!S$45&lt;&gt;Параметры!R$45,S134,R135),IF(Параметры!S$50&lt;&gt;Параметры!R$50,S134,R135)))</f>
        <v>1.1310909041367352</v>
      </c>
      <c r="T135" s="417">
        <f ca="1">IF(T$2=1,1,CHOOSE($B$8,T134,IF(Параметры!T$43=1,T134,S135),IF(Параметры!T$48=1,T134,S135),IF(Параметры!T$45&lt;&gt;Параметры!S$45,T134,S135),IF(Параметры!T$50&lt;&gt;Параметры!S$50,T134,S135)))</f>
        <v>1.1447721297091389</v>
      </c>
      <c r="U135" s="417">
        <f ca="1">IF(U$2=1,1,CHOOSE($B$8,U134,IF(Параметры!U$43=1,U134,T135),IF(Параметры!U$48=1,U134,T135),IF(Параметры!U$45&lt;&gt;Параметры!T$45,U134,T135),IF(Параметры!U$50&lt;&gt;Параметры!T$50,U134,T135)))</f>
        <v>1.1586188379429967</v>
      </c>
      <c r="V135" s="417">
        <f ca="1">IF(V$2=1,1,CHOOSE($B$8,V134,IF(Параметры!V$43=1,V134,U135),IF(Параметры!V$48=1,V134,U135),IF(Параметры!V$45&lt;&gt;Параметры!U$45,V134,U135),IF(Параметры!V$50&lt;&gt;Параметры!U$50,V134,U135)))</f>
        <v>1.1720754602177208</v>
      </c>
      <c r="W135" s="417">
        <f ca="1">IF(W$2=1,1,CHOOSE($B$8,W134,IF(Параметры!W$43=1,W134,V135),IF(Параметры!W$48=1,W134,V135),IF(Параметры!W$45&lt;&gt;Параметры!V$45,W134,V135),IF(Параметры!W$50&lt;&gt;Параметры!V$50,W134,V135)))</f>
        <v>1.1856883726174754</v>
      </c>
      <c r="X135" s="417">
        <f ca="1">IF(X$2=1,1,CHOOSE($B$8,X134,IF(Параметры!X$43=1,X134,W135),IF(Параметры!X$48=1,X134,W135),IF(Параметры!X$45&lt;&gt;Параметры!W$45,X134,W135),IF(Параметры!X$50&lt;&gt;Параметры!W$50,X134,W135)))</f>
        <v>1.1994593903528445</v>
      </c>
      <c r="Y135" s="417">
        <f ca="1">IF(Y$2=1,1,CHOOSE($B$8,Y134,IF(Параметры!Y$43=1,Y134,X135),IF(Параметры!Y$48=1,Y134,X135),IF(Параметры!Y$45&lt;&gt;Параметры!X$45,Y134,X135),IF(Параметры!Y$50&lt;&gt;Параметры!X$50,Y134,X135)))</f>
        <v>1.2133903497169312</v>
      </c>
      <c r="Z135" s="417">
        <f ca="1">IF(Z$2=1,1,CHOOSE($B$8,Z134,IF(Параметры!Z$43=1,Z134,Y135),IF(Параметры!Z$48=1,Z134,Y135),IF(Параметры!Z$45&lt;&gt;Параметры!Y$45,Z134,Y135),IF(Параметры!Z$50&lt;&gt;Параметры!Y$50,Z134,Y135)))</f>
        <v>1.2270929733184746</v>
      </c>
      <c r="AA135" s="417">
        <f ca="1">IF(AA$2=1,1,CHOOSE($B$8,AA134,IF(Параметры!AA$43=1,AA134,Z135),IF(Параметры!AA$48=1,AA134,Z135),IF(Параметры!AA$45&lt;&gt;Параметры!Z$45,AA134,Z135),IF(Параметры!AA$50&lt;&gt;Параметры!Z$50,AA134,Z135)))</f>
        <v>1.240950338461855</v>
      </c>
      <c r="AB135" s="417">
        <f ca="1">IF(AB$2=1,1,CHOOSE($B$8,AB134,IF(Параметры!AB$43=1,AB134,AA135),IF(Параметры!AB$48=1,AB134,AA135),IF(Параметры!AB$45&lt;&gt;Параметры!AA$45,AB134,AA135),IF(Параметры!AB$50&lt;&gt;Параметры!AA$50,AB134,AA135)))</f>
        <v>1.254964192618613</v>
      </c>
      <c r="AC135" s="417">
        <f ca="1">IF(AC$2=1,1,CHOOSE($B$8,AC134,IF(Параметры!AC$43=1,AC134,AB135),IF(Параметры!AC$48=1,AC134,AB135),IF(Параметры!AC$45&lt;&gt;Параметры!AB$45,AC134,AB135),IF(Параметры!AC$50&lt;&gt;Параметры!AB$50,AC134,AB135)))</f>
        <v>1.269136302994206</v>
      </c>
      <c r="AD135" s="417">
        <f ca="1">IF(AD$2=1,1,CHOOSE($B$8,AD134,IF(Параметры!AD$43=1,AD134,AC135),IF(Параметры!AD$48=1,AD134,AC135),IF(Параметры!AD$45&lt;&gt;Параметры!AC$45,AD134,AC135),IF(Параметры!AD$50&lt;&gt;Параметры!AC$50,AD134,AC135)))</f>
        <v>1.2835119766901881</v>
      </c>
      <c r="AE135" s="417">
        <f ca="1">IF(AE$2=1,1,CHOOSE($B$8,AE134,IF(Параметры!AE$43=1,AE134,AD135),IF(Параметры!AE$48=1,AE134,AD135),IF(Параметры!AE$45&lt;&gt;Параметры!AD$45,AE134,AD135),IF(Параметры!AE$50&lt;&gt;Параметры!AD$50,AE134,AD135)))</f>
        <v>1.2980504855313992</v>
      </c>
      <c r="AF135" s="417">
        <f ca="1">IF(AF$2=1,1,CHOOSE($B$8,AF134,IF(Параметры!AF$43=1,AF134,AE135),IF(Параметры!AF$48=1,AF134,AE135),IF(Параметры!AF$45&lt;&gt;Параметры!AE$45,AF134,AE135),IF(Параметры!AF$50&lt;&gt;Параметры!AE$50,AF134,AE135)))</f>
        <v>1.3127536739729293</v>
      </c>
      <c r="AG135" s="417">
        <f ca="1">IF(AG$2=1,1,CHOOSE($B$8,AG134,IF(Параметры!AG$43=1,AG134,AF135),IF(Параметры!AG$48=1,AG134,AF135),IF(Параметры!AG$45&lt;&gt;Параметры!AF$45,AG134,AF135),IF(Параметры!AG$50&lt;&gt;Параметры!AF$50,AG134,AF135)))</f>
        <v>1.3276234073622537</v>
      </c>
      <c r="AH135" s="417">
        <f ca="1">IF(AH$2=1,1,CHOOSE($B$8,AH134,IF(Параметры!AH$43=1,AH134,AG135),IF(Параметры!AH$48=1,AH134,AG135),IF(Параметры!AH$45&lt;&gt;Параметры!AG$45,AH134,AG135),IF(Параметры!AH$50&lt;&gt;Параметры!AG$50,AH134,AG135)))</f>
        <v>1.3426505482618092</v>
      </c>
      <c r="AI135" s="417">
        <f ca="1">IF(AI$2=1,1,CHOOSE($B$8,AI134,IF(Параметры!AI$43=1,AI134,AH135),IF(Параметры!AI$48=1,AI134,AH135),IF(Параметры!AI$45&lt;&gt;Параметры!AH$45,AI134,AH135),IF(Параметры!AI$50&lt;&gt;Параметры!AH$50,AI134,AH135)))</f>
        <v>1.3578477787834389</v>
      </c>
      <c r="AJ135" s="417">
        <f ca="1">IF(AJ$2=1,1,CHOOSE($B$8,AJ134,IF(Параметры!AJ$43=1,AJ134,AI135),IF(Параметры!AJ$48=1,AJ134,AI135),IF(Параметры!AJ$45&lt;&gt;Параметры!AI$45,AJ134,AI135),IF(Параметры!AJ$50&lt;&gt;Параметры!AI$50,AJ134,AI135)))</f>
        <v>1.3732170241423072</v>
      </c>
      <c r="AK135" s="417">
        <f ca="1">IF(AK$2=1,1,CHOOSE($B$8,AK134,IF(Параметры!AK$43=1,AK134,AJ135),IF(Параметры!AK$48=1,AK134,AJ135),IF(Параметры!AK$45&lt;&gt;Параметры!AJ$45,AK134,AJ135),IF(Параметры!AK$50&lt;&gt;Параметры!AJ$50,AK134,AJ135)))</f>
        <v>1.3887602313447576</v>
      </c>
      <c r="AL135" s="417">
        <f ca="1">IF(AL$2=1,1,CHOOSE($B$8,AL134,IF(Параметры!AL$43=1,AL134,AK135),IF(Параметры!AL$48=1,AL134,AK135),IF(Параметры!AL$45&lt;&gt;Параметры!AK$45,AL134,AK135),IF(Параметры!AL$50&lt;&gt;Параметры!AK$50,AL134,AK135)))</f>
        <v>1.4045144632916067</v>
      </c>
      <c r="AM135" s="417">
        <f ca="1">IF(AM$2=1,1,CHOOSE($B$8,AM134,IF(Параметры!AM$43=1,AM134,AL135),IF(Параметры!AM$48=1,AM134,AL135),IF(Параметры!AM$45&lt;&gt;Параметры!AL$45,AM134,AL135),IF(Параметры!AM$50&lt;&gt;Параметры!AL$50,AM134,AL135)))</f>
        <v>1.4204474127871249</v>
      </c>
      <c r="AN135" s="417">
        <f ca="1">IF(AN$2=1,1,CHOOSE($B$8,AN134,IF(Параметры!AN$43=1,AN134,AM135),IF(Параметры!AN$48=1,AN134,AM135),IF(Параметры!AN$45&lt;&gt;Параметры!AM$45,AN134,AM135),IF(Параметры!AN$50&lt;&gt;Параметры!AM$50,AN134,AM135)))</f>
        <v>1.4365611072206708</v>
      </c>
      <c r="AO135" s="417">
        <f ca="1">IF(AO$2=1,1,CHOOSE($B$8,AO134,IF(Параметры!AO$43=1,AO134,AN135),IF(Параметры!AO$48=1,AO134,AN135),IF(Параметры!AO$45&lt;&gt;Параметры!AN$45,AO134,AN135),IF(Параметры!AO$50&lt;&gt;Параметры!AN$50,AO134,AN135)))</f>
        <v>1.4528575969805062</v>
      </c>
      <c r="AP135" s="417">
        <f ca="1">IF(AP$2=1,1,CHOOSE($B$8,AP134,IF(Параметры!AP$43=1,AP134,AO135),IF(Параметры!AP$48=1,AP134,AO135),IF(Параметры!AP$45&lt;&gt;Параметры!AO$45,AP134,AO135),IF(Параметры!AP$50&lt;&gt;Параметры!AO$50,AP134,AO135)))</f>
        <v>1.4692899059567068</v>
      </c>
      <c r="AQ135" s="417">
        <f ca="1">IF(AQ$2=1,1,CHOOSE($B$8,AQ134,IF(Параметры!AQ$43=1,AQ134,AP135),IF(Параметры!AQ$48=1,AQ134,AP135),IF(Параметры!AQ$45&lt;&gt;Параметры!AP$45,AQ134,AP135),IF(Параметры!AQ$50&lt;&gt;Параметры!AP$50,AQ134,AP135)))</f>
        <v>1.4859080698844529</v>
      </c>
      <c r="AR135" s="417">
        <f ca="1">IF(AR$2=1,1,CHOOSE($B$8,AR134,IF(Параметры!AR$43=1,AR134,AQ135),IF(Параметры!AR$48=1,AR134,AQ135),IF(Параметры!AR$45&lt;&gt;Параметры!AQ$45,AR134,AQ135),IF(Параметры!AR$50&lt;&gt;Параметры!AQ$50,AR134,AQ135)))</f>
        <v>1.5027141908458721</v>
      </c>
      <c r="AS135" s="120"/>
      <c r="AT135" s="116"/>
    </row>
    <row r="136" spans="1:46" x14ac:dyDescent="0.2">
      <c r="A136" s="354" t="s">
        <v>848</v>
      </c>
      <c r="B136" s="221" t="s">
        <v>390</v>
      </c>
      <c r="C136" s="286">
        <v>1</v>
      </c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92"/>
    </row>
    <row r="137" spans="1:46" x14ac:dyDescent="0.2">
      <c r="A137" s="106" t="s">
        <v>644</v>
      </c>
      <c r="B137" s="350"/>
      <c r="C137" s="350" t="s">
        <v>498</v>
      </c>
      <c r="E137" s="360">
        <f>Резиденты!E19</f>
        <v>0</v>
      </c>
      <c r="F137" s="360">
        <f>Резиденты!F19</f>
        <v>0</v>
      </c>
      <c r="G137" s="360">
        <f>Резиденты!G19</f>
        <v>2.5732191610821546</v>
      </c>
      <c r="H137" s="360">
        <f>Резиденты!H19</f>
        <v>2.5732191610821546</v>
      </c>
      <c r="I137" s="360">
        <f>Резиденты!I19</f>
        <v>2.5732191610821546</v>
      </c>
      <c r="J137" s="360">
        <f>Резиденты!J19</f>
        <v>2.5732191610821546</v>
      </c>
      <c r="K137" s="360">
        <f>Резиденты!K19</f>
        <v>2.5732191610821546</v>
      </c>
      <c r="L137" s="360">
        <f>Резиденты!L19</f>
        <v>2.5732191610821546</v>
      </c>
      <c r="M137" s="360">
        <f>Резиденты!M19</f>
        <v>3.8545048399106481</v>
      </c>
      <c r="N137" s="360">
        <f>Резиденты!N19</f>
        <v>3.8545048399106481</v>
      </c>
      <c r="O137" s="360">
        <f>Резиденты!O19</f>
        <v>3.8545048399106481</v>
      </c>
      <c r="P137" s="360">
        <f>Резиденты!P19</f>
        <v>3.8545048399106481</v>
      </c>
      <c r="Q137" s="360">
        <f>Резиденты!Q19</f>
        <v>4.4951476793248943</v>
      </c>
      <c r="R137" s="360">
        <f>Резиденты!R19</f>
        <v>4.4951476793248943</v>
      </c>
      <c r="S137" s="360">
        <f>Резиденты!S19</f>
        <v>4.4951476793248943</v>
      </c>
      <c r="T137" s="360">
        <f>Резиденты!T19</f>
        <v>4.4951476793248943</v>
      </c>
      <c r="U137" s="360">
        <f>Резиденты!U19</f>
        <v>14.3</v>
      </c>
      <c r="V137" s="360">
        <f>Резиденты!V19</f>
        <v>14.3</v>
      </c>
      <c r="W137" s="360">
        <f>Резиденты!W19</f>
        <v>14.3</v>
      </c>
      <c r="X137" s="360">
        <f>Резиденты!X19</f>
        <v>14.3</v>
      </c>
      <c r="Y137" s="360">
        <f>Резиденты!Y19</f>
        <v>14.3</v>
      </c>
      <c r="Z137" s="360">
        <f>Резиденты!Z19</f>
        <v>14.3</v>
      </c>
      <c r="AA137" s="360">
        <f>Резиденты!AA19</f>
        <v>14.3</v>
      </c>
      <c r="AB137" s="360">
        <f>Резиденты!AB19</f>
        <v>14.3</v>
      </c>
      <c r="AC137" s="360">
        <f>Резиденты!AC19</f>
        <v>14.3</v>
      </c>
      <c r="AD137" s="360">
        <f>Резиденты!AD19</f>
        <v>14.3</v>
      </c>
      <c r="AE137" s="360">
        <f>Резиденты!AE19</f>
        <v>14.3</v>
      </c>
      <c r="AF137" s="360">
        <f>Резиденты!AF19</f>
        <v>14.3</v>
      </c>
      <c r="AG137" s="360">
        <f>Резиденты!AG19</f>
        <v>14.3</v>
      </c>
      <c r="AH137" s="360">
        <f>Резиденты!AH19</f>
        <v>14.3</v>
      </c>
      <c r="AI137" s="360">
        <f>Резиденты!AI19</f>
        <v>14.3</v>
      </c>
      <c r="AJ137" s="360">
        <f>Резиденты!AJ19</f>
        <v>14.3</v>
      </c>
      <c r="AK137" s="360">
        <f>Резиденты!AK19</f>
        <v>14.3</v>
      </c>
      <c r="AL137" s="360">
        <f>Резиденты!AL19</f>
        <v>14.3</v>
      </c>
      <c r="AM137" s="360">
        <f>Резиденты!AM19</f>
        <v>14.3</v>
      </c>
      <c r="AN137" s="360">
        <f>Резиденты!AN19</f>
        <v>14.3</v>
      </c>
      <c r="AO137" s="360">
        <f>Резиденты!AO19</f>
        <v>14.3</v>
      </c>
      <c r="AP137" s="360">
        <f>Резиденты!AP19</f>
        <v>14.3</v>
      </c>
      <c r="AQ137" s="360">
        <f>Резиденты!AQ19</f>
        <v>14.3</v>
      </c>
      <c r="AR137" s="360">
        <f>Резиденты!AR19</f>
        <v>14.3</v>
      </c>
      <c r="AS137" s="90"/>
      <c r="AT137" s="30"/>
    </row>
    <row r="138" spans="1:46" x14ac:dyDescent="0.2">
      <c r="A138" s="110" t="s">
        <v>772</v>
      </c>
      <c r="B138" s="541">
        <f>ИД!C105/1.2*Графики_УК!$D$399</f>
        <v>1000</v>
      </c>
      <c r="C138" s="3" t="str">
        <f>CHOOSE(C136,Параметры!$B$64,Параметры!$B$108,Параметры!$B$117)</f>
        <v>тыс. руб.</v>
      </c>
      <c r="E138" s="343">
        <f t="shared" ref="E138:AR138" si="57">$B138*E146</f>
        <v>1000</v>
      </c>
      <c r="F138" s="343">
        <f t="shared" ca="1" si="57"/>
        <v>1000</v>
      </c>
      <c r="G138" s="343">
        <f t="shared" ca="1" si="57"/>
        <v>1000</v>
      </c>
      <c r="H138" s="343">
        <f t="shared" ca="1" si="57"/>
        <v>1000</v>
      </c>
      <c r="I138" s="343">
        <f t="shared" ca="1" si="57"/>
        <v>1000</v>
      </c>
      <c r="J138" s="343">
        <f t="shared" ca="1" si="57"/>
        <v>1009.880625064886</v>
      </c>
      <c r="K138" s="343">
        <f t="shared" ca="1" si="57"/>
        <v>1019.8588768814448</v>
      </c>
      <c r="L138" s="343">
        <f t="shared" ca="1" si="57"/>
        <v>1029.9357200630059</v>
      </c>
      <c r="M138" s="343">
        <f t="shared" ca="1" si="57"/>
        <v>1040.112128753882</v>
      </c>
      <c r="N138" s="343">
        <f t="shared" ca="1" si="57"/>
        <v>1050.3484929163767</v>
      </c>
      <c r="O138" s="343">
        <f t="shared" ca="1" si="57"/>
        <v>1060.6855992473074</v>
      </c>
      <c r="P138" s="343">
        <f t="shared" ca="1" si="57"/>
        <v>1071.1244392104732</v>
      </c>
      <c r="Q138" s="343">
        <f t="shared" ca="1" si="57"/>
        <v>1081.6660140272597</v>
      </c>
      <c r="R138" s="343">
        <f t="shared" ca="1" si="57"/>
        <v>1092.271399076433</v>
      </c>
      <c r="S138" s="343">
        <f t="shared" ca="1" si="57"/>
        <v>1102.9807664922357</v>
      </c>
      <c r="T138" s="343">
        <f t="shared" ca="1" si="57"/>
        <v>1113.7951357881057</v>
      </c>
      <c r="U138" s="343">
        <f t="shared" ca="1" si="57"/>
        <v>1124.7155364734797</v>
      </c>
      <c r="V138" s="343">
        <f t="shared" ca="1" si="57"/>
        <v>1135.7676890594357</v>
      </c>
      <c r="W138" s="343">
        <f t="shared" ca="1" si="57"/>
        <v>1146.9284469529757</v>
      </c>
      <c r="X138" s="343">
        <f t="shared" ca="1" si="57"/>
        <v>1158.1988773772262</v>
      </c>
      <c r="Y138" s="343">
        <f t="shared" ca="1" si="57"/>
        <v>1169.5800580425096</v>
      </c>
      <c r="Z138" s="343">
        <f t="shared" ca="1" si="57"/>
        <v>1181.0816916444749</v>
      </c>
      <c r="AA138" s="343">
        <f t="shared" ca="1" si="57"/>
        <v>1192.6964321471642</v>
      </c>
      <c r="AB138" s="343">
        <f t="shared" ca="1" si="57"/>
        <v>1204.4253918422257</v>
      </c>
      <c r="AC138" s="343">
        <f t="shared" ca="1" si="57"/>
        <v>1216.2696939595667</v>
      </c>
      <c r="AD138" s="343">
        <f t="shared" ca="1" si="57"/>
        <v>1228.2157089875798</v>
      </c>
      <c r="AE138" s="343">
        <f t="shared" ca="1" si="57"/>
        <v>1240.2790559492571</v>
      </c>
      <c r="AF138" s="343">
        <f t="shared" ca="1" si="57"/>
        <v>1252.4608872609169</v>
      </c>
      <c r="AG138" s="343">
        <f t="shared" ca="1" si="57"/>
        <v>1264.7623666577347</v>
      </c>
      <c r="AH138" s="343">
        <f t="shared" ca="1" si="57"/>
        <v>1277.1478212390198</v>
      </c>
      <c r="AI138" s="343">
        <f t="shared" ca="1" si="57"/>
        <v>1289.6545630195676</v>
      </c>
      <c r="AJ138" s="343">
        <f t="shared" ca="1" si="57"/>
        <v>1302.283779730084</v>
      </c>
      <c r="AK138" s="343">
        <f t="shared" ca="1" si="57"/>
        <v>1315.0366707323792</v>
      </c>
      <c r="AL138" s="343">
        <f t="shared" ca="1" si="57"/>
        <v>1327.876131040287</v>
      </c>
      <c r="AM138" s="343">
        <f t="shared" ca="1" si="57"/>
        <v>1340.8409503930541</v>
      </c>
      <c r="AN138" s="343">
        <f t="shared" ca="1" si="57"/>
        <v>1353.9323527432266</v>
      </c>
      <c r="AO138" s="343">
        <f t="shared" ca="1" si="57"/>
        <v>1367.1515739935032</v>
      </c>
      <c r="AP138" s="343">
        <f t="shared" ca="1" si="57"/>
        <v>1380.473303824403</v>
      </c>
      <c r="AQ138" s="343">
        <f t="shared" ca="1" si="57"/>
        <v>1393.924842587292</v>
      </c>
      <c r="AR138" s="343">
        <f t="shared" ca="1" si="57"/>
        <v>1407.5074551598582</v>
      </c>
      <c r="AS138" s="90"/>
      <c r="AT138" s="75"/>
    </row>
    <row r="139" spans="1:46" collapsed="1" x14ac:dyDescent="0.2">
      <c r="A139" s="106" t="s">
        <v>791</v>
      </c>
      <c r="B139" s="9"/>
      <c r="C139" s="3" t="str">
        <f>CHOOSE(C136,Параметры!$B$64,Параметры!$B$108,Параметры!$B$117)</f>
        <v>тыс. руб.</v>
      </c>
      <c r="E139" s="111">
        <f>E137*E138*3</f>
        <v>0</v>
      </c>
      <c r="F139" s="111">
        <f t="shared" ref="F139:AR139" ca="1" si="58">F137*F138*3</f>
        <v>0</v>
      </c>
      <c r="G139" s="111">
        <f t="shared" ca="1" si="58"/>
        <v>7719.6574832464639</v>
      </c>
      <c r="H139" s="111">
        <f t="shared" ca="1" si="58"/>
        <v>7719.6574832464639</v>
      </c>
      <c r="I139" s="111">
        <f t="shared" ca="1" si="58"/>
        <v>7719.6574832464639</v>
      </c>
      <c r="J139" s="111">
        <f t="shared" ca="1" si="58"/>
        <v>7795.9325244677639</v>
      </c>
      <c r="K139" s="111">
        <f t="shared" ca="1" si="58"/>
        <v>7872.9612107731791</v>
      </c>
      <c r="L139" s="111">
        <f t="shared" ca="1" si="58"/>
        <v>7950.750988647218</v>
      </c>
      <c r="M139" s="111">
        <f t="shared" ca="1" si="58"/>
        <v>12027.351702994816</v>
      </c>
      <c r="N139" s="111">
        <f t="shared" ca="1" si="58"/>
        <v>12145.720048617088</v>
      </c>
      <c r="O139" s="111">
        <f t="shared" ca="1" si="58"/>
        <v>12265.253327766817</v>
      </c>
      <c r="P139" s="111">
        <f t="shared" ca="1" si="58"/>
        <v>12385.963005250042</v>
      </c>
      <c r="Q139" s="111">
        <f t="shared" ca="1" si="58"/>
        <v>14586.745418277736</v>
      </c>
      <c r="R139" s="111">
        <f t="shared" ca="1" si="58"/>
        <v>14729.763734254151</v>
      </c>
      <c r="S139" s="111">
        <f t="shared" ca="1" si="58"/>
        <v>14874.1842985127</v>
      </c>
      <c r="T139" s="111">
        <f t="shared" ca="1" si="58"/>
        <v>15020.020859643777</v>
      </c>
      <c r="U139" s="111">
        <f t="shared" ca="1" si="58"/>
        <v>48250.296514712281</v>
      </c>
      <c r="V139" s="111">
        <f t="shared" ca="1" si="58"/>
        <v>48724.433860649791</v>
      </c>
      <c r="W139" s="111">
        <f t="shared" ca="1" si="58"/>
        <v>49203.230374282663</v>
      </c>
      <c r="X139" s="111">
        <f t="shared" ca="1" si="58"/>
        <v>49686.731839483007</v>
      </c>
      <c r="Y139" s="111">
        <f t="shared" ca="1" si="58"/>
        <v>50174.984490023664</v>
      </c>
      <c r="Z139" s="111">
        <f t="shared" ca="1" si="58"/>
        <v>50668.404571547973</v>
      </c>
      <c r="AA139" s="111">
        <f t="shared" ca="1" si="58"/>
        <v>51166.676939113342</v>
      </c>
      <c r="AB139" s="111">
        <f t="shared" ca="1" si="58"/>
        <v>51669.849310031495</v>
      </c>
      <c r="AC139" s="111">
        <f t="shared" ca="1" si="58"/>
        <v>52177.969870865418</v>
      </c>
      <c r="AD139" s="111">
        <f t="shared" ca="1" si="58"/>
        <v>52690.453915567166</v>
      </c>
      <c r="AE139" s="111">
        <f t="shared" ca="1" si="58"/>
        <v>53207.971500223139</v>
      </c>
      <c r="AF139" s="111">
        <f t="shared" ca="1" si="58"/>
        <v>53730.572063493339</v>
      </c>
      <c r="AG139" s="111">
        <f t="shared" ca="1" si="58"/>
        <v>54258.305529616824</v>
      </c>
      <c r="AH139" s="111">
        <f t="shared" ca="1" si="58"/>
        <v>54789.641531153946</v>
      </c>
      <c r="AI139" s="111">
        <f t="shared" ca="1" si="58"/>
        <v>55326.180753539447</v>
      </c>
      <c r="AJ139" s="111">
        <f t="shared" ca="1" si="58"/>
        <v>55867.974150420603</v>
      </c>
      <c r="AK139" s="111">
        <f t="shared" ca="1" si="58"/>
        <v>56415.073174419071</v>
      </c>
      <c r="AL139" s="111">
        <f t="shared" ca="1" si="58"/>
        <v>56965.886021628314</v>
      </c>
      <c r="AM139" s="111">
        <f t="shared" ca="1" si="58"/>
        <v>57522.076771862019</v>
      </c>
      <c r="AN139" s="111">
        <f t="shared" ca="1" si="58"/>
        <v>58083.697932684423</v>
      </c>
      <c r="AO139" s="111">
        <f t="shared" ca="1" si="58"/>
        <v>58650.802524321291</v>
      </c>
      <c r="AP139" s="111">
        <f t="shared" ca="1" si="58"/>
        <v>59222.304734066885</v>
      </c>
      <c r="AQ139" s="111">
        <f t="shared" ca="1" si="58"/>
        <v>59799.375746994832</v>
      </c>
      <c r="AR139" s="111">
        <f t="shared" ca="1" si="58"/>
        <v>60382.069826357918</v>
      </c>
      <c r="AS139" s="112"/>
      <c r="AT139" s="113">
        <f ca="1">SUM(E139:AS139)</f>
        <v>1453448.5835160036</v>
      </c>
    </row>
    <row r="140" spans="1:46" outlineLevel="1" x14ac:dyDescent="0.2">
      <c r="A140" s="106" t="str">
        <f>A137</f>
        <v>сдано в аренду</v>
      </c>
      <c r="B140" s="9"/>
      <c r="C140" s="5" t="str">
        <f>C137</f>
        <v>га</v>
      </c>
      <c r="E140" s="360">
        <f>E137*(1+0/Параметры!E$39)-MIN(IF(E$2=1,0,0),E137*(1+0/Параметры!E$39))</f>
        <v>0</v>
      </c>
      <c r="F140" s="360">
        <f>F137*(1+0/Параметры!F$39)-MIN(IF(F$2=1,0,0),F137*(1+0/Параметры!F$39))</f>
        <v>0</v>
      </c>
      <c r="G140" s="360">
        <f>G137*(1+0/Параметры!G$39)-MIN(IF(G$2=1,0,0),G137*(1+0/Параметры!G$39))</f>
        <v>2.5732191610821546</v>
      </c>
      <c r="H140" s="360">
        <f>H137*(1+0/Параметры!H$39)-MIN(IF(H$2=1,0,0),H137*(1+0/Параметры!H$39))</f>
        <v>2.5732191610821546</v>
      </c>
      <c r="I140" s="360">
        <f>I137*(1+0/Параметры!I$39)-MIN(IF(I$2=1,0,0),I137*(1+0/Параметры!I$39))</f>
        <v>2.5732191610821546</v>
      </c>
      <c r="J140" s="360">
        <f>J137*(1+0/Параметры!J$39)-MIN(IF(J$2=1,0,0),J137*(1+0/Параметры!J$39))</f>
        <v>2.5732191610821546</v>
      </c>
      <c r="K140" s="360">
        <f>K137*(1+0/Параметры!K$39)-MIN(IF(K$2=1,0,0),K137*(1+0/Параметры!K$39))</f>
        <v>2.5732191610821546</v>
      </c>
      <c r="L140" s="360">
        <f>L137*(1+0/Параметры!L$39)-MIN(IF(L$2=1,0,0),L137*(1+0/Параметры!L$39))</f>
        <v>2.5732191610821546</v>
      </c>
      <c r="M140" s="360">
        <f>M137*(1+0/Параметры!M$39)-MIN(IF(M$2=1,0,0),M137*(1+0/Параметры!M$39))</f>
        <v>3.8545048399106481</v>
      </c>
      <c r="N140" s="360">
        <f>N137*(1+0/Параметры!N$39)-MIN(IF(N$2=1,0,0),N137*(1+0/Параметры!N$39))</f>
        <v>3.8545048399106481</v>
      </c>
      <c r="O140" s="360">
        <f>O137*(1+0/Параметры!O$39)-MIN(IF(O$2=1,0,0),O137*(1+0/Параметры!O$39))</f>
        <v>3.8545048399106481</v>
      </c>
      <c r="P140" s="360">
        <f>P137*(1+0/Параметры!P$39)-MIN(IF(P$2=1,0,0),P137*(1+0/Параметры!P$39))</f>
        <v>3.8545048399106481</v>
      </c>
      <c r="Q140" s="360">
        <f>Q137*(1+0/Параметры!Q$39)-MIN(IF(Q$2=1,0,0),Q137*(1+0/Параметры!Q$39))</f>
        <v>4.4951476793248943</v>
      </c>
      <c r="R140" s="360">
        <f>R137*(1+0/Параметры!R$39)-MIN(IF(R$2=1,0,0),R137*(1+0/Параметры!R$39))</f>
        <v>4.4951476793248943</v>
      </c>
      <c r="S140" s="360">
        <f>S137*(1+0/Параметры!S$39)-MIN(IF(S$2=1,0,0),S137*(1+0/Параметры!S$39))</f>
        <v>4.4951476793248943</v>
      </c>
      <c r="T140" s="360">
        <f>T137*(1+0/Параметры!T$39)-MIN(IF(T$2=1,0,0),T137*(1+0/Параметры!T$39))</f>
        <v>4.4951476793248943</v>
      </c>
      <c r="U140" s="360">
        <f>U137*(1+0/Параметры!U$39)-MIN(IF(U$2=1,0,0),U137*(1+0/Параметры!U$39))</f>
        <v>14.3</v>
      </c>
      <c r="V140" s="360">
        <f>V137*(1+0/Параметры!V$39)-MIN(IF(V$2=1,0,0),V137*(1+0/Параметры!V$39))</f>
        <v>14.3</v>
      </c>
      <c r="W140" s="360">
        <f>W137*(1+0/Параметры!W$39)-MIN(IF(W$2=1,0,0),W137*(1+0/Параметры!W$39))</f>
        <v>14.3</v>
      </c>
      <c r="X140" s="360">
        <f>X137*(1+0/Параметры!X$39)-MIN(IF(X$2=1,0,0),X137*(1+0/Параметры!X$39))</f>
        <v>14.3</v>
      </c>
      <c r="Y140" s="360">
        <f>Y137*(1+0/Параметры!Y$39)-MIN(IF(Y$2=1,0,0),Y137*(1+0/Параметры!Y$39))</f>
        <v>14.3</v>
      </c>
      <c r="Z140" s="360">
        <f>Z137*(1+0/Параметры!Z$39)-MIN(IF(Z$2=1,0,0),Z137*(1+0/Параметры!Z$39))</f>
        <v>14.3</v>
      </c>
      <c r="AA140" s="360">
        <f>AA137*(1+0/Параметры!AA$39)-MIN(IF(AA$2=1,0,0),AA137*(1+0/Параметры!AA$39))</f>
        <v>14.3</v>
      </c>
      <c r="AB140" s="360">
        <f>AB137*(1+0/Параметры!AB$39)-MIN(IF(AB$2=1,0,0),AB137*(1+0/Параметры!AB$39))</f>
        <v>14.3</v>
      </c>
      <c r="AC140" s="360">
        <f>AC137*(1+0/Параметры!AC$39)-MIN(IF(AC$2=1,0,0),AC137*(1+0/Параметры!AC$39))</f>
        <v>14.3</v>
      </c>
      <c r="AD140" s="360">
        <f>AD137*(1+0/Параметры!AD$39)-MIN(IF(AD$2=1,0,0),AD137*(1+0/Параметры!AD$39))</f>
        <v>14.3</v>
      </c>
      <c r="AE140" s="360">
        <f>AE137*(1+0/Параметры!AE$39)-MIN(IF(AE$2=1,0,0),AE137*(1+0/Параметры!AE$39))</f>
        <v>14.3</v>
      </c>
      <c r="AF140" s="360">
        <f>AF137*(1+0/Параметры!AF$39)-MIN(IF(AF$2=1,0,0),AF137*(1+0/Параметры!AF$39))</f>
        <v>14.3</v>
      </c>
      <c r="AG140" s="360">
        <f>AG137*(1+0/Параметры!AG$39)-MIN(IF(AG$2=1,0,0),AG137*(1+0/Параметры!AG$39))</f>
        <v>14.3</v>
      </c>
      <c r="AH140" s="360">
        <f>AH137*(1+0/Параметры!AH$39)-MIN(IF(AH$2=1,0,0),AH137*(1+0/Параметры!AH$39))</f>
        <v>14.3</v>
      </c>
      <c r="AI140" s="360">
        <f>AI137*(1+0/Параметры!AI$39)-MIN(IF(AI$2=1,0,0),AI137*(1+0/Параметры!AI$39))</f>
        <v>14.3</v>
      </c>
      <c r="AJ140" s="360">
        <f>AJ137*(1+0/Параметры!AJ$39)-MIN(IF(AJ$2=1,0,0),AJ137*(1+0/Параметры!AJ$39))</f>
        <v>14.3</v>
      </c>
      <c r="AK140" s="360">
        <f>AK137*(1+0/Параметры!AK$39)-MIN(IF(AK$2=1,0,0),AK137*(1+0/Параметры!AK$39))</f>
        <v>14.3</v>
      </c>
      <c r="AL140" s="360">
        <f>AL137*(1+0/Параметры!AL$39)-MIN(IF(AL$2=1,0,0),AL137*(1+0/Параметры!AL$39))</f>
        <v>14.3</v>
      </c>
      <c r="AM140" s="360">
        <f>AM137*(1+0/Параметры!AM$39)-MIN(IF(AM$2=1,0,0),AM137*(1+0/Параметры!AM$39))</f>
        <v>14.3</v>
      </c>
      <c r="AN140" s="360">
        <f>AN137*(1+0/Параметры!AN$39)-MIN(IF(AN$2=1,0,0),AN137*(1+0/Параметры!AN$39))</f>
        <v>14.3</v>
      </c>
      <c r="AO140" s="360">
        <f>AO137*(1+0/Параметры!AO$39)-MIN(IF(AO$2=1,0,0),AO137*(1+0/Параметры!AO$39))</f>
        <v>14.3</v>
      </c>
      <c r="AP140" s="360">
        <f>AP137*(1+0/Параметры!AP$39)-MIN(IF(AP$2=1,0,0),AP137*(1+0/Параметры!AP$39))</f>
        <v>14.3</v>
      </c>
      <c r="AQ140" s="360">
        <f>AQ137*(1+0/Параметры!AQ$39)-MIN(IF(AQ$2=1,0,0),AQ137*(1+0/Параметры!AQ$39))</f>
        <v>14.3</v>
      </c>
      <c r="AR140" s="360">
        <f>AR137*(1+0/Параметры!AR$39)-MIN(IF(AR$2=1,0,0),AR137*(1+0/Параметры!AR$39))</f>
        <v>14.3</v>
      </c>
      <c r="AS140" s="112"/>
      <c r="AT140" s="113"/>
    </row>
    <row r="141" spans="1:46" outlineLevel="1" x14ac:dyDescent="0.2">
      <c r="A141" s="114" t="s">
        <v>235</v>
      </c>
      <c r="B141" s="16"/>
      <c r="C141" s="21" t="str">
        <f>CHOOSE(C136,Параметры!$B$64,Параметры!$B$108,Параметры!$B$117)</f>
        <v>тыс. руб.</v>
      </c>
      <c r="E141" s="115">
        <f t="shared" ref="E141:AR141" si="59">E139+E143-IF(E$2=1,0,0)+IF(E$2=1,0,0)</f>
        <v>0</v>
      </c>
      <c r="F141" s="115">
        <f t="shared" ca="1" si="59"/>
        <v>0</v>
      </c>
      <c r="G141" s="115">
        <f t="shared" ca="1" si="59"/>
        <v>9263.5889798957578</v>
      </c>
      <c r="H141" s="115">
        <f t="shared" ca="1" si="59"/>
        <v>9263.5889798957578</v>
      </c>
      <c r="I141" s="115">
        <f t="shared" ca="1" si="59"/>
        <v>9263.5889798957578</v>
      </c>
      <c r="J141" s="115">
        <f t="shared" ca="1" si="59"/>
        <v>9355.1190293613163</v>
      </c>
      <c r="K141" s="115">
        <f t="shared" ca="1" si="59"/>
        <v>9447.5534529278157</v>
      </c>
      <c r="L141" s="115">
        <f t="shared" ca="1" si="59"/>
        <v>9540.9011863766609</v>
      </c>
      <c r="M141" s="115">
        <f t="shared" ca="1" si="59"/>
        <v>14432.82204359378</v>
      </c>
      <c r="N141" s="115">
        <f t="shared" ca="1" si="59"/>
        <v>14574.864058340505</v>
      </c>
      <c r="O141" s="115">
        <f t="shared" ca="1" si="59"/>
        <v>14718.30399332018</v>
      </c>
      <c r="P141" s="115">
        <f t="shared" ca="1" si="59"/>
        <v>14863.15560630005</v>
      </c>
      <c r="Q141" s="115">
        <f t="shared" ca="1" si="59"/>
        <v>17504.094501933283</v>
      </c>
      <c r="R141" s="115">
        <f t="shared" ca="1" si="59"/>
        <v>17675.716481104981</v>
      </c>
      <c r="S141" s="115">
        <f t="shared" ca="1" si="59"/>
        <v>17849.021158215241</v>
      </c>
      <c r="T141" s="115">
        <f t="shared" ca="1" si="59"/>
        <v>18024.025031572532</v>
      </c>
      <c r="U141" s="115">
        <f t="shared" ca="1" si="59"/>
        <v>57900.355817654738</v>
      </c>
      <c r="V141" s="115">
        <f t="shared" ca="1" si="59"/>
        <v>58469.320632779752</v>
      </c>
      <c r="W141" s="115">
        <f t="shared" ca="1" si="59"/>
        <v>59043.876449139192</v>
      </c>
      <c r="X141" s="115">
        <f t="shared" ca="1" si="59"/>
        <v>59624.078207379607</v>
      </c>
      <c r="Y141" s="115">
        <f t="shared" ca="1" si="59"/>
        <v>60209.981388028398</v>
      </c>
      <c r="Z141" s="115">
        <f t="shared" ca="1" si="59"/>
        <v>60802.085485857569</v>
      </c>
      <c r="AA141" s="115">
        <f t="shared" ca="1" si="59"/>
        <v>61400.012326936012</v>
      </c>
      <c r="AB141" s="115">
        <f t="shared" ca="1" si="59"/>
        <v>62003.819172037794</v>
      </c>
      <c r="AC141" s="115">
        <f t="shared" ca="1" si="59"/>
        <v>62613.563845038501</v>
      </c>
      <c r="AD141" s="115">
        <f t="shared" ca="1" si="59"/>
        <v>63228.544698680598</v>
      </c>
      <c r="AE141" s="115">
        <f t="shared" ca="1" si="59"/>
        <v>63849.565800267766</v>
      </c>
      <c r="AF141" s="115">
        <f t="shared" ca="1" si="59"/>
        <v>64476.686476192008</v>
      </c>
      <c r="AG141" s="115">
        <f t="shared" ca="1" si="59"/>
        <v>65109.966635540186</v>
      </c>
      <c r="AH141" s="115">
        <f t="shared" ca="1" si="59"/>
        <v>65747.569837384741</v>
      </c>
      <c r="AI141" s="115">
        <f t="shared" ca="1" si="59"/>
        <v>66391.416904247337</v>
      </c>
      <c r="AJ141" s="115">
        <f t="shared" ca="1" si="59"/>
        <v>67041.56898050473</v>
      </c>
      <c r="AK141" s="115">
        <f t="shared" ca="1" si="59"/>
        <v>67698.087809302888</v>
      </c>
      <c r="AL141" s="115">
        <f t="shared" ca="1" si="59"/>
        <v>68359.063225953985</v>
      </c>
      <c r="AM141" s="115">
        <f t="shared" ca="1" si="59"/>
        <v>69026.492126234429</v>
      </c>
      <c r="AN141" s="115">
        <f t="shared" ca="1" si="59"/>
        <v>69700.437519221305</v>
      </c>
      <c r="AO141" s="115">
        <f t="shared" ca="1" si="59"/>
        <v>70380.963029185543</v>
      </c>
      <c r="AP141" s="115">
        <f t="shared" ca="1" si="59"/>
        <v>71066.765680880257</v>
      </c>
      <c r="AQ141" s="115">
        <f t="shared" ca="1" si="59"/>
        <v>71759.250896393802</v>
      </c>
      <c r="AR141" s="115">
        <f t="shared" ca="1" si="59"/>
        <v>72458.483791629507</v>
      </c>
      <c r="AS141" s="115"/>
      <c r="AT141" s="103">
        <f ca="1">SUM(E141:AS141)</f>
        <v>1744138.3002192043</v>
      </c>
    </row>
    <row r="142" spans="1:46" outlineLevel="1" x14ac:dyDescent="0.2">
      <c r="A142" s="114" t="s">
        <v>52</v>
      </c>
      <c r="B142" s="24"/>
      <c r="C142" s="2" t="s">
        <v>1</v>
      </c>
      <c r="E142" s="359">
        <f>Параметры!E$136</f>
        <v>0.2</v>
      </c>
      <c r="F142" s="359">
        <f>Параметры!F$136</f>
        <v>0.2</v>
      </c>
      <c r="G142" s="359">
        <f>Параметры!G$136</f>
        <v>0.2</v>
      </c>
      <c r="H142" s="359">
        <f>Параметры!H$136</f>
        <v>0.2</v>
      </c>
      <c r="I142" s="359">
        <f>Параметры!I$136</f>
        <v>0.2</v>
      </c>
      <c r="J142" s="359">
        <f>Параметры!J$136</f>
        <v>0.2</v>
      </c>
      <c r="K142" s="359">
        <f>Параметры!K$136</f>
        <v>0.2</v>
      </c>
      <c r="L142" s="359">
        <f>Параметры!L$136</f>
        <v>0.2</v>
      </c>
      <c r="M142" s="359">
        <f>Параметры!M$136</f>
        <v>0.2</v>
      </c>
      <c r="N142" s="359">
        <f>Параметры!N$136</f>
        <v>0.2</v>
      </c>
      <c r="O142" s="359">
        <f>Параметры!O$136</f>
        <v>0.2</v>
      </c>
      <c r="P142" s="359">
        <f>Параметры!P$136</f>
        <v>0.2</v>
      </c>
      <c r="Q142" s="359">
        <f>Параметры!Q$136</f>
        <v>0.2</v>
      </c>
      <c r="R142" s="359">
        <f>Параметры!R$136</f>
        <v>0.2</v>
      </c>
      <c r="S142" s="359">
        <f>Параметры!S$136</f>
        <v>0.2</v>
      </c>
      <c r="T142" s="359">
        <f>Параметры!T$136</f>
        <v>0.2</v>
      </c>
      <c r="U142" s="359">
        <f>Параметры!U$136</f>
        <v>0.2</v>
      </c>
      <c r="V142" s="359">
        <f>Параметры!V$136</f>
        <v>0.2</v>
      </c>
      <c r="W142" s="359">
        <f>Параметры!W$136</f>
        <v>0.2</v>
      </c>
      <c r="X142" s="359">
        <f>Параметры!X$136</f>
        <v>0.2</v>
      </c>
      <c r="Y142" s="359">
        <f>Параметры!Y$136</f>
        <v>0.2</v>
      </c>
      <c r="Z142" s="359">
        <f>Параметры!Z$136</f>
        <v>0.2</v>
      </c>
      <c r="AA142" s="359">
        <f>Параметры!AA$136</f>
        <v>0.2</v>
      </c>
      <c r="AB142" s="359">
        <f>Параметры!AB$136</f>
        <v>0.2</v>
      </c>
      <c r="AC142" s="359">
        <f>Параметры!AC$136</f>
        <v>0.2</v>
      </c>
      <c r="AD142" s="359">
        <f>Параметры!AD$136</f>
        <v>0.2</v>
      </c>
      <c r="AE142" s="359">
        <f>Параметры!AE$136</f>
        <v>0.2</v>
      </c>
      <c r="AF142" s="359">
        <f>Параметры!AF$136</f>
        <v>0.2</v>
      </c>
      <c r="AG142" s="359">
        <f>Параметры!AG$136</f>
        <v>0.2</v>
      </c>
      <c r="AH142" s="359">
        <f>Параметры!AH$136</f>
        <v>0.2</v>
      </c>
      <c r="AI142" s="359">
        <f>Параметры!AI$136</f>
        <v>0.2</v>
      </c>
      <c r="AJ142" s="359">
        <f>Параметры!AJ$136</f>
        <v>0.2</v>
      </c>
      <c r="AK142" s="359">
        <f>Параметры!AK$136</f>
        <v>0.2</v>
      </c>
      <c r="AL142" s="359">
        <f>Параметры!AL$136</f>
        <v>0.2</v>
      </c>
      <c r="AM142" s="359">
        <f>Параметры!AM$136</f>
        <v>0.2</v>
      </c>
      <c r="AN142" s="359">
        <f>Параметры!AN$136</f>
        <v>0.2</v>
      </c>
      <c r="AO142" s="359">
        <f>Параметры!AO$136</f>
        <v>0.2</v>
      </c>
      <c r="AP142" s="359">
        <f>Параметры!AP$136</f>
        <v>0.2</v>
      </c>
      <c r="AQ142" s="359">
        <f>Параметры!AQ$136</f>
        <v>0.2</v>
      </c>
      <c r="AR142" s="359">
        <f>Параметры!AR$136</f>
        <v>0.2</v>
      </c>
      <c r="AS142" s="118"/>
      <c r="AT142" s="116"/>
    </row>
    <row r="143" spans="1:46" outlineLevel="1" x14ac:dyDescent="0.2">
      <c r="A143" s="114" t="s">
        <v>64</v>
      </c>
      <c r="B143" s="2"/>
      <c r="C143" s="2" t="str">
        <f>CHOOSE(C136,Параметры!$B$64,Параметры!$B$108,Параметры!$B$117)</f>
        <v>тыс. руб.</v>
      </c>
      <c r="E143" s="121">
        <f t="shared" ref="E143:AR143" si="60">(E139)*E142</f>
        <v>0</v>
      </c>
      <c r="F143" s="121">
        <f t="shared" ca="1" si="60"/>
        <v>0</v>
      </c>
      <c r="G143" s="121">
        <f t="shared" ca="1" si="60"/>
        <v>1543.931496649293</v>
      </c>
      <c r="H143" s="121">
        <f t="shared" ca="1" si="60"/>
        <v>1543.931496649293</v>
      </c>
      <c r="I143" s="121">
        <f t="shared" ca="1" si="60"/>
        <v>1543.931496649293</v>
      </c>
      <c r="J143" s="121">
        <f t="shared" ca="1" si="60"/>
        <v>1559.1865048935529</v>
      </c>
      <c r="K143" s="121">
        <f t="shared" ca="1" si="60"/>
        <v>1574.5922421546359</v>
      </c>
      <c r="L143" s="121">
        <f t="shared" ca="1" si="60"/>
        <v>1590.1501977294438</v>
      </c>
      <c r="M143" s="121">
        <f t="shared" ca="1" si="60"/>
        <v>2405.4703405989635</v>
      </c>
      <c r="N143" s="121">
        <f t="shared" ca="1" si="60"/>
        <v>2429.1440097234176</v>
      </c>
      <c r="O143" s="121">
        <f t="shared" ca="1" si="60"/>
        <v>2453.0506655533636</v>
      </c>
      <c r="P143" s="121">
        <f t="shared" ca="1" si="60"/>
        <v>2477.1926010500083</v>
      </c>
      <c r="Q143" s="121">
        <f t="shared" ca="1" si="60"/>
        <v>2917.3490836555475</v>
      </c>
      <c r="R143" s="121">
        <f t="shared" ca="1" si="60"/>
        <v>2945.9527468508304</v>
      </c>
      <c r="S143" s="121">
        <f t="shared" ca="1" si="60"/>
        <v>2974.8368597025401</v>
      </c>
      <c r="T143" s="121">
        <f t="shared" ca="1" si="60"/>
        <v>3004.0041719287556</v>
      </c>
      <c r="U143" s="121">
        <f t="shared" ca="1" si="60"/>
        <v>9650.0593029424563</v>
      </c>
      <c r="V143" s="121">
        <f t="shared" ca="1" si="60"/>
        <v>9744.8867721299594</v>
      </c>
      <c r="W143" s="121">
        <f t="shared" ca="1" si="60"/>
        <v>9840.6460748565332</v>
      </c>
      <c r="X143" s="121">
        <f t="shared" ca="1" si="60"/>
        <v>9937.3463678966018</v>
      </c>
      <c r="Y143" s="121">
        <f t="shared" ca="1" si="60"/>
        <v>10034.996898004734</v>
      </c>
      <c r="Z143" s="121">
        <f t="shared" ca="1" si="60"/>
        <v>10133.680914309596</v>
      </c>
      <c r="AA143" s="121">
        <f t="shared" ca="1" si="60"/>
        <v>10233.33538782267</v>
      </c>
      <c r="AB143" s="121">
        <f t="shared" ca="1" si="60"/>
        <v>10333.969862006299</v>
      </c>
      <c r="AC143" s="121">
        <f t="shared" ca="1" si="60"/>
        <v>10435.593974173084</v>
      </c>
      <c r="AD143" s="121">
        <f t="shared" ca="1" si="60"/>
        <v>10538.090783113434</v>
      </c>
      <c r="AE143" s="121">
        <f t="shared" ca="1" si="60"/>
        <v>10641.594300044628</v>
      </c>
      <c r="AF143" s="121">
        <f t="shared" ca="1" si="60"/>
        <v>10746.114412698669</v>
      </c>
      <c r="AG143" s="121">
        <f t="shared" ca="1" si="60"/>
        <v>10851.661105923366</v>
      </c>
      <c r="AH143" s="121">
        <f t="shared" ca="1" si="60"/>
        <v>10957.92830623079</v>
      </c>
      <c r="AI143" s="121">
        <f t="shared" ca="1" si="60"/>
        <v>11065.236150707889</v>
      </c>
      <c r="AJ143" s="121">
        <f t="shared" ca="1" si="60"/>
        <v>11173.594830084121</v>
      </c>
      <c r="AK143" s="121">
        <f t="shared" ca="1" si="60"/>
        <v>11283.014634883815</v>
      </c>
      <c r="AL143" s="121">
        <f t="shared" ca="1" si="60"/>
        <v>11393.177204325664</v>
      </c>
      <c r="AM143" s="121">
        <f t="shared" ca="1" si="60"/>
        <v>11504.415354372404</v>
      </c>
      <c r="AN143" s="121">
        <f t="shared" ca="1" si="60"/>
        <v>11616.739586536885</v>
      </c>
      <c r="AO143" s="121">
        <f t="shared" ca="1" si="60"/>
        <v>11730.16050486426</v>
      </c>
      <c r="AP143" s="121">
        <f t="shared" ca="1" si="60"/>
        <v>11844.460946813379</v>
      </c>
      <c r="AQ143" s="121">
        <f t="shared" ca="1" si="60"/>
        <v>11959.875149398968</v>
      </c>
      <c r="AR143" s="121">
        <f t="shared" ca="1" si="60"/>
        <v>12076.413965271584</v>
      </c>
      <c r="AS143" s="115"/>
      <c r="AT143" s="103">
        <f ca="1">SUM(E143:AS143)</f>
        <v>290689.71670320077</v>
      </c>
    </row>
    <row r="144" spans="1:46" outlineLevel="1" x14ac:dyDescent="0.2">
      <c r="A144" s="302" t="str">
        <f>Параметры!$A$65</f>
        <v>Инфляция</v>
      </c>
      <c r="B144" s="263" t="s">
        <v>391</v>
      </c>
      <c r="C144" s="2" t="s">
        <v>14</v>
      </c>
      <c r="E144" s="358">
        <f>CHOOSE($C$136,Параметры!E$65,Параметры!E$113,Параметры!E$122)</f>
        <v>0</v>
      </c>
      <c r="F144" s="358">
        <f>CHOOSE($C$136,Параметры!F$65,Параметры!F$113,Параметры!F$122)</f>
        <v>0</v>
      </c>
      <c r="G144" s="358">
        <f>CHOOSE($C$136,Параметры!G$65,Параметры!G$113,Параметры!G$122)</f>
        <v>0</v>
      </c>
      <c r="H144" s="358">
        <f>CHOOSE($C$136,Параметры!H$65,Параметры!H$113,Параметры!H$122)</f>
        <v>0</v>
      </c>
      <c r="I144" s="358">
        <f>CHOOSE($C$136,Параметры!I$65,Параметры!I$113,Параметры!I$122)</f>
        <v>4.011212875388237E-2</v>
      </c>
      <c r="J144" s="358">
        <f>CHOOSE($C$136,Параметры!J$65,Параметры!J$113,Параметры!J$122)</f>
        <v>4.011212875388237E-2</v>
      </c>
      <c r="K144" s="358">
        <f>CHOOSE($C$136,Параметры!K$65,Параметры!K$113,Параметры!K$122)</f>
        <v>4.011212875388237E-2</v>
      </c>
      <c r="L144" s="358">
        <f>CHOOSE($C$136,Параметры!L$65,Параметры!L$113,Параметры!L$122)</f>
        <v>4.011212875388237E-2</v>
      </c>
      <c r="M144" s="358">
        <f>CHOOSE($C$136,Параметры!M$65,Параметры!M$113,Параметры!M$122)</f>
        <v>3.9951351517419909E-2</v>
      </c>
      <c r="N144" s="358">
        <f>CHOOSE($C$136,Параметры!N$65,Параметры!N$113,Параметры!N$122)</f>
        <v>3.9951351517419909E-2</v>
      </c>
      <c r="O144" s="358">
        <f>CHOOSE($C$136,Параметры!O$65,Параметры!O$113,Параметры!O$122)</f>
        <v>3.9951351517419909E-2</v>
      </c>
      <c r="P144" s="358">
        <f>CHOOSE($C$136,Параметры!P$65,Параметры!P$113,Параметры!P$122)</f>
        <v>3.9951351517419909E-2</v>
      </c>
      <c r="Q144" s="358">
        <f>CHOOSE($C$136,Параметры!Q$65,Параметры!Q$113,Параметры!Q$122)</f>
        <v>3.9799274348962799E-2</v>
      </c>
      <c r="R144" s="358">
        <f>CHOOSE($C$136,Параметры!R$65,Параметры!R$113,Параметры!R$122)</f>
        <v>3.9799274348962799E-2</v>
      </c>
      <c r="S144" s="358">
        <f>CHOOSE($C$136,Параметры!S$65,Параметры!S$113,Параметры!S$122)</f>
        <v>3.9799274348962799E-2</v>
      </c>
      <c r="T144" s="358">
        <f>CHOOSE($C$136,Параметры!T$65,Параметры!T$113,Параметры!T$122)</f>
        <v>3.9799274348962799E-2</v>
      </c>
      <c r="U144" s="358">
        <f>CHOOSE($C$136,Параметры!U$65,Параметры!U$113,Параметры!U$122)</f>
        <v>3.9889661086839556E-2</v>
      </c>
      <c r="V144" s="358">
        <f>CHOOSE($C$136,Параметры!V$65,Параметры!V$113,Параметры!V$122)</f>
        <v>3.9889661086839556E-2</v>
      </c>
      <c r="W144" s="358">
        <f>CHOOSE($C$136,Параметры!W$65,Параметры!W$113,Параметры!W$122)</f>
        <v>3.9889661086839556E-2</v>
      </c>
      <c r="X144" s="358">
        <f>CHOOSE($C$136,Параметры!X$65,Параметры!X$113,Параметры!X$122)</f>
        <v>3.9889661086839556E-2</v>
      </c>
      <c r="Y144" s="358">
        <f>CHOOSE($C$136,Параметры!Y$65,Параметры!Y$113,Параметры!Y$122)</f>
        <v>3.9919999999999956E-2</v>
      </c>
      <c r="Z144" s="358">
        <f>CHOOSE($C$136,Параметры!Z$65,Параметры!Z$113,Параметры!Z$122)</f>
        <v>3.9919999999999956E-2</v>
      </c>
      <c r="AA144" s="358">
        <f>CHOOSE($C$136,Параметры!AA$65,Параметры!AA$113,Параметры!AA$122)</f>
        <v>3.9919999999999956E-2</v>
      </c>
      <c r="AB144" s="358">
        <f>CHOOSE($C$136,Параметры!AB$65,Параметры!AB$113,Параметры!AB$122)</f>
        <v>3.9919999999999956E-2</v>
      </c>
      <c r="AC144" s="358">
        <f>CHOOSE($C$136,Параметры!AC$65,Параметры!AC$113,Параметры!AC$122)</f>
        <v>3.986999999999985E-2</v>
      </c>
      <c r="AD144" s="358">
        <f>CHOOSE($C$136,Параметры!AD$65,Параметры!AD$113,Параметры!AD$122)</f>
        <v>3.986999999999985E-2</v>
      </c>
      <c r="AE144" s="358">
        <f>CHOOSE($C$136,Параметры!AE$65,Параметры!AE$113,Параметры!AE$122)</f>
        <v>3.986999999999985E-2</v>
      </c>
      <c r="AF144" s="358">
        <f>CHOOSE($C$136,Параметры!AF$65,Параметры!AF$113,Параметры!AF$122)</f>
        <v>3.986999999999985E-2</v>
      </c>
      <c r="AG144" s="358">
        <f>CHOOSE($C$136,Параметры!AG$65,Параметры!AG$113,Параметры!AG$122)</f>
        <v>3.9749999999999952E-2</v>
      </c>
      <c r="AH144" s="358">
        <f>CHOOSE($C$136,Параметры!AH$65,Параметры!AH$113,Параметры!AH$122)</f>
        <v>3.9749999999999952E-2</v>
      </c>
      <c r="AI144" s="358">
        <f>CHOOSE($C$136,Параметры!AI$65,Параметры!AI$113,Параметры!AI$122)</f>
        <v>3.9749999999999952E-2</v>
      </c>
      <c r="AJ144" s="358">
        <f>CHOOSE($C$136,Параметры!AJ$65,Параметры!AJ$113,Параметры!AJ$122)</f>
        <v>3.9749999999999952E-2</v>
      </c>
      <c r="AK144" s="358">
        <f>CHOOSE($C$136,Параметры!AK$65,Параметры!AK$113,Параметры!AK$122)</f>
        <v>3.9629999999999832E-2</v>
      </c>
      <c r="AL144" s="358">
        <f>CHOOSE($C$136,Параметры!AL$65,Параметры!AL$113,Параметры!AL$122)</f>
        <v>3.9629999999999832E-2</v>
      </c>
      <c r="AM144" s="358">
        <f>CHOOSE($C$136,Параметры!AM$65,Параметры!AM$113,Параметры!AM$122)</f>
        <v>3.9629999999999832E-2</v>
      </c>
      <c r="AN144" s="358">
        <f>CHOOSE($C$136,Параметры!AN$65,Параметры!AN$113,Параметры!AN$122)</f>
        <v>3.9629999999999832E-2</v>
      </c>
      <c r="AO144" s="358">
        <f>CHOOSE($C$136,Параметры!AO$65,Параметры!AO$113,Параметры!AO$122)</f>
        <v>3.9549999999999974E-2</v>
      </c>
      <c r="AP144" s="358">
        <f>CHOOSE($C$136,Параметры!AP$65,Параметры!AP$113,Параметры!AP$122)</f>
        <v>3.9549999999999974E-2</v>
      </c>
      <c r="AQ144" s="358">
        <f>CHOOSE($C$136,Параметры!AQ$65,Параметры!AQ$113,Параметры!AQ$122)</f>
        <v>3.9549999999999974E-2</v>
      </c>
      <c r="AR144" s="358">
        <f>CHOOSE($C$136,Параметры!AR$65,Параметры!AR$113,Параметры!AR$122)</f>
        <v>3.9549999999999974E-2</v>
      </c>
      <c r="AS144" s="118"/>
      <c r="AT144" s="119"/>
    </row>
    <row r="145" spans="1:46" outlineLevel="1" x14ac:dyDescent="0.2">
      <c r="A145" s="302" t="s">
        <v>392</v>
      </c>
      <c r="B145" s="24"/>
      <c r="C145" s="2" t="s">
        <v>133</v>
      </c>
      <c r="D145" s="310"/>
      <c r="E145" s="416">
        <f ca="1">IF(E$2=1,1,IF(Параметры!$B$62=1,POWER(1+OFFSET(E144,0,-1),Параметры!E$39/360),1) * IF(E$2&gt;1,D145, 1))</f>
        <v>1</v>
      </c>
      <c r="F145" s="416">
        <f ca="1">IF(F$2=1,1,IF(Параметры!$B$62=1,POWER(1+OFFSET(F144,0,-1),Параметры!F$39/360),1) * IF(F$2&gt;1,E145, 1))</f>
        <v>1</v>
      </c>
      <c r="G145" s="416">
        <f ca="1">IF(G$2=1,1,IF(Параметры!$B$62=1,POWER(1+OFFSET(G144,0,-1),Параметры!G$39/360),1) * IF(G$2&gt;1,F145, 1))</f>
        <v>1</v>
      </c>
      <c r="H145" s="416">
        <f ca="1">IF(H$2=1,1,IF(Параметры!$B$62=1,POWER(1+OFFSET(H144,0,-1),Параметры!H$39/360),1) * IF(H$2&gt;1,G145, 1))</f>
        <v>1</v>
      </c>
      <c r="I145" s="416">
        <f ca="1">IF(I$2=1,1,IF(Параметры!$B$62=1,POWER(1+OFFSET(I144,0,-1),Параметры!I$39/360),1) * IF(I$2&gt;1,H145, 1))</f>
        <v>1</v>
      </c>
      <c r="J145" s="416">
        <f ca="1">IF(J$2=1,1,IF(Параметры!$B$62=1,POWER(1+OFFSET(J144,0,-1),Параметры!J$39/360),1) * IF(J$2&gt;1,I145, 1))</f>
        <v>1.009880625064886</v>
      </c>
      <c r="K145" s="416">
        <f ca="1">IF(K$2=1,1,IF(Параметры!$B$62=1,POWER(1+OFFSET(K144,0,-1),Параметры!K$39/360),1) * IF(K$2&gt;1,J145, 1))</f>
        <v>1.0198588768814447</v>
      </c>
      <c r="L145" s="416">
        <f ca="1">IF(L$2=1,1,IF(Параметры!$B$62=1,POWER(1+OFFSET(L144,0,-1),Параметры!L$39/360),1) * IF(L$2&gt;1,K145, 1))</f>
        <v>1.0299357200630059</v>
      </c>
      <c r="M145" s="416">
        <f ca="1">IF(M$2=1,1,IF(Параметры!$B$62=1,POWER(1+OFFSET(M144,0,-1),Параметры!M$39/360),1) * IF(M$2&gt;1,L145, 1))</f>
        <v>1.0401121287538819</v>
      </c>
      <c r="N145" s="416">
        <f ca="1">IF(N$2=1,1,IF(Параметры!$B$62=1,POWER(1+OFFSET(N144,0,-1),Параметры!N$39/360),1) * IF(N$2&gt;1,M145, 1))</f>
        <v>1.0503484929163767</v>
      </c>
      <c r="O145" s="416">
        <f ca="1">IF(O$2=1,1,IF(Параметры!$B$62=1,POWER(1+OFFSET(O144,0,-1),Параметры!O$39/360),1) * IF(O$2&gt;1,N145, 1))</f>
        <v>1.0606855992473074</v>
      </c>
      <c r="P145" s="416">
        <f ca="1">IF(P$2=1,1,IF(Параметры!$B$62=1,POWER(1+OFFSET(P144,0,-1),Параметры!P$39/360),1) * IF(P$2&gt;1,O145, 1))</f>
        <v>1.0711244392104731</v>
      </c>
      <c r="Q145" s="416">
        <f ca="1">IF(Q$2=1,1,IF(Параметры!$B$62=1,POWER(1+OFFSET(Q144,0,-1),Параметры!Q$39/360),1) * IF(Q$2&gt;1,P145, 1))</f>
        <v>1.0816660140272598</v>
      </c>
      <c r="R145" s="416">
        <f ca="1">IF(R$2=1,1,IF(Параметры!$B$62=1,POWER(1+OFFSET(R144,0,-1),Параметры!R$39/360),1) * IF(R$2&gt;1,Q145, 1))</f>
        <v>1.092271399076433</v>
      </c>
      <c r="S145" s="416">
        <f ca="1">IF(S$2=1,1,IF(Параметры!$B$62=1,POWER(1+OFFSET(S144,0,-1),Параметры!S$39/360),1) * IF(S$2&gt;1,R145, 1))</f>
        <v>1.1029807664922358</v>
      </c>
      <c r="T145" s="416">
        <f ca="1">IF(T$2=1,1,IF(Параметры!$B$62=1,POWER(1+OFFSET(T144,0,-1),Параметры!T$39/360),1) * IF(T$2&gt;1,S145, 1))</f>
        <v>1.1137951357881057</v>
      </c>
      <c r="U145" s="416">
        <f ca="1">IF(U$2=1,1,IF(Параметры!$B$62=1,POWER(1+OFFSET(U144,0,-1),Параметры!U$39/360),1) * IF(U$2&gt;1,T145, 1))</f>
        <v>1.1247155364734798</v>
      </c>
      <c r="V145" s="416">
        <f ca="1">IF(V$2=1,1,IF(Параметры!$B$62=1,POWER(1+OFFSET(V144,0,-1),Параметры!V$39/360),1) * IF(V$2&gt;1,U145, 1))</f>
        <v>1.1357676890594357</v>
      </c>
      <c r="W145" s="416">
        <f ca="1">IF(W$2=1,1,IF(Параметры!$B$62=1,POWER(1+OFFSET(W144,0,-1),Параметры!W$39/360),1) * IF(W$2&gt;1,V145, 1))</f>
        <v>1.1469284469529757</v>
      </c>
      <c r="X145" s="416">
        <f ca="1">IF(X$2=1,1,IF(Параметры!$B$62=1,POWER(1+OFFSET(X144,0,-1),Параметры!X$39/360),1) * IF(X$2&gt;1,W145, 1))</f>
        <v>1.158198877377226</v>
      </c>
      <c r="Y145" s="416">
        <f ca="1">IF(Y$2=1,1,IF(Параметры!$B$62=1,POWER(1+OFFSET(Y144,0,-1),Параметры!Y$39/360),1) * IF(Y$2&gt;1,X145, 1))</f>
        <v>1.1695800580425095</v>
      </c>
      <c r="Z145" s="416">
        <f ca="1">IF(Z$2=1,1,IF(Параметры!$B$62=1,POWER(1+OFFSET(Z144,0,-1),Параметры!Z$39/360),1) * IF(Z$2&gt;1,Y145, 1))</f>
        <v>1.1810816916444749</v>
      </c>
      <c r="AA145" s="416">
        <f ca="1">IF(AA$2=1,1,IF(Параметры!$B$62=1,POWER(1+OFFSET(AA144,0,-1),Параметры!AA$39/360),1) * IF(AA$2&gt;1,Z145, 1))</f>
        <v>1.1926964321471643</v>
      </c>
      <c r="AB145" s="416">
        <f ca="1">IF(AB$2=1,1,IF(Параметры!$B$62=1,POWER(1+OFFSET(AB144,0,-1),Параметры!AB$39/360),1) * IF(AB$2&gt;1,AA145, 1))</f>
        <v>1.2044253918422256</v>
      </c>
      <c r="AC145" s="416">
        <f ca="1">IF(AC$2=1,1,IF(Параметры!$B$62=1,POWER(1+OFFSET(AC144,0,-1),Параметры!AC$39/360),1) * IF(AC$2&gt;1,AB145, 1))</f>
        <v>1.2162696939595667</v>
      </c>
      <c r="AD145" s="416">
        <f ca="1">IF(AD$2=1,1,IF(Параметры!$B$62=1,POWER(1+OFFSET(AD144,0,-1),Параметры!AD$39/360),1) * IF(AD$2&gt;1,AC145, 1))</f>
        <v>1.2282157089875798</v>
      </c>
      <c r="AE145" s="416">
        <f ca="1">IF(AE$2=1,1,IF(Параметры!$B$62=1,POWER(1+OFFSET(AE144,0,-1),Параметры!AE$39/360),1) * IF(AE$2&gt;1,AD145, 1))</f>
        <v>1.2402790559492571</v>
      </c>
      <c r="AF145" s="416">
        <f ca="1">IF(AF$2=1,1,IF(Параметры!$B$62=1,POWER(1+OFFSET(AF144,0,-1),Параметры!AF$39/360),1) * IF(AF$2&gt;1,AE145, 1))</f>
        <v>1.2524608872609169</v>
      </c>
      <c r="AG145" s="416">
        <f ca="1">IF(AG$2=1,1,IF(Параметры!$B$62=1,POWER(1+OFFSET(AG144,0,-1),Параметры!AG$39/360),1) * IF(AG$2&gt;1,AF145, 1))</f>
        <v>1.2647623666577346</v>
      </c>
      <c r="AH145" s="416">
        <f ca="1">IF(AH$2=1,1,IF(Параметры!$B$62=1,POWER(1+OFFSET(AH144,0,-1),Параметры!AH$39/360),1) * IF(AH$2&gt;1,AG145, 1))</f>
        <v>1.2771478212390197</v>
      </c>
      <c r="AI145" s="416">
        <f ca="1">IF(AI$2=1,1,IF(Параметры!$B$62=1,POWER(1+OFFSET(AI144,0,-1),Параметры!AI$39/360),1) * IF(AI$2&gt;1,AH145, 1))</f>
        <v>1.2896545630195677</v>
      </c>
      <c r="AJ145" s="416">
        <f ca="1">IF(AJ$2=1,1,IF(Параметры!$B$62=1,POWER(1+OFFSET(AJ144,0,-1),Параметры!AJ$39/360),1) * IF(AJ$2&gt;1,AI145, 1))</f>
        <v>1.3022837797300839</v>
      </c>
      <c r="AK145" s="416">
        <f ca="1">IF(AK$2=1,1,IF(Параметры!$B$62=1,POWER(1+OFFSET(AK144,0,-1),Параметры!AK$39/360),1) * IF(AK$2&gt;1,AJ145, 1))</f>
        <v>1.3150366707323793</v>
      </c>
      <c r="AL145" s="416">
        <f ca="1">IF(AL$2=1,1,IF(Параметры!$B$62=1,POWER(1+OFFSET(AL144,0,-1),Параметры!AL$39/360),1) * IF(AL$2&gt;1,AK145, 1))</f>
        <v>1.3278761310402869</v>
      </c>
      <c r="AM145" s="416">
        <f ca="1">IF(AM$2=1,1,IF(Параметры!$B$62=1,POWER(1+OFFSET(AM144,0,-1),Параметры!AM$39/360),1) * IF(AM$2&gt;1,AL145, 1))</f>
        <v>1.3408409503930541</v>
      </c>
      <c r="AN145" s="416">
        <f ca="1">IF(AN$2=1,1,IF(Параметры!$B$62=1,POWER(1+OFFSET(AN144,0,-1),Параметры!AN$39/360),1) * IF(AN$2&gt;1,AM145, 1))</f>
        <v>1.3539323527432265</v>
      </c>
      <c r="AO145" s="416">
        <f ca="1">IF(AO$2=1,1,IF(Параметры!$B$62=1,POWER(1+OFFSET(AO144,0,-1),Параметры!AO$39/360),1) * IF(AO$2&gt;1,AN145, 1))</f>
        <v>1.3671515739935032</v>
      </c>
      <c r="AP145" s="416">
        <f ca="1">IF(AP$2=1,1,IF(Параметры!$B$62=1,POWER(1+OFFSET(AP144,0,-1),Параметры!AP$39/360),1) * IF(AP$2&gt;1,AO145, 1))</f>
        <v>1.380473303824403</v>
      </c>
      <c r="AQ145" s="416">
        <f ca="1">IF(AQ$2=1,1,IF(Параметры!$B$62=1,POWER(1+OFFSET(AQ144,0,-1),Параметры!AQ$39/360),1) * IF(AQ$2&gt;1,AP145, 1))</f>
        <v>1.3939248425872921</v>
      </c>
      <c r="AR145" s="416">
        <f ca="1">IF(AR$2=1,1,IF(Параметры!$B$62=1,POWER(1+OFFSET(AR144,0,-1),Параметры!AR$39/360),1) * IF(AR$2&gt;1,AQ145, 1))</f>
        <v>1.4075074551598581</v>
      </c>
      <c r="AS145" s="120"/>
      <c r="AT145" s="116"/>
    </row>
    <row r="146" spans="1:46" outlineLevel="1" x14ac:dyDescent="0.2">
      <c r="A146" s="319" t="s">
        <v>491</v>
      </c>
      <c r="B146" s="24"/>
      <c r="C146" s="2" t="s">
        <v>133</v>
      </c>
      <c r="D146" s="310"/>
      <c r="E146" s="417">
        <f>IF(E$2=1,1,CHOOSE($B$8,E145,IF(Параметры!E$43=1,E145,D146),IF(Параметры!E$48=1,E145,D146),IF(Параметры!E$45&lt;&gt;Параметры!D$45,E145,D146),IF(Параметры!E$50&lt;&gt;Параметры!D$50,E145,D146)))</f>
        <v>1</v>
      </c>
      <c r="F146" s="417">
        <f ca="1">IF(F$2=1,1,CHOOSE($B$8,F145,IF(Параметры!F$43=1,F145,E146),IF(Параметры!F$48=1,F145,E146),IF(Параметры!F$45&lt;&gt;Параметры!E$45,F145,E146),IF(Параметры!F$50&lt;&gt;Параметры!E$50,F145,E146)))</f>
        <v>1</v>
      </c>
      <c r="G146" s="417">
        <f ca="1">IF(G$2=1,1,CHOOSE($B$8,G145,IF(Параметры!G$43=1,G145,F146),IF(Параметры!G$48=1,G145,F146),IF(Параметры!G$45&lt;&gt;Параметры!F$45,G145,F146),IF(Параметры!G$50&lt;&gt;Параметры!F$50,G145,F146)))</f>
        <v>1</v>
      </c>
      <c r="H146" s="417">
        <f ca="1">IF(H$2=1,1,CHOOSE($B$8,H145,IF(Параметры!H$43=1,H145,G146),IF(Параметры!H$48=1,H145,G146),IF(Параметры!H$45&lt;&gt;Параметры!G$45,H145,G146),IF(Параметры!H$50&lt;&gt;Параметры!G$50,H145,G146)))</f>
        <v>1</v>
      </c>
      <c r="I146" s="417">
        <f ca="1">IF(I$2=1,1,CHOOSE($B$8,I145,IF(Параметры!I$43=1,I145,H146),IF(Параметры!I$48=1,I145,H146),IF(Параметры!I$45&lt;&gt;Параметры!H$45,I145,H146),IF(Параметры!I$50&lt;&gt;Параметры!H$50,I145,H146)))</f>
        <v>1</v>
      </c>
      <c r="J146" s="417">
        <f ca="1">IF(J$2=1,1,CHOOSE($B$8,J145,IF(Параметры!J$43=1,J145,I146),IF(Параметры!J$48=1,J145,I146),IF(Параметры!J$45&lt;&gt;Параметры!I$45,J145,I146),IF(Параметры!J$50&lt;&gt;Параметры!I$50,J145,I146)))</f>
        <v>1.009880625064886</v>
      </c>
      <c r="K146" s="417">
        <f ca="1">IF(K$2=1,1,CHOOSE($B$8,K145,IF(Параметры!K$43=1,K145,J146),IF(Параметры!K$48=1,K145,J146),IF(Параметры!K$45&lt;&gt;Параметры!J$45,K145,J146),IF(Параметры!K$50&lt;&gt;Параметры!J$50,K145,J146)))</f>
        <v>1.0198588768814447</v>
      </c>
      <c r="L146" s="417">
        <f ca="1">IF(L$2=1,1,CHOOSE($B$8,L145,IF(Параметры!L$43=1,L145,K146),IF(Параметры!L$48=1,L145,K146),IF(Параметры!L$45&lt;&gt;Параметры!K$45,L145,K146),IF(Параметры!L$50&lt;&gt;Параметры!K$50,L145,K146)))</f>
        <v>1.0299357200630059</v>
      </c>
      <c r="M146" s="417">
        <f ca="1">IF(M$2=1,1,CHOOSE($B$8,M145,IF(Параметры!M$43=1,M145,L146),IF(Параметры!M$48=1,M145,L146),IF(Параметры!M$45&lt;&gt;Параметры!L$45,M145,L146),IF(Параметры!M$50&lt;&gt;Параметры!L$50,M145,L146)))</f>
        <v>1.0401121287538819</v>
      </c>
      <c r="N146" s="417">
        <f ca="1">IF(N$2=1,1,CHOOSE($B$8,N145,IF(Параметры!N$43=1,N145,M146),IF(Параметры!N$48=1,N145,M146),IF(Параметры!N$45&lt;&gt;Параметры!M$45,N145,M146),IF(Параметры!N$50&lt;&gt;Параметры!M$50,N145,M146)))</f>
        <v>1.0503484929163767</v>
      </c>
      <c r="O146" s="417">
        <f ca="1">IF(O$2=1,1,CHOOSE($B$8,O145,IF(Параметры!O$43=1,O145,N146),IF(Параметры!O$48=1,O145,N146),IF(Параметры!O$45&lt;&gt;Параметры!N$45,O145,N146),IF(Параметры!O$50&lt;&gt;Параметры!N$50,O145,N146)))</f>
        <v>1.0606855992473074</v>
      </c>
      <c r="P146" s="417">
        <f ca="1">IF(P$2=1,1,CHOOSE($B$8,P145,IF(Параметры!P$43=1,P145,O146),IF(Параметры!P$48=1,P145,O146),IF(Параметры!P$45&lt;&gt;Параметры!O$45,P145,O146),IF(Параметры!P$50&lt;&gt;Параметры!O$50,P145,O146)))</f>
        <v>1.0711244392104731</v>
      </c>
      <c r="Q146" s="417">
        <f ca="1">IF(Q$2=1,1,CHOOSE($B$8,Q145,IF(Параметры!Q$43=1,Q145,P146),IF(Параметры!Q$48=1,Q145,P146),IF(Параметры!Q$45&lt;&gt;Параметры!P$45,Q145,P146),IF(Параметры!Q$50&lt;&gt;Параметры!P$50,Q145,P146)))</f>
        <v>1.0816660140272598</v>
      </c>
      <c r="R146" s="417">
        <f ca="1">IF(R$2=1,1,CHOOSE($B$8,R145,IF(Параметры!R$43=1,R145,Q146),IF(Параметры!R$48=1,R145,Q146),IF(Параметры!R$45&lt;&gt;Параметры!Q$45,R145,Q146),IF(Параметры!R$50&lt;&gt;Параметры!Q$50,R145,Q146)))</f>
        <v>1.092271399076433</v>
      </c>
      <c r="S146" s="417">
        <f ca="1">IF(S$2=1,1,CHOOSE($B$8,S145,IF(Параметры!S$43=1,S145,R146),IF(Параметры!S$48=1,S145,R146),IF(Параметры!S$45&lt;&gt;Параметры!R$45,S145,R146),IF(Параметры!S$50&lt;&gt;Параметры!R$50,S145,R146)))</f>
        <v>1.1029807664922358</v>
      </c>
      <c r="T146" s="417">
        <f ca="1">IF(T$2=1,1,CHOOSE($B$8,T145,IF(Параметры!T$43=1,T145,S146),IF(Параметры!T$48=1,T145,S146),IF(Параметры!T$45&lt;&gt;Параметры!S$45,T145,S146),IF(Параметры!T$50&lt;&gt;Параметры!S$50,T145,S146)))</f>
        <v>1.1137951357881057</v>
      </c>
      <c r="U146" s="417">
        <f ca="1">IF(U$2=1,1,CHOOSE($B$8,U145,IF(Параметры!U$43=1,U145,T146),IF(Параметры!U$48=1,U145,T146),IF(Параметры!U$45&lt;&gt;Параметры!T$45,U145,T146),IF(Параметры!U$50&lt;&gt;Параметры!T$50,U145,T146)))</f>
        <v>1.1247155364734798</v>
      </c>
      <c r="V146" s="417">
        <f ca="1">IF(V$2=1,1,CHOOSE($B$8,V145,IF(Параметры!V$43=1,V145,U146),IF(Параметры!V$48=1,V145,U146),IF(Параметры!V$45&lt;&gt;Параметры!U$45,V145,U146),IF(Параметры!V$50&lt;&gt;Параметры!U$50,V145,U146)))</f>
        <v>1.1357676890594357</v>
      </c>
      <c r="W146" s="417">
        <f ca="1">IF(W$2=1,1,CHOOSE($B$8,W145,IF(Параметры!W$43=1,W145,V146),IF(Параметры!W$48=1,W145,V146),IF(Параметры!W$45&lt;&gt;Параметры!V$45,W145,V146),IF(Параметры!W$50&lt;&gt;Параметры!V$50,W145,V146)))</f>
        <v>1.1469284469529757</v>
      </c>
      <c r="X146" s="417">
        <f ca="1">IF(X$2=1,1,CHOOSE($B$8,X145,IF(Параметры!X$43=1,X145,W146),IF(Параметры!X$48=1,X145,W146),IF(Параметры!X$45&lt;&gt;Параметры!W$45,X145,W146),IF(Параметры!X$50&lt;&gt;Параметры!W$50,X145,W146)))</f>
        <v>1.158198877377226</v>
      </c>
      <c r="Y146" s="417">
        <f ca="1">IF(Y$2=1,1,CHOOSE($B$8,Y145,IF(Параметры!Y$43=1,Y145,X146),IF(Параметры!Y$48=1,Y145,X146),IF(Параметры!Y$45&lt;&gt;Параметры!X$45,Y145,X146),IF(Параметры!Y$50&lt;&gt;Параметры!X$50,Y145,X146)))</f>
        <v>1.1695800580425095</v>
      </c>
      <c r="Z146" s="417">
        <f ca="1">IF(Z$2=1,1,CHOOSE($B$8,Z145,IF(Параметры!Z$43=1,Z145,Y146),IF(Параметры!Z$48=1,Z145,Y146),IF(Параметры!Z$45&lt;&gt;Параметры!Y$45,Z145,Y146),IF(Параметры!Z$50&lt;&gt;Параметры!Y$50,Z145,Y146)))</f>
        <v>1.1810816916444749</v>
      </c>
      <c r="AA146" s="417">
        <f ca="1">IF(AA$2=1,1,CHOOSE($B$8,AA145,IF(Параметры!AA$43=1,AA145,Z146),IF(Параметры!AA$48=1,AA145,Z146),IF(Параметры!AA$45&lt;&gt;Параметры!Z$45,AA145,Z146),IF(Параметры!AA$50&lt;&gt;Параметры!Z$50,AA145,Z146)))</f>
        <v>1.1926964321471643</v>
      </c>
      <c r="AB146" s="417">
        <f ca="1">IF(AB$2=1,1,CHOOSE($B$8,AB145,IF(Параметры!AB$43=1,AB145,AA146),IF(Параметры!AB$48=1,AB145,AA146),IF(Параметры!AB$45&lt;&gt;Параметры!AA$45,AB145,AA146),IF(Параметры!AB$50&lt;&gt;Параметры!AA$50,AB145,AA146)))</f>
        <v>1.2044253918422256</v>
      </c>
      <c r="AC146" s="417">
        <f ca="1">IF(AC$2=1,1,CHOOSE($B$8,AC145,IF(Параметры!AC$43=1,AC145,AB146),IF(Параметры!AC$48=1,AC145,AB146),IF(Параметры!AC$45&lt;&gt;Параметры!AB$45,AC145,AB146),IF(Параметры!AC$50&lt;&gt;Параметры!AB$50,AC145,AB146)))</f>
        <v>1.2162696939595667</v>
      </c>
      <c r="AD146" s="417">
        <f ca="1">IF(AD$2=1,1,CHOOSE($B$8,AD145,IF(Параметры!AD$43=1,AD145,AC146),IF(Параметры!AD$48=1,AD145,AC146),IF(Параметры!AD$45&lt;&gt;Параметры!AC$45,AD145,AC146),IF(Параметры!AD$50&lt;&gt;Параметры!AC$50,AD145,AC146)))</f>
        <v>1.2282157089875798</v>
      </c>
      <c r="AE146" s="417">
        <f ca="1">IF(AE$2=1,1,CHOOSE($B$8,AE145,IF(Параметры!AE$43=1,AE145,AD146),IF(Параметры!AE$48=1,AE145,AD146),IF(Параметры!AE$45&lt;&gt;Параметры!AD$45,AE145,AD146),IF(Параметры!AE$50&lt;&gt;Параметры!AD$50,AE145,AD146)))</f>
        <v>1.2402790559492571</v>
      </c>
      <c r="AF146" s="417">
        <f ca="1">IF(AF$2=1,1,CHOOSE($B$8,AF145,IF(Параметры!AF$43=1,AF145,AE146),IF(Параметры!AF$48=1,AF145,AE146),IF(Параметры!AF$45&lt;&gt;Параметры!AE$45,AF145,AE146),IF(Параметры!AF$50&lt;&gt;Параметры!AE$50,AF145,AE146)))</f>
        <v>1.2524608872609169</v>
      </c>
      <c r="AG146" s="417">
        <f ca="1">IF(AG$2=1,1,CHOOSE($B$8,AG145,IF(Параметры!AG$43=1,AG145,AF146),IF(Параметры!AG$48=1,AG145,AF146),IF(Параметры!AG$45&lt;&gt;Параметры!AF$45,AG145,AF146),IF(Параметры!AG$50&lt;&gt;Параметры!AF$50,AG145,AF146)))</f>
        <v>1.2647623666577346</v>
      </c>
      <c r="AH146" s="417">
        <f ca="1">IF(AH$2=1,1,CHOOSE($B$8,AH145,IF(Параметры!AH$43=1,AH145,AG146),IF(Параметры!AH$48=1,AH145,AG146),IF(Параметры!AH$45&lt;&gt;Параметры!AG$45,AH145,AG146),IF(Параметры!AH$50&lt;&gt;Параметры!AG$50,AH145,AG146)))</f>
        <v>1.2771478212390197</v>
      </c>
      <c r="AI146" s="417">
        <f ca="1">IF(AI$2=1,1,CHOOSE($B$8,AI145,IF(Параметры!AI$43=1,AI145,AH146),IF(Параметры!AI$48=1,AI145,AH146),IF(Параметры!AI$45&lt;&gt;Параметры!AH$45,AI145,AH146),IF(Параметры!AI$50&lt;&gt;Параметры!AH$50,AI145,AH146)))</f>
        <v>1.2896545630195677</v>
      </c>
      <c r="AJ146" s="417">
        <f ca="1">IF(AJ$2=1,1,CHOOSE($B$8,AJ145,IF(Параметры!AJ$43=1,AJ145,AI146),IF(Параметры!AJ$48=1,AJ145,AI146),IF(Параметры!AJ$45&lt;&gt;Параметры!AI$45,AJ145,AI146),IF(Параметры!AJ$50&lt;&gt;Параметры!AI$50,AJ145,AI146)))</f>
        <v>1.3022837797300839</v>
      </c>
      <c r="AK146" s="417">
        <f ca="1">IF(AK$2=1,1,CHOOSE($B$8,AK145,IF(Параметры!AK$43=1,AK145,AJ146),IF(Параметры!AK$48=1,AK145,AJ146),IF(Параметры!AK$45&lt;&gt;Параметры!AJ$45,AK145,AJ146),IF(Параметры!AK$50&lt;&gt;Параметры!AJ$50,AK145,AJ146)))</f>
        <v>1.3150366707323793</v>
      </c>
      <c r="AL146" s="417">
        <f ca="1">IF(AL$2=1,1,CHOOSE($B$8,AL145,IF(Параметры!AL$43=1,AL145,AK146),IF(Параметры!AL$48=1,AL145,AK146),IF(Параметры!AL$45&lt;&gt;Параметры!AK$45,AL145,AK146),IF(Параметры!AL$50&lt;&gt;Параметры!AK$50,AL145,AK146)))</f>
        <v>1.3278761310402869</v>
      </c>
      <c r="AM146" s="417">
        <f ca="1">IF(AM$2=1,1,CHOOSE($B$8,AM145,IF(Параметры!AM$43=1,AM145,AL146),IF(Параметры!AM$48=1,AM145,AL146),IF(Параметры!AM$45&lt;&gt;Параметры!AL$45,AM145,AL146),IF(Параметры!AM$50&lt;&gt;Параметры!AL$50,AM145,AL146)))</f>
        <v>1.3408409503930541</v>
      </c>
      <c r="AN146" s="417">
        <f ca="1">IF(AN$2=1,1,CHOOSE($B$8,AN145,IF(Параметры!AN$43=1,AN145,AM146),IF(Параметры!AN$48=1,AN145,AM146),IF(Параметры!AN$45&lt;&gt;Параметры!AM$45,AN145,AM146),IF(Параметры!AN$50&lt;&gt;Параметры!AM$50,AN145,AM146)))</f>
        <v>1.3539323527432265</v>
      </c>
      <c r="AO146" s="417">
        <f ca="1">IF(AO$2=1,1,CHOOSE($B$8,AO145,IF(Параметры!AO$43=1,AO145,AN146),IF(Параметры!AO$48=1,AO145,AN146),IF(Параметры!AO$45&lt;&gt;Параметры!AN$45,AO145,AN146),IF(Параметры!AO$50&lt;&gt;Параметры!AN$50,AO145,AN146)))</f>
        <v>1.3671515739935032</v>
      </c>
      <c r="AP146" s="417">
        <f ca="1">IF(AP$2=1,1,CHOOSE($B$8,AP145,IF(Параметры!AP$43=1,AP145,AO146),IF(Параметры!AP$48=1,AP145,AO146),IF(Параметры!AP$45&lt;&gt;Параметры!AO$45,AP145,AO146),IF(Параметры!AP$50&lt;&gt;Параметры!AO$50,AP145,AO146)))</f>
        <v>1.380473303824403</v>
      </c>
      <c r="AQ146" s="417">
        <f ca="1">IF(AQ$2=1,1,CHOOSE($B$8,AQ145,IF(Параметры!AQ$43=1,AQ145,AP146),IF(Параметры!AQ$48=1,AQ145,AP146),IF(Параметры!AQ$45&lt;&gt;Параметры!AP$45,AQ145,AP146),IF(Параметры!AQ$50&lt;&gt;Параметры!AP$50,AQ145,AP146)))</f>
        <v>1.3939248425872921</v>
      </c>
      <c r="AR146" s="417">
        <f ca="1">IF(AR$2=1,1,CHOOSE($B$8,AR145,IF(Параметры!AR$43=1,AR145,AQ146),IF(Параметры!AR$48=1,AR145,AQ146),IF(Параметры!AR$45&lt;&gt;Параметры!AQ$45,AR145,AQ146),IF(Параметры!AR$50&lt;&gt;Параметры!AQ$50,AR145,AQ146)))</f>
        <v>1.4075074551598581</v>
      </c>
      <c r="AS146" s="120"/>
      <c r="AT146" s="116"/>
    </row>
    <row r="147" spans="1:46" x14ac:dyDescent="0.2">
      <c r="A147" s="354" t="s">
        <v>812</v>
      </c>
      <c r="B147" s="221" t="s">
        <v>390</v>
      </c>
      <c r="C147" s="286">
        <v>1</v>
      </c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  <c r="AT147" s="92"/>
    </row>
    <row r="148" spans="1:46" x14ac:dyDescent="0.2">
      <c r="A148" s="106" t="s">
        <v>287</v>
      </c>
      <c r="B148" s="350">
        <v>0</v>
      </c>
      <c r="C148" s="3" t="str">
        <f>CHOOSE(C147,Параметры!$B$64,Параметры!$B$108,Параметры!$B$117)</f>
        <v>тыс. руб.</v>
      </c>
      <c r="E148" s="348">
        <f ca="1">Резиденты!E81/ИД!$C$274*ИД!$C$287*ИД!$C$107</f>
        <v>0</v>
      </c>
      <c r="F148" s="348">
        <f ca="1">Резиденты!F81/ИД!$C$274*ИД!$C$287*ИД!$C$107</f>
        <v>0</v>
      </c>
      <c r="G148" s="348">
        <f ca="1">Резиденты!G81/ИД!$C$274*ИД!$C$287*ИД!$C$107</f>
        <v>0</v>
      </c>
      <c r="H148" s="348">
        <f ca="1">Резиденты!H81/ИД!$C$274*ИД!$C$287*ИД!$C$107</f>
        <v>1169.6279369717577</v>
      </c>
      <c r="I148" s="348">
        <f ca="1">Резиденты!I81/ИД!$C$274*ИД!$C$287*ИД!$C$107</f>
        <v>1169.6279369717577</v>
      </c>
      <c r="J148" s="348">
        <f ca="1">Резиденты!J81/ИД!$C$274*ИД!$C$287*ИД!$C$107</f>
        <v>1169.6279369717577</v>
      </c>
      <c r="K148" s="348">
        <f ca="1">Резиденты!K81/ИД!$C$274*ИД!$C$287*ИД!$C$107</f>
        <v>1169.6279369717577</v>
      </c>
      <c r="L148" s="348">
        <f ca="1">Резиденты!L81/ИД!$C$274*ИД!$C$287*ИД!$C$107</f>
        <v>1169.6279369717577</v>
      </c>
      <c r="M148" s="348">
        <f ca="1">Резиденты!M81/ИД!$C$274*ИД!$C$287*ИД!$C$107</f>
        <v>1169.6279369717577</v>
      </c>
      <c r="N148" s="348">
        <f ca="1">Резиденты!N81/ИД!$C$274*ИД!$C$287*ИД!$C$107</f>
        <v>1776.7021662254147</v>
      </c>
      <c r="O148" s="348">
        <f ca="1">Резиденты!O81/ИД!$C$274*ИД!$C$287*ИД!$C$107</f>
        <v>1776.7021662254147</v>
      </c>
      <c r="P148" s="348">
        <f ca="1">Резиденты!P81/ИД!$C$274*ИД!$C$287*ИД!$C$107</f>
        <v>1776.7021662254147</v>
      </c>
      <c r="Q148" s="348">
        <f ca="1">Резиденты!Q81/ИД!$C$274*ИД!$C$287*ИД!$C$107</f>
        <v>1776.7021662254147</v>
      </c>
      <c r="R148" s="348">
        <f ca="1">Резиденты!R81/ИД!$C$274*ИД!$C$287*ИД!$C$107</f>
        <v>2093.3522516191688</v>
      </c>
      <c r="S148" s="348">
        <f ca="1">Резиденты!S81/ИД!$C$274*ИД!$C$287*ИД!$C$107</f>
        <v>2093.3522516191688</v>
      </c>
      <c r="T148" s="348">
        <f ca="1">Резиденты!T81/ИД!$C$274*ИД!$C$287*ИД!$C$107</f>
        <v>2093.3522516191688</v>
      </c>
      <c r="U148" s="348">
        <f ca="1">Резиденты!U81/ИД!$C$274*ИД!$C$287*ИД!$C$107</f>
        <v>2093.3522516191688</v>
      </c>
      <c r="V148" s="348">
        <f ca="1">Резиденты!V81/ИД!$C$274*ИД!$C$287*ИД!$C$107</f>
        <v>7152.3439999954544</v>
      </c>
      <c r="W148" s="348">
        <f ca="1">Резиденты!W81/ИД!$C$274*ИД!$C$287*ИД!$C$107</f>
        <v>7152.3439999954544</v>
      </c>
      <c r="X148" s="348">
        <f ca="1">Резиденты!X81/ИД!$C$274*ИД!$C$287*ИД!$C$107</f>
        <v>7152.3439999954544</v>
      </c>
      <c r="Y148" s="348">
        <f ca="1">Резиденты!Y81/ИД!$C$274*ИД!$C$287*ИД!$C$107</f>
        <v>7152.3439999954544</v>
      </c>
      <c r="Z148" s="348">
        <f ca="1">Резиденты!Z81/ИД!$C$274*ИД!$C$287*ИД!$C$107</f>
        <v>7152.3439999954544</v>
      </c>
      <c r="AA148" s="348">
        <f ca="1">Резиденты!AA81/ИД!$C$274*ИД!$C$287*ИД!$C$107</f>
        <v>7152.3439999954544</v>
      </c>
      <c r="AB148" s="348">
        <f ca="1">Резиденты!AB81/ИД!$C$274*ИД!$C$287*ИД!$C$107</f>
        <v>7152.3439999954544</v>
      </c>
      <c r="AC148" s="348">
        <f ca="1">Резиденты!AC81/ИД!$C$274*ИД!$C$287*ИД!$C$107</f>
        <v>7152.3439999954544</v>
      </c>
      <c r="AD148" s="348">
        <f ca="1">Резиденты!AD81/ИД!$C$274*ИД!$C$287*ИД!$C$107</f>
        <v>7152.3439999954544</v>
      </c>
      <c r="AE148" s="348">
        <f ca="1">Резиденты!AE81/ИД!$C$274*ИД!$C$287*ИД!$C$107</f>
        <v>7152.3439999954544</v>
      </c>
      <c r="AF148" s="348">
        <f ca="1">Резиденты!AF81/ИД!$C$274*ИД!$C$287*ИД!$C$107</f>
        <v>7152.3439999954544</v>
      </c>
      <c r="AG148" s="348">
        <f ca="1">Резиденты!AG81/ИД!$C$274*ИД!$C$287*ИД!$C$107</f>
        <v>7152.3439999954544</v>
      </c>
      <c r="AH148" s="348">
        <f ca="1">Резиденты!AH81/ИД!$C$274*ИД!$C$287*ИД!$C$107</f>
        <v>7152.3439999954544</v>
      </c>
      <c r="AI148" s="348">
        <f ca="1">Резиденты!AI81/ИД!$C$274*ИД!$C$287*ИД!$C$107</f>
        <v>7152.3439999954544</v>
      </c>
      <c r="AJ148" s="348">
        <f ca="1">Резиденты!AJ81/ИД!$C$274*ИД!$C$287*ИД!$C$107</f>
        <v>7152.3439999954544</v>
      </c>
      <c r="AK148" s="348">
        <f ca="1">Резиденты!AK81/ИД!$C$274*ИД!$C$287*ИД!$C$107</f>
        <v>7152.3439999954544</v>
      </c>
      <c r="AL148" s="348">
        <f ca="1">Резиденты!AL81/ИД!$C$274*ИД!$C$287*ИД!$C$107</f>
        <v>7152.3439999954544</v>
      </c>
      <c r="AM148" s="348">
        <f ca="1">Резиденты!AM81/ИД!$C$274*ИД!$C$287*ИД!$C$107</f>
        <v>7476.9247519403034</v>
      </c>
      <c r="AN148" s="348">
        <f ca="1">Резиденты!AN81/ИД!$C$274*ИД!$C$287*ИД!$C$107</f>
        <v>7476.9247519403034</v>
      </c>
      <c r="AO148" s="348">
        <f ca="1">Резиденты!AO81/ИД!$C$274*ИД!$C$287*ИД!$C$107</f>
        <v>7476.9247519403034</v>
      </c>
      <c r="AP148" s="348">
        <f ca="1">Резиденты!AP81/ИД!$C$274*ИД!$C$287*ИД!$C$107</f>
        <v>7476.9247519403034</v>
      </c>
      <c r="AQ148" s="348">
        <f ca="1">Резиденты!AQ81/ИД!$C$274*ИД!$C$287*ИД!$C$107</f>
        <v>12532.138339932406</v>
      </c>
      <c r="AR148" s="348">
        <f ca="1">Резиденты!AR81/ИД!$C$274*ИД!$C$287*ИД!$C$107</f>
        <v>12532.138339932406</v>
      </c>
      <c r="AS148" s="90"/>
      <c r="AT148" s="30">
        <f ca="1">SUM(E148:AS148)</f>
        <v>199059.80898075763</v>
      </c>
    </row>
    <row r="149" spans="1:46" collapsed="1" x14ac:dyDescent="0.2">
      <c r="A149" s="110" t="s">
        <v>67</v>
      </c>
      <c r="B149" s="9"/>
      <c r="C149" s="3" t="str">
        <f>CHOOSE(C147,Параметры!$B$64,Параметры!$B$108,Параметры!$B$117)</f>
        <v>тыс. руб.</v>
      </c>
      <c r="E149" s="111">
        <f t="shared" ref="E149:AR149" ca="1" si="61">E148*E155</f>
        <v>0</v>
      </c>
      <c r="F149" s="111">
        <f t="shared" ca="1" si="61"/>
        <v>0</v>
      </c>
      <c r="G149" s="111">
        <f t="shared" ca="1" si="61"/>
        <v>0</v>
      </c>
      <c r="H149" s="111">
        <f t="shared" ca="1" si="61"/>
        <v>1169.6279369717577</v>
      </c>
      <c r="I149" s="111">
        <f t="shared" ca="1" si="61"/>
        <v>1169.6279369717577</v>
      </c>
      <c r="J149" s="111">
        <f t="shared" ca="1" si="61"/>
        <v>1180.6336267155186</v>
      </c>
      <c r="K149" s="111">
        <f t="shared" ca="1" si="61"/>
        <v>1191.7428752089531</v>
      </c>
      <c r="L149" s="111">
        <f t="shared" ca="1" si="61"/>
        <v>1202.956656894816</v>
      </c>
      <c r="M149" s="111">
        <f t="shared" ca="1" si="61"/>
        <v>1214.2759553849444</v>
      </c>
      <c r="N149" s="111">
        <f t="shared" ca="1" si="61"/>
        <v>1865.0888359479086</v>
      </c>
      <c r="O149" s="111">
        <f t="shared" ca="1" si="61"/>
        <v>1885.8830222610738</v>
      </c>
      <c r="P149" s="111">
        <f t="shared" ca="1" si="61"/>
        <v>1906.9090464235105</v>
      </c>
      <c r="Q149" s="111">
        <f t="shared" ca="1" si="61"/>
        <v>1928.1694932340442</v>
      </c>
      <c r="R149" s="111">
        <f t="shared" ca="1" si="61"/>
        <v>2297.6149301243063</v>
      </c>
      <c r="S149" s="111">
        <f t="shared" ca="1" si="61"/>
        <v>2323.7082502656572</v>
      </c>
      <c r="T149" s="111">
        <f t="shared" ca="1" si="61"/>
        <v>2350.0979043779757</v>
      </c>
      <c r="U149" s="111">
        <f t="shared" ca="1" si="61"/>
        <v>2376.7872578368406</v>
      </c>
      <c r="V149" s="111">
        <f t="shared" ca="1" si="61"/>
        <v>8215.2668130532275</v>
      </c>
      <c r="W149" s="111">
        <f t="shared" ca="1" si="61"/>
        <v>8310.8789163415331</v>
      </c>
      <c r="X149" s="111">
        <f t="shared" ca="1" si="61"/>
        <v>8407.6037862025169</v>
      </c>
      <c r="Y149" s="111">
        <f t="shared" ca="1" si="61"/>
        <v>8505.4543733966275</v>
      </c>
      <c r="Z149" s="111">
        <f t="shared" ca="1" si="61"/>
        <v>8599.2162539688779</v>
      </c>
      <c r="AA149" s="111">
        <f t="shared" ca="1" si="61"/>
        <v>8694.0117407263479</v>
      </c>
      <c r="AB149" s="111">
        <f t="shared" ca="1" si="61"/>
        <v>8789.8522278703858</v>
      </c>
      <c r="AC149" s="111">
        <f t="shared" ca="1" si="61"/>
        <v>8886.7492352090067</v>
      </c>
      <c r="AD149" s="111">
        <f t="shared" ca="1" si="61"/>
        <v>8983.7719453597547</v>
      </c>
      <c r="AE149" s="111">
        <f t="shared" ca="1" si="61"/>
        <v>9081.853918693907</v>
      </c>
      <c r="AF149" s="111">
        <f t="shared" ca="1" si="61"/>
        <v>9181.0067199110053</v>
      </c>
      <c r="AG149" s="111">
        <f t="shared" ca="1" si="61"/>
        <v>9281.2420399703151</v>
      </c>
      <c r="AH149" s="111">
        <f t="shared" ca="1" si="61"/>
        <v>9383.0263660614983</v>
      </c>
      <c r="AI149" s="111">
        <f t="shared" ca="1" si="61"/>
        <v>9485.9269273497812</v>
      </c>
      <c r="AJ149" s="111">
        <f t="shared" ca="1" si="61"/>
        <v>9589.955965219111</v>
      </c>
      <c r="AK149" s="111">
        <f t="shared" ca="1" si="61"/>
        <v>9695.1258553006592</v>
      </c>
      <c r="AL149" s="111">
        <f t="shared" ca="1" si="61"/>
        <v>9804.5494145210123</v>
      </c>
      <c r="AM149" s="111">
        <f t="shared" ca="1" si="61"/>
        <v>10365.170347853835</v>
      </c>
      <c r="AN149" s="111">
        <f t="shared" ca="1" si="61"/>
        <v>10482.156331152579</v>
      </c>
      <c r="AO149" s="111">
        <f t="shared" ca="1" si="61"/>
        <v>10600.462670975052</v>
      </c>
      <c r="AP149" s="111">
        <f t="shared" ca="1" si="61"/>
        <v>10720.223118121479</v>
      </c>
      <c r="AQ149" s="111">
        <f t="shared" ca="1" si="61"/>
        <v>18171.258143855212</v>
      </c>
      <c r="AR149" s="111">
        <f t="shared" ca="1" si="61"/>
        <v>18376.550881358064</v>
      </c>
      <c r="AS149" s="112"/>
      <c r="AT149" s="113">
        <f ca="1">SUM(E149:AS149)</f>
        <v>255674.43772109083</v>
      </c>
    </row>
    <row r="150" spans="1:46" outlineLevel="1" x14ac:dyDescent="0.2">
      <c r="A150" s="114" t="s">
        <v>235</v>
      </c>
      <c r="B150" s="16"/>
      <c r="C150" s="21" t="str">
        <f>CHOOSE(C147,Параметры!$B$64,Параметры!$B$108,Параметры!$B$117)</f>
        <v>тыс. руб.</v>
      </c>
      <c r="E150" s="115">
        <f t="shared" ref="E150:AR150" ca="1" si="62">E149+E152-IF(E$2=1,0,0)+IF(E$2=1,0,0)</f>
        <v>0</v>
      </c>
      <c r="F150" s="115">
        <f t="shared" ca="1" si="62"/>
        <v>0</v>
      </c>
      <c r="G150" s="115">
        <f t="shared" ca="1" si="62"/>
        <v>0</v>
      </c>
      <c r="H150" s="115">
        <f t="shared" ca="1" si="62"/>
        <v>1403.5535243661093</v>
      </c>
      <c r="I150" s="115">
        <f t="shared" ca="1" si="62"/>
        <v>1403.5535243661093</v>
      </c>
      <c r="J150" s="115">
        <f t="shared" ca="1" si="62"/>
        <v>1416.7603520586224</v>
      </c>
      <c r="K150" s="115">
        <f t="shared" ca="1" si="62"/>
        <v>1430.0914502507437</v>
      </c>
      <c r="L150" s="115">
        <f t="shared" ca="1" si="62"/>
        <v>1443.5479882737791</v>
      </c>
      <c r="M150" s="115">
        <f t="shared" ca="1" si="62"/>
        <v>1457.1311464619332</v>
      </c>
      <c r="N150" s="115">
        <f t="shared" ca="1" si="62"/>
        <v>2238.1066031374903</v>
      </c>
      <c r="O150" s="115">
        <f t="shared" ca="1" si="62"/>
        <v>2263.0596267132887</v>
      </c>
      <c r="P150" s="115">
        <f t="shared" ca="1" si="62"/>
        <v>2288.2908557082128</v>
      </c>
      <c r="Q150" s="115">
        <f t="shared" ca="1" si="62"/>
        <v>2313.8033918808533</v>
      </c>
      <c r="R150" s="115">
        <f t="shared" ca="1" si="62"/>
        <v>2757.1379161491677</v>
      </c>
      <c r="S150" s="115">
        <f t="shared" ca="1" si="62"/>
        <v>2788.4499003187884</v>
      </c>
      <c r="T150" s="115">
        <f t="shared" ca="1" si="62"/>
        <v>2820.117485253571</v>
      </c>
      <c r="U150" s="115">
        <f t="shared" ca="1" si="62"/>
        <v>2852.1447094042087</v>
      </c>
      <c r="V150" s="115">
        <f t="shared" ca="1" si="62"/>
        <v>9858.3201756638737</v>
      </c>
      <c r="W150" s="115">
        <f t="shared" ca="1" si="62"/>
        <v>9973.0546996098401</v>
      </c>
      <c r="X150" s="115">
        <f t="shared" ca="1" si="62"/>
        <v>10089.12454344302</v>
      </c>
      <c r="Y150" s="115">
        <f t="shared" ca="1" si="62"/>
        <v>10206.545248075952</v>
      </c>
      <c r="Z150" s="115">
        <f t="shared" ca="1" si="62"/>
        <v>10319.059504762654</v>
      </c>
      <c r="AA150" s="115">
        <f t="shared" ca="1" si="62"/>
        <v>10432.814088871617</v>
      </c>
      <c r="AB150" s="115">
        <f t="shared" ca="1" si="62"/>
        <v>10547.822673444463</v>
      </c>
      <c r="AC150" s="115">
        <f t="shared" ca="1" si="62"/>
        <v>10664.099082250808</v>
      </c>
      <c r="AD150" s="115">
        <f t="shared" ca="1" si="62"/>
        <v>10780.526334431706</v>
      </c>
      <c r="AE150" s="115">
        <f t="shared" ca="1" si="62"/>
        <v>10898.224702432688</v>
      </c>
      <c r="AF150" s="115">
        <f t="shared" ca="1" si="62"/>
        <v>11017.208063893206</v>
      </c>
      <c r="AG150" s="115">
        <f t="shared" ca="1" si="62"/>
        <v>11137.490447964377</v>
      </c>
      <c r="AH150" s="115">
        <f t="shared" ca="1" si="62"/>
        <v>11259.631639273797</v>
      </c>
      <c r="AI150" s="115">
        <f t="shared" ca="1" si="62"/>
        <v>11383.112312819738</v>
      </c>
      <c r="AJ150" s="115">
        <f t="shared" ca="1" si="62"/>
        <v>11507.947158262934</v>
      </c>
      <c r="AK150" s="115">
        <f t="shared" ca="1" si="62"/>
        <v>11634.151026360791</v>
      </c>
      <c r="AL150" s="115">
        <f t="shared" ca="1" si="62"/>
        <v>11765.459297425215</v>
      </c>
      <c r="AM150" s="115">
        <f t="shared" ca="1" si="62"/>
        <v>12438.204417424602</v>
      </c>
      <c r="AN150" s="115">
        <f t="shared" ca="1" si="62"/>
        <v>12578.587597383095</v>
      </c>
      <c r="AO150" s="115">
        <f t="shared" ca="1" si="62"/>
        <v>12720.555205170062</v>
      </c>
      <c r="AP150" s="115">
        <f t="shared" ca="1" si="62"/>
        <v>12864.267741745774</v>
      </c>
      <c r="AQ150" s="115">
        <f t="shared" ca="1" si="62"/>
        <v>21805.509772626254</v>
      </c>
      <c r="AR150" s="115">
        <f t="shared" ca="1" si="62"/>
        <v>22051.861057629678</v>
      </c>
      <c r="AS150" s="115"/>
      <c r="AT150" s="103">
        <f ca="1">SUM(E150:AS150)</f>
        <v>306809.32526530902</v>
      </c>
    </row>
    <row r="151" spans="1:46" outlineLevel="1" x14ac:dyDescent="0.2">
      <c r="A151" s="114" t="s">
        <v>52</v>
      </c>
      <c r="B151" s="24"/>
      <c r="C151" s="2" t="s">
        <v>1</v>
      </c>
      <c r="E151" s="359">
        <f>Параметры!E$136</f>
        <v>0.2</v>
      </c>
      <c r="F151" s="359">
        <f>Параметры!F$136</f>
        <v>0.2</v>
      </c>
      <c r="G151" s="359">
        <f>Параметры!G$136</f>
        <v>0.2</v>
      </c>
      <c r="H151" s="359">
        <f>Параметры!H$136</f>
        <v>0.2</v>
      </c>
      <c r="I151" s="359">
        <f>Параметры!I$136</f>
        <v>0.2</v>
      </c>
      <c r="J151" s="359">
        <f>Параметры!J$136</f>
        <v>0.2</v>
      </c>
      <c r="K151" s="359">
        <f>Параметры!K$136</f>
        <v>0.2</v>
      </c>
      <c r="L151" s="359">
        <f>Параметры!L$136</f>
        <v>0.2</v>
      </c>
      <c r="M151" s="359">
        <f>Параметры!M$136</f>
        <v>0.2</v>
      </c>
      <c r="N151" s="359">
        <f>Параметры!N$136</f>
        <v>0.2</v>
      </c>
      <c r="O151" s="359">
        <f>Параметры!O$136</f>
        <v>0.2</v>
      </c>
      <c r="P151" s="359">
        <f>Параметры!P$136</f>
        <v>0.2</v>
      </c>
      <c r="Q151" s="359">
        <f>Параметры!Q$136</f>
        <v>0.2</v>
      </c>
      <c r="R151" s="359">
        <f>Параметры!R$136</f>
        <v>0.2</v>
      </c>
      <c r="S151" s="359">
        <f>Параметры!S$136</f>
        <v>0.2</v>
      </c>
      <c r="T151" s="359">
        <f>Параметры!T$136</f>
        <v>0.2</v>
      </c>
      <c r="U151" s="359">
        <f>Параметры!U$136</f>
        <v>0.2</v>
      </c>
      <c r="V151" s="359">
        <f>Параметры!V$136</f>
        <v>0.2</v>
      </c>
      <c r="W151" s="359">
        <f>Параметры!W$136</f>
        <v>0.2</v>
      </c>
      <c r="X151" s="359">
        <f>Параметры!X$136</f>
        <v>0.2</v>
      </c>
      <c r="Y151" s="359">
        <f>Параметры!Y$136</f>
        <v>0.2</v>
      </c>
      <c r="Z151" s="359">
        <f>Параметры!Z$136</f>
        <v>0.2</v>
      </c>
      <c r="AA151" s="359">
        <f>Параметры!AA$136</f>
        <v>0.2</v>
      </c>
      <c r="AB151" s="359">
        <f>Параметры!AB$136</f>
        <v>0.2</v>
      </c>
      <c r="AC151" s="359">
        <f>Параметры!AC$136</f>
        <v>0.2</v>
      </c>
      <c r="AD151" s="359">
        <f>Параметры!AD$136</f>
        <v>0.2</v>
      </c>
      <c r="AE151" s="359">
        <f>Параметры!AE$136</f>
        <v>0.2</v>
      </c>
      <c r="AF151" s="359">
        <f>Параметры!AF$136</f>
        <v>0.2</v>
      </c>
      <c r="AG151" s="359">
        <f>Параметры!AG$136</f>
        <v>0.2</v>
      </c>
      <c r="AH151" s="359">
        <f>Параметры!AH$136</f>
        <v>0.2</v>
      </c>
      <c r="AI151" s="359">
        <f>Параметры!AI$136</f>
        <v>0.2</v>
      </c>
      <c r="AJ151" s="359">
        <f>Параметры!AJ$136</f>
        <v>0.2</v>
      </c>
      <c r="AK151" s="359">
        <f>Параметры!AK$136</f>
        <v>0.2</v>
      </c>
      <c r="AL151" s="359">
        <f>Параметры!AL$136</f>
        <v>0.2</v>
      </c>
      <c r="AM151" s="359">
        <f>Параметры!AM$136</f>
        <v>0.2</v>
      </c>
      <c r="AN151" s="359">
        <f>Параметры!AN$136</f>
        <v>0.2</v>
      </c>
      <c r="AO151" s="359">
        <f>Параметры!AO$136</f>
        <v>0.2</v>
      </c>
      <c r="AP151" s="359">
        <f>Параметры!AP$136</f>
        <v>0.2</v>
      </c>
      <c r="AQ151" s="359">
        <f>Параметры!AQ$136</f>
        <v>0.2</v>
      </c>
      <c r="AR151" s="359">
        <f>Параметры!AR$136</f>
        <v>0.2</v>
      </c>
      <c r="AS151" s="118"/>
      <c r="AT151" s="116"/>
    </row>
    <row r="152" spans="1:46" outlineLevel="1" x14ac:dyDescent="0.2">
      <c r="A152" s="114" t="s">
        <v>64</v>
      </c>
      <c r="B152" s="2"/>
      <c r="C152" s="2" t="str">
        <f>CHOOSE(C147,Параметры!$B$64,Параметры!$B$108,Параметры!$B$117)</f>
        <v>тыс. руб.</v>
      </c>
      <c r="E152" s="121">
        <f t="shared" ref="E152:AR152" ca="1" si="63">(E149)*E151</f>
        <v>0</v>
      </c>
      <c r="F152" s="121">
        <f t="shared" ca="1" si="63"/>
        <v>0</v>
      </c>
      <c r="G152" s="121">
        <f t="shared" ca="1" si="63"/>
        <v>0</v>
      </c>
      <c r="H152" s="121">
        <f t="shared" ca="1" si="63"/>
        <v>233.92558739435154</v>
      </c>
      <c r="I152" s="121">
        <f t="shared" ca="1" si="63"/>
        <v>233.92558739435154</v>
      </c>
      <c r="J152" s="121">
        <f t="shared" ca="1" si="63"/>
        <v>236.12672534310374</v>
      </c>
      <c r="K152" s="121">
        <f t="shared" ca="1" si="63"/>
        <v>238.34857504179064</v>
      </c>
      <c r="L152" s="121">
        <f t="shared" ca="1" si="63"/>
        <v>240.59133137896322</v>
      </c>
      <c r="M152" s="121">
        <f t="shared" ca="1" si="63"/>
        <v>242.85519107698889</v>
      </c>
      <c r="N152" s="121">
        <f t="shared" ca="1" si="63"/>
        <v>373.01776718958172</v>
      </c>
      <c r="O152" s="121">
        <f t="shared" ca="1" si="63"/>
        <v>377.1766044522148</v>
      </c>
      <c r="P152" s="121">
        <f t="shared" ca="1" si="63"/>
        <v>381.38180928470211</v>
      </c>
      <c r="Q152" s="121">
        <f t="shared" ca="1" si="63"/>
        <v>385.63389864680886</v>
      </c>
      <c r="R152" s="121">
        <f t="shared" ca="1" si="63"/>
        <v>459.52298602486127</v>
      </c>
      <c r="S152" s="121">
        <f t="shared" ca="1" si="63"/>
        <v>464.74165005313148</v>
      </c>
      <c r="T152" s="121">
        <f t="shared" ca="1" si="63"/>
        <v>470.01958087559518</v>
      </c>
      <c r="U152" s="121">
        <f t="shared" ca="1" si="63"/>
        <v>475.35745156736812</v>
      </c>
      <c r="V152" s="121">
        <f t="shared" ca="1" si="63"/>
        <v>1643.0533626106455</v>
      </c>
      <c r="W152" s="121">
        <f t="shared" ca="1" si="63"/>
        <v>1662.1757832683068</v>
      </c>
      <c r="X152" s="121">
        <f t="shared" ca="1" si="63"/>
        <v>1681.5207572405034</v>
      </c>
      <c r="Y152" s="121">
        <f t="shared" ca="1" si="63"/>
        <v>1701.0908746793257</v>
      </c>
      <c r="Z152" s="121">
        <f t="shared" ca="1" si="63"/>
        <v>1719.8432507937757</v>
      </c>
      <c r="AA152" s="121">
        <f t="shared" ca="1" si="63"/>
        <v>1738.8023481452697</v>
      </c>
      <c r="AB152" s="121">
        <f t="shared" ca="1" si="63"/>
        <v>1757.9704455740773</v>
      </c>
      <c r="AC152" s="121">
        <f t="shared" ca="1" si="63"/>
        <v>1777.3498470418015</v>
      </c>
      <c r="AD152" s="121">
        <f t="shared" ca="1" si="63"/>
        <v>1796.754389071951</v>
      </c>
      <c r="AE152" s="121">
        <f t="shared" ca="1" si="63"/>
        <v>1816.3707837387815</v>
      </c>
      <c r="AF152" s="121">
        <f t="shared" ca="1" si="63"/>
        <v>1836.2013439822013</v>
      </c>
      <c r="AG152" s="121">
        <f t="shared" ca="1" si="63"/>
        <v>1856.2484079940632</v>
      </c>
      <c r="AH152" s="121">
        <f t="shared" ca="1" si="63"/>
        <v>1876.6052732122998</v>
      </c>
      <c r="AI152" s="121">
        <f t="shared" ca="1" si="63"/>
        <v>1897.1853854699564</v>
      </c>
      <c r="AJ152" s="121">
        <f t="shared" ca="1" si="63"/>
        <v>1917.9911930438222</v>
      </c>
      <c r="AK152" s="121">
        <f t="shared" ca="1" si="63"/>
        <v>1939.0251710601319</v>
      </c>
      <c r="AL152" s="121">
        <f t="shared" ca="1" si="63"/>
        <v>1960.9098829042025</v>
      </c>
      <c r="AM152" s="121">
        <f t="shared" ca="1" si="63"/>
        <v>2073.0340695707669</v>
      </c>
      <c r="AN152" s="121">
        <f t="shared" ca="1" si="63"/>
        <v>2096.431266230516</v>
      </c>
      <c r="AO152" s="121">
        <f t="shared" ca="1" si="63"/>
        <v>2120.0925341950106</v>
      </c>
      <c r="AP152" s="121">
        <f t="shared" ca="1" si="63"/>
        <v>2144.044623624296</v>
      </c>
      <c r="AQ152" s="121">
        <f t="shared" ca="1" si="63"/>
        <v>3634.2516287710423</v>
      </c>
      <c r="AR152" s="121">
        <f t="shared" ca="1" si="63"/>
        <v>3675.3101762716128</v>
      </c>
      <c r="AS152" s="115"/>
      <c r="AT152" s="103">
        <f ca="1">SUM(E152:AS152)</f>
        <v>51134.88754421816</v>
      </c>
    </row>
    <row r="153" spans="1:46" outlineLevel="1" x14ac:dyDescent="0.2">
      <c r="A153" s="951" t="str">
        <f>Параметры!$A$76</f>
        <v>Изменение цен в обрабатывающей промышленности</v>
      </c>
      <c r="B153" s="263" t="s">
        <v>391</v>
      </c>
      <c r="C153" s="2" t="s">
        <v>14</v>
      </c>
      <c r="E153" s="358">
        <f>CHOOSE($C$147,Параметры!E$76,Параметры!E$113,Параметры!E$122)</f>
        <v>0</v>
      </c>
      <c r="F153" s="358">
        <f>CHOOSE($C$147,Параметры!F$76,Параметры!F$113,Параметры!F$122)</f>
        <v>0</v>
      </c>
      <c r="G153" s="358">
        <f>CHOOSE($C$147,Параметры!G$76,Параметры!G$113,Параметры!G$122)</f>
        <v>0</v>
      </c>
      <c r="H153" s="358">
        <f>CHOOSE($C$147,Параметры!H$76,Параметры!H$113,Параметры!H$122)</f>
        <v>0</v>
      </c>
      <c r="I153" s="358">
        <f>CHOOSE($C$147,Параметры!I$76,Параметры!I$113,Параметры!I$122)</f>
        <v>3.8172838559912936E-2</v>
      </c>
      <c r="J153" s="358">
        <f>CHOOSE($C$147,Параметры!J$76,Параметры!J$113,Параметры!J$122)</f>
        <v>3.8172838559912936E-2</v>
      </c>
      <c r="K153" s="358">
        <f>CHOOSE($C$147,Параметры!K$76,Параметры!K$113,Параметры!K$122)</f>
        <v>3.8172838559912936E-2</v>
      </c>
      <c r="L153" s="358">
        <f>CHOOSE($C$147,Параметры!L$76,Параметры!L$113,Параметры!L$122)</f>
        <v>3.8172838559912936E-2</v>
      </c>
      <c r="M153" s="358">
        <f>CHOOSE($C$147,Параметры!M$76,Параметры!M$113,Параметры!M$122)</f>
        <v>4.5348049235927501E-2</v>
      </c>
      <c r="N153" s="358">
        <f>CHOOSE($C$147,Параметры!N$76,Параметры!N$113,Параметры!N$122)</f>
        <v>4.5348049235927501E-2</v>
      </c>
      <c r="O153" s="358">
        <f>CHOOSE($C$147,Параметры!O$76,Параметры!O$113,Параметры!O$122)</f>
        <v>4.5348049235927501E-2</v>
      </c>
      <c r="P153" s="358">
        <f>CHOOSE($C$147,Параметры!P$76,Параметры!P$113,Параметры!P$122)</f>
        <v>4.5348049235927501E-2</v>
      </c>
      <c r="Q153" s="358">
        <f>CHOOSE($C$147,Параметры!Q$76,Параметры!Q$113,Параметры!Q$122)</f>
        <v>4.6206517341587539E-2</v>
      </c>
      <c r="R153" s="358">
        <f>CHOOSE($C$147,Параметры!R$76,Параметры!R$113,Параметры!R$122)</f>
        <v>4.6206517341587539E-2</v>
      </c>
      <c r="S153" s="358">
        <f>CHOOSE($C$147,Параметры!S$76,Параметры!S$113,Параметры!S$122)</f>
        <v>4.6206517341587539E-2</v>
      </c>
      <c r="T153" s="358">
        <f>CHOOSE($C$147,Параметры!T$76,Параметры!T$113,Параметры!T$122)</f>
        <v>4.6206517341587539E-2</v>
      </c>
      <c r="U153" s="358">
        <f>CHOOSE($C$147,Параметры!U$76,Параметры!U$113,Параметры!U$122)</f>
        <v>4.7372407398639682E-2</v>
      </c>
      <c r="V153" s="358">
        <f>CHOOSE($C$147,Параметры!V$76,Параметры!V$113,Параметры!V$122)</f>
        <v>4.7372407398639682E-2</v>
      </c>
      <c r="W153" s="358">
        <f>CHOOSE($C$147,Параметры!W$76,Параметры!W$113,Параметры!W$122)</f>
        <v>4.7372407398639682E-2</v>
      </c>
      <c r="X153" s="358">
        <f>CHOOSE($C$147,Параметры!X$76,Параметры!X$113,Параметры!X$122)</f>
        <v>4.7372407398639682E-2</v>
      </c>
      <c r="Y153" s="358">
        <f>CHOOSE($C$147,Параметры!Y$76,Параметры!Y$113,Параметры!Y$122)</f>
        <v>4.4829452381167423E-2</v>
      </c>
      <c r="Z153" s="358">
        <f>CHOOSE($C$147,Параметры!Z$76,Параметры!Z$113,Параметры!Z$122)</f>
        <v>4.4829452381167423E-2</v>
      </c>
      <c r="AA153" s="358">
        <f>CHOOSE($C$147,Параметры!AA$76,Параметры!AA$113,Параметры!AA$122)</f>
        <v>4.4829452381167423E-2</v>
      </c>
      <c r="AB153" s="358">
        <f>CHOOSE($C$147,Параметры!AB$76,Параметры!AB$113,Параметры!AB$122)</f>
        <v>4.4829452381167423E-2</v>
      </c>
      <c r="AC153" s="358">
        <f>CHOOSE($C$147,Параметры!AC$76,Параметры!AC$113,Параметры!AC$122)</f>
        <v>4.4391125969701406E-2</v>
      </c>
      <c r="AD153" s="358">
        <f>CHOOSE($C$147,Параметры!AD$76,Параметры!AD$113,Параметры!AD$122)</f>
        <v>4.4391125969701406E-2</v>
      </c>
      <c r="AE153" s="358">
        <f>CHOOSE($C$147,Параметры!AE$76,Параметры!AE$113,Параметры!AE$122)</f>
        <v>4.4391125969701406E-2</v>
      </c>
      <c r="AF153" s="358">
        <f>CHOOSE($C$147,Параметры!AF$76,Параметры!AF$113,Параметры!AF$122)</f>
        <v>4.4391125969701406E-2</v>
      </c>
      <c r="AG153" s="358">
        <f>CHOOSE($C$147,Параметры!AG$76,Параметры!AG$113,Параметры!AG$122)</f>
        <v>4.4593580638013997E-2</v>
      </c>
      <c r="AH153" s="358">
        <f>CHOOSE($C$147,Параметры!AH$76,Параметры!AH$113,Параметры!AH$122)</f>
        <v>4.4593580638013997E-2</v>
      </c>
      <c r="AI153" s="358">
        <f>CHOOSE($C$147,Параметры!AI$76,Параметры!AI$113,Параметры!AI$122)</f>
        <v>4.4593580638013997E-2</v>
      </c>
      <c r="AJ153" s="358">
        <f>CHOOSE($C$147,Параметры!AJ$76,Параметры!AJ$113,Параметры!AJ$122)</f>
        <v>4.4593580638013997E-2</v>
      </c>
      <c r="AK153" s="358">
        <f>CHOOSE($C$147,Параметры!AK$76,Параметры!AK$113,Параметры!AK$122)</f>
        <v>4.5915873363622683E-2</v>
      </c>
      <c r="AL153" s="358">
        <f>CHOOSE($C$147,Параметры!AL$76,Параметры!AL$113,Параметры!AL$122)</f>
        <v>4.5915873363622683E-2</v>
      </c>
      <c r="AM153" s="358">
        <f>CHOOSE($C$147,Параметры!AM$76,Параметры!AM$113,Параметры!AM$122)</f>
        <v>4.5915873363622683E-2</v>
      </c>
      <c r="AN153" s="358">
        <f>CHOOSE($C$147,Параметры!AN$76,Параметры!AN$113,Параметры!AN$122)</f>
        <v>4.5915873363622683E-2</v>
      </c>
      <c r="AO153" s="358">
        <f>CHOOSE($C$147,Параметры!AO$76,Параметры!AO$113,Параметры!AO$122)</f>
        <v>4.5962256408293101E-2</v>
      </c>
      <c r="AP153" s="358">
        <f>CHOOSE($C$147,Параметры!AP$76,Параметры!AP$113,Параметры!AP$122)</f>
        <v>4.5962256408293101E-2</v>
      </c>
      <c r="AQ153" s="358">
        <f>CHOOSE($C$147,Параметры!AQ$76,Параметры!AQ$113,Параметры!AQ$122)</f>
        <v>4.5962256408293101E-2</v>
      </c>
      <c r="AR153" s="358">
        <f>CHOOSE($C$147,Параметры!AR$76,Параметры!AR$113,Параметры!AR$122)</f>
        <v>4.5962256408293101E-2</v>
      </c>
      <c r="AS153" s="118"/>
      <c r="AT153" s="119"/>
    </row>
    <row r="154" spans="1:46" outlineLevel="1" x14ac:dyDescent="0.2">
      <c r="A154" s="302" t="s">
        <v>392</v>
      </c>
      <c r="B154" s="24"/>
      <c r="C154" s="2" t="s">
        <v>133</v>
      </c>
      <c r="E154" s="416">
        <f ca="1">IF(E$2=1,1,IF(Параметры!$B$62=1,POWER(1+OFFSET(E153,0,-1),Параметры!E$39/360),1) * IF(E$2&gt;1,D154, 1))</f>
        <v>1</v>
      </c>
      <c r="F154" s="416">
        <f ca="1">IF(F$2=1,1,IF(Параметры!$B$62=1,POWER(1+OFFSET(F153,0,-1),Параметры!F$39/360),1) * IF(F$2&gt;1,E154, 1))</f>
        <v>1</v>
      </c>
      <c r="G154" s="416">
        <f ca="1">IF(G$2=1,1,IF(Параметры!$B$62=1,POWER(1+OFFSET(G153,0,-1),Параметры!G$39/360),1) * IF(G$2&gt;1,F154, 1))</f>
        <v>1</v>
      </c>
      <c r="H154" s="416">
        <f ca="1">IF(H$2=1,1,IF(Параметры!$B$62=1,POWER(1+OFFSET(H153,0,-1),Параметры!H$39/360),1) * IF(H$2&gt;1,G154, 1))</f>
        <v>1</v>
      </c>
      <c r="I154" s="416">
        <f ca="1">IF(I$2=1,1,IF(Параметры!$B$62=1,POWER(1+OFFSET(I153,0,-1),Параметры!I$39/360),1) * IF(I$2&gt;1,H154, 1))</f>
        <v>1</v>
      </c>
      <c r="J154" s="416">
        <f ca="1">IF(J$2=1,1,IF(Параметры!$B$62=1,POWER(1+OFFSET(J153,0,-1),Параметры!J$39/360),1) * IF(J$2&gt;1,I154, 1))</f>
        <v>1.0094095646964927</v>
      </c>
      <c r="K154" s="416">
        <f ca="1">IF(K$2=1,1,IF(Параметры!$B$62=1,POWER(1+OFFSET(K153,0,-1),Параметры!K$39/360),1) * IF(K$2&gt;1,J154, 1))</f>
        <v>1.0189076693007628</v>
      </c>
      <c r="L154" s="416">
        <f ca="1">IF(L$2=1,1,IF(Параметры!$B$62=1,POWER(1+OFFSET(L153,0,-1),Параметры!L$39/360),1) * IF(L$2&gt;1,K154, 1))</f>
        <v>1.0284951469348009</v>
      </c>
      <c r="M154" s="416">
        <f ca="1">IF(M$2=1,1,IF(Параметры!$B$62=1,POWER(1+OFFSET(M153,0,-1),Параметры!M$39/360),1) * IF(M$2&gt;1,L154, 1))</f>
        <v>1.0381728385599127</v>
      </c>
      <c r="N154" s="416">
        <f ca="1">IF(N$2=1,1,IF(Параметры!$B$62=1,POWER(1+OFFSET(N153,0,-1),Параметры!N$39/360),1) * IF(N$2&gt;1,M154, 1))</f>
        <v>1.0497476005842163</v>
      </c>
      <c r="O154" s="416">
        <f ca="1">IF(O$2=1,1,IF(Параметры!$B$62=1,POWER(1+OFFSET(O153,0,-1),Параметры!O$39/360),1) * IF(O$2&gt;1,N154, 1))</f>
        <v>1.0614514115596609</v>
      </c>
      <c r="P154" s="416">
        <f ca="1">IF(P$2=1,1,IF(Параметры!$B$62=1,POWER(1+OFFSET(P153,0,-1),Параметры!P$39/360),1) * IF(P$2&gt;1,O154, 1))</f>
        <v>1.0732857102745132</v>
      </c>
      <c r="Q154" s="416">
        <f ca="1">IF(Q$2=1,1,IF(Параметры!$B$62=1,POWER(1+OFFSET(Q153,0,-1),Параметры!Q$39/360),1) * IF(Q$2&gt;1,P154, 1))</f>
        <v>1.0852519515583303</v>
      </c>
      <c r="R154" s="416">
        <f ca="1">IF(R$2=1,1,IF(Параметры!$B$62=1,POWER(1+OFFSET(R153,0,-1),Параметры!R$39/360),1) * IF(R$2&gt;1,Q154, 1))</f>
        <v>1.0975768308210643</v>
      </c>
      <c r="S154" s="416">
        <f ca="1">IF(S$2=1,1,IF(Параметры!$B$62=1,POWER(1+OFFSET(S153,0,-1),Параметры!S$39/360),1) * IF(S$2&gt;1,R154, 1))</f>
        <v>1.1100416800222286</v>
      </c>
      <c r="T154" s="416">
        <f ca="1">IF(T$2=1,1,IF(Параметры!$B$62=1,POWER(1+OFFSET(T153,0,-1),Параметры!T$39/360),1) * IF(T$2&gt;1,S154, 1))</f>
        <v>1.1226480887582198</v>
      </c>
      <c r="U154" s="416">
        <f ca="1">IF(U$2=1,1,IF(Параметры!$B$62=1,POWER(1+OFFSET(U153,0,-1),Параметры!U$39/360),1) * IF(U$2&gt;1,T154, 1))</f>
        <v>1.1353976646780015</v>
      </c>
      <c r="V154" s="416">
        <f ca="1">IF(V$2=1,1,IF(Параметры!$B$62=1,POWER(1+OFFSET(V153,0,-1),Параметры!V$39/360),1) * IF(V$2&gt;1,U154, 1))</f>
        <v>1.1486118135618826</v>
      </c>
      <c r="W154" s="416">
        <f ca="1">IF(W$2=1,1,IF(Параметры!$B$62=1,POWER(1+OFFSET(W153,0,-1),Параметры!W$39/360),1) * IF(W$2&gt;1,V154, 1))</f>
        <v>1.1619797532594649</v>
      </c>
      <c r="X154" s="416">
        <f ca="1">IF(X$2=1,1,IF(Параметры!$B$62=1,POWER(1+OFFSET(X153,0,-1),Параметры!X$39/360),1) * IF(X$2&gt;1,W154, 1))</f>
        <v>1.1755032736411812</v>
      </c>
      <c r="Y154" s="416">
        <f ca="1">IF(Y$2=1,1,IF(Параметры!$B$62=1,POWER(1+OFFSET(Y153,0,-1),Параметры!Y$39/360),1) * IF(Y$2&gt;1,X154, 1))</f>
        <v>1.1891841854085923</v>
      </c>
      <c r="Z154" s="416">
        <f ca="1">IF(Z$2=1,1,IF(Параметры!$B$62=1,POWER(1+OFFSET(Z153,0,-1),Параметры!Z$39/360),1) * IF(Z$2&gt;1,Y154, 1))</f>
        <v>1.2022934375044521</v>
      </c>
      <c r="AA154" s="416">
        <f ca="1">IF(AA$2=1,1,IF(Параметры!$B$62=1,POWER(1+OFFSET(AA153,0,-1),Параметры!AA$39/360),1) * IF(AA$2&gt;1,Z154, 1))</f>
        <v>1.2155472025299501</v>
      </c>
      <c r="AB154" s="416">
        <f ca="1">IF(AB$2=1,1,IF(Параметры!$B$62=1,POWER(1+OFFSET(AB153,0,-1),Параметры!AB$39/360),1) * IF(AB$2&gt;1,AA154, 1))</f>
        <v>1.2289470735574202</v>
      </c>
      <c r="AC154" s="416">
        <f ca="1">IF(AC$2=1,1,IF(Параметры!$B$62=1,POWER(1+OFFSET(AC153,0,-1),Параметры!AC$39/360),1) * IF(AC$2&gt;1,AB154, 1))</f>
        <v>1.2424946612208045</v>
      </c>
      <c r="AD154" s="416">
        <f ca="1">IF(AD$2=1,1,IF(Параметры!$B$62=1,POWER(1+OFFSET(AD153,0,-1),Параметры!AD$39/360),1) * IF(AD$2&gt;1,AC154, 1))</f>
        <v>1.256059823935407</v>
      </c>
      <c r="AE154" s="416">
        <f ca="1">IF(AE$2=1,1,IF(Параметры!$B$62=1,POWER(1+OFFSET(AE153,0,-1),Параметры!AE$39/360),1) * IF(AE$2&gt;1,AD154, 1))</f>
        <v>1.2697730867949975</v>
      </c>
      <c r="AF154" s="416">
        <f ca="1">IF(AF$2=1,1,IF(Параметры!$B$62=1,POWER(1+OFFSET(AF153,0,-1),Параметры!AF$39/360),1) * IF(AF$2&gt;1,AE154, 1))</f>
        <v>1.2836360667099962</v>
      </c>
      <c r="AG154" s="416">
        <f ca="1">IF(AG$2=1,1,IF(Параметры!$B$62=1,POWER(1+OFFSET(AG153,0,-1),Параметры!AG$39/360),1) * IF(AG$2&gt;1,AF154, 1))</f>
        <v>1.2976503982437386</v>
      </c>
      <c r="AH154" s="416">
        <f ca="1">IF(AH$2=1,1,IF(Параметры!$B$62=1,POWER(1+OFFSET(AH153,0,-1),Параметры!AH$39/360),1) * IF(AH$2&gt;1,AG154, 1))</f>
        <v>1.3118813029780811</v>
      </c>
      <c r="AI154" s="416">
        <f ca="1">IF(AI$2=1,1,IF(Параметры!$B$62=1,POWER(1+OFFSET(AI153,0,-1),Параметры!AI$39/360),1) * IF(AI$2&gt;1,AH154, 1))</f>
        <v>1.3262682733598676</v>
      </c>
      <c r="AJ154" s="416">
        <f ca="1">IF(AJ$2=1,1,IF(Параметры!$B$62=1,POWER(1+OFFSET(AJ153,0,-1),Параметры!AJ$39/360),1) * IF(AJ$2&gt;1,AI154, 1))</f>
        <v>1.3408130209096774</v>
      </c>
      <c r="AK154" s="416">
        <f ca="1">IF(AK$2=1,1,IF(Параметры!$B$62=1,POWER(1+OFFSET(AK153,0,-1),Параметры!AK$39/360),1) * IF(AK$2&gt;1,AJ154, 1))</f>
        <v>1.355517275917772</v>
      </c>
      <c r="AL154" s="416">
        <f ca="1">IF(AL$2=1,1,IF(Параметры!$B$62=1,POWER(1+OFFSET(AL153,0,-1),Параметры!AL$39/360),1) * IF(AL$2&gt;1,AK154, 1))</f>
        <v>1.3708162547169491</v>
      </c>
      <c r="AM154" s="416">
        <f ca="1">IF(AM$2=1,1,IF(Параметры!$B$62=1,POWER(1+OFFSET(AM153,0,-1),Параметры!AM$39/360),1) * IF(AM$2&gt;1,AL154, 1))</f>
        <v>1.3862879046848793</v>
      </c>
      <c r="AN154" s="416">
        <f ca="1">IF(AN$2=1,1,IF(Параметры!$B$62=1,POWER(1+OFFSET(AN153,0,-1),Параметры!AN$39/360),1) * IF(AN$2&gt;1,AM154, 1))</f>
        <v>1.4019341746661822</v>
      </c>
      <c r="AO154" s="416">
        <f ca="1">IF(AO$2=1,1,IF(Параметры!$B$62=1,POWER(1+OFFSET(AO153,0,-1),Параметры!AO$39/360),1) * IF(AO$2&gt;1,AN154, 1))</f>
        <v>1.4177570355010158</v>
      </c>
      <c r="AP154" s="416">
        <f ca="1">IF(AP$2=1,1,IF(Параметры!$B$62=1,POWER(1+OFFSET(AP153,0,-1),Параметры!AP$39/360),1) * IF(AP$2&gt;1,AO154, 1))</f>
        <v>1.4337743756668839</v>
      </c>
      <c r="AQ154" s="416">
        <f ca="1">IF(AQ$2=1,1,IF(Параметры!$B$62=1,POWER(1+OFFSET(AQ153,0,-1),Параметры!AQ$39/360),1) * IF(AQ$2&gt;1,AP154, 1))</f>
        <v>1.4499726743323855</v>
      </c>
      <c r="AR154" s="416">
        <f ca="1">IF(AR$2=1,1,IF(Параметры!$B$62=1,POWER(1+OFFSET(AR153,0,-1),Параметры!AR$39/360),1) * IF(AR$2&gt;1,AQ154, 1))</f>
        <v>1.4663539759055342</v>
      </c>
      <c r="AS154" s="120"/>
      <c r="AT154" s="116"/>
    </row>
    <row r="155" spans="1:46" outlineLevel="1" x14ac:dyDescent="0.2">
      <c r="A155" s="319" t="s">
        <v>491</v>
      </c>
      <c r="B155" s="24"/>
      <c r="C155" s="2" t="s">
        <v>133</v>
      </c>
      <c r="D155" s="310"/>
      <c r="E155" s="417">
        <f>IF(E$2=1,1,CHOOSE($B$8,E154,IF(Параметры!E$43=1,E154,D155),IF(Параметры!E$48=1,E154,D155),IF(Параметры!E$45&lt;&gt;Параметры!D$45,E154,D155),IF(Параметры!E$50&lt;&gt;Параметры!D$50,E154,D155)))</f>
        <v>1</v>
      </c>
      <c r="F155" s="417">
        <f ca="1">IF(F$2=1,1,CHOOSE($B$8,F154,IF(Параметры!F$43=1,F154,E155),IF(Параметры!F$48=1,F154,E155),IF(Параметры!F$45&lt;&gt;Параметры!E$45,F154,E155),IF(Параметры!F$50&lt;&gt;Параметры!E$50,F154,E155)))</f>
        <v>1</v>
      </c>
      <c r="G155" s="417">
        <f ca="1">IF(G$2=1,1,CHOOSE($B$8,G154,IF(Параметры!G$43=1,G154,F155),IF(Параметры!G$48=1,G154,F155),IF(Параметры!G$45&lt;&gt;Параметры!F$45,G154,F155),IF(Параметры!G$50&lt;&gt;Параметры!F$50,G154,F155)))</f>
        <v>1</v>
      </c>
      <c r="H155" s="417">
        <f ca="1">IF(H$2=1,1,CHOOSE($B$8,H154,IF(Параметры!H$43=1,H154,G155),IF(Параметры!H$48=1,H154,G155),IF(Параметры!H$45&lt;&gt;Параметры!G$45,H154,G155),IF(Параметры!H$50&lt;&gt;Параметры!G$50,H154,G155)))</f>
        <v>1</v>
      </c>
      <c r="I155" s="417">
        <f ca="1">IF(I$2=1,1,CHOOSE($B$8,I154,IF(Параметры!I$43=1,I154,H155),IF(Параметры!I$48=1,I154,H155),IF(Параметры!I$45&lt;&gt;Параметры!H$45,I154,H155),IF(Параметры!I$50&lt;&gt;Параметры!H$50,I154,H155)))</f>
        <v>1</v>
      </c>
      <c r="J155" s="417">
        <f ca="1">IF(J$2=1,1,CHOOSE($B$8,J154,IF(Параметры!J$43=1,J154,I155),IF(Параметры!J$48=1,J154,I155),IF(Параметры!J$45&lt;&gt;Параметры!I$45,J154,I155),IF(Параметры!J$50&lt;&gt;Параметры!I$50,J154,I155)))</f>
        <v>1.0094095646964927</v>
      </c>
      <c r="K155" s="417">
        <f ca="1">IF(K$2=1,1,CHOOSE($B$8,K154,IF(Параметры!K$43=1,K154,J155),IF(Параметры!K$48=1,K154,J155),IF(Параметры!K$45&lt;&gt;Параметры!J$45,K154,J155),IF(Параметры!K$50&lt;&gt;Параметры!J$50,K154,J155)))</f>
        <v>1.0189076693007628</v>
      </c>
      <c r="L155" s="417">
        <f ca="1">IF(L$2=1,1,CHOOSE($B$8,L154,IF(Параметры!L$43=1,L154,K155),IF(Параметры!L$48=1,L154,K155),IF(Параметры!L$45&lt;&gt;Параметры!K$45,L154,K155),IF(Параметры!L$50&lt;&gt;Параметры!K$50,L154,K155)))</f>
        <v>1.0284951469348009</v>
      </c>
      <c r="M155" s="417">
        <f ca="1">IF(M$2=1,1,CHOOSE($B$8,M154,IF(Параметры!M$43=1,M154,L155),IF(Параметры!M$48=1,M154,L155),IF(Параметры!M$45&lt;&gt;Параметры!L$45,M154,L155),IF(Параметры!M$50&lt;&gt;Параметры!L$50,M154,L155)))</f>
        <v>1.0381728385599127</v>
      </c>
      <c r="N155" s="417">
        <f ca="1">IF(N$2=1,1,CHOOSE($B$8,N154,IF(Параметры!N$43=1,N154,M155),IF(Параметры!N$48=1,N154,M155),IF(Параметры!N$45&lt;&gt;Параметры!M$45,N154,M155),IF(Параметры!N$50&lt;&gt;Параметры!M$50,N154,M155)))</f>
        <v>1.0497476005842163</v>
      </c>
      <c r="O155" s="417">
        <f ca="1">IF(O$2=1,1,CHOOSE($B$8,O154,IF(Параметры!O$43=1,O154,N155),IF(Параметры!O$48=1,O154,N155),IF(Параметры!O$45&lt;&gt;Параметры!N$45,O154,N155),IF(Параметры!O$50&lt;&gt;Параметры!N$50,O154,N155)))</f>
        <v>1.0614514115596609</v>
      </c>
      <c r="P155" s="417">
        <f ca="1">IF(P$2=1,1,CHOOSE($B$8,P154,IF(Параметры!P$43=1,P154,O155),IF(Параметры!P$48=1,P154,O155),IF(Параметры!P$45&lt;&gt;Параметры!O$45,P154,O155),IF(Параметры!P$50&lt;&gt;Параметры!O$50,P154,O155)))</f>
        <v>1.0732857102745132</v>
      </c>
      <c r="Q155" s="417">
        <f ca="1">IF(Q$2=1,1,CHOOSE($B$8,Q154,IF(Параметры!Q$43=1,Q154,P155),IF(Параметры!Q$48=1,Q154,P155),IF(Параметры!Q$45&lt;&gt;Параметры!P$45,Q154,P155),IF(Параметры!Q$50&lt;&gt;Параметры!P$50,Q154,P155)))</f>
        <v>1.0852519515583303</v>
      </c>
      <c r="R155" s="417">
        <f ca="1">IF(R$2=1,1,CHOOSE($B$8,R154,IF(Параметры!R$43=1,R154,Q155),IF(Параметры!R$48=1,R154,Q155),IF(Параметры!R$45&lt;&gt;Параметры!Q$45,R154,Q155),IF(Параметры!R$50&lt;&gt;Параметры!Q$50,R154,Q155)))</f>
        <v>1.0975768308210643</v>
      </c>
      <c r="S155" s="417">
        <f ca="1">IF(S$2=1,1,CHOOSE($B$8,S154,IF(Параметры!S$43=1,S154,R155),IF(Параметры!S$48=1,S154,R155),IF(Параметры!S$45&lt;&gt;Параметры!R$45,S154,R155),IF(Параметры!S$50&lt;&gt;Параметры!R$50,S154,R155)))</f>
        <v>1.1100416800222286</v>
      </c>
      <c r="T155" s="417">
        <f ca="1">IF(T$2=1,1,CHOOSE($B$8,T154,IF(Параметры!T$43=1,T154,S155),IF(Параметры!T$48=1,T154,S155),IF(Параметры!T$45&lt;&gt;Параметры!S$45,T154,S155),IF(Параметры!T$50&lt;&gt;Параметры!S$50,T154,S155)))</f>
        <v>1.1226480887582198</v>
      </c>
      <c r="U155" s="417">
        <f ca="1">IF(U$2=1,1,CHOOSE($B$8,U154,IF(Параметры!U$43=1,U154,T155),IF(Параметры!U$48=1,U154,T155),IF(Параметры!U$45&lt;&gt;Параметры!T$45,U154,T155),IF(Параметры!U$50&lt;&gt;Параметры!T$50,U154,T155)))</f>
        <v>1.1353976646780015</v>
      </c>
      <c r="V155" s="417">
        <f ca="1">IF(V$2=1,1,CHOOSE($B$8,V154,IF(Параметры!V$43=1,V154,U155),IF(Параметры!V$48=1,V154,U155),IF(Параметры!V$45&lt;&gt;Параметры!U$45,V154,U155),IF(Параметры!V$50&lt;&gt;Параметры!U$50,V154,U155)))</f>
        <v>1.1486118135618826</v>
      </c>
      <c r="W155" s="417">
        <f ca="1">IF(W$2=1,1,CHOOSE($B$8,W154,IF(Параметры!W$43=1,W154,V155),IF(Параметры!W$48=1,W154,V155),IF(Параметры!W$45&lt;&gt;Параметры!V$45,W154,V155),IF(Параметры!W$50&lt;&gt;Параметры!V$50,W154,V155)))</f>
        <v>1.1619797532594649</v>
      </c>
      <c r="X155" s="417">
        <f ca="1">IF(X$2=1,1,CHOOSE($B$8,X154,IF(Параметры!X$43=1,X154,W155),IF(Параметры!X$48=1,X154,W155),IF(Параметры!X$45&lt;&gt;Параметры!W$45,X154,W155),IF(Параметры!X$50&lt;&gt;Параметры!W$50,X154,W155)))</f>
        <v>1.1755032736411812</v>
      </c>
      <c r="Y155" s="417">
        <f ca="1">IF(Y$2=1,1,CHOOSE($B$8,Y154,IF(Параметры!Y$43=1,Y154,X155),IF(Параметры!Y$48=1,Y154,X155),IF(Параметры!Y$45&lt;&gt;Параметры!X$45,Y154,X155),IF(Параметры!Y$50&lt;&gt;Параметры!X$50,Y154,X155)))</f>
        <v>1.1891841854085923</v>
      </c>
      <c r="Z155" s="417">
        <f ca="1">IF(Z$2=1,1,CHOOSE($B$8,Z154,IF(Параметры!Z$43=1,Z154,Y155),IF(Параметры!Z$48=1,Z154,Y155),IF(Параметры!Z$45&lt;&gt;Параметры!Y$45,Z154,Y155),IF(Параметры!Z$50&lt;&gt;Параметры!Y$50,Z154,Y155)))</f>
        <v>1.2022934375044521</v>
      </c>
      <c r="AA155" s="417">
        <f ca="1">IF(AA$2=1,1,CHOOSE($B$8,AA154,IF(Параметры!AA$43=1,AA154,Z155),IF(Параметры!AA$48=1,AA154,Z155),IF(Параметры!AA$45&lt;&gt;Параметры!Z$45,AA154,Z155),IF(Параметры!AA$50&lt;&gt;Параметры!Z$50,AA154,Z155)))</f>
        <v>1.2155472025299501</v>
      </c>
      <c r="AB155" s="417">
        <f ca="1">IF(AB$2=1,1,CHOOSE($B$8,AB154,IF(Параметры!AB$43=1,AB154,AA155),IF(Параметры!AB$48=1,AB154,AA155),IF(Параметры!AB$45&lt;&gt;Параметры!AA$45,AB154,AA155),IF(Параметры!AB$50&lt;&gt;Параметры!AA$50,AB154,AA155)))</f>
        <v>1.2289470735574202</v>
      </c>
      <c r="AC155" s="417">
        <f ca="1">IF(AC$2=1,1,CHOOSE($B$8,AC154,IF(Параметры!AC$43=1,AC154,AB155),IF(Параметры!AC$48=1,AC154,AB155),IF(Параметры!AC$45&lt;&gt;Параметры!AB$45,AC154,AB155),IF(Параметры!AC$50&lt;&gt;Параметры!AB$50,AC154,AB155)))</f>
        <v>1.2424946612208045</v>
      </c>
      <c r="AD155" s="417">
        <f ca="1">IF(AD$2=1,1,CHOOSE($B$8,AD154,IF(Параметры!AD$43=1,AD154,AC155),IF(Параметры!AD$48=1,AD154,AC155),IF(Параметры!AD$45&lt;&gt;Параметры!AC$45,AD154,AC155),IF(Параметры!AD$50&lt;&gt;Параметры!AC$50,AD154,AC155)))</f>
        <v>1.256059823935407</v>
      </c>
      <c r="AE155" s="417">
        <f ca="1">IF(AE$2=1,1,CHOOSE($B$8,AE154,IF(Параметры!AE$43=1,AE154,AD155),IF(Параметры!AE$48=1,AE154,AD155),IF(Параметры!AE$45&lt;&gt;Параметры!AD$45,AE154,AD155),IF(Параметры!AE$50&lt;&gt;Параметры!AD$50,AE154,AD155)))</f>
        <v>1.2697730867949975</v>
      </c>
      <c r="AF155" s="417">
        <f ca="1">IF(AF$2=1,1,CHOOSE($B$8,AF154,IF(Параметры!AF$43=1,AF154,AE155),IF(Параметры!AF$48=1,AF154,AE155),IF(Параметры!AF$45&lt;&gt;Параметры!AE$45,AF154,AE155),IF(Параметры!AF$50&lt;&gt;Параметры!AE$50,AF154,AE155)))</f>
        <v>1.2836360667099962</v>
      </c>
      <c r="AG155" s="417">
        <f ca="1">IF(AG$2=1,1,CHOOSE($B$8,AG154,IF(Параметры!AG$43=1,AG154,AF155),IF(Параметры!AG$48=1,AG154,AF155),IF(Параметры!AG$45&lt;&gt;Параметры!AF$45,AG154,AF155),IF(Параметры!AG$50&lt;&gt;Параметры!AF$50,AG154,AF155)))</f>
        <v>1.2976503982437386</v>
      </c>
      <c r="AH155" s="417">
        <f ca="1">IF(AH$2=1,1,CHOOSE($B$8,AH154,IF(Параметры!AH$43=1,AH154,AG155),IF(Параметры!AH$48=1,AH154,AG155),IF(Параметры!AH$45&lt;&gt;Параметры!AG$45,AH154,AG155),IF(Параметры!AH$50&lt;&gt;Параметры!AG$50,AH154,AG155)))</f>
        <v>1.3118813029780811</v>
      </c>
      <c r="AI155" s="417">
        <f ca="1">IF(AI$2=1,1,CHOOSE($B$8,AI154,IF(Параметры!AI$43=1,AI154,AH155),IF(Параметры!AI$48=1,AI154,AH155),IF(Параметры!AI$45&lt;&gt;Параметры!AH$45,AI154,AH155),IF(Параметры!AI$50&lt;&gt;Параметры!AH$50,AI154,AH155)))</f>
        <v>1.3262682733598676</v>
      </c>
      <c r="AJ155" s="417">
        <f ca="1">IF(AJ$2=1,1,CHOOSE($B$8,AJ154,IF(Параметры!AJ$43=1,AJ154,AI155),IF(Параметры!AJ$48=1,AJ154,AI155),IF(Параметры!AJ$45&lt;&gt;Параметры!AI$45,AJ154,AI155),IF(Параметры!AJ$50&lt;&gt;Параметры!AI$50,AJ154,AI155)))</f>
        <v>1.3408130209096774</v>
      </c>
      <c r="AK155" s="417">
        <f ca="1">IF(AK$2=1,1,CHOOSE($B$8,AK154,IF(Параметры!AK$43=1,AK154,AJ155),IF(Параметры!AK$48=1,AK154,AJ155),IF(Параметры!AK$45&lt;&gt;Параметры!AJ$45,AK154,AJ155),IF(Параметры!AK$50&lt;&gt;Параметры!AJ$50,AK154,AJ155)))</f>
        <v>1.355517275917772</v>
      </c>
      <c r="AL155" s="417">
        <f ca="1">IF(AL$2=1,1,CHOOSE($B$8,AL154,IF(Параметры!AL$43=1,AL154,AK155),IF(Параметры!AL$48=1,AL154,AK155),IF(Параметры!AL$45&lt;&gt;Параметры!AK$45,AL154,AK155),IF(Параметры!AL$50&lt;&gt;Параметры!AK$50,AL154,AK155)))</f>
        <v>1.3708162547169491</v>
      </c>
      <c r="AM155" s="417">
        <f ca="1">IF(AM$2=1,1,CHOOSE($B$8,AM154,IF(Параметры!AM$43=1,AM154,AL155),IF(Параметры!AM$48=1,AM154,AL155),IF(Параметры!AM$45&lt;&gt;Параметры!AL$45,AM154,AL155),IF(Параметры!AM$50&lt;&gt;Параметры!AL$50,AM154,AL155)))</f>
        <v>1.3862879046848793</v>
      </c>
      <c r="AN155" s="417">
        <f ca="1">IF(AN$2=1,1,CHOOSE($B$8,AN154,IF(Параметры!AN$43=1,AN154,AM155),IF(Параметры!AN$48=1,AN154,AM155),IF(Параметры!AN$45&lt;&gt;Параметры!AM$45,AN154,AM155),IF(Параметры!AN$50&lt;&gt;Параметры!AM$50,AN154,AM155)))</f>
        <v>1.4019341746661822</v>
      </c>
      <c r="AO155" s="417">
        <f ca="1">IF(AO$2=1,1,CHOOSE($B$8,AO154,IF(Параметры!AO$43=1,AO154,AN155),IF(Параметры!AO$48=1,AO154,AN155),IF(Параметры!AO$45&lt;&gt;Параметры!AN$45,AO154,AN155),IF(Параметры!AO$50&lt;&gt;Параметры!AN$50,AO154,AN155)))</f>
        <v>1.4177570355010158</v>
      </c>
      <c r="AP155" s="417">
        <f ca="1">IF(AP$2=1,1,CHOOSE($B$8,AP154,IF(Параметры!AP$43=1,AP154,AO155),IF(Параметры!AP$48=1,AP154,AO155),IF(Параметры!AP$45&lt;&gt;Параметры!AO$45,AP154,AO155),IF(Параметры!AP$50&lt;&gt;Параметры!AO$50,AP154,AO155)))</f>
        <v>1.4337743756668839</v>
      </c>
      <c r="AQ155" s="417">
        <f ca="1">IF(AQ$2=1,1,CHOOSE($B$8,AQ154,IF(Параметры!AQ$43=1,AQ154,AP155),IF(Параметры!AQ$48=1,AQ154,AP155),IF(Параметры!AQ$45&lt;&gt;Параметры!AP$45,AQ154,AP155),IF(Параметры!AQ$50&lt;&gt;Параметры!AP$50,AQ154,AP155)))</f>
        <v>1.4499726743323855</v>
      </c>
      <c r="AR155" s="417">
        <f ca="1">IF(AR$2=1,1,CHOOSE($B$8,AR154,IF(Параметры!AR$43=1,AR154,AQ155),IF(Параметры!AR$48=1,AR154,AQ155),IF(Параметры!AR$45&lt;&gt;Параметры!AQ$45,AR154,AQ155),IF(Параметры!AR$50&lt;&gt;Параметры!AQ$50,AR154,AQ155)))</f>
        <v>1.4663539759055342</v>
      </c>
      <c r="AS155" s="120"/>
      <c r="AT155" s="116"/>
    </row>
    <row r="156" spans="1:46" x14ac:dyDescent="0.2">
      <c r="AS156" s="1"/>
    </row>
    <row r="157" spans="1:46" s="60" customFormat="1" x14ac:dyDescent="0.2">
      <c r="A157" s="60" t="s">
        <v>96</v>
      </c>
      <c r="D157" s="169"/>
      <c r="AS157" s="62"/>
      <c r="AT157" s="256"/>
    </row>
    <row r="158" spans="1:46" s="60" customFormat="1" collapsed="1" x14ac:dyDescent="0.2">
      <c r="A158" s="63" t="s">
        <v>163</v>
      </c>
      <c r="B158" s="29"/>
      <c r="C158" s="266" t="str">
        <f>Параметры!$B$64</f>
        <v>тыс. руб.</v>
      </c>
      <c r="D158" s="40"/>
      <c r="E158" s="82">
        <f ca="1">SUM(E$115*CHOOSE($C$110,1,Параметры!E$109,Параметры!E$118),E$129*CHOOSE($C$122,1,Параметры!E$109,Параметры!E$118),E$139*CHOOSE($C$136,1,Параметры!E$109,Параметры!E$118),E$149*CHOOSE($C$147,1,Параметры!E$109,Параметры!E$118))</f>
        <v>0</v>
      </c>
      <c r="F158" s="82">
        <f ca="1">SUM(F$115*CHOOSE($C$110,1,Параметры!F$109,Параметры!F$118),F$129*CHOOSE($C$122,1,Параметры!F$109,Параметры!F$118),F$139*CHOOSE($C$136,1,Параметры!F$109,Параметры!F$118),F$149*CHOOSE($C$147,1,Параметры!F$109,Параметры!F$118))</f>
        <v>0</v>
      </c>
      <c r="G158" s="82">
        <f ca="1">SUM(G$115*CHOOSE($C$110,1,Параметры!G$109,Параметры!G$118),G$129*CHOOSE($C$122,1,Параметры!G$109,Параметры!G$118),G$139*CHOOSE($C$136,1,Параметры!G$109,Параметры!G$118),G$149*CHOOSE($C$147,1,Параметры!G$109,Параметры!G$118))</f>
        <v>25071.324149913133</v>
      </c>
      <c r="H158" s="82">
        <f ca="1">SUM(H$115*CHOOSE($C$110,1,Параметры!H$109,Параметры!H$118),H$129*CHOOSE($C$122,1,Параметры!H$109,Параметры!H$118),H$139*CHOOSE($C$136,1,Параметры!H$109,Параметры!H$118),H$149*CHOOSE($C$147,1,Параметры!H$109,Параметры!H$118))</f>
        <v>34916.785420218221</v>
      </c>
      <c r="I158" s="82">
        <f ca="1">SUM(I$115*CHOOSE($C$110,1,Параметры!I$109,Параметры!I$118),I$129*CHOOSE($C$122,1,Параметры!I$109,Параметры!I$118),I$139*CHOOSE($C$136,1,Параметры!I$109,Параметры!I$118),I$149*CHOOSE($C$147,1,Параметры!I$109,Параметры!I$118))</f>
        <v>34916.785420218221</v>
      </c>
      <c r="J158" s="82">
        <f ca="1">SUM(J$115*CHOOSE($C$110,1,Параметры!J$109,Параметры!J$118),J$129*CHOOSE($C$122,1,Параметры!J$109,Параметры!J$118),J$139*CHOOSE($C$136,1,Параметры!J$109,Параметры!J$118),J$149*CHOOSE($C$147,1,Параметры!J$109,Параметры!J$118))</f>
        <v>35261.234120059606</v>
      </c>
      <c r="K158" s="82">
        <f ca="1">SUM(K$115*CHOOSE($C$110,1,Параметры!K$109,Параметры!K$118),K$129*CHOOSE($C$122,1,Параметры!K$109,Параметры!K$118),K$139*CHOOSE($C$136,1,Параметры!K$109,Параметры!K$118),K$149*CHOOSE($C$147,1,Параметры!K$109,Параметры!K$118))</f>
        <v>35609.081004013933</v>
      </c>
      <c r="L158" s="82">
        <f ca="1">SUM(L$115*CHOOSE($C$110,1,Параметры!L$109,Параметры!L$118),L$129*CHOOSE($C$122,1,Параметры!L$109,Параметры!L$118),L$139*CHOOSE($C$136,1,Параметры!L$109,Параметры!L$118),L$149*CHOOSE($C$147,1,Параметры!L$109,Параметры!L$118))</f>
        <v>35960.359599481919</v>
      </c>
      <c r="M158" s="82">
        <f ca="1">SUM(M$115*CHOOSE($C$110,1,Параметры!M$109,Параметры!M$118),M$129*CHOOSE($C$122,1,Параметры!M$109,Параметры!M$118),M$139*CHOOSE($C$136,1,Параметры!M$109,Параметры!M$118),M$149*CHOOSE($C$147,1,Параметры!M$109,Параметры!M$118))</f>
        <v>56271.066424927863</v>
      </c>
      <c r="N158" s="82">
        <f ca="1">SUM(N$115*CHOOSE($C$110,1,Параметры!N$109,Параметры!N$118),N$129*CHOOSE($C$122,1,Параметры!N$109,Параметры!N$118),N$139*CHOOSE($C$136,1,Параметры!N$109,Параметры!N$118),N$149*CHOOSE($C$147,1,Параметры!N$109,Параметры!N$118))</f>
        <v>57463.726036515502</v>
      </c>
      <c r="O158" s="82">
        <f ca="1">SUM(O$115*CHOOSE($C$110,1,Параметры!O$109,Параметры!O$118),O$129*CHOOSE($C$122,1,Параметры!O$109,Параметры!O$118),O$139*CHOOSE($C$136,1,Параметры!O$109,Параметры!O$118),O$149*CHOOSE($C$147,1,Параметры!O$109,Параметры!O$118))</f>
        <v>58031.699590888995</v>
      </c>
      <c r="P158" s="82">
        <f ca="1">SUM(P$115*CHOOSE($C$110,1,Параметры!P$109,Параметры!P$118),P$129*CHOOSE($C$122,1,Параметры!P$109,Параметры!P$118),P$139*CHOOSE($C$136,1,Параметры!P$109,Параметры!P$118),P$149*CHOOSE($C$147,1,Параметры!P$109,Параметры!P$118))</f>
        <v>58605.290101810824</v>
      </c>
      <c r="Q158" s="82">
        <f ca="1">SUM(Q$115*CHOOSE($C$110,1,Параметры!Q$109,Параметры!Q$118),Q$129*CHOOSE($C$122,1,Параметры!Q$109,Параметры!Q$118),Q$139*CHOOSE($C$136,1,Параметры!Q$109,Параметры!Q$118),Q$149*CHOOSE($C$147,1,Параметры!Q$109,Параметры!Q$118))</f>
        <v>69734.162679297035</v>
      </c>
      <c r="R158" s="82">
        <f ca="1">SUM(R$115*CHOOSE($C$110,1,Параметры!R$109,Параметры!R$118),R$129*CHOOSE($C$122,1,Параметры!R$109,Параметры!R$118),R$139*CHOOSE($C$136,1,Параметры!R$109,Параметры!R$118),R$149*CHOOSE($C$147,1,Параметры!R$109,Параметры!R$118))</f>
        <v>70787.829728361176</v>
      </c>
      <c r="S158" s="82">
        <f ca="1">SUM(S$115*CHOOSE($C$110,1,Параметры!S$109,Параметры!S$118),S$129*CHOOSE($C$122,1,Параметры!S$109,Параметры!S$118),S$139*CHOOSE($C$136,1,Параметры!S$109,Параметры!S$118),S$149*CHOOSE($C$147,1,Параметры!S$109,Параметры!S$118))</f>
        <v>71505.087956921081</v>
      </c>
      <c r="T158" s="82">
        <f ca="1">SUM(T$115*CHOOSE($C$110,1,Параметры!T$109,Параметры!T$118),T$129*CHOOSE($C$122,1,Параметры!T$109,Параметры!T$118),T$139*CHOOSE($C$136,1,Параметры!T$109,Параметры!T$118),T$149*CHOOSE($C$147,1,Параметры!T$109,Параметры!T$118))</f>
        <v>72229.656731606927</v>
      </c>
      <c r="U158" s="82">
        <f ca="1">SUM(U$115*CHOOSE($C$110,1,Параметры!U$109,Параметры!U$118),U$129*CHOOSE($C$122,1,Параметры!U$109,Параметры!U$118),U$139*CHOOSE($C$136,1,Параметры!U$109,Параметры!U$118),U$149*CHOOSE($C$147,1,Параметры!U$109,Параметры!U$118))</f>
        <v>223097.12975466804</v>
      </c>
      <c r="V158" s="82">
        <f ca="1">SUM(V$115*CHOOSE($C$110,1,Параметры!V$109,Параметры!V$118),V$129*CHOOSE($C$122,1,Параметры!V$109,Параметры!V$118),V$139*CHOOSE($C$136,1,Параметры!V$109,Параметры!V$118),V$149*CHOOSE($C$147,1,Параметры!V$109,Параметры!V$118))</f>
        <v>231329.69391086538</v>
      </c>
      <c r="W158" s="82">
        <f ca="1">SUM(W$115*CHOOSE($C$110,1,Параметры!W$109,Параметры!W$118),W$129*CHOOSE($C$122,1,Параметры!W$109,Параметры!W$118),W$139*CHOOSE($C$136,1,Параметры!W$109,Параметры!W$118),W$149*CHOOSE($C$147,1,Параметры!W$109,Параметры!W$118))</f>
        <v>233845.53134516915</v>
      </c>
      <c r="X158" s="82">
        <f ca="1">SUM(X$115*CHOOSE($C$110,1,Параметры!X$109,Параметры!X$118),X$129*CHOOSE($C$122,1,Параметры!X$109,Параметры!X$118),X$139*CHOOSE($C$136,1,Параметры!X$109,Параметры!X$118),X$149*CHOOSE($C$147,1,Параметры!X$109,Параметры!X$118))</f>
        <v>236388.90952232145</v>
      </c>
      <c r="Y158" s="82">
        <f ca="1">SUM(Y$115*CHOOSE($C$110,1,Параметры!Y$109,Параметры!Y$118),Y$129*CHOOSE($C$122,1,Параметры!Y$109,Параметры!Y$118),Y$139*CHOOSE($C$136,1,Параметры!Y$109,Параметры!Y$118),Y$149*CHOOSE($C$147,1,Параметры!Y$109,Параметры!Y$118))</f>
        <v>238960.13181472587</v>
      </c>
      <c r="Z158" s="82">
        <f ca="1">SUM(Z$115*CHOOSE($C$110,1,Параметры!Z$109,Параметры!Z$118),Z$129*CHOOSE($C$122,1,Параметры!Z$109,Параметры!Z$118),Z$139*CHOOSE($C$136,1,Параметры!Z$109,Параметры!Z$118),Z$149*CHOOSE($C$147,1,Параметры!Z$109,Параметры!Z$118))</f>
        <v>241512.59612897201</v>
      </c>
      <c r="AA158" s="82">
        <f ca="1">SUM(AA$115*CHOOSE($C$110,1,Параметры!AA$109,Параметры!AA$118),AA$129*CHOOSE($C$122,1,Параметры!AA$109,Параметры!AA$118),AA$139*CHOOSE($C$136,1,Параметры!AA$109,Параметры!AA$118),AA$149*CHOOSE($C$147,1,Параметры!AA$109,Параметры!AA$118))</f>
        <v>244092.44579944079</v>
      </c>
      <c r="AB158" s="82">
        <f ca="1">SUM(AB$115*CHOOSE($C$110,1,Параметры!AB$109,Параметры!AB$118),AB$129*CHOOSE($C$122,1,Параметры!AB$109,Параметры!AB$118),AB$139*CHOOSE($C$136,1,Параметры!AB$109,Параметры!AB$118),AB$149*CHOOSE($C$147,1,Параметры!AB$109,Параметры!AB$118))</f>
        <v>246699.9759013413</v>
      </c>
      <c r="AC158" s="82">
        <f ca="1">SUM(AC$115*CHOOSE($C$110,1,Параметры!AC$109,Параметры!AC$118),AC$129*CHOOSE($C$122,1,Параметры!AC$109,Параметры!AC$118),AC$139*CHOOSE($C$136,1,Параметры!AC$109,Параметры!AC$118),AC$149*CHOOSE($C$147,1,Параметры!AC$109,Параметры!AC$118))</f>
        <v>249335.48470231105</v>
      </c>
      <c r="AD158" s="82">
        <f ca="1">SUM(AD$115*CHOOSE($C$110,1,Параметры!AD$109,Параметры!AD$118),AD$129*CHOOSE($C$122,1,Параметры!AD$109,Параметры!AD$118),AD$139*CHOOSE($C$136,1,Параметры!AD$109,Параметры!AD$118),AD$149*CHOOSE($C$147,1,Параметры!AD$109,Параметры!AD$118))</f>
        <v>252001.81765699279</v>
      </c>
      <c r="AE158" s="82">
        <f ca="1">SUM(AE$115*CHOOSE($C$110,1,Параметры!AE$109,Параметры!AE$118),AE$129*CHOOSE($C$122,1,Параметры!AE$109,Параметры!AE$118),AE$139*CHOOSE($C$136,1,Параметры!AE$109,Параметры!AE$118),AE$149*CHOOSE($C$147,1,Параметры!AE$109,Параметры!AE$118))</f>
        <v>254696.79743400466</v>
      </c>
      <c r="AF158" s="82">
        <f ca="1">SUM(AF$115*CHOOSE($C$110,1,Параметры!AF$109,Параметры!AF$118),AF$129*CHOOSE($C$122,1,Параметры!AF$109,Параметры!AF$118),AF$139*CHOOSE($C$136,1,Параметры!AF$109,Параметры!AF$118),AF$149*CHOOSE($C$147,1,Параметры!AF$109,Параметры!AF$118))</f>
        <v>257420.73320236267</v>
      </c>
      <c r="AG158" s="82">
        <f ca="1">SUM(AG$115*CHOOSE($C$110,1,Параметры!AG$109,Параметры!AG$118),AG$129*CHOOSE($C$122,1,Параметры!AG$109,Параметры!AG$118),AG$139*CHOOSE($C$136,1,Параметры!AG$109,Параметры!AG$118),AG$149*CHOOSE($C$147,1,Параметры!AG$109,Параметры!AG$118))</f>
        <v>260173.93748216136</v>
      </c>
      <c r="AH158" s="82">
        <f ca="1">SUM(AH$115*CHOOSE($C$110,1,Параметры!AH$109,Параметры!AH$118),AH$129*CHOOSE($C$122,1,Параметры!AH$109,Параметры!AH$118),AH$139*CHOOSE($C$136,1,Параметры!AH$109,Параметры!AH$118),AH$149*CHOOSE($C$147,1,Параметры!AH$109,Параметры!AH$118))</f>
        <v>262952.87737606553</v>
      </c>
      <c r="AI158" s="82">
        <f ca="1">SUM(AI$115*CHOOSE($C$110,1,Параметры!AI$109,Параметры!AI$118),AI$129*CHOOSE($C$122,1,Параметры!AI$109,Параметры!AI$118),AI$139*CHOOSE($C$136,1,Параметры!AI$109,Параметры!AI$118),AI$149*CHOOSE($C$147,1,Параметры!AI$109,Параметры!AI$118))</f>
        <v>265761.64292801742</v>
      </c>
      <c r="AJ158" s="82">
        <f ca="1">SUM(AJ$115*CHOOSE($C$110,1,Параметры!AJ$109,Параметры!AJ$118),AJ$129*CHOOSE($C$122,1,Параметры!AJ$109,Параметры!AJ$118),AJ$139*CHOOSE($C$136,1,Параметры!AJ$109,Параметры!AJ$118),AJ$149*CHOOSE($C$147,1,Параметры!AJ$109,Параметры!AJ$118))</f>
        <v>268600.5557381899</v>
      </c>
      <c r="AK158" s="82">
        <f ca="1">SUM(AK$115*CHOOSE($C$110,1,Параметры!AK$109,Параметры!AK$118),AK$129*CHOOSE($C$122,1,Параметры!AK$109,Параметры!AK$118),AK$139*CHOOSE($C$136,1,Параметры!AK$109,Параметры!AK$118),AK$149*CHOOSE($C$147,1,Параметры!AK$109,Параметры!AK$118))</f>
        <v>260816.41396512967</v>
      </c>
      <c r="AL158" s="82">
        <f ca="1">SUM(AL$115*CHOOSE($C$110,1,Параметры!AL$109,Параметры!AL$118),AL$129*CHOOSE($C$122,1,Параметры!AL$109,Параметры!AL$118),AL$139*CHOOSE($C$136,1,Параметры!AL$109,Параметры!AL$118),AL$149*CHOOSE($C$147,1,Параметры!AL$109,Параметры!AL$118))</f>
        <v>263599.43148178671</v>
      </c>
      <c r="AM158" s="82">
        <f ca="1">SUM(AM$115*CHOOSE($C$110,1,Параметры!AM$109,Параметры!AM$118),AM$129*CHOOSE($C$122,1,Параметры!AM$109,Параметры!AM$118),AM$139*CHOOSE($C$136,1,Параметры!AM$109,Параметры!AM$118),AM$149*CHOOSE($C$147,1,Параметры!AM$109,Параметры!AM$118))</f>
        <v>266862.26578875439</v>
      </c>
      <c r="AN158" s="82">
        <f ca="1">SUM(AN$115*CHOOSE($C$110,1,Параметры!AN$109,Параметры!AN$118),AN$129*CHOOSE($C$122,1,Параметры!AN$109,Параметры!AN$118),AN$139*CHOOSE($C$136,1,Параметры!AN$109,Параметры!AN$118),AN$149*CHOOSE($C$147,1,Параметры!AN$109,Параметры!AN$118))</f>
        <v>269710.392526699</v>
      </c>
      <c r="AO158" s="82">
        <f ca="1">SUM(AO$115*CHOOSE($C$110,1,Параметры!AO$109,Параметры!AO$118),AO$129*CHOOSE($C$122,1,Параметры!AO$109,Параметры!AO$118),AO$139*CHOOSE($C$136,1,Параметры!AO$109,Параметры!AO$118),AO$149*CHOOSE($C$147,1,Параметры!AO$109,Параметры!AO$118))</f>
        <v>125810.32581140756</v>
      </c>
      <c r="AP158" s="82">
        <f ca="1">SUM(AP$115*CHOOSE($C$110,1,Параметры!AP$109,Параметры!AP$118),AP$129*CHOOSE($C$122,1,Параметры!AP$109,Параметры!AP$118),AP$139*CHOOSE($C$136,1,Параметры!AP$109,Параметры!AP$118),AP$149*CHOOSE($C$147,1,Параметры!AP$109,Параметры!AP$118))</f>
        <v>127052.70843140391</v>
      </c>
      <c r="AQ158" s="82">
        <f ca="1">SUM(AQ$115*CHOOSE($C$110,1,Параметры!AQ$109,Параметры!AQ$118),AQ$129*CHOOSE($C$122,1,Параметры!AQ$109,Параметры!AQ$118),AQ$139*CHOOSE($C$136,1,Параметры!AQ$109,Параметры!AQ$118),AQ$149*CHOOSE($C$147,1,Параметры!AQ$109,Параметры!AQ$118))</f>
        <v>135637.30462868631</v>
      </c>
      <c r="AR158" s="82">
        <f ca="1">SUM(AR$115*CHOOSE($C$110,1,Параметры!AR$109,Параметры!AR$118),AR$129*CHOOSE($C$122,1,Параметры!AR$109,Параметры!AR$118),AR$139*CHOOSE($C$136,1,Параметры!AR$109,Параметры!AR$118),AR$149*CHOOSE($C$147,1,Параметры!AR$109,Параметры!AR$118))</f>
        <v>136987.20412767932</v>
      </c>
      <c r="AS158" s="90"/>
      <c r="AT158" s="103">
        <f ca="1">SUM(E158:AS158)</f>
        <v>6269710.3964233911</v>
      </c>
    </row>
    <row r="159" spans="1:46" s="60" customFormat="1" outlineLevel="1" x14ac:dyDescent="0.2">
      <c r="A159" s="63" t="s">
        <v>64</v>
      </c>
      <c r="B159" s="29"/>
      <c r="C159" s="266" t="str">
        <f>Параметры!$B$64</f>
        <v>тыс. руб.</v>
      </c>
      <c r="D159" s="40"/>
      <c r="E159" s="82">
        <f ca="1">SUM(E$118*CHOOSE($C$110,1,Параметры!E$109,Параметры!E$118),E$132*CHOOSE($C$122,1,Параметры!E$109,Параметры!E$118),E$143*CHOOSE($C$136,1,Параметры!E$109,Параметры!E$118),E$152*CHOOSE($C$147,1,Параметры!E$109,Параметры!E$118))</f>
        <v>0</v>
      </c>
      <c r="F159" s="82">
        <f ca="1">SUM(F$118*CHOOSE($C$110,1,Параметры!F$109,Параметры!F$118),F$132*CHOOSE($C$122,1,Параметры!F$109,Параметры!F$118),F$143*CHOOSE($C$136,1,Параметры!F$109,Параметры!F$118),F$152*CHOOSE($C$147,1,Параметры!F$109,Параметры!F$118))</f>
        <v>0</v>
      </c>
      <c r="G159" s="82">
        <f ca="1">SUM(G$118*CHOOSE($C$110,1,Параметры!G$109,Параметры!G$118),G$132*CHOOSE($C$122,1,Параметры!G$109,Параметры!G$118),G$143*CHOOSE($C$136,1,Параметры!G$109,Параметры!G$118),G$152*CHOOSE($C$147,1,Параметры!G$109,Параметры!G$118))</f>
        <v>5014.2648299826269</v>
      </c>
      <c r="H159" s="82">
        <f ca="1">SUM(H$118*CHOOSE($C$110,1,Параметры!H$109,Параметры!H$118),H$132*CHOOSE($C$122,1,Параметры!H$109,Параметры!H$118),H$143*CHOOSE($C$136,1,Параметры!H$109,Параметры!H$118),H$152*CHOOSE($C$147,1,Параметры!H$109,Параметры!H$118))</f>
        <v>6983.3570840436441</v>
      </c>
      <c r="I159" s="82">
        <f ca="1">SUM(I$118*CHOOSE($C$110,1,Параметры!I$109,Параметры!I$118),I$132*CHOOSE($C$122,1,Параметры!I$109,Параметры!I$118),I$143*CHOOSE($C$136,1,Параметры!I$109,Параметры!I$118),I$152*CHOOSE($C$147,1,Параметры!I$109,Параметры!I$118))</f>
        <v>6983.3570840436441</v>
      </c>
      <c r="J159" s="82">
        <f ca="1">SUM(J$118*CHOOSE($C$110,1,Параметры!J$109,Параметры!J$118),J$132*CHOOSE($C$122,1,Параметры!J$109,Параметры!J$118),J$143*CHOOSE($C$136,1,Параметры!J$109,Параметры!J$118),J$152*CHOOSE($C$147,1,Параметры!J$109,Параметры!J$118))</f>
        <v>7052.2468240119197</v>
      </c>
      <c r="K159" s="82">
        <f ca="1">SUM(K$118*CHOOSE($C$110,1,Параметры!K$109,Параметры!K$118),K$132*CHOOSE($C$122,1,Параметры!K$109,Параметры!K$118),K$143*CHOOSE($C$136,1,Параметры!K$109,Параметры!K$118),K$152*CHOOSE($C$147,1,Параметры!K$109,Параметры!K$118))</f>
        <v>7121.8162008027866</v>
      </c>
      <c r="L159" s="82">
        <f ca="1">SUM(L$118*CHOOSE($C$110,1,Параметры!L$109,Параметры!L$118),L$132*CHOOSE($C$122,1,Параметры!L$109,Параметры!L$118),L$143*CHOOSE($C$136,1,Параметры!L$109,Параметры!L$118),L$152*CHOOSE($C$147,1,Параметры!L$109,Параметры!L$118))</f>
        <v>7192.0719198963852</v>
      </c>
      <c r="M159" s="82">
        <f ca="1">SUM(M$118*CHOOSE($C$110,1,Параметры!M$109,Параметры!M$118),M$132*CHOOSE($C$122,1,Параметры!M$109,Параметры!M$118),M$143*CHOOSE($C$136,1,Параметры!M$109,Параметры!M$118),M$152*CHOOSE($C$147,1,Параметры!M$109,Параметры!M$118))</f>
        <v>11254.213284985573</v>
      </c>
      <c r="N159" s="82">
        <f ca="1">SUM(N$118*CHOOSE($C$110,1,Параметры!N$109,Параметры!N$118),N$132*CHOOSE($C$122,1,Параметры!N$109,Параметры!N$118),N$143*CHOOSE($C$136,1,Параметры!N$109,Параметры!N$118),N$152*CHOOSE($C$147,1,Параметры!N$109,Параметры!N$118))</f>
        <v>11492.7452073031</v>
      </c>
      <c r="O159" s="82">
        <f ca="1">SUM(O$118*CHOOSE($C$110,1,Параметры!O$109,Параметры!O$118),O$132*CHOOSE($C$122,1,Параметры!O$109,Параметры!O$118),O$143*CHOOSE($C$136,1,Параметры!O$109,Параметры!O$118),O$152*CHOOSE($C$147,1,Параметры!O$109,Параметры!O$118))</f>
        <v>11606.3399181778</v>
      </c>
      <c r="P159" s="82">
        <f ca="1">SUM(P$118*CHOOSE($C$110,1,Параметры!P$109,Параметры!P$118),P$132*CHOOSE($C$122,1,Параметры!P$109,Параметры!P$118),P$143*CHOOSE($C$136,1,Параметры!P$109,Параметры!P$118),P$152*CHOOSE($C$147,1,Параметры!P$109,Параметры!P$118))</f>
        <v>11721.058020362163</v>
      </c>
      <c r="Q159" s="82">
        <f ca="1">SUM(Q$118*CHOOSE($C$110,1,Параметры!Q$109,Параметры!Q$118),Q$132*CHOOSE($C$122,1,Параметры!Q$109,Параметры!Q$118),Q$143*CHOOSE($C$136,1,Параметры!Q$109,Параметры!Q$118),Q$152*CHOOSE($C$147,1,Параметры!Q$109,Параметры!Q$118))</f>
        <v>13946.832535859407</v>
      </c>
      <c r="R159" s="82">
        <f ca="1">SUM(R$118*CHOOSE($C$110,1,Параметры!R$109,Параметры!R$118),R$132*CHOOSE($C$122,1,Параметры!R$109,Параметры!R$118),R$143*CHOOSE($C$136,1,Параметры!R$109,Параметры!R$118),R$152*CHOOSE($C$147,1,Параметры!R$109,Параметры!R$118))</f>
        <v>14157.565945672235</v>
      </c>
      <c r="S159" s="82">
        <f ca="1">SUM(S$118*CHOOSE($C$110,1,Параметры!S$109,Параметры!S$118),S$132*CHOOSE($C$122,1,Параметры!S$109,Параметры!S$118),S$143*CHOOSE($C$136,1,Параметры!S$109,Параметры!S$118),S$152*CHOOSE($C$147,1,Параметры!S$109,Параметры!S$118))</f>
        <v>14301.017591384216</v>
      </c>
      <c r="T159" s="82">
        <f ca="1">SUM(T$118*CHOOSE($C$110,1,Параметры!T$109,Параметры!T$118),T$132*CHOOSE($C$122,1,Параметры!T$109,Параметры!T$118),T$143*CHOOSE($C$136,1,Параметры!T$109,Параметры!T$118),T$152*CHOOSE($C$147,1,Параметры!T$109,Параметры!T$118))</f>
        <v>14445.931346321386</v>
      </c>
      <c r="U159" s="82">
        <f ca="1">SUM(U$118*CHOOSE($C$110,1,Параметры!U$109,Параметры!U$118),U$132*CHOOSE($C$122,1,Параметры!U$109,Параметры!U$118),U$143*CHOOSE($C$136,1,Параметры!U$109,Параметры!U$118),U$152*CHOOSE($C$147,1,Параметры!U$109,Параметры!U$118))</f>
        <v>44619.425950933612</v>
      </c>
      <c r="V159" s="82">
        <f ca="1">SUM(V$118*CHOOSE($C$110,1,Параметры!V$109,Параметры!V$118),V$132*CHOOSE($C$122,1,Параметры!V$109,Параметры!V$118),V$143*CHOOSE($C$136,1,Параметры!V$109,Параметры!V$118),V$152*CHOOSE($C$147,1,Параметры!V$109,Параметры!V$118))</f>
        <v>46265.938782173085</v>
      </c>
      <c r="W159" s="82">
        <f ca="1">SUM(W$118*CHOOSE($C$110,1,Параметры!W$109,Параметры!W$118),W$132*CHOOSE($C$122,1,Параметры!W$109,Параметры!W$118),W$143*CHOOSE($C$136,1,Параметры!W$109,Параметры!W$118),W$152*CHOOSE($C$147,1,Параметры!W$109,Параметры!W$118))</f>
        <v>46769.106269033829</v>
      </c>
      <c r="X159" s="82">
        <f ca="1">SUM(X$118*CHOOSE($C$110,1,Параметры!X$109,Параметры!X$118),X$132*CHOOSE($C$122,1,Параметры!X$109,Параметры!X$118),X$143*CHOOSE($C$136,1,Параметры!X$109,Параметры!X$118),X$152*CHOOSE($C$147,1,Параметры!X$109,Параметры!X$118))</f>
        <v>47277.781904464289</v>
      </c>
      <c r="Y159" s="82">
        <f ca="1">SUM(Y$118*CHOOSE($C$110,1,Параметры!Y$109,Параметры!Y$118),Y$132*CHOOSE($C$122,1,Параметры!Y$109,Параметры!Y$118),Y$143*CHOOSE($C$136,1,Параметры!Y$109,Параметры!Y$118),Y$152*CHOOSE($C$147,1,Параметры!Y$109,Параметры!Y$118))</f>
        <v>47792.026362945187</v>
      </c>
      <c r="Z159" s="82">
        <f ca="1">SUM(Z$118*CHOOSE($C$110,1,Параметры!Z$109,Параметры!Z$118),Z$132*CHOOSE($C$122,1,Параметры!Z$109,Параметры!Z$118),Z$143*CHOOSE($C$136,1,Параметры!Z$109,Параметры!Z$118),Z$152*CHOOSE($C$147,1,Параметры!Z$109,Параметры!Z$118))</f>
        <v>48302.5192257944</v>
      </c>
      <c r="AA159" s="82">
        <f ca="1">SUM(AA$118*CHOOSE($C$110,1,Параметры!AA$109,Параметры!AA$118),AA$132*CHOOSE($C$122,1,Параметры!AA$109,Параметры!AA$118),AA$143*CHOOSE($C$136,1,Параметры!AA$109,Параметры!AA$118),AA$152*CHOOSE($C$147,1,Параметры!AA$109,Параметры!AA$118))</f>
        <v>48818.489159888151</v>
      </c>
      <c r="AB159" s="82">
        <f ca="1">SUM(AB$118*CHOOSE($C$110,1,Параметры!AB$109,Параметры!AB$118),AB$132*CHOOSE($C$122,1,Параметры!AB$109,Параметры!AB$118),AB$143*CHOOSE($C$136,1,Параметры!AB$109,Параметры!AB$118),AB$152*CHOOSE($C$147,1,Параметры!AB$109,Параметры!AB$118))</f>
        <v>49339.995180268255</v>
      </c>
      <c r="AC159" s="82">
        <f ca="1">SUM(AC$118*CHOOSE($C$110,1,Параметры!AC$109,Параметры!AC$118),AC$132*CHOOSE($C$122,1,Параметры!AC$109,Параметры!AC$118),AC$143*CHOOSE($C$136,1,Параметры!AC$109,Параметры!AC$118),AC$152*CHOOSE($C$147,1,Параметры!AC$109,Параметры!AC$118))</f>
        <v>49867.096940462201</v>
      </c>
      <c r="AD159" s="82">
        <f ca="1">SUM(AD$118*CHOOSE($C$110,1,Параметры!AD$109,Параметры!AD$118),AD$132*CHOOSE($C$122,1,Параметры!AD$109,Параметры!AD$118),AD$143*CHOOSE($C$136,1,Параметры!AD$109,Параметры!AD$118),AD$152*CHOOSE($C$147,1,Параметры!AD$109,Параметры!AD$118))</f>
        <v>50400.363531398558</v>
      </c>
      <c r="AE159" s="82">
        <f ca="1">SUM(AE$118*CHOOSE($C$110,1,Параметры!AE$109,Параметры!AE$118),AE$132*CHOOSE($C$122,1,Параметры!AE$109,Параметры!AE$118),AE$143*CHOOSE($C$136,1,Параметры!AE$109,Параметры!AE$118),AE$152*CHOOSE($C$147,1,Параметры!AE$109,Параметры!AE$118))</f>
        <v>50939.359486800939</v>
      </c>
      <c r="AF159" s="82">
        <f ca="1">SUM(AF$118*CHOOSE($C$110,1,Параметры!AF$109,Параметры!AF$118),AF$132*CHOOSE($C$122,1,Параметры!AF$109,Параметры!AF$118),AF$143*CHOOSE($C$136,1,Параметры!AF$109,Параметры!AF$118),AF$152*CHOOSE($C$147,1,Параметры!AF$109,Параметры!AF$118))</f>
        <v>51484.146640472543</v>
      </c>
      <c r="AG159" s="82">
        <f ca="1">SUM(AG$118*CHOOSE($C$110,1,Параметры!AG$109,Параметры!AG$118),AG$132*CHOOSE($C$122,1,Параметры!AG$109,Параметры!AG$118),AG$143*CHOOSE($C$136,1,Параметры!AG$109,Параметры!AG$118),AG$152*CHOOSE($C$147,1,Параметры!AG$109,Параметры!AG$118))</f>
        <v>52034.787496432269</v>
      </c>
      <c r="AH159" s="82">
        <f ca="1">SUM(AH$118*CHOOSE($C$110,1,Параметры!AH$109,Параметры!AH$118),AH$132*CHOOSE($C$122,1,Параметры!AH$109,Параметры!AH$118),AH$143*CHOOSE($C$136,1,Параметры!AH$109,Параметры!AH$118),AH$152*CHOOSE($C$147,1,Параметры!AH$109,Параметры!AH$118))</f>
        <v>52590.575475213111</v>
      </c>
      <c r="AI159" s="82">
        <f ca="1">SUM(AI$118*CHOOSE($C$110,1,Параметры!AI$109,Параметры!AI$118),AI$132*CHOOSE($C$122,1,Параметры!AI$109,Параметры!AI$118),AI$143*CHOOSE($C$136,1,Параметры!AI$109,Параметры!AI$118),AI$152*CHOOSE($C$147,1,Параметры!AI$109,Параметры!AI$118))</f>
        <v>53152.328585603493</v>
      </c>
      <c r="AJ159" s="82">
        <f ca="1">SUM(AJ$118*CHOOSE($C$110,1,Параметры!AJ$109,Параметры!AJ$118),AJ$132*CHOOSE($C$122,1,Параметры!AJ$109,Параметры!AJ$118),AJ$143*CHOOSE($C$136,1,Параметры!AJ$109,Параметры!AJ$118),AJ$152*CHOOSE($C$147,1,Параметры!AJ$109,Параметры!AJ$118))</f>
        <v>53720.111147637981</v>
      </c>
      <c r="AK159" s="82">
        <f ca="1">SUM(AK$118*CHOOSE($C$110,1,Параметры!AK$109,Параметры!AK$118),AK$132*CHOOSE($C$122,1,Параметры!AK$109,Параметры!AK$118),AK$143*CHOOSE($C$136,1,Параметры!AK$109,Параметры!AK$118),AK$152*CHOOSE($C$147,1,Параметры!AK$109,Параметры!AK$118))</f>
        <v>52163.282793025937</v>
      </c>
      <c r="AL159" s="82">
        <f ca="1">SUM(AL$118*CHOOSE($C$110,1,Параметры!AL$109,Параметры!AL$118),AL$132*CHOOSE($C$122,1,Параметры!AL$109,Параметры!AL$118),AL$143*CHOOSE($C$136,1,Параметры!AL$109,Параметры!AL$118),AL$152*CHOOSE($C$147,1,Параметры!AL$109,Параметры!AL$118))</f>
        <v>52719.886296357348</v>
      </c>
      <c r="AM159" s="82">
        <f ca="1">SUM(AM$118*CHOOSE($C$110,1,Параметры!AM$109,Параметры!AM$118),AM$132*CHOOSE($C$122,1,Параметры!AM$109,Параметры!AM$118),AM$143*CHOOSE($C$136,1,Параметры!AM$109,Параметры!AM$118),AM$152*CHOOSE($C$147,1,Параметры!AM$109,Параметры!AM$118))</f>
        <v>53372.453157750875</v>
      </c>
      <c r="AN159" s="82">
        <f ca="1">SUM(AN$118*CHOOSE($C$110,1,Параметры!AN$109,Параметры!AN$118),AN$132*CHOOSE($C$122,1,Параметры!AN$109,Параметры!AN$118),AN$143*CHOOSE($C$136,1,Параметры!AN$109,Параметры!AN$118),AN$152*CHOOSE($C$147,1,Параметры!AN$109,Параметры!AN$118))</f>
        <v>53942.078505339799</v>
      </c>
      <c r="AO159" s="82">
        <f ca="1">SUM(AO$118*CHOOSE($C$110,1,Параметры!AO$109,Параметры!AO$118),AO$132*CHOOSE($C$122,1,Параметры!AO$109,Параметры!AO$118),AO$143*CHOOSE($C$136,1,Параметры!AO$109,Параметры!AO$118),AO$152*CHOOSE($C$147,1,Параметры!AO$109,Параметры!AO$118))</f>
        <v>25162.065162281517</v>
      </c>
      <c r="AP159" s="82">
        <f ca="1">SUM(AP$118*CHOOSE($C$110,1,Параметры!AP$109,Параметры!AP$118),AP$132*CHOOSE($C$122,1,Параметры!AP$109,Параметры!AP$118),AP$143*CHOOSE($C$136,1,Параметры!AP$109,Параметры!AP$118),AP$152*CHOOSE($C$147,1,Параметры!AP$109,Параметры!AP$118))</f>
        <v>25410.541686280787</v>
      </c>
      <c r="AQ159" s="82">
        <f ca="1">SUM(AQ$118*CHOOSE($C$110,1,Параметры!AQ$109,Параметры!AQ$118),AQ$132*CHOOSE($C$122,1,Параметры!AQ$109,Параметры!AQ$118),AQ$143*CHOOSE($C$136,1,Параметры!AQ$109,Параметры!AQ$118),AQ$152*CHOOSE($C$147,1,Параметры!AQ$109,Параметры!AQ$118))</f>
        <v>27127.460925737269</v>
      </c>
      <c r="AR159" s="82">
        <f ca="1">SUM(AR$118*CHOOSE($C$110,1,Параметры!AR$109,Параметры!AR$118),AR$132*CHOOSE($C$122,1,Параметры!AR$109,Параметры!AR$118),AR$143*CHOOSE($C$136,1,Параметры!AR$109,Параметры!AR$118),AR$152*CHOOSE($C$147,1,Параметры!AR$109,Параметры!AR$118))</f>
        <v>27397.440825535865</v>
      </c>
      <c r="AS159" s="90"/>
      <c r="AT159" s="103">
        <f ca="1">SUM(E159:AS159)</f>
        <v>1253942.0792846782</v>
      </c>
    </row>
    <row r="160" spans="1:46" s="60" customFormat="1" outlineLevel="1" x14ac:dyDescent="0.2">
      <c r="A160" s="63" t="s">
        <v>401</v>
      </c>
      <c r="B160" s="29"/>
      <c r="C160" s="266" t="str">
        <f>Параметры!$B$64</f>
        <v>тыс. руб.</v>
      </c>
      <c r="D160" s="40"/>
      <c r="E160" s="82">
        <f ca="1">SUM(E$116*CHOOSE($C$110,1,Параметры!E$109,Параметры!E$118),E$130*CHOOSE($C$122,1,Параметры!E$109,Параметры!E$118),E$141*CHOOSE($C$136,1,Параметры!E$109,Параметры!E$118),E$150*CHOOSE($C$147,1,Параметры!E$109,Параметры!E$118))</f>
        <v>0</v>
      </c>
      <c r="F160" s="82">
        <f ca="1">SUM(F$116*CHOOSE($C$110,1,Параметры!F$109,Параметры!F$118),F$130*CHOOSE($C$122,1,Параметры!F$109,Параметры!F$118),F$141*CHOOSE($C$136,1,Параметры!F$109,Параметры!F$118),F$150*CHOOSE($C$147,1,Параметры!F$109,Параметры!F$118))</f>
        <v>0</v>
      </c>
      <c r="G160" s="82">
        <f ca="1">SUM(G$116*CHOOSE($C$110,1,Параметры!G$109,Параметры!G$118),G$130*CHOOSE($C$122,1,Параметры!G$109,Параметры!G$118),G$141*CHOOSE($C$136,1,Параметры!G$109,Параметры!G$118),G$150*CHOOSE($C$147,1,Параметры!G$109,Параметры!G$118))</f>
        <v>30085.588979895758</v>
      </c>
      <c r="H160" s="82">
        <f ca="1">SUM(H$116*CHOOSE($C$110,1,Параметры!H$109,Параметры!H$118),H$130*CHOOSE($C$122,1,Параметры!H$109,Параметры!H$118),H$141*CHOOSE($C$136,1,Параметры!H$109,Параметры!H$118),H$150*CHOOSE($C$147,1,Параметры!H$109,Параметры!H$118))</f>
        <v>41900.142504261865</v>
      </c>
      <c r="I160" s="82">
        <f ca="1">SUM(I$116*CHOOSE($C$110,1,Параметры!I$109,Параметры!I$118),I$130*CHOOSE($C$122,1,Параметры!I$109,Параметры!I$118),I$141*CHOOSE($C$136,1,Параметры!I$109,Параметры!I$118),I$150*CHOOSE($C$147,1,Параметры!I$109,Параметры!I$118))</f>
        <v>41900.142504261865</v>
      </c>
      <c r="J160" s="82">
        <f ca="1">SUM(J$116*CHOOSE($C$110,1,Параметры!J$109,Параметры!J$118),J$130*CHOOSE($C$122,1,Параметры!J$109,Параметры!J$118),J$141*CHOOSE($C$136,1,Параметры!J$109,Параметры!J$118),J$150*CHOOSE($C$147,1,Параметры!J$109,Параметры!J$118))</f>
        <v>42313.480944071518</v>
      </c>
      <c r="K160" s="82">
        <f ca="1">SUM(K$116*CHOOSE($C$110,1,Параметры!K$109,Параметры!K$118),K$130*CHOOSE($C$122,1,Параметры!K$109,Параметры!K$118),K$141*CHOOSE($C$136,1,Параметры!K$109,Параметры!K$118),K$150*CHOOSE($C$147,1,Параметры!K$109,Параметры!K$118))</f>
        <v>42730.89720481672</v>
      </c>
      <c r="L160" s="82">
        <f ca="1">SUM(L$116*CHOOSE($C$110,1,Параметры!L$109,Параметры!L$118),L$130*CHOOSE($C$122,1,Параметры!L$109,Параметры!L$118),L$141*CHOOSE($C$136,1,Параметры!L$109,Параметры!L$118),L$150*CHOOSE($C$147,1,Параметры!L$109,Параметры!L$118))</f>
        <v>43152.431519378304</v>
      </c>
      <c r="M160" s="82">
        <f ca="1">SUM(M$116*CHOOSE($C$110,1,Параметры!M$109,Параметры!M$118),M$130*CHOOSE($C$122,1,Параметры!M$109,Параметры!M$118),M$141*CHOOSE($C$136,1,Параметры!M$109,Параметры!M$118),M$150*CHOOSE($C$147,1,Параметры!M$109,Параметры!M$118))</f>
        <v>67525.279709913433</v>
      </c>
      <c r="N160" s="82">
        <f ca="1">SUM(N$116*CHOOSE($C$110,1,Параметры!N$109,Параметры!N$118),N$130*CHOOSE($C$122,1,Параметры!N$109,Параметры!N$118),N$141*CHOOSE($C$136,1,Параметры!N$109,Параметры!N$118),N$150*CHOOSE($C$147,1,Параметры!N$109,Параметры!N$118))</f>
        <v>68956.471243818596</v>
      </c>
      <c r="O160" s="82">
        <f ca="1">SUM(O$116*CHOOSE($C$110,1,Параметры!O$109,Параметры!O$118),O$130*CHOOSE($C$122,1,Параметры!O$109,Параметры!O$118),O$141*CHOOSE($C$136,1,Параметры!O$109,Параметры!O$118),O$150*CHOOSE($C$147,1,Параметры!O$109,Параметры!O$118))</f>
        <v>69638.039509066803</v>
      </c>
      <c r="P160" s="82">
        <f ca="1">SUM(P$116*CHOOSE($C$110,1,Параметры!P$109,Параметры!P$118),P$130*CHOOSE($C$122,1,Параметры!P$109,Параметры!P$118),P$141*CHOOSE($C$136,1,Параметры!P$109,Параметры!P$118),P$150*CHOOSE($C$147,1,Параметры!P$109,Параметры!P$118))</f>
        <v>70326.348122172989</v>
      </c>
      <c r="Q160" s="82">
        <f ca="1">SUM(Q$116*CHOOSE($C$110,1,Параметры!Q$109,Параметры!Q$118),Q$130*CHOOSE($C$122,1,Параметры!Q$109,Параметры!Q$118),Q$141*CHOOSE($C$136,1,Параметры!Q$109,Параметры!Q$118),Q$150*CHOOSE($C$147,1,Параметры!Q$109,Параметры!Q$118))</f>
        <v>83680.995215156421</v>
      </c>
      <c r="R160" s="82">
        <f ca="1">SUM(R$116*CHOOSE($C$110,1,Параметры!R$109,Параметры!R$118),R$130*CHOOSE($C$122,1,Параметры!R$109,Параметры!R$118),R$141*CHOOSE($C$136,1,Параметры!R$109,Параметры!R$118),R$150*CHOOSE($C$147,1,Параметры!R$109,Параметры!R$118))</f>
        <v>84945.395674033382</v>
      </c>
      <c r="S160" s="82">
        <f ca="1">SUM(S$116*CHOOSE($C$110,1,Параметры!S$109,Параметры!S$118),S$130*CHOOSE($C$122,1,Параметры!S$109,Параметры!S$118),S$141*CHOOSE($C$136,1,Параметры!S$109,Параметры!S$118),S$150*CHOOSE($C$147,1,Параметры!S$109,Параметры!S$118))</f>
        <v>85806.105548305291</v>
      </c>
      <c r="T160" s="82">
        <f ca="1">SUM(T$116*CHOOSE($C$110,1,Параметры!T$109,Параметры!T$118),T$130*CHOOSE($C$122,1,Параметры!T$109,Параметры!T$118),T$141*CHOOSE($C$136,1,Параметры!T$109,Параметры!T$118),T$150*CHOOSE($C$147,1,Параметры!T$109,Параметры!T$118))</f>
        <v>86675.588077928303</v>
      </c>
      <c r="U160" s="82">
        <f ca="1">SUM(U$116*CHOOSE($C$110,1,Параметры!U$109,Параметры!U$118),U$130*CHOOSE($C$122,1,Параметры!U$109,Параметры!U$118),U$141*CHOOSE($C$136,1,Параметры!U$109,Параметры!U$118),U$150*CHOOSE($C$147,1,Параметры!U$109,Параметры!U$118))</f>
        <v>267716.55570560164</v>
      </c>
      <c r="V160" s="82">
        <f ca="1">SUM(V$116*CHOOSE($C$110,1,Параметры!V$109,Параметры!V$118),V$130*CHOOSE($C$122,1,Параметры!V$109,Параметры!V$118),V$141*CHOOSE($C$136,1,Параметры!V$109,Параметры!V$118),V$150*CHOOSE($C$147,1,Параметры!V$109,Параметры!V$118))</f>
        <v>277595.63269303844</v>
      </c>
      <c r="W160" s="82">
        <f ca="1">SUM(W$116*CHOOSE($C$110,1,Параметры!W$109,Параметры!W$118),W$130*CHOOSE($C$122,1,Параметры!W$109,Параметры!W$118),W$141*CHOOSE($C$136,1,Параметры!W$109,Параметры!W$118),W$150*CHOOSE($C$147,1,Параметры!W$109,Параметры!W$118))</f>
        <v>280614.63761420298</v>
      </c>
      <c r="X160" s="82">
        <f ca="1">SUM(X$116*CHOOSE($C$110,1,Параметры!X$109,Параметры!X$118),X$130*CHOOSE($C$122,1,Параметры!X$109,Параметры!X$118),X$141*CHOOSE($C$136,1,Параметры!X$109,Параметры!X$118),X$150*CHOOSE($C$147,1,Параметры!X$109,Параметры!X$118))</f>
        <v>283666.69142678572</v>
      </c>
      <c r="Y160" s="82">
        <f ca="1">SUM(Y$116*CHOOSE($C$110,1,Параметры!Y$109,Параметры!Y$118),Y$130*CHOOSE($C$122,1,Параметры!Y$109,Параметры!Y$118),Y$141*CHOOSE($C$136,1,Параметры!Y$109,Параметры!Y$118),Y$150*CHOOSE($C$147,1,Параметры!Y$109,Параметры!Y$118))</f>
        <v>286752.15817767114</v>
      </c>
      <c r="Z160" s="82">
        <f ca="1">SUM(Z$116*CHOOSE($C$110,1,Параметры!Z$109,Параметры!Z$118),Z$130*CHOOSE($C$122,1,Параметры!Z$109,Параметры!Z$118),Z$141*CHOOSE($C$136,1,Параметры!Z$109,Параметры!Z$118),Z$150*CHOOSE($C$147,1,Параметры!Z$109,Параметры!Z$118))</f>
        <v>289815.11535476637</v>
      </c>
      <c r="AA160" s="82">
        <f ca="1">SUM(AA$116*CHOOSE($C$110,1,Параметры!AA$109,Параметры!AA$118),AA$130*CHOOSE($C$122,1,Параметры!AA$109,Параметры!AA$118),AA$141*CHOOSE($C$136,1,Параметры!AA$109,Параметры!AA$118),AA$150*CHOOSE($C$147,1,Параметры!AA$109,Параметры!AA$118))</f>
        <v>292910.93495932891</v>
      </c>
      <c r="AB160" s="82">
        <f ca="1">SUM(AB$116*CHOOSE($C$110,1,Параметры!AB$109,Параметры!AB$118),AB$130*CHOOSE($C$122,1,Параметры!AB$109,Параметры!AB$118),AB$141*CHOOSE($C$136,1,Параметры!AB$109,Параметры!AB$118),AB$150*CHOOSE($C$147,1,Параметры!AB$109,Параметры!AB$118))</f>
        <v>296039.97108160955</v>
      </c>
      <c r="AC160" s="82">
        <f ca="1">SUM(AC$116*CHOOSE($C$110,1,Параметры!AC$109,Параметры!AC$118),AC$130*CHOOSE($C$122,1,Параметры!AC$109,Параметры!AC$118),AC$141*CHOOSE($C$136,1,Параметры!AC$109,Параметры!AC$118),AC$150*CHOOSE($C$147,1,Параметры!AC$109,Параметры!AC$118))</f>
        <v>299202.58164277318</v>
      </c>
      <c r="AD160" s="82">
        <f ca="1">SUM(AD$116*CHOOSE($C$110,1,Параметры!AD$109,Параметры!AD$118),AD$130*CHOOSE($C$122,1,Параметры!AD$109,Параметры!AD$118),AD$141*CHOOSE($C$136,1,Параметры!AD$109,Параметры!AD$118),AD$150*CHOOSE($C$147,1,Параметры!AD$109,Параметры!AD$118))</f>
        <v>302402.18118839129</v>
      </c>
      <c r="AE160" s="82">
        <f ca="1">SUM(AE$116*CHOOSE($C$110,1,Параметры!AE$109,Параметры!AE$118),AE$130*CHOOSE($C$122,1,Параметры!AE$109,Параметры!AE$118),AE$141*CHOOSE($C$136,1,Параметры!AE$109,Параметры!AE$118),AE$150*CHOOSE($C$147,1,Параметры!AE$109,Параметры!AE$118))</f>
        <v>305636.15692080563</v>
      </c>
      <c r="AF160" s="82">
        <f ca="1">SUM(AF$116*CHOOSE($C$110,1,Параметры!AF$109,Параметры!AF$118),AF$130*CHOOSE($C$122,1,Параметры!AF$109,Параметры!AF$118),AF$141*CHOOSE($C$136,1,Параметры!AF$109,Параметры!AF$118),AF$150*CHOOSE($C$147,1,Параметры!AF$109,Параметры!AF$118))</f>
        <v>308904.87984283519</v>
      </c>
      <c r="AG160" s="82">
        <f ca="1">SUM(AG$116*CHOOSE($C$110,1,Параметры!AG$109,Параметры!AG$118),AG$130*CHOOSE($C$122,1,Параметры!AG$109,Параметры!AG$118),AG$141*CHOOSE($C$136,1,Параметры!AG$109,Параметры!AG$118),AG$150*CHOOSE($C$147,1,Параметры!AG$109,Параметры!AG$118))</f>
        <v>312208.72497859364</v>
      </c>
      <c r="AH160" s="82">
        <f ca="1">SUM(AH$116*CHOOSE($C$110,1,Параметры!AH$109,Параметры!AH$118),AH$130*CHOOSE($C$122,1,Параметры!AH$109,Параметры!AH$118),AH$141*CHOOSE($C$136,1,Параметры!AH$109,Параметры!AH$118),AH$150*CHOOSE($C$147,1,Параметры!AH$109,Параметры!AH$118))</f>
        <v>315543.45285127865</v>
      </c>
      <c r="AI160" s="82">
        <f ca="1">SUM(AI$116*CHOOSE($C$110,1,Параметры!AI$109,Параметры!AI$118),AI$130*CHOOSE($C$122,1,Параметры!AI$109,Параметры!AI$118),AI$141*CHOOSE($C$136,1,Параметры!AI$109,Параметры!AI$118),AI$150*CHOOSE($C$147,1,Параметры!AI$109,Параметры!AI$118))</f>
        <v>318913.97151362093</v>
      </c>
      <c r="AJ160" s="82">
        <f ca="1">SUM(AJ$116*CHOOSE($C$110,1,Параметры!AJ$109,Параметры!AJ$118),AJ$130*CHOOSE($C$122,1,Параметры!AJ$109,Параметры!AJ$118),AJ$141*CHOOSE($C$136,1,Параметры!AJ$109,Параметры!AJ$118),AJ$150*CHOOSE($C$147,1,Параметры!AJ$109,Параметры!AJ$118))</f>
        <v>322320.6668858279</v>
      </c>
      <c r="AK160" s="82">
        <f ca="1">SUM(AK$116*CHOOSE($C$110,1,Параметры!AK$109,Параметры!AK$118),AK$130*CHOOSE($C$122,1,Параметры!AK$109,Параметры!AK$118),AK$141*CHOOSE($C$136,1,Параметры!AK$109,Параметры!AK$118),AK$150*CHOOSE($C$147,1,Параметры!AK$109,Параметры!AK$118))</f>
        <v>312979.69675815559</v>
      </c>
      <c r="AL160" s="82">
        <f ca="1">SUM(AL$116*CHOOSE($C$110,1,Параметры!AL$109,Параметры!AL$118),AL$130*CHOOSE($C$122,1,Параметры!AL$109,Параметры!AL$118),AL$141*CHOOSE($C$136,1,Параметры!AL$109,Параметры!AL$118),AL$150*CHOOSE($C$147,1,Параметры!AL$109,Параметры!AL$118))</f>
        <v>316319.31777814403</v>
      </c>
      <c r="AM160" s="82">
        <f ca="1">SUM(AM$116*CHOOSE($C$110,1,Параметры!AM$109,Параметры!AM$118),AM$130*CHOOSE($C$122,1,Параметры!AM$109,Параметры!AM$118),AM$141*CHOOSE($C$136,1,Параметры!AM$109,Параметры!AM$118),AM$150*CHOOSE($C$147,1,Параметры!AM$109,Параметры!AM$118))</f>
        <v>320234.71894650528</v>
      </c>
      <c r="AN160" s="82">
        <f ca="1">SUM(AN$116*CHOOSE($C$110,1,Параметры!AN$109,Параметры!AN$118),AN$130*CHOOSE($C$122,1,Параметры!AN$109,Параметры!AN$118),AN$141*CHOOSE($C$136,1,Параметры!AN$109,Параметры!AN$118),AN$150*CHOOSE($C$147,1,Параметры!AN$109,Параметры!AN$118))</f>
        <v>323652.4710320388</v>
      </c>
      <c r="AO160" s="82">
        <f ca="1">SUM(AO$116*CHOOSE($C$110,1,Параметры!AO$109,Параметры!AO$118),AO$130*CHOOSE($C$122,1,Параметры!AO$109,Параметры!AO$118),AO$141*CHOOSE($C$136,1,Параметры!AO$109,Параметры!AO$118),AO$150*CHOOSE($C$147,1,Параметры!AO$109,Параметры!AO$118))</f>
        <v>150972.39097368909</v>
      </c>
      <c r="AP160" s="82">
        <f ca="1">SUM(AP$116*CHOOSE($C$110,1,Параметры!AP$109,Параметры!AP$118),AP$130*CHOOSE($C$122,1,Параметры!AP$109,Параметры!AP$118),AP$141*CHOOSE($C$136,1,Параметры!AP$109,Параметры!AP$118),AP$150*CHOOSE($C$147,1,Параметры!AP$109,Параметры!AP$118))</f>
        <v>152463.25011768469</v>
      </c>
      <c r="AQ160" s="82">
        <f ca="1">SUM(AQ$116*CHOOSE($C$110,1,Параметры!AQ$109,Параметры!AQ$118),AQ$130*CHOOSE($C$122,1,Параметры!AQ$109,Параметры!AQ$118),AQ$141*CHOOSE($C$136,1,Параметры!AQ$109,Параметры!AQ$118),AQ$150*CHOOSE($C$147,1,Параметры!AQ$109,Параметры!AQ$118))</f>
        <v>162764.76555442359</v>
      </c>
      <c r="AR160" s="82">
        <f ca="1">SUM(AR$116*CHOOSE($C$110,1,Параметры!AR$109,Параметры!AR$118),AR$130*CHOOSE($C$122,1,Параметры!AR$109,Параметры!AR$118),AR$141*CHOOSE($C$136,1,Параметры!AR$109,Параметры!AR$118),AR$150*CHOOSE($C$147,1,Параметры!AR$109,Параметры!AR$118))</f>
        <v>164384.6449532152</v>
      </c>
      <c r="AS160" s="90"/>
      <c r="AT160" s="103">
        <f ca="1">SUM(E160:AS160)</f>
        <v>7523652.4757080674</v>
      </c>
    </row>
    <row r="161" spans="1:46" s="60" customFormat="1" outlineLevel="1" x14ac:dyDescent="0.2">
      <c r="A161" s="63" t="s">
        <v>161</v>
      </c>
      <c r="B161" s="29"/>
      <c r="C161" s="266" t="str">
        <f>Параметры!$B$64</f>
        <v>тыс. руб.</v>
      </c>
      <c r="D161" s="40"/>
      <c r="E161" s="82">
        <f>SUM(0*CHOOSE($C$110,1,Параметры!E$109,Параметры!E$118),0*CHOOSE($C$122,1,Параметры!E$109,Параметры!E$118),0*CHOOSE($C$136,1,Параметры!E$109,Параметры!E$118),0*CHOOSE($C$147,1,Параметры!E$109,Параметры!E$118))</f>
        <v>0</v>
      </c>
      <c r="F161" s="82">
        <f>SUM(0*CHOOSE($C$110,1,Параметры!F$109,Параметры!F$118),0*CHOOSE($C$122,1,Параметры!F$109,Параметры!F$118),0*CHOOSE($C$136,1,Параметры!F$109,Параметры!F$118),0*CHOOSE($C$147,1,Параметры!F$109,Параметры!F$118))</f>
        <v>0</v>
      </c>
      <c r="G161" s="82">
        <f>SUM(0*CHOOSE($C$110,1,Параметры!G$109,Параметры!G$118),0*CHOOSE($C$122,1,Параметры!G$109,Параметры!G$118),0*CHOOSE($C$136,1,Параметры!G$109,Параметры!G$118),0*CHOOSE($C$147,1,Параметры!G$109,Параметры!G$118))</f>
        <v>0</v>
      </c>
      <c r="H161" s="82">
        <f>SUM(0*CHOOSE($C$110,1,Параметры!H$109,Параметры!H$118),0*CHOOSE($C$122,1,Параметры!H$109,Параметры!H$118),0*CHOOSE($C$136,1,Параметры!H$109,Параметры!H$118),0*CHOOSE($C$147,1,Параметры!H$109,Параметры!H$118))</f>
        <v>0</v>
      </c>
      <c r="I161" s="82">
        <f>SUM(0*CHOOSE($C$110,1,Параметры!I$109,Параметры!I$118),0*CHOOSE($C$122,1,Параметры!I$109,Параметры!I$118),0*CHOOSE($C$136,1,Параметры!I$109,Параметры!I$118),0*CHOOSE($C$147,1,Параметры!I$109,Параметры!I$118))</f>
        <v>0</v>
      </c>
      <c r="J161" s="82">
        <f>SUM(0*CHOOSE($C$110,1,Параметры!J$109,Параметры!J$118),0*CHOOSE($C$122,1,Параметры!J$109,Параметры!J$118),0*CHOOSE($C$136,1,Параметры!J$109,Параметры!J$118),0*CHOOSE($C$147,1,Параметры!J$109,Параметры!J$118))</f>
        <v>0</v>
      </c>
      <c r="K161" s="82">
        <f>SUM(0*CHOOSE($C$110,1,Параметры!K$109,Параметры!K$118),0*CHOOSE($C$122,1,Параметры!K$109,Параметры!K$118),0*CHOOSE($C$136,1,Параметры!K$109,Параметры!K$118),0*CHOOSE($C$147,1,Параметры!K$109,Параметры!K$118))</f>
        <v>0</v>
      </c>
      <c r="L161" s="82">
        <f>SUM(0*CHOOSE($C$110,1,Параметры!L$109,Параметры!L$118),0*CHOOSE($C$122,1,Параметры!L$109,Параметры!L$118),0*CHOOSE($C$136,1,Параметры!L$109,Параметры!L$118),0*CHOOSE($C$147,1,Параметры!L$109,Параметры!L$118))</f>
        <v>0</v>
      </c>
      <c r="M161" s="82">
        <f>SUM(0*CHOOSE($C$110,1,Параметры!M$109,Параметры!M$118),0*CHOOSE($C$122,1,Параметры!M$109,Параметры!M$118),0*CHOOSE($C$136,1,Параметры!M$109,Параметры!M$118),0*CHOOSE($C$147,1,Параметры!M$109,Параметры!M$118))</f>
        <v>0</v>
      </c>
      <c r="N161" s="82">
        <f>SUM(0*CHOOSE($C$110,1,Параметры!N$109,Параметры!N$118),0*CHOOSE($C$122,1,Параметры!N$109,Параметры!N$118),0*CHOOSE($C$136,1,Параметры!N$109,Параметры!N$118),0*CHOOSE($C$147,1,Параметры!N$109,Параметры!N$118))</f>
        <v>0</v>
      </c>
      <c r="O161" s="82">
        <f>SUM(0*CHOOSE($C$110,1,Параметры!O$109,Параметры!O$118),0*CHOOSE($C$122,1,Параметры!O$109,Параметры!O$118),0*CHOOSE($C$136,1,Параметры!O$109,Параметры!O$118),0*CHOOSE($C$147,1,Параметры!O$109,Параметры!O$118))</f>
        <v>0</v>
      </c>
      <c r="P161" s="82">
        <f>SUM(0*CHOOSE($C$110,1,Параметры!P$109,Параметры!P$118),0*CHOOSE($C$122,1,Параметры!P$109,Параметры!P$118),0*CHOOSE($C$136,1,Параметры!P$109,Параметры!P$118),0*CHOOSE($C$147,1,Параметры!P$109,Параметры!P$118))</f>
        <v>0</v>
      </c>
      <c r="Q161" s="82">
        <f>SUM(0*CHOOSE($C$110,1,Параметры!Q$109,Параметры!Q$118),0*CHOOSE($C$122,1,Параметры!Q$109,Параметры!Q$118),0*CHOOSE($C$136,1,Параметры!Q$109,Параметры!Q$118),0*CHOOSE($C$147,1,Параметры!Q$109,Параметры!Q$118))</f>
        <v>0</v>
      </c>
      <c r="R161" s="82">
        <f>SUM(0*CHOOSE($C$110,1,Параметры!R$109,Параметры!R$118),0*CHOOSE($C$122,1,Параметры!R$109,Параметры!R$118),0*CHOOSE($C$136,1,Параметры!R$109,Параметры!R$118),0*CHOOSE($C$147,1,Параметры!R$109,Параметры!R$118))</f>
        <v>0</v>
      </c>
      <c r="S161" s="82">
        <f>SUM(0*CHOOSE($C$110,1,Параметры!S$109,Параметры!S$118),0*CHOOSE($C$122,1,Параметры!S$109,Параметры!S$118),0*CHOOSE($C$136,1,Параметры!S$109,Параметры!S$118),0*CHOOSE($C$147,1,Параметры!S$109,Параметры!S$118))</f>
        <v>0</v>
      </c>
      <c r="T161" s="82">
        <f>SUM(0*CHOOSE($C$110,1,Параметры!T$109,Параметры!T$118),0*CHOOSE($C$122,1,Параметры!T$109,Параметры!T$118),0*CHOOSE($C$136,1,Параметры!T$109,Параметры!T$118),0*CHOOSE($C$147,1,Параметры!T$109,Параметры!T$118))</f>
        <v>0</v>
      </c>
      <c r="U161" s="82">
        <f>SUM(0*CHOOSE($C$110,1,Параметры!U$109,Параметры!U$118),0*CHOOSE($C$122,1,Параметры!U$109,Параметры!U$118),0*CHOOSE($C$136,1,Параметры!U$109,Параметры!U$118),0*CHOOSE($C$147,1,Параметры!U$109,Параметры!U$118))</f>
        <v>0</v>
      </c>
      <c r="V161" s="82">
        <f>SUM(0*CHOOSE($C$110,1,Параметры!V$109,Параметры!V$118),0*CHOOSE($C$122,1,Параметры!V$109,Параметры!V$118),0*CHOOSE($C$136,1,Параметры!V$109,Параметры!V$118),0*CHOOSE($C$147,1,Параметры!V$109,Параметры!V$118))</f>
        <v>0</v>
      </c>
      <c r="W161" s="82">
        <f>SUM(0*CHOOSE($C$110,1,Параметры!W$109,Параметры!W$118),0*CHOOSE($C$122,1,Параметры!W$109,Параметры!W$118),0*CHOOSE($C$136,1,Параметры!W$109,Параметры!W$118),0*CHOOSE($C$147,1,Параметры!W$109,Параметры!W$118))</f>
        <v>0</v>
      </c>
      <c r="X161" s="82">
        <f>SUM(0*CHOOSE($C$110,1,Параметры!X$109,Параметры!X$118),0*CHOOSE($C$122,1,Параметры!X$109,Параметры!X$118),0*CHOOSE($C$136,1,Параметры!X$109,Параметры!X$118),0*CHOOSE($C$147,1,Параметры!X$109,Параметры!X$118))</f>
        <v>0</v>
      </c>
      <c r="Y161" s="82">
        <f>SUM(0*CHOOSE($C$110,1,Параметры!Y$109,Параметры!Y$118),0*CHOOSE($C$122,1,Параметры!Y$109,Параметры!Y$118),0*CHOOSE($C$136,1,Параметры!Y$109,Параметры!Y$118),0*CHOOSE($C$147,1,Параметры!Y$109,Параметры!Y$118))</f>
        <v>0</v>
      </c>
      <c r="Z161" s="82">
        <f>SUM(0*CHOOSE($C$110,1,Параметры!Z$109,Параметры!Z$118),0*CHOOSE($C$122,1,Параметры!Z$109,Параметры!Z$118),0*CHOOSE($C$136,1,Параметры!Z$109,Параметры!Z$118),0*CHOOSE($C$147,1,Параметры!Z$109,Параметры!Z$118))</f>
        <v>0</v>
      </c>
      <c r="AA161" s="82">
        <f>SUM(0*CHOOSE($C$110,1,Параметры!AA$109,Параметры!AA$118),0*CHOOSE($C$122,1,Параметры!AA$109,Параметры!AA$118),0*CHOOSE($C$136,1,Параметры!AA$109,Параметры!AA$118),0*CHOOSE($C$147,1,Параметры!AA$109,Параметры!AA$118))</f>
        <v>0</v>
      </c>
      <c r="AB161" s="82">
        <f>SUM(0*CHOOSE($C$110,1,Параметры!AB$109,Параметры!AB$118),0*CHOOSE($C$122,1,Параметры!AB$109,Параметры!AB$118),0*CHOOSE($C$136,1,Параметры!AB$109,Параметры!AB$118),0*CHOOSE($C$147,1,Параметры!AB$109,Параметры!AB$118))</f>
        <v>0</v>
      </c>
      <c r="AC161" s="82">
        <f>SUM(0*CHOOSE($C$110,1,Параметры!AC$109,Параметры!AC$118),0*CHOOSE($C$122,1,Параметры!AC$109,Параметры!AC$118),0*CHOOSE($C$136,1,Параметры!AC$109,Параметры!AC$118),0*CHOOSE($C$147,1,Параметры!AC$109,Параметры!AC$118))</f>
        <v>0</v>
      </c>
      <c r="AD161" s="82">
        <f>SUM(0*CHOOSE($C$110,1,Параметры!AD$109,Параметры!AD$118),0*CHOOSE($C$122,1,Параметры!AD$109,Параметры!AD$118),0*CHOOSE($C$136,1,Параметры!AD$109,Параметры!AD$118),0*CHOOSE($C$147,1,Параметры!AD$109,Параметры!AD$118))</f>
        <v>0</v>
      </c>
      <c r="AE161" s="82">
        <f>SUM(0*CHOOSE($C$110,1,Параметры!AE$109,Параметры!AE$118),0*CHOOSE($C$122,1,Параметры!AE$109,Параметры!AE$118),0*CHOOSE($C$136,1,Параметры!AE$109,Параметры!AE$118),0*CHOOSE($C$147,1,Параметры!AE$109,Параметры!AE$118))</f>
        <v>0</v>
      </c>
      <c r="AF161" s="82">
        <f>SUM(0*CHOOSE($C$110,1,Параметры!AF$109,Параметры!AF$118),0*CHOOSE($C$122,1,Параметры!AF$109,Параметры!AF$118),0*CHOOSE($C$136,1,Параметры!AF$109,Параметры!AF$118),0*CHOOSE($C$147,1,Параметры!AF$109,Параметры!AF$118))</f>
        <v>0</v>
      </c>
      <c r="AG161" s="82">
        <f>SUM(0*CHOOSE($C$110,1,Параметры!AG$109,Параметры!AG$118),0*CHOOSE($C$122,1,Параметры!AG$109,Параметры!AG$118),0*CHOOSE($C$136,1,Параметры!AG$109,Параметры!AG$118),0*CHOOSE($C$147,1,Параметры!AG$109,Параметры!AG$118))</f>
        <v>0</v>
      </c>
      <c r="AH161" s="82">
        <f>SUM(0*CHOOSE($C$110,1,Параметры!AH$109,Параметры!AH$118),0*CHOOSE($C$122,1,Параметры!AH$109,Параметры!AH$118),0*CHOOSE($C$136,1,Параметры!AH$109,Параметры!AH$118),0*CHOOSE($C$147,1,Параметры!AH$109,Параметры!AH$118))</f>
        <v>0</v>
      </c>
      <c r="AI161" s="82">
        <f>SUM(0*CHOOSE($C$110,1,Параметры!AI$109,Параметры!AI$118),0*CHOOSE($C$122,1,Параметры!AI$109,Параметры!AI$118),0*CHOOSE($C$136,1,Параметры!AI$109,Параметры!AI$118),0*CHOOSE($C$147,1,Параметры!AI$109,Параметры!AI$118))</f>
        <v>0</v>
      </c>
      <c r="AJ161" s="82">
        <f>SUM(0*CHOOSE($C$110,1,Параметры!AJ$109,Параметры!AJ$118),0*CHOOSE($C$122,1,Параметры!AJ$109,Параметры!AJ$118),0*CHOOSE($C$136,1,Параметры!AJ$109,Параметры!AJ$118),0*CHOOSE($C$147,1,Параметры!AJ$109,Параметры!AJ$118))</f>
        <v>0</v>
      </c>
      <c r="AK161" s="82">
        <f>SUM(0*CHOOSE($C$110,1,Параметры!AK$109,Параметры!AK$118),0*CHOOSE($C$122,1,Параметры!AK$109,Параметры!AK$118),0*CHOOSE($C$136,1,Параметры!AK$109,Параметры!AK$118),0*CHOOSE($C$147,1,Параметры!AK$109,Параметры!AK$118))</f>
        <v>0</v>
      </c>
      <c r="AL161" s="82">
        <f>SUM(0*CHOOSE($C$110,1,Параметры!AL$109,Параметры!AL$118),0*CHOOSE($C$122,1,Параметры!AL$109,Параметры!AL$118),0*CHOOSE($C$136,1,Параметры!AL$109,Параметры!AL$118),0*CHOOSE($C$147,1,Параметры!AL$109,Параметры!AL$118))</f>
        <v>0</v>
      </c>
      <c r="AM161" s="82">
        <f>SUM(0*CHOOSE($C$110,1,Параметры!AM$109,Параметры!AM$118),0*CHOOSE($C$122,1,Параметры!AM$109,Параметры!AM$118),0*CHOOSE($C$136,1,Параметры!AM$109,Параметры!AM$118),0*CHOOSE($C$147,1,Параметры!AM$109,Параметры!AM$118))</f>
        <v>0</v>
      </c>
      <c r="AN161" s="82">
        <f>SUM(0*CHOOSE($C$110,1,Параметры!AN$109,Параметры!AN$118),0*CHOOSE($C$122,1,Параметры!AN$109,Параметры!AN$118),0*CHOOSE($C$136,1,Параметры!AN$109,Параметры!AN$118),0*CHOOSE($C$147,1,Параметры!AN$109,Параметры!AN$118))</f>
        <v>0</v>
      </c>
      <c r="AO161" s="82">
        <f>SUM(0*CHOOSE($C$110,1,Параметры!AO$109,Параметры!AO$118),0*CHOOSE($C$122,1,Параметры!AO$109,Параметры!AO$118),0*CHOOSE($C$136,1,Параметры!AO$109,Параметры!AO$118),0*CHOOSE($C$147,1,Параметры!AO$109,Параметры!AO$118))</f>
        <v>0</v>
      </c>
      <c r="AP161" s="82">
        <f>SUM(0*CHOOSE($C$110,1,Параметры!AP$109,Параметры!AP$118),0*CHOOSE($C$122,1,Параметры!AP$109,Параметры!AP$118),0*CHOOSE($C$136,1,Параметры!AP$109,Параметры!AP$118),0*CHOOSE($C$147,1,Параметры!AP$109,Параметры!AP$118))</f>
        <v>0</v>
      </c>
      <c r="AQ161" s="82">
        <f>SUM(0*CHOOSE($C$110,1,Параметры!AQ$109,Параметры!AQ$118),0*CHOOSE($C$122,1,Параметры!AQ$109,Параметры!AQ$118),0*CHOOSE($C$136,1,Параметры!AQ$109,Параметры!AQ$118),0*CHOOSE($C$147,1,Параметры!AQ$109,Параметры!AQ$118))</f>
        <v>0</v>
      </c>
      <c r="AR161" s="82">
        <f>SUM(0*CHOOSE($C$110,1,Параметры!AR$109,Параметры!AR$118),0*CHOOSE($C$122,1,Параметры!AR$109,Параметры!AR$118),0*CHOOSE($C$136,1,Параметры!AR$109,Параметры!AR$118),0*CHOOSE($C$147,1,Параметры!AR$109,Параметры!AR$118))</f>
        <v>0</v>
      </c>
      <c r="AS161" s="90"/>
      <c r="AT161" s="30"/>
    </row>
    <row r="162" spans="1:46" s="60" customFormat="1" outlineLevel="1" x14ac:dyDescent="0.2">
      <c r="A162" s="63" t="s">
        <v>162</v>
      </c>
      <c r="B162" s="29"/>
      <c r="C162" s="266" t="str">
        <f>Параметры!$B$64</f>
        <v>тыс. руб.</v>
      </c>
      <c r="D162" s="40"/>
      <c r="E162" s="82">
        <f>SUM(0*CHOOSE($C$110,1,Параметры!E$109,Параметры!E$118),0*CHOOSE($C$122,1,Параметры!E$109,Параметры!E$118),0*CHOOSE($C$136,1,Параметры!E$109,Параметры!E$118),0*CHOOSE($C$147,1,Параметры!E$109,Параметры!E$118))</f>
        <v>0</v>
      </c>
      <c r="F162" s="82">
        <f>SUM(0*CHOOSE($C$110,1,Параметры!F$109,Параметры!F$118),0*CHOOSE($C$122,1,Параметры!F$109,Параметры!F$118),0*CHOOSE($C$136,1,Параметры!F$109,Параметры!F$118),0*CHOOSE($C$147,1,Параметры!F$109,Параметры!F$118))</f>
        <v>0</v>
      </c>
      <c r="G162" s="82">
        <f>SUM(0*CHOOSE($C$110,1,Параметры!G$109,Параметры!G$118),0*CHOOSE($C$122,1,Параметры!G$109,Параметры!G$118),0*CHOOSE($C$136,1,Параметры!G$109,Параметры!G$118),0*CHOOSE($C$147,1,Параметры!G$109,Параметры!G$118))</f>
        <v>0</v>
      </c>
      <c r="H162" s="82">
        <f>SUM(0*CHOOSE($C$110,1,Параметры!H$109,Параметры!H$118),0*CHOOSE($C$122,1,Параметры!H$109,Параметры!H$118),0*CHOOSE($C$136,1,Параметры!H$109,Параметры!H$118),0*CHOOSE($C$147,1,Параметры!H$109,Параметры!H$118))</f>
        <v>0</v>
      </c>
      <c r="I162" s="82">
        <f>SUM(0*CHOOSE($C$110,1,Параметры!I$109,Параметры!I$118),0*CHOOSE($C$122,1,Параметры!I$109,Параметры!I$118),0*CHOOSE($C$136,1,Параметры!I$109,Параметры!I$118),0*CHOOSE($C$147,1,Параметры!I$109,Параметры!I$118))</f>
        <v>0</v>
      </c>
      <c r="J162" s="82">
        <f>SUM(0*CHOOSE($C$110,1,Параметры!J$109,Параметры!J$118),0*CHOOSE($C$122,1,Параметры!J$109,Параметры!J$118),0*CHOOSE($C$136,1,Параметры!J$109,Параметры!J$118),0*CHOOSE($C$147,1,Параметры!J$109,Параметры!J$118))</f>
        <v>0</v>
      </c>
      <c r="K162" s="82">
        <f>SUM(0*CHOOSE($C$110,1,Параметры!K$109,Параметры!K$118),0*CHOOSE($C$122,1,Параметры!K$109,Параметры!K$118),0*CHOOSE($C$136,1,Параметры!K$109,Параметры!K$118),0*CHOOSE($C$147,1,Параметры!K$109,Параметры!K$118))</f>
        <v>0</v>
      </c>
      <c r="L162" s="82">
        <f>SUM(0*CHOOSE($C$110,1,Параметры!L$109,Параметры!L$118),0*CHOOSE($C$122,1,Параметры!L$109,Параметры!L$118),0*CHOOSE($C$136,1,Параметры!L$109,Параметры!L$118),0*CHOOSE($C$147,1,Параметры!L$109,Параметры!L$118))</f>
        <v>0</v>
      </c>
      <c r="M162" s="82">
        <f>SUM(0*CHOOSE($C$110,1,Параметры!M$109,Параметры!M$118),0*CHOOSE($C$122,1,Параметры!M$109,Параметры!M$118),0*CHOOSE($C$136,1,Параметры!M$109,Параметры!M$118),0*CHOOSE($C$147,1,Параметры!M$109,Параметры!M$118))</f>
        <v>0</v>
      </c>
      <c r="N162" s="82">
        <f>SUM(0*CHOOSE($C$110,1,Параметры!N$109,Параметры!N$118),0*CHOOSE($C$122,1,Параметры!N$109,Параметры!N$118),0*CHOOSE($C$136,1,Параметры!N$109,Параметры!N$118),0*CHOOSE($C$147,1,Параметры!N$109,Параметры!N$118))</f>
        <v>0</v>
      </c>
      <c r="O162" s="82">
        <f>SUM(0*CHOOSE($C$110,1,Параметры!O$109,Параметры!O$118),0*CHOOSE($C$122,1,Параметры!O$109,Параметры!O$118),0*CHOOSE($C$136,1,Параметры!O$109,Параметры!O$118),0*CHOOSE($C$147,1,Параметры!O$109,Параметры!O$118))</f>
        <v>0</v>
      </c>
      <c r="P162" s="82">
        <f>SUM(0*CHOOSE($C$110,1,Параметры!P$109,Параметры!P$118),0*CHOOSE($C$122,1,Параметры!P$109,Параметры!P$118),0*CHOOSE($C$136,1,Параметры!P$109,Параметры!P$118),0*CHOOSE($C$147,1,Параметры!P$109,Параметры!P$118))</f>
        <v>0</v>
      </c>
      <c r="Q162" s="82">
        <f>SUM(0*CHOOSE($C$110,1,Параметры!Q$109,Параметры!Q$118),0*CHOOSE($C$122,1,Параметры!Q$109,Параметры!Q$118),0*CHOOSE($C$136,1,Параметры!Q$109,Параметры!Q$118),0*CHOOSE($C$147,1,Параметры!Q$109,Параметры!Q$118))</f>
        <v>0</v>
      </c>
      <c r="R162" s="82">
        <f>SUM(0*CHOOSE($C$110,1,Параметры!R$109,Параметры!R$118),0*CHOOSE($C$122,1,Параметры!R$109,Параметры!R$118),0*CHOOSE($C$136,1,Параметры!R$109,Параметры!R$118),0*CHOOSE($C$147,1,Параметры!R$109,Параметры!R$118))</f>
        <v>0</v>
      </c>
      <c r="S162" s="82">
        <f>SUM(0*CHOOSE($C$110,1,Параметры!S$109,Параметры!S$118),0*CHOOSE($C$122,1,Параметры!S$109,Параметры!S$118),0*CHOOSE($C$136,1,Параметры!S$109,Параметры!S$118),0*CHOOSE($C$147,1,Параметры!S$109,Параметры!S$118))</f>
        <v>0</v>
      </c>
      <c r="T162" s="82">
        <f>SUM(0*CHOOSE($C$110,1,Параметры!T$109,Параметры!T$118),0*CHOOSE($C$122,1,Параметры!T$109,Параметры!T$118),0*CHOOSE($C$136,1,Параметры!T$109,Параметры!T$118),0*CHOOSE($C$147,1,Параметры!T$109,Параметры!T$118))</f>
        <v>0</v>
      </c>
      <c r="U162" s="82">
        <f>SUM(0*CHOOSE($C$110,1,Параметры!U$109,Параметры!U$118),0*CHOOSE($C$122,1,Параметры!U$109,Параметры!U$118),0*CHOOSE($C$136,1,Параметры!U$109,Параметры!U$118),0*CHOOSE($C$147,1,Параметры!U$109,Параметры!U$118))</f>
        <v>0</v>
      </c>
      <c r="V162" s="82">
        <f>SUM(0*CHOOSE($C$110,1,Параметры!V$109,Параметры!V$118),0*CHOOSE($C$122,1,Параметры!V$109,Параметры!V$118),0*CHOOSE($C$136,1,Параметры!V$109,Параметры!V$118),0*CHOOSE($C$147,1,Параметры!V$109,Параметры!V$118))</f>
        <v>0</v>
      </c>
      <c r="W162" s="82">
        <f>SUM(0*CHOOSE($C$110,1,Параметры!W$109,Параметры!W$118),0*CHOOSE($C$122,1,Параметры!W$109,Параметры!W$118),0*CHOOSE($C$136,1,Параметры!W$109,Параметры!W$118),0*CHOOSE($C$147,1,Параметры!W$109,Параметры!W$118))</f>
        <v>0</v>
      </c>
      <c r="X162" s="82">
        <f>SUM(0*CHOOSE($C$110,1,Параметры!X$109,Параметры!X$118),0*CHOOSE($C$122,1,Параметры!X$109,Параметры!X$118),0*CHOOSE($C$136,1,Параметры!X$109,Параметры!X$118),0*CHOOSE($C$147,1,Параметры!X$109,Параметры!X$118))</f>
        <v>0</v>
      </c>
      <c r="Y162" s="82">
        <f>SUM(0*CHOOSE($C$110,1,Параметры!Y$109,Параметры!Y$118),0*CHOOSE($C$122,1,Параметры!Y$109,Параметры!Y$118),0*CHOOSE($C$136,1,Параметры!Y$109,Параметры!Y$118),0*CHOOSE($C$147,1,Параметры!Y$109,Параметры!Y$118))</f>
        <v>0</v>
      </c>
      <c r="Z162" s="82">
        <f>SUM(0*CHOOSE($C$110,1,Параметры!Z$109,Параметры!Z$118),0*CHOOSE($C$122,1,Параметры!Z$109,Параметры!Z$118),0*CHOOSE($C$136,1,Параметры!Z$109,Параметры!Z$118),0*CHOOSE($C$147,1,Параметры!Z$109,Параметры!Z$118))</f>
        <v>0</v>
      </c>
      <c r="AA162" s="82">
        <f>SUM(0*CHOOSE($C$110,1,Параметры!AA$109,Параметры!AA$118),0*CHOOSE($C$122,1,Параметры!AA$109,Параметры!AA$118),0*CHOOSE($C$136,1,Параметры!AA$109,Параметры!AA$118),0*CHOOSE($C$147,1,Параметры!AA$109,Параметры!AA$118))</f>
        <v>0</v>
      </c>
      <c r="AB162" s="82">
        <f>SUM(0*CHOOSE($C$110,1,Параметры!AB$109,Параметры!AB$118),0*CHOOSE($C$122,1,Параметры!AB$109,Параметры!AB$118),0*CHOOSE($C$136,1,Параметры!AB$109,Параметры!AB$118),0*CHOOSE($C$147,1,Параметры!AB$109,Параметры!AB$118))</f>
        <v>0</v>
      </c>
      <c r="AC162" s="82">
        <f>SUM(0*CHOOSE($C$110,1,Параметры!AC$109,Параметры!AC$118),0*CHOOSE($C$122,1,Параметры!AC$109,Параметры!AC$118),0*CHOOSE($C$136,1,Параметры!AC$109,Параметры!AC$118),0*CHOOSE($C$147,1,Параметры!AC$109,Параметры!AC$118))</f>
        <v>0</v>
      </c>
      <c r="AD162" s="82">
        <f>SUM(0*CHOOSE($C$110,1,Параметры!AD$109,Параметры!AD$118),0*CHOOSE($C$122,1,Параметры!AD$109,Параметры!AD$118),0*CHOOSE($C$136,1,Параметры!AD$109,Параметры!AD$118),0*CHOOSE($C$147,1,Параметры!AD$109,Параметры!AD$118))</f>
        <v>0</v>
      </c>
      <c r="AE162" s="82">
        <f>SUM(0*CHOOSE($C$110,1,Параметры!AE$109,Параметры!AE$118),0*CHOOSE($C$122,1,Параметры!AE$109,Параметры!AE$118),0*CHOOSE($C$136,1,Параметры!AE$109,Параметры!AE$118),0*CHOOSE($C$147,1,Параметры!AE$109,Параметры!AE$118))</f>
        <v>0</v>
      </c>
      <c r="AF162" s="82">
        <f>SUM(0*CHOOSE($C$110,1,Параметры!AF$109,Параметры!AF$118),0*CHOOSE($C$122,1,Параметры!AF$109,Параметры!AF$118),0*CHOOSE($C$136,1,Параметры!AF$109,Параметры!AF$118),0*CHOOSE($C$147,1,Параметры!AF$109,Параметры!AF$118))</f>
        <v>0</v>
      </c>
      <c r="AG162" s="82">
        <f>SUM(0*CHOOSE($C$110,1,Параметры!AG$109,Параметры!AG$118),0*CHOOSE($C$122,1,Параметры!AG$109,Параметры!AG$118),0*CHOOSE($C$136,1,Параметры!AG$109,Параметры!AG$118),0*CHOOSE($C$147,1,Параметры!AG$109,Параметры!AG$118))</f>
        <v>0</v>
      </c>
      <c r="AH162" s="82">
        <f>SUM(0*CHOOSE($C$110,1,Параметры!AH$109,Параметры!AH$118),0*CHOOSE($C$122,1,Параметры!AH$109,Параметры!AH$118),0*CHOOSE($C$136,1,Параметры!AH$109,Параметры!AH$118),0*CHOOSE($C$147,1,Параметры!AH$109,Параметры!AH$118))</f>
        <v>0</v>
      </c>
      <c r="AI162" s="82">
        <f>SUM(0*CHOOSE($C$110,1,Параметры!AI$109,Параметры!AI$118),0*CHOOSE($C$122,1,Параметры!AI$109,Параметры!AI$118),0*CHOOSE($C$136,1,Параметры!AI$109,Параметры!AI$118),0*CHOOSE($C$147,1,Параметры!AI$109,Параметры!AI$118))</f>
        <v>0</v>
      </c>
      <c r="AJ162" s="82">
        <f>SUM(0*CHOOSE($C$110,1,Параметры!AJ$109,Параметры!AJ$118),0*CHOOSE($C$122,1,Параметры!AJ$109,Параметры!AJ$118),0*CHOOSE($C$136,1,Параметры!AJ$109,Параметры!AJ$118),0*CHOOSE($C$147,1,Параметры!AJ$109,Параметры!AJ$118))</f>
        <v>0</v>
      </c>
      <c r="AK162" s="82">
        <f>SUM(0*CHOOSE($C$110,1,Параметры!AK$109,Параметры!AK$118),0*CHOOSE($C$122,1,Параметры!AK$109,Параметры!AK$118),0*CHOOSE($C$136,1,Параметры!AK$109,Параметры!AK$118),0*CHOOSE($C$147,1,Параметры!AK$109,Параметры!AK$118))</f>
        <v>0</v>
      </c>
      <c r="AL162" s="82">
        <f>SUM(0*CHOOSE($C$110,1,Параметры!AL$109,Параметры!AL$118),0*CHOOSE($C$122,1,Параметры!AL$109,Параметры!AL$118),0*CHOOSE($C$136,1,Параметры!AL$109,Параметры!AL$118),0*CHOOSE($C$147,1,Параметры!AL$109,Параметры!AL$118))</f>
        <v>0</v>
      </c>
      <c r="AM162" s="82">
        <f>SUM(0*CHOOSE($C$110,1,Параметры!AM$109,Параметры!AM$118),0*CHOOSE($C$122,1,Параметры!AM$109,Параметры!AM$118),0*CHOOSE($C$136,1,Параметры!AM$109,Параметры!AM$118),0*CHOOSE($C$147,1,Параметры!AM$109,Параметры!AM$118))</f>
        <v>0</v>
      </c>
      <c r="AN162" s="82">
        <f>SUM(0*CHOOSE($C$110,1,Параметры!AN$109,Параметры!AN$118),0*CHOOSE($C$122,1,Параметры!AN$109,Параметры!AN$118),0*CHOOSE($C$136,1,Параметры!AN$109,Параметры!AN$118),0*CHOOSE($C$147,1,Параметры!AN$109,Параметры!AN$118))</f>
        <v>0</v>
      </c>
      <c r="AO162" s="82">
        <f>SUM(0*CHOOSE($C$110,1,Параметры!AO$109,Параметры!AO$118),0*CHOOSE($C$122,1,Параметры!AO$109,Параметры!AO$118),0*CHOOSE($C$136,1,Параметры!AO$109,Параметры!AO$118),0*CHOOSE($C$147,1,Параметры!AO$109,Параметры!AO$118))</f>
        <v>0</v>
      </c>
      <c r="AP162" s="82">
        <f>SUM(0*CHOOSE($C$110,1,Параметры!AP$109,Параметры!AP$118),0*CHOOSE($C$122,1,Параметры!AP$109,Параметры!AP$118),0*CHOOSE($C$136,1,Параметры!AP$109,Параметры!AP$118),0*CHOOSE($C$147,1,Параметры!AP$109,Параметры!AP$118))</f>
        <v>0</v>
      </c>
      <c r="AQ162" s="82">
        <f>SUM(0*CHOOSE($C$110,1,Параметры!AQ$109,Параметры!AQ$118),0*CHOOSE($C$122,1,Параметры!AQ$109,Параметры!AQ$118),0*CHOOSE($C$136,1,Параметры!AQ$109,Параметры!AQ$118),0*CHOOSE($C$147,1,Параметры!AQ$109,Параметры!AQ$118))</f>
        <v>0</v>
      </c>
      <c r="AR162" s="82">
        <f>SUM(0*CHOOSE($C$110,1,Параметры!AR$109,Параметры!AR$118),0*CHOOSE($C$122,1,Параметры!AR$109,Параметры!AR$118),0*CHOOSE($C$136,1,Параметры!AR$109,Параметры!AR$118),0*CHOOSE($C$147,1,Параметры!AR$109,Параметры!AR$118))</f>
        <v>0</v>
      </c>
      <c r="AS162" s="90"/>
      <c r="AT162" s="30"/>
    </row>
    <row r="163" spans="1:46" s="60" customFormat="1" outlineLevel="1" x14ac:dyDescent="0.2">
      <c r="A163" s="63" t="s">
        <v>236</v>
      </c>
      <c r="B163" s="29"/>
      <c r="C163" s="266" t="str">
        <f>Параметры!$B$64</f>
        <v>тыс. руб.</v>
      </c>
      <c r="D163" s="40"/>
      <c r="E163" s="82">
        <f>SUM(0*CHOOSE($C$110,1,Параметры!E$109,Параметры!E$118),0*CHOOSE($C$122,1,Параметры!E$109,Параметры!E$118),0*CHOOSE($C$136,1,Параметры!E$109,Параметры!E$118),0*CHOOSE($C$147,1,Параметры!E$109,Параметры!E$118))</f>
        <v>0</v>
      </c>
      <c r="F163" s="82">
        <f>SUM(0*CHOOSE($C$110,1,Параметры!F$109,Параметры!F$118),0*CHOOSE($C$122,1,Параметры!F$109,Параметры!F$118),0*CHOOSE($C$136,1,Параметры!F$109,Параметры!F$118),0*CHOOSE($C$147,1,Параметры!F$109,Параметры!F$118))</f>
        <v>0</v>
      </c>
      <c r="G163" s="82">
        <f>SUM(0*CHOOSE($C$110,1,Параметры!G$109,Параметры!G$118),0*CHOOSE($C$122,1,Параметры!G$109,Параметры!G$118),0*CHOOSE($C$136,1,Параметры!G$109,Параметры!G$118),0*CHOOSE($C$147,1,Параметры!G$109,Параметры!G$118))</f>
        <v>0</v>
      </c>
      <c r="H163" s="82">
        <f>SUM(0*CHOOSE($C$110,1,Параметры!H$109,Параметры!H$118),0*CHOOSE($C$122,1,Параметры!H$109,Параметры!H$118),0*CHOOSE($C$136,1,Параметры!H$109,Параметры!H$118),0*CHOOSE($C$147,1,Параметры!H$109,Параметры!H$118))</f>
        <v>0</v>
      </c>
      <c r="I163" s="82">
        <f>SUM(0*CHOOSE($C$110,1,Параметры!I$109,Параметры!I$118),0*CHOOSE($C$122,1,Параметры!I$109,Параметры!I$118),0*CHOOSE($C$136,1,Параметры!I$109,Параметры!I$118),0*CHOOSE($C$147,1,Параметры!I$109,Параметры!I$118))</f>
        <v>0</v>
      </c>
      <c r="J163" s="82">
        <f>SUM(0*CHOOSE($C$110,1,Параметры!J$109,Параметры!J$118),0*CHOOSE($C$122,1,Параметры!J$109,Параметры!J$118),0*CHOOSE($C$136,1,Параметры!J$109,Параметры!J$118),0*CHOOSE($C$147,1,Параметры!J$109,Параметры!J$118))</f>
        <v>0</v>
      </c>
      <c r="K163" s="82">
        <f>SUM(0*CHOOSE($C$110,1,Параметры!K$109,Параметры!K$118),0*CHOOSE($C$122,1,Параметры!K$109,Параметры!K$118),0*CHOOSE($C$136,1,Параметры!K$109,Параметры!K$118),0*CHOOSE($C$147,1,Параметры!K$109,Параметры!K$118))</f>
        <v>0</v>
      </c>
      <c r="L163" s="82">
        <f>SUM(0*CHOOSE($C$110,1,Параметры!L$109,Параметры!L$118),0*CHOOSE($C$122,1,Параметры!L$109,Параметры!L$118),0*CHOOSE($C$136,1,Параметры!L$109,Параметры!L$118),0*CHOOSE($C$147,1,Параметры!L$109,Параметры!L$118))</f>
        <v>0</v>
      </c>
      <c r="M163" s="82">
        <f>SUM(0*CHOOSE($C$110,1,Параметры!M$109,Параметры!M$118),0*CHOOSE($C$122,1,Параметры!M$109,Параметры!M$118),0*CHOOSE($C$136,1,Параметры!M$109,Параметры!M$118),0*CHOOSE($C$147,1,Параметры!M$109,Параметры!M$118))</f>
        <v>0</v>
      </c>
      <c r="N163" s="82">
        <f>SUM(0*CHOOSE($C$110,1,Параметры!N$109,Параметры!N$118),0*CHOOSE($C$122,1,Параметры!N$109,Параметры!N$118),0*CHOOSE($C$136,1,Параметры!N$109,Параметры!N$118),0*CHOOSE($C$147,1,Параметры!N$109,Параметры!N$118))</f>
        <v>0</v>
      </c>
      <c r="O163" s="82">
        <f>SUM(0*CHOOSE($C$110,1,Параметры!O$109,Параметры!O$118),0*CHOOSE($C$122,1,Параметры!O$109,Параметры!O$118),0*CHOOSE($C$136,1,Параметры!O$109,Параметры!O$118),0*CHOOSE($C$147,1,Параметры!O$109,Параметры!O$118))</f>
        <v>0</v>
      </c>
      <c r="P163" s="82">
        <f>SUM(0*CHOOSE($C$110,1,Параметры!P$109,Параметры!P$118),0*CHOOSE($C$122,1,Параметры!P$109,Параметры!P$118),0*CHOOSE($C$136,1,Параметры!P$109,Параметры!P$118),0*CHOOSE($C$147,1,Параметры!P$109,Параметры!P$118))</f>
        <v>0</v>
      </c>
      <c r="Q163" s="82">
        <f>SUM(0*CHOOSE($C$110,1,Параметры!Q$109,Параметры!Q$118),0*CHOOSE($C$122,1,Параметры!Q$109,Параметры!Q$118),0*CHOOSE($C$136,1,Параметры!Q$109,Параметры!Q$118),0*CHOOSE($C$147,1,Параметры!Q$109,Параметры!Q$118))</f>
        <v>0</v>
      </c>
      <c r="R163" s="82">
        <f>SUM(0*CHOOSE($C$110,1,Параметры!R$109,Параметры!R$118),0*CHOOSE($C$122,1,Параметры!R$109,Параметры!R$118),0*CHOOSE($C$136,1,Параметры!R$109,Параметры!R$118),0*CHOOSE($C$147,1,Параметры!R$109,Параметры!R$118))</f>
        <v>0</v>
      </c>
      <c r="S163" s="82">
        <f>SUM(0*CHOOSE($C$110,1,Параметры!S$109,Параметры!S$118),0*CHOOSE($C$122,1,Параметры!S$109,Параметры!S$118),0*CHOOSE($C$136,1,Параметры!S$109,Параметры!S$118),0*CHOOSE($C$147,1,Параметры!S$109,Параметры!S$118))</f>
        <v>0</v>
      </c>
      <c r="T163" s="82">
        <f>SUM(0*CHOOSE($C$110,1,Параметры!T$109,Параметры!T$118),0*CHOOSE($C$122,1,Параметры!T$109,Параметры!T$118),0*CHOOSE($C$136,1,Параметры!T$109,Параметры!T$118),0*CHOOSE($C$147,1,Параметры!T$109,Параметры!T$118))</f>
        <v>0</v>
      </c>
      <c r="U163" s="82">
        <f>SUM(0*CHOOSE($C$110,1,Параметры!U$109,Параметры!U$118),0*CHOOSE($C$122,1,Параметры!U$109,Параметры!U$118),0*CHOOSE($C$136,1,Параметры!U$109,Параметры!U$118),0*CHOOSE($C$147,1,Параметры!U$109,Параметры!U$118))</f>
        <v>0</v>
      </c>
      <c r="V163" s="82">
        <f>SUM(0*CHOOSE($C$110,1,Параметры!V$109,Параметры!V$118),0*CHOOSE($C$122,1,Параметры!V$109,Параметры!V$118),0*CHOOSE($C$136,1,Параметры!V$109,Параметры!V$118),0*CHOOSE($C$147,1,Параметры!V$109,Параметры!V$118))</f>
        <v>0</v>
      </c>
      <c r="W163" s="82">
        <f>SUM(0*CHOOSE($C$110,1,Параметры!W$109,Параметры!W$118),0*CHOOSE($C$122,1,Параметры!W$109,Параметры!W$118),0*CHOOSE($C$136,1,Параметры!W$109,Параметры!W$118),0*CHOOSE($C$147,1,Параметры!W$109,Параметры!W$118))</f>
        <v>0</v>
      </c>
      <c r="X163" s="82">
        <f>SUM(0*CHOOSE($C$110,1,Параметры!X$109,Параметры!X$118),0*CHOOSE($C$122,1,Параметры!X$109,Параметры!X$118),0*CHOOSE($C$136,1,Параметры!X$109,Параметры!X$118),0*CHOOSE($C$147,1,Параметры!X$109,Параметры!X$118))</f>
        <v>0</v>
      </c>
      <c r="Y163" s="82">
        <f>SUM(0*CHOOSE($C$110,1,Параметры!Y$109,Параметры!Y$118),0*CHOOSE($C$122,1,Параметры!Y$109,Параметры!Y$118),0*CHOOSE($C$136,1,Параметры!Y$109,Параметры!Y$118),0*CHOOSE($C$147,1,Параметры!Y$109,Параметры!Y$118))</f>
        <v>0</v>
      </c>
      <c r="Z163" s="82">
        <f>SUM(0*CHOOSE($C$110,1,Параметры!Z$109,Параметры!Z$118),0*CHOOSE($C$122,1,Параметры!Z$109,Параметры!Z$118),0*CHOOSE($C$136,1,Параметры!Z$109,Параметры!Z$118),0*CHOOSE($C$147,1,Параметры!Z$109,Параметры!Z$118))</f>
        <v>0</v>
      </c>
      <c r="AA163" s="82">
        <f>SUM(0*CHOOSE($C$110,1,Параметры!AA$109,Параметры!AA$118),0*CHOOSE($C$122,1,Параметры!AA$109,Параметры!AA$118),0*CHOOSE($C$136,1,Параметры!AA$109,Параметры!AA$118),0*CHOOSE($C$147,1,Параметры!AA$109,Параметры!AA$118))</f>
        <v>0</v>
      </c>
      <c r="AB163" s="82">
        <f>SUM(0*CHOOSE($C$110,1,Параметры!AB$109,Параметры!AB$118),0*CHOOSE($C$122,1,Параметры!AB$109,Параметры!AB$118),0*CHOOSE($C$136,1,Параметры!AB$109,Параметры!AB$118),0*CHOOSE($C$147,1,Параметры!AB$109,Параметры!AB$118))</f>
        <v>0</v>
      </c>
      <c r="AC163" s="82">
        <f>SUM(0*CHOOSE($C$110,1,Параметры!AC$109,Параметры!AC$118),0*CHOOSE($C$122,1,Параметры!AC$109,Параметры!AC$118),0*CHOOSE($C$136,1,Параметры!AC$109,Параметры!AC$118),0*CHOOSE($C$147,1,Параметры!AC$109,Параметры!AC$118))</f>
        <v>0</v>
      </c>
      <c r="AD163" s="82">
        <f>SUM(0*CHOOSE($C$110,1,Параметры!AD$109,Параметры!AD$118),0*CHOOSE($C$122,1,Параметры!AD$109,Параметры!AD$118),0*CHOOSE($C$136,1,Параметры!AD$109,Параметры!AD$118),0*CHOOSE($C$147,1,Параметры!AD$109,Параметры!AD$118))</f>
        <v>0</v>
      </c>
      <c r="AE163" s="82">
        <f>SUM(0*CHOOSE($C$110,1,Параметры!AE$109,Параметры!AE$118),0*CHOOSE($C$122,1,Параметры!AE$109,Параметры!AE$118),0*CHOOSE($C$136,1,Параметры!AE$109,Параметры!AE$118),0*CHOOSE($C$147,1,Параметры!AE$109,Параметры!AE$118))</f>
        <v>0</v>
      </c>
      <c r="AF163" s="82">
        <f>SUM(0*CHOOSE($C$110,1,Параметры!AF$109,Параметры!AF$118),0*CHOOSE($C$122,1,Параметры!AF$109,Параметры!AF$118),0*CHOOSE($C$136,1,Параметры!AF$109,Параметры!AF$118),0*CHOOSE($C$147,1,Параметры!AF$109,Параметры!AF$118))</f>
        <v>0</v>
      </c>
      <c r="AG163" s="82">
        <f>SUM(0*CHOOSE($C$110,1,Параметры!AG$109,Параметры!AG$118),0*CHOOSE($C$122,1,Параметры!AG$109,Параметры!AG$118),0*CHOOSE($C$136,1,Параметры!AG$109,Параметры!AG$118),0*CHOOSE($C$147,1,Параметры!AG$109,Параметры!AG$118))</f>
        <v>0</v>
      </c>
      <c r="AH163" s="82">
        <f>SUM(0*CHOOSE($C$110,1,Параметры!AH$109,Параметры!AH$118),0*CHOOSE($C$122,1,Параметры!AH$109,Параметры!AH$118),0*CHOOSE($C$136,1,Параметры!AH$109,Параметры!AH$118),0*CHOOSE($C$147,1,Параметры!AH$109,Параметры!AH$118))</f>
        <v>0</v>
      </c>
      <c r="AI163" s="82">
        <f>SUM(0*CHOOSE($C$110,1,Параметры!AI$109,Параметры!AI$118),0*CHOOSE($C$122,1,Параметры!AI$109,Параметры!AI$118),0*CHOOSE($C$136,1,Параметры!AI$109,Параметры!AI$118),0*CHOOSE($C$147,1,Параметры!AI$109,Параметры!AI$118))</f>
        <v>0</v>
      </c>
      <c r="AJ163" s="82">
        <f>SUM(0*CHOOSE($C$110,1,Параметры!AJ$109,Параметры!AJ$118),0*CHOOSE($C$122,1,Параметры!AJ$109,Параметры!AJ$118),0*CHOOSE($C$136,1,Параметры!AJ$109,Параметры!AJ$118),0*CHOOSE($C$147,1,Параметры!AJ$109,Параметры!AJ$118))</f>
        <v>0</v>
      </c>
      <c r="AK163" s="82">
        <f>SUM(0*CHOOSE($C$110,1,Параметры!AK$109,Параметры!AK$118),0*CHOOSE($C$122,1,Параметры!AK$109,Параметры!AK$118),0*CHOOSE($C$136,1,Параметры!AK$109,Параметры!AK$118),0*CHOOSE($C$147,1,Параметры!AK$109,Параметры!AK$118))</f>
        <v>0</v>
      </c>
      <c r="AL163" s="82">
        <f>SUM(0*CHOOSE($C$110,1,Параметры!AL$109,Параметры!AL$118),0*CHOOSE($C$122,1,Параметры!AL$109,Параметры!AL$118),0*CHOOSE($C$136,1,Параметры!AL$109,Параметры!AL$118),0*CHOOSE($C$147,1,Параметры!AL$109,Параметры!AL$118))</f>
        <v>0</v>
      </c>
      <c r="AM163" s="82">
        <f>SUM(0*CHOOSE($C$110,1,Параметры!AM$109,Параметры!AM$118),0*CHOOSE($C$122,1,Параметры!AM$109,Параметры!AM$118),0*CHOOSE($C$136,1,Параметры!AM$109,Параметры!AM$118),0*CHOOSE($C$147,1,Параметры!AM$109,Параметры!AM$118))</f>
        <v>0</v>
      </c>
      <c r="AN163" s="82">
        <f>SUM(0*CHOOSE($C$110,1,Параметры!AN$109,Параметры!AN$118),0*CHOOSE($C$122,1,Параметры!AN$109,Параметры!AN$118),0*CHOOSE($C$136,1,Параметры!AN$109,Параметры!AN$118),0*CHOOSE($C$147,1,Параметры!AN$109,Параметры!AN$118))</f>
        <v>0</v>
      </c>
      <c r="AO163" s="82">
        <f>SUM(0*CHOOSE($C$110,1,Параметры!AO$109,Параметры!AO$118),0*CHOOSE($C$122,1,Параметры!AO$109,Параметры!AO$118),0*CHOOSE($C$136,1,Параметры!AO$109,Параметры!AO$118),0*CHOOSE($C$147,1,Параметры!AO$109,Параметры!AO$118))</f>
        <v>0</v>
      </c>
      <c r="AP163" s="82">
        <f>SUM(0*CHOOSE($C$110,1,Параметры!AP$109,Параметры!AP$118),0*CHOOSE($C$122,1,Параметры!AP$109,Параметры!AP$118),0*CHOOSE($C$136,1,Параметры!AP$109,Параметры!AP$118),0*CHOOSE($C$147,1,Параметры!AP$109,Параметры!AP$118))</f>
        <v>0</v>
      </c>
      <c r="AQ163" s="82">
        <f>SUM(0*CHOOSE($C$110,1,Параметры!AQ$109,Параметры!AQ$118),0*CHOOSE($C$122,1,Параметры!AQ$109,Параметры!AQ$118),0*CHOOSE($C$136,1,Параметры!AQ$109,Параметры!AQ$118),0*CHOOSE($C$147,1,Параметры!AQ$109,Параметры!AQ$118))</f>
        <v>0</v>
      </c>
      <c r="AR163" s="82">
        <f>SUM(0*CHOOSE($C$110,1,Параметры!AR$109,Параметры!AR$118),0*CHOOSE($C$122,1,Параметры!AR$109,Параметры!AR$118),0*CHOOSE($C$136,1,Параметры!AR$109,Параметры!AR$118),0*CHOOSE($C$147,1,Параметры!AR$109,Параметры!AR$118))</f>
        <v>0</v>
      </c>
      <c r="AS163" s="90"/>
      <c r="AT163" s="103">
        <f>SUM(E163:AS163)</f>
        <v>0</v>
      </c>
    </row>
    <row r="164" spans="1:46" s="60" customFormat="1" outlineLevel="1" x14ac:dyDescent="0.2">
      <c r="A164" s="63" t="s">
        <v>164</v>
      </c>
      <c r="B164" s="29"/>
      <c r="C164" s="266" t="str">
        <f>Параметры!$B$64</f>
        <v>тыс. руб.</v>
      </c>
      <c r="D164" s="40"/>
      <c r="E164" s="82">
        <f>SUM(0*CHOOSE($C$110,1,Параметры!E$109,Параметры!E$118),0*CHOOSE($C$122,1,Параметры!E$109,Параметры!E$118),0*CHOOSE($C$136,1,Параметры!E$109,Параметры!E$118),0*CHOOSE($C$147,1,Параметры!E$109,Параметры!E$118))</f>
        <v>0</v>
      </c>
      <c r="F164" s="82">
        <f>SUM(0*CHOOSE($C$110,1,Параметры!F$109,Параметры!F$118),0*CHOOSE($C$122,1,Параметры!F$109,Параметры!F$118),0*CHOOSE($C$136,1,Параметры!F$109,Параметры!F$118),0*CHOOSE($C$147,1,Параметры!F$109,Параметры!F$118))</f>
        <v>0</v>
      </c>
      <c r="G164" s="82">
        <f>SUM(0*CHOOSE($C$110,1,Параметры!G$109,Параметры!G$118),0*CHOOSE($C$122,1,Параметры!G$109,Параметры!G$118),0*CHOOSE($C$136,1,Параметры!G$109,Параметры!G$118),0*CHOOSE($C$147,1,Параметры!G$109,Параметры!G$118))</f>
        <v>0</v>
      </c>
      <c r="H164" s="82">
        <f>SUM(0*CHOOSE($C$110,1,Параметры!H$109,Параметры!H$118),0*CHOOSE($C$122,1,Параметры!H$109,Параметры!H$118),0*CHOOSE($C$136,1,Параметры!H$109,Параметры!H$118),0*CHOOSE($C$147,1,Параметры!H$109,Параметры!H$118))</f>
        <v>0</v>
      </c>
      <c r="I164" s="82">
        <f>SUM(0*CHOOSE($C$110,1,Параметры!I$109,Параметры!I$118),0*CHOOSE($C$122,1,Параметры!I$109,Параметры!I$118),0*CHOOSE($C$136,1,Параметры!I$109,Параметры!I$118),0*CHOOSE($C$147,1,Параметры!I$109,Параметры!I$118))</f>
        <v>0</v>
      </c>
      <c r="J164" s="82">
        <f>SUM(0*CHOOSE($C$110,1,Параметры!J$109,Параметры!J$118),0*CHOOSE($C$122,1,Параметры!J$109,Параметры!J$118),0*CHOOSE($C$136,1,Параметры!J$109,Параметры!J$118),0*CHOOSE($C$147,1,Параметры!J$109,Параметры!J$118))</f>
        <v>0</v>
      </c>
      <c r="K164" s="82">
        <f>SUM(0*CHOOSE($C$110,1,Параметры!K$109,Параметры!K$118),0*CHOOSE($C$122,1,Параметры!K$109,Параметры!K$118),0*CHOOSE($C$136,1,Параметры!K$109,Параметры!K$118),0*CHOOSE($C$147,1,Параметры!K$109,Параметры!K$118))</f>
        <v>0</v>
      </c>
      <c r="L164" s="82">
        <f>SUM(0*CHOOSE($C$110,1,Параметры!L$109,Параметры!L$118),0*CHOOSE($C$122,1,Параметры!L$109,Параметры!L$118),0*CHOOSE($C$136,1,Параметры!L$109,Параметры!L$118),0*CHOOSE($C$147,1,Параметры!L$109,Параметры!L$118))</f>
        <v>0</v>
      </c>
      <c r="M164" s="82">
        <f>SUM(0*CHOOSE($C$110,1,Параметры!M$109,Параметры!M$118),0*CHOOSE($C$122,1,Параметры!M$109,Параметры!M$118),0*CHOOSE($C$136,1,Параметры!M$109,Параметры!M$118),0*CHOOSE($C$147,1,Параметры!M$109,Параметры!M$118))</f>
        <v>0</v>
      </c>
      <c r="N164" s="82">
        <f>SUM(0*CHOOSE($C$110,1,Параметры!N$109,Параметры!N$118),0*CHOOSE($C$122,1,Параметры!N$109,Параметры!N$118),0*CHOOSE($C$136,1,Параметры!N$109,Параметры!N$118),0*CHOOSE($C$147,1,Параметры!N$109,Параметры!N$118))</f>
        <v>0</v>
      </c>
      <c r="O164" s="82">
        <f>SUM(0*CHOOSE($C$110,1,Параметры!O$109,Параметры!O$118),0*CHOOSE($C$122,1,Параметры!O$109,Параметры!O$118),0*CHOOSE($C$136,1,Параметры!O$109,Параметры!O$118),0*CHOOSE($C$147,1,Параметры!O$109,Параметры!O$118))</f>
        <v>0</v>
      </c>
      <c r="P164" s="82">
        <f>SUM(0*CHOOSE($C$110,1,Параметры!P$109,Параметры!P$118),0*CHOOSE($C$122,1,Параметры!P$109,Параметры!P$118),0*CHOOSE($C$136,1,Параметры!P$109,Параметры!P$118),0*CHOOSE($C$147,1,Параметры!P$109,Параметры!P$118))</f>
        <v>0</v>
      </c>
      <c r="Q164" s="82">
        <f>SUM(0*CHOOSE($C$110,1,Параметры!Q$109,Параметры!Q$118),0*CHOOSE($C$122,1,Параметры!Q$109,Параметры!Q$118),0*CHOOSE($C$136,1,Параметры!Q$109,Параметры!Q$118),0*CHOOSE($C$147,1,Параметры!Q$109,Параметры!Q$118))</f>
        <v>0</v>
      </c>
      <c r="R164" s="82">
        <f>SUM(0*CHOOSE($C$110,1,Параметры!R$109,Параметры!R$118),0*CHOOSE($C$122,1,Параметры!R$109,Параметры!R$118),0*CHOOSE($C$136,1,Параметры!R$109,Параметры!R$118),0*CHOOSE($C$147,1,Параметры!R$109,Параметры!R$118))</f>
        <v>0</v>
      </c>
      <c r="S164" s="82">
        <f>SUM(0*CHOOSE($C$110,1,Параметры!S$109,Параметры!S$118),0*CHOOSE($C$122,1,Параметры!S$109,Параметры!S$118),0*CHOOSE($C$136,1,Параметры!S$109,Параметры!S$118),0*CHOOSE($C$147,1,Параметры!S$109,Параметры!S$118))</f>
        <v>0</v>
      </c>
      <c r="T164" s="82">
        <f>SUM(0*CHOOSE($C$110,1,Параметры!T$109,Параметры!T$118),0*CHOOSE($C$122,1,Параметры!T$109,Параметры!T$118),0*CHOOSE($C$136,1,Параметры!T$109,Параметры!T$118),0*CHOOSE($C$147,1,Параметры!T$109,Параметры!T$118))</f>
        <v>0</v>
      </c>
      <c r="U164" s="82">
        <f>SUM(0*CHOOSE($C$110,1,Параметры!U$109,Параметры!U$118),0*CHOOSE($C$122,1,Параметры!U$109,Параметры!U$118),0*CHOOSE($C$136,1,Параметры!U$109,Параметры!U$118),0*CHOOSE($C$147,1,Параметры!U$109,Параметры!U$118))</f>
        <v>0</v>
      </c>
      <c r="V164" s="82">
        <f>SUM(0*CHOOSE($C$110,1,Параметры!V$109,Параметры!V$118),0*CHOOSE($C$122,1,Параметры!V$109,Параметры!V$118),0*CHOOSE($C$136,1,Параметры!V$109,Параметры!V$118),0*CHOOSE($C$147,1,Параметры!V$109,Параметры!V$118))</f>
        <v>0</v>
      </c>
      <c r="W164" s="82">
        <f>SUM(0*CHOOSE($C$110,1,Параметры!W$109,Параметры!W$118),0*CHOOSE($C$122,1,Параметры!W$109,Параметры!W$118),0*CHOOSE($C$136,1,Параметры!W$109,Параметры!W$118),0*CHOOSE($C$147,1,Параметры!W$109,Параметры!W$118))</f>
        <v>0</v>
      </c>
      <c r="X164" s="82">
        <f>SUM(0*CHOOSE($C$110,1,Параметры!X$109,Параметры!X$118),0*CHOOSE($C$122,1,Параметры!X$109,Параметры!X$118),0*CHOOSE($C$136,1,Параметры!X$109,Параметры!X$118),0*CHOOSE($C$147,1,Параметры!X$109,Параметры!X$118))</f>
        <v>0</v>
      </c>
      <c r="Y164" s="82">
        <f>SUM(0*CHOOSE($C$110,1,Параметры!Y$109,Параметры!Y$118),0*CHOOSE($C$122,1,Параметры!Y$109,Параметры!Y$118),0*CHOOSE($C$136,1,Параметры!Y$109,Параметры!Y$118),0*CHOOSE($C$147,1,Параметры!Y$109,Параметры!Y$118))</f>
        <v>0</v>
      </c>
      <c r="Z164" s="82">
        <f>SUM(0*CHOOSE($C$110,1,Параметры!Z$109,Параметры!Z$118),0*CHOOSE($C$122,1,Параметры!Z$109,Параметры!Z$118),0*CHOOSE($C$136,1,Параметры!Z$109,Параметры!Z$118),0*CHOOSE($C$147,1,Параметры!Z$109,Параметры!Z$118))</f>
        <v>0</v>
      </c>
      <c r="AA164" s="82">
        <f>SUM(0*CHOOSE($C$110,1,Параметры!AA$109,Параметры!AA$118),0*CHOOSE($C$122,1,Параметры!AA$109,Параметры!AA$118),0*CHOOSE($C$136,1,Параметры!AA$109,Параметры!AA$118),0*CHOOSE($C$147,1,Параметры!AA$109,Параметры!AA$118))</f>
        <v>0</v>
      </c>
      <c r="AB164" s="82">
        <f>SUM(0*CHOOSE($C$110,1,Параметры!AB$109,Параметры!AB$118),0*CHOOSE($C$122,1,Параметры!AB$109,Параметры!AB$118),0*CHOOSE($C$136,1,Параметры!AB$109,Параметры!AB$118),0*CHOOSE($C$147,1,Параметры!AB$109,Параметры!AB$118))</f>
        <v>0</v>
      </c>
      <c r="AC164" s="82">
        <f>SUM(0*CHOOSE($C$110,1,Параметры!AC$109,Параметры!AC$118),0*CHOOSE($C$122,1,Параметры!AC$109,Параметры!AC$118),0*CHOOSE($C$136,1,Параметры!AC$109,Параметры!AC$118),0*CHOOSE($C$147,1,Параметры!AC$109,Параметры!AC$118))</f>
        <v>0</v>
      </c>
      <c r="AD164" s="82">
        <f>SUM(0*CHOOSE($C$110,1,Параметры!AD$109,Параметры!AD$118),0*CHOOSE($C$122,1,Параметры!AD$109,Параметры!AD$118),0*CHOOSE($C$136,1,Параметры!AD$109,Параметры!AD$118),0*CHOOSE($C$147,1,Параметры!AD$109,Параметры!AD$118))</f>
        <v>0</v>
      </c>
      <c r="AE164" s="82">
        <f>SUM(0*CHOOSE($C$110,1,Параметры!AE$109,Параметры!AE$118),0*CHOOSE($C$122,1,Параметры!AE$109,Параметры!AE$118),0*CHOOSE($C$136,1,Параметры!AE$109,Параметры!AE$118),0*CHOOSE($C$147,1,Параметры!AE$109,Параметры!AE$118))</f>
        <v>0</v>
      </c>
      <c r="AF164" s="82">
        <f>SUM(0*CHOOSE($C$110,1,Параметры!AF$109,Параметры!AF$118),0*CHOOSE($C$122,1,Параметры!AF$109,Параметры!AF$118),0*CHOOSE($C$136,1,Параметры!AF$109,Параметры!AF$118),0*CHOOSE($C$147,1,Параметры!AF$109,Параметры!AF$118))</f>
        <v>0</v>
      </c>
      <c r="AG164" s="82">
        <f>SUM(0*CHOOSE($C$110,1,Параметры!AG$109,Параметры!AG$118),0*CHOOSE($C$122,1,Параметры!AG$109,Параметры!AG$118),0*CHOOSE($C$136,1,Параметры!AG$109,Параметры!AG$118),0*CHOOSE($C$147,1,Параметры!AG$109,Параметры!AG$118))</f>
        <v>0</v>
      </c>
      <c r="AH164" s="82">
        <f>SUM(0*CHOOSE($C$110,1,Параметры!AH$109,Параметры!AH$118),0*CHOOSE($C$122,1,Параметры!AH$109,Параметры!AH$118),0*CHOOSE($C$136,1,Параметры!AH$109,Параметры!AH$118),0*CHOOSE($C$147,1,Параметры!AH$109,Параметры!AH$118))</f>
        <v>0</v>
      </c>
      <c r="AI164" s="82">
        <f>SUM(0*CHOOSE($C$110,1,Параметры!AI$109,Параметры!AI$118),0*CHOOSE($C$122,1,Параметры!AI$109,Параметры!AI$118),0*CHOOSE($C$136,1,Параметры!AI$109,Параметры!AI$118),0*CHOOSE($C$147,1,Параметры!AI$109,Параметры!AI$118))</f>
        <v>0</v>
      </c>
      <c r="AJ164" s="82">
        <f>SUM(0*CHOOSE($C$110,1,Параметры!AJ$109,Параметры!AJ$118),0*CHOOSE($C$122,1,Параметры!AJ$109,Параметры!AJ$118),0*CHOOSE($C$136,1,Параметры!AJ$109,Параметры!AJ$118),0*CHOOSE($C$147,1,Параметры!AJ$109,Параметры!AJ$118))</f>
        <v>0</v>
      </c>
      <c r="AK164" s="82">
        <f>SUM(0*CHOOSE($C$110,1,Параметры!AK$109,Параметры!AK$118),0*CHOOSE($C$122,1,Параметры!AK$109,Параметры!AK$118),0*CHOOSE($C$136,1,Параметры!AK$109,Параметры!AK$118),0*CHOOSE($C$147,1,Параметры!AK$109,Параметры!AK$118))</f>
        <v>0</v>
      </c>
      <c r="AL164" s="82">
        <f>SUM(0*CHOOSE($C$110,1,Параметры!AL$109,Параметры!AL$118),0*CHOOSE($C$122,1,Параметры!AL$109,Параметры!AL$118),0*CHOOSE($C$136,1,Параметры!AL$109,Параметры!AL$118),0*CHOOSE($C$147,1,Параметры!AL$109,Параметры!AL$118))</f>
        <v>0</v>
      </c>
      <c r="AM164" s="82">
        <f>SUM(0*CHOOSE($C$110,1,Параметры!AM$109,Параметры!AM$118),0*CHOOSE($C$122,1,Параметры!AM$109,Параметры!AM$118),0*CHOOSE($C$136,1,Параметры!AM$109,Параметры!AM$118),0*CHOOSE($C$147,1,Параметры!AM$109,Параметры!AM$118))</f>
        <v>0</v>
      </c>
      <c r="AN164" s="82">
        <f>SUM(0*CHOOSE($C$110,1,Параметры!AN$109,Параметры!AN$118),0*CHOOSE($C$122,1,Параметры!AN$109,Параметры!AN$118),0*CHOOSE($C$136,1,Параметры!AN$109,Параметры!AN$118),0*CHOOSE($C$147,1,Параметры!AN$109,Параметры!AN$118))</f>
        <v>0</v>
      </c>
      <c r="AO164" s="82">
        <f>SUM(0*CHOOSE($C$110,1,Параметры!AO$109,Параметры!AO$118),0*CHOOSE($C$122,1,Параметры!AO$109,Параметры!AO$118),0*CHOOSE($C$136,1,Параметры!AO$109,Параметры!AO$118),0*CHOOSE($C$147,1,Параметры!AO$109,Параметры!AO$118))</f>
        <v>0</v>
      </c>
      <c r="AP164" s="82">
        <f>SUM(0*CHOOSE($C$110,1,Параметры!AP$109,Параметры!AP$118),0*CHOOSE($C$122,1,Параметры!AP$109,Параметры!AP$118),0*CHOOSE($C$136,1,Параметры!AP$109,Параметры!AP$118),0*CHOOSE($C$147,1,Параметры!AP$109,Параметры!AP$118))</f>
        <v>0</v>
      </c>
      <c r="AQ164" s="82">
        <f>SUM(0*CHOOSE($C$110,1,Параметры!AQ$109,Параметры!AQ$118),0*CHOOSE($C$122,1,Параметры!AQ$109,Параметры!AQ$118),0*CHOOSE($C$136,1,Параметры!AQ$109,Параметры!AQ$118),0*CHOOSE($C$147,1,Параметры!AQ$109,Параметры!AQ$118))</f>
        <v>0</v>
      </c>
      <c r="AR164" s="82">
        <f>SUM(0*CHOOSE($C$110,1,Параметры!AR$109,Параметры!AR$118),0*CHOOSE($C$122,1,Параметры!AR$109,Параметры!AR$118),0*CHOOSE($C$136,1,Параметры!AR$109,Параметры!AR$118),0*CHOOSE($C$147,1,Параметры!AR$109,Параметры!AR$118))</f>
        <v>0</v>
      </c>
      <c r="AS164" s="90"/>
      <c r="AT164" s="103">
        <f>SUM(E164:AS164)</f>
        <v>0</v>
      </c>
    </row>
    <row r="165" spans="1:46" s="60" customFormat="1" outlineLevel="1" x14ac:dyDescent="0.2">
      <c r="A165" s="63" t="s">
        <v>230</v>
      </c>
      <c r="B165" s="29"/>
      <c r="C165" s="266" t="str">
        <f>Параметры!$B$64</f>
        <v>тыс. руб.</v>
      </c>
      <c r="D165" s="40"/>
      <c r="E165" s="90">
        <f>-IF(E$2=1,0,SUM($D158:E158)+SUM($D159:E159)+SUM($D164:E164)-SUM($D160:E160)-E161+E162-(SUM($D158:D158)+SUM($D159:D159)+SUM($D164:D164)-+SUM($D160:D160)-D161+D162))</f>
        <v>0</v>
      </c>
      <c r="F165" s="90">
        <f ca="1">-IF(F$2=1,0,SUM($D158:F158)+SUM($D159:F159)+SUM($D164:F164)-SUM($D160:F160)-F161+F162-(SUM($D158:E158)+SUM($D159:E159)+SUM($D164:E164)-+SUM($D160:E160)-E161+E162))</f>
        <v>0</v>
      </c>
      <c r="G165" s="90">
        <f ca="1">-IF(G$2=1,0,SUM($D158:G158)+SUM($D159:G159)+SUM($D164:G164)-SUM($D160:G160)-G161+G162-(SUM($D158:F158)+SUM($D159:F159)+SUM($D164:F164)-+SUM($D160:F160)-F161+F162))</f>
        <v>0</v>
      </c>
      <c r="H165" s="90">
        <f ca="1">-IF(H$2=1,0,SUM($D158:H158)+SUM($D159:H159)+SUM($D164:H164)-SUM($D160:H160)-H161+H162-(SUM($D158:G158)+SUM($D159:G159)+SUM($D164:G164)-+SUM($D160:G160)-G161+G162))</f>
        <v>-1.4551915228366852E-11</v>
      </c>
      <c r="I165" s="90">
        <f ca="1">-IF(I$2=1,0,SUM($D158:I158)+SUM($D159:I159)+SUM($D164:I164)-SUM($D160:I160)-I161+I162-(SUM($D158:H158)+SUM($D159:H159)+SUM($D164:H164)-+SUM($D160:H160)-H161+H162))</f>
        <v>1.4551915228366852E-11</v>
      </c>
      <c r="J165" s="90">
        <f ca="1">-IF(J$2=1,0,SUM($D158:J158)+SUM($D159:J159)+SUM($D164:J164)-SUM($D160:J160)-J161+J162-(SUM($D158:I158)+SUM($D159:I159)+SUM($D164:I164)-+SUM($D160:I160)-I161+I162))</f>
        <v>-2.9103830456733704E-11</v>
      </c>
      <c r="K165" s="90">
        <f ca="1">-IF(K$2=1,0,SUM($D158:K158)+SUM($D159:K159)+SUM($D164:K164)-SUM($D160:K160)-K161+K162-(SUM($D158:J158)+SUM($D159:J159)+SUM($D164:J164)-+SUM($D160:J160)-J161+J162))</f>
        <v>0</v>
      </c>
      <c r="L165" s="90">
        <f ca="1">-IF(L$2=1,0,SUM($D158:L158)+SUM($D159:L159)+SUM($D164:L164)-SUM($D160:L160)-L161+L162-(SUM($D158:K158)+SUM($D159:K159)+SUM($D164:K164)-+SUM($D160:K160)-K161+K162))</f>
        <v>0</v>
      </c>
      <c r="M165" s="90">
        <f ca="1">-IF(M$2=1,0,SUM($D158:M158)+SUM($D159:M159)+SUM($D164:M164)-SUM($D160:M160)-M161+M162-(SUM($D158:L158)+SUM($D159:L159)+SUM($D164:L164)-+SUM($D160:L160)-L161+L162))</f>
        <v>2.9103830456733704E-11</v>
      </c>
      <c r="N165" s="90">
        <f ca="1">-IF(N$2=1,0,SUM($D158:N158)+SUM($D159:N159)+SUM($D164:N164)-SUM($D160:N160)-N161+N162-(SUM($D158:M158)+SUM($D159:M159)+SUM($D164:M164)-+SUM($D160:M160)-M161+M162))</f>
        <v>0</v>
      </c>
      <c r="O165" s="90">
        <f ca="1">-IF(O$2=1,0,SUM($D158:O158)+SUM($D159:O159)+SUM($D164:O164)-SUM($D160:O160)-O161+O162-(SUM($D158:N158)+SUM($D159:N159)+SUM($D164:N164)-+SUM($D160:N160)-N161+N162))</f>
        <v>-5.8207660913467407E-11</v>
      </c>
      <c r="P165" s="90">
        <f ca="1">-IF(P$2=1,0,SUM($D158:P158)+SUM($D159:P159)+SUM($D164:P164)-SUM($D160:P160)-P161+P162-(SUM($D158:O158)+SUM($D159:O159)+SUM($D164:O164)-+SUM($D160:O160)-O161+O162))</f>
        <v>0</v>
      </c>
      <c r="Q165" s="90">
        <f ca="1">-IF(Q$2=1,0,SUM($D158:Q158)+SUM($D159:Q159)+SUM($D164:Q164)-SUM($D160:Q160)-Q161+Q162-(SUM($D158:P158)+SUM($D159:P159)+SUM($D164:P164)-+SUM($D160:P160)-P161+P162))</f>
        <v>5.8207660913467407E-11</v>
      </c>
      <c r="R165" s="90">
        <f ca="1">-IF(R$2=1,0,SUM($D158:R158)+SUM($D159:R159)+SUM($D164:R164)-SUM($D160:R160)-R161+R162-(SUM($D158:Q158)+SUM($D159:Q159)+SUM($D164:Q164)-+SUM($D160:Q160)-Q161+Q162))</f>
        <v>-2.3283064365386963E-10</v>
      </c>
      <c r="S165" s="90">
        <f ca="1">-IF(S$2=1,0,SUM($D158:S158)+SUM($D159:S159)+SUM($D164:S164)-SUM($D160:S160)-S161+S162-(SUM($D158:R158)+SUM($D159:R159)+SUM($D164:R164)-+SUM($D160:R160)-R161+R162))</f>
        <v>1.1641532182693481E-10</v>
      </c>
      <c r="T165" s="90">
        <f ca="1">-IF(T$2=1,0,SUM($D158:T158)+SUM($D159:T159)+SUM($D164:T164)-SUM($D160:T160)-T161+T162-(SUM($D158:S158)+SUM($D159:S159)+SUM($D164:S164)-+SUM($D160:S160)-S161+S162))</f>
        <v>-1.1641532182693481E-10</v>
      </c>
      <c r="U165" s="90">
        <f ca="1">-IF(U$2=1,0,SUM($D158:U158)+SUM($D159:U159)+SUM($D164:U164)-SUM($D160:U160)-U161+U162-(SUM($D158:T158)+SUM($D159:T159)+SUM($D164:T164)-+SUM($D160:T160)-T161+T162))</f>
        <v>0</v>
      </c>
      <c r="V165" s="90">
        <f ca="1">-IF(V$2=1,0,SUM($D158:V158)+SUM($D159:V159)+SUM($D164:V164)-SUM($D160:V160)-V161+V162-(SUM($D158:U158)+SUM($D159:U159)+SUM($D164:U164)-+SUM($D160:U160)-U161+U162))</f>
        <v>0</v>
      </c>
      <c r="W165" s="90">
        <f ca="1">-IF(W$2=1,0,SUM($D158:W158)+SUM($D159:W159)+SUM($D164:W164)-SUM($D160:W160)-W161+W162-(SUM($D158:V158)+SUM($D159:V159)+SUM($D164:V164)-+SUM($D160:V160)-V161+V162))</f>
        <v>0</v>
      </c>
      <c r="X165" s="90">
        <f ca="1">-IF(X$2=1,0,SUM($D158:X158)+SUM($D159:X159)+SUM($D164:X164)-SUM($D160:X160)-X161+X162-(SUM($D158:W158)+SUM($D159:W159)+SUM($D164:W164)-+SUM($D160:W160)-W161+W162))</f>
        <v>-2.3283064365386963E-10</v>
      </c>
      <c r="Y165" s="90">
        <f ca="1">-IF(Y$2=1,0,SUM($D158:Y158)+SUM($D159:Y159)+SUM($D164:Y164)-SUM($D160:Y160)-Y161+Y162-(SUM($D158:X158)+SUM($D159:X159)+SUM($D164:X164)-+SUM($D160:X160)-X161+X162))</f>
        <v>0</v>
      </c>
      <c r="Z165" s="90">
        <f ca="1">-IF(Z$2=1,0,SUM($D158:Z158)+SUM($D159:Z159)+SUM($D164:Z164)-SUM($D160:Z160)-Z161+Z162-(SUM($D158:Y158)+SUM($D159:Y159)+SUM($D164:Y164)-+SUM($D160:Y160)-Y161+Y162))</f>
        <v>0</v>
      </c>
      <c r="AA165" s="90">
        <f ca="1">-IF(AA$2=1,0,SUM($D158:AA158)+SUM($D159:AA159)+SUM($D164:AA164)-SUM($D160:AA160)-AA161+AA162-(SUM($D158:Z158)+SUM($D159:Z159)+SUM($D164:Z164)-+SUM($D160:Z160)-Z161+Z162))</f>
        <v>0</v>
      </c>
      <c r="AB165" s="90">
        <f ca="1">-IF(AB$2=1,0,SUM($D158:AB158)+SUM($D159:AB159)+SUM($D164:AB164)-SUM($D160:AB160)-AB161+AB162-(SUM($D158:AA158)+SUM($D159:AA159)+SUM($D164:AA164)-+SUM($D160:AA160)-AA161+AA162))</f>
        <v>-4.6566128730773926E-10</v>
      </c>
      <c r="AC165" s="90">
        <f ca="1">-IF(AC$2=1,0,SUM($D158:AC158)+SUM($D159:AC159)+SUM($D164:AC164)-SUM($D160:AC160)-AC161+AC162-(SUM($D158:AB158)+SUM($D159:AB159)+SUM($D164:AB164)-+SUM($D160:AB160)-AB161+AB162))</f>
        <v>-4.6566128730773926E-10</v>
      </c>
      <c r="AD165" s="90">
        <f ca="1">-IF(AD$2=1,0,SUM($D158:AD158)+SUM($D159:AD159)+SUM($D164:AD164)-SUM($D160:AD160)-AD161+AD162-(SUM($D158:AC158)+SUM($D159:AC159)+SUM($D164:AC164)-+SUM($D160:AC160)-AC161+AC162))</f>
        <v>-4.6566128730773926E-10</v>
      </c>
      <c r="AE165" s="90">
        <f ca="1">-IF(AE$2=1,0,SUM($D158:AE158)+SUM($D159:AE159)+SUM($D164:AE164)-SUM($D160:AE160)-AE161+AE162-(SUM($D158:AD158)+SUM($D159:AD159)+SUM($D164:AD164)-+SUM($D160:AD160)-AD161+AD162))</f>
        <v>4.6566128730773926E-10</v>
      </c>
      <c r="AF165" s="90">
        <f ca="1">-IF(AF$2=1,0,SUM($D158:AF158)+SUM($D159:AF159)+SUM($D164:AF164)-SUM($D160:AF160)-AF161+AF162-(SUM($D158:AE158)+SUM($D159:AE159)+SUM($D164:AE164)-+SUM($D160:AE160)-AE161+AE162))</f>
        <v>4.6566128730773926E-10</v>
      </c>
      <c r="AG165" s="90">
        <f ca="1">-IF(AG$2=1,0,SUM($D158:AG158)+SUM($D159:AG159)+SUM($D164:AG164)-SUM($D160:AG160)-AG161+AG162-(SUM($D158:AF158)+SUM($D159:AF159)+SUM($D164:AF164)-+SUM($D160:AF160)-AF161+AF162))</f>
        <v>-9.3132257461547852E-10</v>
      </c>
      <c r="AH165" s="90">
        <f ca="1">-IF(AH$2=1,0,SUM($D158:AH158)+SUM($D159:AH159)+SUM($D164:AH164)-SUM($D160:AH160)-AH161+AH162-(SUM($D158:AG158)+SUM($D159:AG159)+SUM($D164:AG164)-+SUM($D160:AG160)-AG161+AG162))</f>
        <v>0</v>
      </c>
      <c r="AI165" s="90">
        <f ca="1">-IF(AI$2=1,0,SUM($D158:AI158)+SUM($D159:AI159)+SUM($D164:AI164)-SUM($D160:AI160)-AI161+AI162-(SUM($D158:AH158)+SUM($D159:AH159)+SUM($D164:AH164)-+SUM($D160:AH160)-AH161+AH162))</f>
        <v>0</v>
      </c>
      <c r="AJ165" s="90">
        <f ca="1">-IF(AJ$2=1,0,SUM($D158:AJ158)+SUM($D159:AJ159)+SUM($D164:AJ164)-SUM($D160:AJ160)-AJ161+AJ162-(SUM($D158:AI158)+SUM($D159:AI159)+SUM($D164:AI164)-+SUM($D160:AI160)-AI161+AI162))</f>
        <v>0</v>
      </c>
      <c r="AK165" s="90">
        <f ca="1">-IF(AK$2=1,0,SUM($D158:AK158)+SUM($D159:AK159)+SUM($D164:AK164)-SUM($D160:AK160)-AK161+AK162-(SUM($D158:AJ158)+SUM($D159:AJ159)+SUM($D164:AJ164)-+SUM($D160:AJ160)-AJ161+AJ162))</f>
        <v>0</v>
      </c>
      <c r="AL165" s="90">
        <f ca="1">-IF(AL$2=1,0,SUM($D158:AL158)+SUM($D159:AL159)+SUM($D164:AL164)-SUM($D160:AL160)-AL161+AL162-(SUM($D158:AK158)+SUM($D159:AK159)+SUM($D164:AK164)-+SUM($D160:AK160)-AK161+AK162))</f>
        <v>0</v>
      </c>
      <c r="AM165" s="90">
        <f ca="1">-IF(AM$2=1,0,SUM($D158:AM158)+SUM($D159:AM159)+SUM($D164:AM164)-SUM($D160:AM160)-AM161+AM162-(SUM($D158:AL158)+SUM($D159:AL159)+SUM($D164:AL164)-+SUM($D160:AL160)-AL161+AL162))</f>
        <v>0</v>
      </c>
      <c r="AN165" s="90">
        <f ca="1">-IF(AN$2=1,0,SUM($D158:AN158)+SUM($D159:AN159)+SUM($D164:AN164)-SUM($D160:AN160)-AN161+AN162-(SUM($D158:AM158)+SUM($D159:AM159)+SUM($D164:AM164)-+SUM($D160:AM160)-AM161+AM162))</f>
        <v>0</v>
      </c>
      <c r="AO165" s="90">
        <f ca="1">-IF(AO$2=1,0,SUM($D158:AO158)+SUM($D159:AO159)+SUM($D164:AO164)-SUM($D160:AO160)-AO161+AO162-(SUM($D158:AN158)+SUM($D159:AN159)+SUM($D164:AN164)-+SUM($D160:AN160)-AN161+AN162))</f>
        <v>0</v>
      </c>
      <c r="AP165" s="90">
        <f ca="1">-IF(AP$2=1,0,SUM($D158:AP158)+SUM($D159:AP159)+SUM($D164:AP164)-SUM($D160:AP160)-AP161+AP162-(SUM($D158:AO158)+SUM($D159:AO159)+SUM($D164:AO164)-+SUM($D160:AO160)-AO161+AO162))</f>
        <v>0</v>
      </c>
      <c r="AQ165" s="90">
        <f ca="1">-IF(AQ$2=1,0,SUM($D158:AQ158)+SUM($D159:AQ159)+SUM($D164:AQ164)-SUM($D160:AQ160)-AQ161+AQ162-(SUM($D158:AP158)+SUM($D159:AP159)+SUM($D164:AP164)-+SUM($D160:AP160)-AP161+AP162))</f>
        <v>0</v>
      </c>
      <c r="AR165" s="90">
        <f ca="1">-IF(AR$2=1,0,SUM($D158:AR158)+SUM($D159:AR159)+SUM($D164:AR164)-SUM($D160:AR160)-AR161+AR162-(SUM($D158:AQ158)+SUM($D159:AQ159)+SUM($D164:AQ164)-+SUM($D160:AQ160)-AQ161+AQ162))</f>
        <v>0</v>
      </c>
      <c r="AS165" s="90"/>
      <c r="AT165" s="103">
        <f ca="1">SUM(E165:AS165)</f>
        <v>-1.862645149230957E-9</v>
      </c>
    </row>
    <row r="166" spans="1:46" x14ac:dyDescent="0.2">
      <c r="A166" s="46"/>
      <c r="B166" s="46"/>
      <c r="C166" s="46"/>
      <c r="D166" s="47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73"/>
      <c r="AT166" s="91"/>
    </row>
    <row r="168" spans="1:46" ht="12" thickBot="1" x14ac:dyDescent="0.25"/>
    <row r="169" spans="1:46" s="43" customFormat="1" ht="25.5" customHeight="1" thickBot="1" x14ac:dyDescent="0.25">
      <c r="A169" s="481" t="s">
        <v>509</v>
      </c>
      <c r="B169" s="479"/>
      <c r="C169" s="490"/>
      <c r="D169" s="491"/>
      <c r="E169" s="479" t="str">
        <f>CHOOSE($D$2,Параметры!E$53,Параметры!E$54)</f>
        <v>1 кв. 2020</v>
      </c>
      <c r="F169" s="479" t="str">
        <f>CHOOSE($D$2,Параметры!F$53,Параметры!F$54)</f>
        <v>2 кв. 2020</v>
      </c>
      <c r="G169" s="479" t="str">
        <f>CHOOSE($D$2,Параметры!G$53,Параметры!G$54)</f>
        <v>3 кв. 2020</v>
      </c>
      <c r="H169" s="479" t="str">
        <f>CHOOSE($D$2,Параметры!H$53,Параметры!H$54)</f>
        <v>4 кв. 2020</v>
      </c>
      <c r="I169" s="479" t="str">
        <f>CHOOSE($D$2,Параметры!I$53,Параметры!I$54)</f>
        <v>1 кв. 2021</v>
      </c>
      <c r="J169" s="479" t="str">
        <f>CHOOSE($D$2,Параметры!J$53,Параметры!J$54)</f>
        <v>2 кв. 2021</v>
      </c>
      <c r="K169" s="479" t="str">
        <f>CHOOSE($D$2,Параметры!K$53,Параметры!K$54)</f>
        <v>3 кв. 2021</v>
      </c>
      <c r="L169" s="479" t="str">
        <f>CHOOSE($D$2,Параметры!L$53,Параметры!L$54)</f>
        <v>4 кв. 2021</v>
      </c>
      <c r="M169" s="479" t="str">
        <f>CHOOSE($D$2,Параметры!M$53,Параметры!M$54)</f>
        <v>1 кв. 2022</v>
      </c>
      <c r="N169" s="479" t="str">
        <f>CHOOSE($D$2,Параметры!N$53,Параметры!N$54)</f>
        <v>2 кв. 2022</v>
      </c>
      <c r="O169" s="479" t="str">
        <f>CHOOSE($D$2,Параметры!O$53,Параметры!O$54)</f>
        <v>3 кв. 2022</v>
      </c>
      <c r="P169" s="479" t="str">
        <f>CHOOSE($D$2,Параметры!P$53,Параметры!P$54)</f>
        <v>4 кв. 2022</v>
      </c>
      <c r="Q169" s="479" t="str">
        <f>CHOOSE($D$2,Параметры!Q$53,Параметры!Q$54)</f>
        <v>1 кв. 2023</v>
      </c>
      <c r="R169" s="479" t="str">
        <f>CHOOSE($D$2,Параметры!R$53,Параметры!R$54)</f>
        <v>2 кв. 2023</v>
      </c>
      <c r="S169" s="479" t="str">
        <f>CHOOSE($D$2,Параметры!S$53,Параметры!S$54)</f>
        <v>3 кв. 2023</v>
      </c>
      <c r="T169" s="479" t="str">
        <f>CHOOSE($D$2,Параметры!T$53,Параметры!T$54)</f>
        <v>4 кв. 2023</v>
      </c>
      <c r="U169" s="479" t="str">
        <f>CHOOSE($D$2,Параметры!U$53,Параметры!U$54)</f>
        <v>1 кв. 2024</v>
      </c>
      <c r="V169" s="479" t="str">
        <f>CHOOSE($D$2,Параметры!V$53,Параметры!V$54)</f>
        <v>2 кв. 2024</v>
      </c>
      <c r="W169" s="479" t="str">
        <f>CHOOSE($D$2,Параметры!W$53,Параметры!W$54)</f>
        <v>3 кв. 2024</v>
      </c>
      <c r="X169" s="479" t="str">
        <f>CHOOSE($D$2,Параметры!X$53,Параметры!X$54)</f>
        <v>4 кв. 2024</v>
      </c>
      <c r="Y169" s="479" t="str">
        <f>CHOOSE($D$2,Параметры!Y$53,Параметры!Y$54)</f>
        <v>1 кв. 2025</v>
      </c>
      <c r="Z169" s="479" t="str">
        <f>CHOOSE($D$2,Параметры!Z$53,Параметры!Z$54)</f>
        <v>2 кв. 2025</v>
      </c>
      <c r="AA169" s="479" t="str">
        <f>CHOOSE($D$2,Параметры!AA$53,Параметры!AA$54)</f>
        <v>3 кв. 2025</v>
      </c>
      <c r="AB169" s="479" t="str">
        <f>CHOOSE($D$2,Параметры!AB$53,Параметры!AB$54)</f>
        <v>4 кв. 2025</v>
      </c>
      <c r="AC169" s="479" t="str">
        <f>CHOOSE($D$2,Параметры!AC$53,Параметры!AC$54)</f>
        <v>1 кв. 2026</v>
      </c>
      <c r="AD169" s="479" t="str">
        <f>CHOOSE($D$2,Параметры!AD$53,Параметры!AD$54)</f>
        <v>2 кв. 2026</v>
      </c>
      <c r="AE169" s="479" t="str">
        <f>CHOOSE($D$2,Параметры!AE$53,Параметры!AE$54)</f>
        <v>3 кв. 2026</v>
      </c>
      <c r="AF169" s="479" t="str">
        <f>CHOOSE($D$2,Параметры!AF$53,Параметры!AF$54)</f>
        <v>4 кв. 2026</v>
      </c>
      <c r="AG169" s="479" t="str">
        <f>CHOOSE($D$2,Параметры!AG$53,Параметры!AG$54)</f>
        <v>1 кв. 2027</v>
      </c>
      <c r="AH169" s="479" t="str">
        <f>CHOOSE($D$2,Параметры!AH$53,Параметры!AH$54)</f>
        <v>2 кв. 2027</v>
      </c>
      <c r="AI169" s="479" t="str">
        <f>CHOOSE($D$2,Параметры!AI$53,Параметры!AI$54)</f>
        <v>3 кв. 2027</v>
      </c>
      <c r="AJ169" s="479" t="str">
        <f>CHOOSE($D$2,Параметры!AJ$53,Параметры!AJ$54)</f>
        <v>4 кв. 2027</v>
      </c>
      <c r="AK169" s="479" t="str">
        <f>CHOOSE($D$2,Параметры!AK$53,Параметры!AK$54)</f>
        <v>1 кв. 2028</v>
      </c>
      <c r="AL169" s="479" t="str">
        <f>CHOOSE($D$2,Параметры!AL$53,Параметры!AL$54)</f>
        <v>2 кв. 2028</v>
      </c>
      <c r="AM169" s="479" t="str">
        <f>CHOOSE($D$2,Параметры!AM$53,Параметры!AM$54)</f>
        <v>3 кв. 2028</v>
      </c>
      <c r="AN169" s="479" t="str">
        <f>CHOOSE($D$2,Параметры!AN$53,Параметры!AN$54)</f>
        <v>4 кв. 2028</v>
      </c>
      <c r="AO169" s="479" t="str">
        <f>CHOOSE($D$2,Параметры!AO$53,Параметры!AO$54)</f>
        <v>1 кв. 2029</v>
      </c>
      <c r="AP169" s="479" t="str">
        <f>CHOOSE($D$2,Параметры!AP$53,Параметры!AP$54)</f>
        <v>2 кв. 2029</v>
      </c>
      <c r="AQ169" s="479" t="str">
        <f>CHOOSE($D$2,Параметры!AQ$53,Параметры!AQ$54)</f>
        <v>3 кв. 2029</v>
      </c>
      <c r="AR169" s="479" t="str">
        <f>CHOOSE($D$2,Параметры!AR$53,Параметры!AR$54)</f>
        <v>4 кв. 2029</v>
      </c>
      <c r="AS169" s="479"/>
      <c r="AT169" s="479" t="s">
        <v>0</v>
      </c>
    </row>
    <row r="170" spans="1:46" x14ac:dyDescent="0.2">
      <c r="AS170" s="1"/>
    </row>
    <row r="171" spans="1:46" x14ac:dyDescent="0.2">
      <c r="A171" s="133" t="s">
        <v>77</v>
      </c>
      <c r="B171" s="46"/>
      <c r="C171" s="46"/>
      <c r="D171" s="47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73"/>
      <c r="AT171" s="91"/>
    </row>
    <row r="172" spans="1:46" x14ac:dyDescent="0.2">
      <c r="AS172" s="1"/>
    </row>
    <row r="173" spans="1:46" x14ac:dyDescent="0.2">
      <c r="A173" s="354" t="str">
        <f>A171</f>
        <v>Производственный персонал</v>
      </c>
      <c r="B173" s="223" t="s">
        <v>390</v>
      </c>
      <c r="C173" s="286">
        <v>1</v>
      </c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</row>
    <row r="174" spans="1:46" x14ac:dyDescent="0.2">
      <c r="A174" s="93" t="s">
        <v>72</v>
      </c>
      <c r="B174" s="357"/>
      <c r="C174" s="3" t="s">
        <v>73</v>
      </c>
      <c r="E174" s="346">
        <f>ИД!G154</f>
        <v>0</v>
      </c>
      <c r="F174" s="346">
        <f>ИД!H154</f>
        <v>0</v>
      </c>
      <c r="G174" s="346">
        <f>ИД!I154</f>
        <v>0</v>
      </c>
      <c r="H174" s="346">
        <f>ИД!J154</f>
        <v>0</v>
      </c>
      <c r="I174" s="346">
        <f>ИД!K154</f>
        <v>0</v>
      </c>
      <c r="J174" s="346">
        <f>ИД!L154</f>
        <v>0</v>
      </c>
      <c r="K174" s="346">
        <f>ИД!M154</f>
        <v>12</v>
      </c>
      <c r="L174" s="346">
        <f>ИД!N154</f>
        <v>12</v>
      </c>
      <c r="M174" s="346">
        <f>ИД!O154</f>
        <v>12</v>
      </c>
      <c r="N174" s="346">
        <f>ИД!P154</f>
        <v>12</v>
      </c>
      <c r="O174" s="346">
        <f>ИД!Q154</f>
        <v>12</v>
      </c>
      <c r="P174" s="346">
        <f>ИД!$R$154</f>
        <v>18</v>
      </c>
      <c r="Q174" s="346">
        <f>ИД!$R$154</f>
        <v>18</v>
      </c>
      <c r="R174" s="346">
        <f>ИД!$R$154</f>
        <v>18</v>
      </c>
      <c r="S174" s="346">
        <f>ИД!$R$154</f>
        <v>18</v>
      </c>
      <c r="T174" s="346">
        <f>ИД!$R$154</f>
        <v>18</v>
      </c>
      <c r="U174" s="346">
        <f>ИД!$R$154</f>
        <v>18</v>
      </c>
      <c r="V174" s="346">
        <f>ИД!$R$154</f>
        <v>18</v>
      </c>
      <c r="W174" s="346">
        <f>ИД!$R$154</f>
        <v>18</v>
      </c>
      <c r="X174" s="346">
        <f>ИД!$R$154</f>
        <v>18</v>
      </c>
      <c r="Y174" s="346">
        <f>ИД!$R$154</f>
        <v>18</v>
      </c>
      <c r="Z174" s="346">
        <f>ИД!$R$154</f>
        <v>18</v>
      </c>
      <c r="AA174" s="346">
        <f>ИД!$R$154</f>
        <v>18</v>
      </c>
      <c r="AB174" s="346">
        <f>ИД!$R$154</f>
        <v>18</v>
      </c>
      <c r="AC174" s="346">
        <f>ИД!$R$154</f>
        <v>18</v>
      </c>
      <c r="AD174" s="346">
        <f>ИД!$R$154</f>
        <v>18</v>
      </c>
      <c r="AE174" s="346">
        <f>ИД!$R$154</f>
        <v>18</v>
      </c>
      <c r="AF174" s="346">
        <f>ИД!$R$154</f>
        <v>18</v>
      </c>
      <c r="AG174" s="346">
        <f>ИД!$R$154</f>
        <v>18</v>
      </c>
      <c r="AH174" s="346">
        <f>ИД!$R$154</f>
        <v>18</v>
      </c>
      <c r="AI174" s="346">
        <f>ИД!$R$154</f>
        <v>18</v>
      </c>
      <c r="AJ174" s="346">
        <f>ИД!$R$154</f>
        <v>18</v>
      </c>
      <c r="AK174" s="346">
        <f>ИД!$R$154</f>
        <v>18</v>
      </c>
      <c r="AL174" s="346">
        <f>ИД!$R$154</f>
        <v>18</v>
      </c>
      <c r="AM174" s="346">
        <f>ИД!$R$154</f>
        <v>18</v>
      </c>
      <c r="AN174" s="346">
        <f>ИД!$R$154</f>
        <v>18</v>
      </c>
      <c r="AO174" s="346">
        <f>ИД!$R$154</f>
        <v>18</v>
      </c>
      <c r="AP174" s="346">
        <f>ИД!$R$154</f>
        <v>18</v>
      </c>
      <c r="AQ174" s="346">
        <f>ИД!$R$154</f>
        <v>18</v>
      </c>
      <c r="AR174" s="346">
        <f>ИД!$R$154</f>
        <v>18</v>
      </c>
      <c r="AS174" s="94"/>
    </row>
    <row r="175" spans="1:46" x14ac:dyDescent="0.2">
      <c r="A175" s="106" t="s">
        <v>74</v>
      </c>
      <c r="B175" s="350">
        <f>ИД!D154</f>
        <v>38.75</v>
      </c>
      <c r="C175" s="3" t="str">
        <f>CHOOSE(C173,Параметры!$B$64,Параметры!$B$108,Параметры!$B$117)</f>
        <v>тыс. руб.</v>
      </c>
      <c r="E175" s="348">
        <f t="shared" ref="E175:AR175" si="64">$B175*E184</f>
        <v>38.75</v>
      </c>
      <c r="F175" s="348">
        <f t="shared" ca="1" si="64"/>
        <v>38.75</v>
      </c>
      <c r="G175" s="348">
        <f t="shared" ca="1" si="64"/>
        <v>38.75</v>
      </c>
      <c r="H175" s="348">
        <f t="shared" ca="1" si="64"/>
        <v>38.75</v>
      </c>
      <c r="I175" s="348">
        <f t="shared" ca="1" si="64"/>
        <v>38.75</v>
      </c>
      <c r="J175" s="348">
        <f t="shared" ca="1" si="64"/>
        <v>39.370780422492587</v>
      </c>
      <c r="K175" s="348">
        <f t="shared" ca="1" si="64"/>
        <v>40.001505834222598</v>
      </c>
      <c r="L175" s="348">
        <f t="shared" ca="1" si="64"/>
        <v>40.642335555309266</v>
      </c>
      <c r="M175" s="348">
        <f t="shared" ca="1" si="64"/>
        <v>41.293431458202441</v>
      </c>
      <c r="N175" s="348">
        <f t="shared" ca="1" si="64"/>
        <v>41.989633308677419</v>
      </c>
      <c r="O175" s="348">
        <f t="shared" ca="1" si="64"/>
        <v>42.697573031242186</v>
      </c>
      <c r="P175" s="348">
        <f t="shared" ca="1" si="64"/>
        <v>43.417448524884087</v>
      </c>
      <c r="Q175" s="348">
        <f t="shared" ca="1" si="64"/>
        <v>44.149461025141484</v>
      </c>
      <c r="R175" s="348">
        <f t="shared" ca="1" si="64"/>
        <v>44.88443172108299</v>
      </c>
      <c r="S175" s="348">
        <f t="shared" ca="1" si="64"/>
        <v>45.631637717554781</v>
      </c>
      <c r="T175" s="348">
        <f t="shared" ca="1" si="64"/>
        <v>46.391282699655996</v>
      </c>
      <c r="U175" s="348">
        <f t="shared" ca="1" si="64"/>
        <v>47.163573743299054</v>
      </c>
      <c r="V175" s="348">
        <f t="shared" ca="1" si="64"/>
        <v>47.963563764582389</v>
      </c>
      <c r="W175" s="348">
        <f t="shared" ca="1" si="64"/>
        <v>48.777123241769047</v>
      </c>
      <c r="X175" s="348">
        <f t="shared" ca="1" si="64"/>
        <v>49.604482340396864</v>
      </c>
      <c r="Y175" s="348">
        <f t="shared" ca="1" si="64"/>
        <v>50.445875130078782</v>
      </c>
      <c r="Z175" s="348">
        <f t="shared" ca="1" si="64"/>
        <v>51.29102709128361</v>
      </c>
      <c r="AA175" s="348">
        <f t="shared" ca="1" si="64"/>
        <v>52.150338423015491</v>
      </c>
      <c r="AB175" s="348">
        <f t="shared" ca="1" si="64"/>
        <v>53.024046346251161</v>
      </c>
      <c r="AC175" s="348">
        <f t="shared" ca="1" si="64"/>
        <v>53.91239205628186</v>
      </c>
      <c r="AD175" s="348">
        <f t="shared" ca="1" si="64"/>
        <v>54.806783200644638</v>
      </c>
      <c r="AE175" s="348">
        <f t="shared" ca="1" si="64"/>
        <v>55.716012037949689</v>
      </c>
      <c r="AF175" s="348">
        <f t="shared" ca="1" si="64"/>
        <v>56.640324721273593</v>
      </c>
      <c r="AG175" s="348">
        <f t="shared" ca="1" si="64"/>
        <v>57.579971487301968</v>
      </c>
      <c r="AH175" s="348">
        <f t="shared" ca="1" si="64"/>
        <v>58.531396079969589</v>
      </c>
      <c r="AI175" s="348">
        <f t="shared" ca="1" si="64"/>
        <v>59.498541568847315</v>
      </c>
      <c r="AJ175" s="348">
        <f t="shared" ca="1" si="64"/>
        <v>60.481667718691654</v>
      </c>
      <c r="AK175" s="348">
        <f t="shared" ca="1" si="64"/>
        <v>61.48103858649079</v>
      </c>
      <c r="AL175" s="348">
        <f t="shared" ca="1" si="64"/>
        <v>62.48849038989573</v>
      </c>
      <c r="AM175" s="348">
        <f t="shared" ca="1" si="64"/>
        <v>63.512450683715258</v>
      </c>
      <c r="AN175" s="348">
        <f t="shared" ca="1" si="64"/>
        <v>64.553189982384751</v>
      </c>
      <c r="AO175" s="348">
        <f t="shared" ca="1" si="64"/>
        <v>65.61098323309254</v>
      </c>
      <c r="AP175" s="348">
        <f t="shared" ca="1" si="64"/>
        <v>66.67750812056444</v>
      </c>
      <c r="AQ175" s="348">
        <f t="shared" ca="1" si="64"/>
        <v>67.76136966844814</v>
      </c>
      <c r="AR175" s="348">
        <f t="shared" ca="1" si="64"/>
        <v>68.862849689008669</v>
      </c>
      <c r="AS175" s="90"/>
    </row>
    <row r="176" spans="1:46" collapsed="1" x14ac:dyDescent="0.2">
      <c r="A176" s="106" t="s">
        <v>75</v>
      </c>
      <c r="B176" s="4" t="s">
        <v>76</v>
      </c>
      <c r="C176" s="3" t="str">
        <f>CHOOSE(C173,Параметры!$B$64,Параметры!$B$108,Параметры!$B$117)</f>
        <v>тыс. руб.</v>
      </c>
      <c r="E176" s="131">
        <f>E174*E175*Параметры!E$40</f>
        <v>0</v>
      </c>
      <c r="F176" s="131">
        <f ca="1">F174*F175*Параметры!F$40</f>
        <v>0</v>
      </c>
      <c r="G176" s="131">
        <f ca="1">G174*G175*Параметры!G$40</f>
        <v>0</v>
      </c>
      <c r="H176" s="131">
        <f ca="1">H174*H175*Параметры!H$40</f>
        <v>0</v>
      </c>
      <c r="I176" s="131">
        <f ca="1">I174*I175*Параметры!I$40</f>
        <v>0</v>
      </c>
      <c r="J176" s="131">
        <f ca="1">J174*J175*Параметры!J$40</f>
        <v>0</v>
      </c>
      <c r="K176" s="131">
        <f ca="1">K174*K175*Параметры!K$40</f>
        <v>1440.0542100320135</v>
      </c>
      <c r="L176" s="131">
        <f ca="1">L174*L175*Параметры!L$40</f>
        <v>1463.1240799911334</v>
      </c>
      <c r="M176" s="131">
        <f ca="1">M174*M175*Параметры!M$40</f>
        <v>1486.563532495288</v>
      </c>
      <c r="N176" s="131">
        <f ca="1">N174*N175*Параметры!N$40</f>
        <v>1511.6267991123873</v>
      </c>
      <c r="O176" s="131">
        <f ca="1">O174*O175*Параметры!O$40</f>
        <v>1537.1126291247185</v>
      </c>
      <c r="P176" s="131">
        <f ca="1">P174*P175*Параметры!P$40</f>
        <v>2344.5422203437406</v>
      </c>
      <c r="Q176" s="131">
        <f ca="1">Q174*Q175*Параметры!Q$40</f>
        <v>2384.07089535764</v>
      </c>
      <c r="R176" s="131">
        <f ca="1">R174*R175*Параметры!R$40</f>
        <v>2423.7593129384813</v>
      </c>
      <c r="S176" s="131">
        <f ca="1">S174*S175*Параметры!S$40</f>
        <v>2464.108436747958</v>
      </c>
      <c r="T176" s="131">
        <f ca="1">T174*T175*Параметры!T$40</f>
        <v>2505.1292657814238</v>
      </c>
      <c r="U176" s="131">
        <f ca="1">U174*U175*Параметры!U$40</f>
        <v>2546.8329821381485</v>
      </c>
      <c r="V176" s="131">
        <f ca="1">V174*V175*Параметры!V$40</f>
        <v>2590.032443287449</v>
      </c>
      <c r="W176" s="131">
        <f ca="1">W174*W175*Параметры!W$40</f>
        <v>2633.9646550555285</v>
      </c>
      <c r="X176" s="131">
        <f ca="1">X174*X175*Параметры!X$40</f>
        <v>2678.6420463814306</v>
      </c>
      <c r="Y176" s="131">
        <f ca="1">Y174*Y175*Параметры!Y$40</f>
        <v>2724.0772570242543</v>
      </c>
      <c r="Z176" s="131">
        <f ca="1">Z174*Z175*Параметры!Z$40</f>
        <v>2769.7154629293145</v>
      </c>
      <c r="AA176" s="131">
        <f ca="1">AA174*AA175*Параметры!AA$40</f>
        <v>2816.1182748428364</v>
      </c>
      <c r="AB176" s="131">
        <f ca="1">AB174*AB175*Параметры!AB$40</f>
        <v>2863.298502697563</v>
      </c>
      <c r="AC176" s="131">
        <f ca="1">AC174*AC175*Параметры!AC$40</f>
        <v>2911.2691710392205</v>
      </c>
      <c r="AD176" s="131">
        <f ca="1">AD174*AD175*Параметры!AD$40</f>
        <v>2959.5662928348106</v>
      </c>
      <c r="AE176" s="131">
        <f ca="1">AE174*AE175*Параметры!AE$40</f>
        <v>3008.664650049283</v>
      </c>
      <c r="AF176" s="131">
        <f ca="1">AF174*AF175*Параметры!AF$40</f>
        <v>3058.577534948774</v>
      </c>
      <c r="AG176" s="131">
        <f ca="1">AG174*AG175*Параметры!AG$40</f>
        <v>3109.3184603143063</v>
      </c>
      <c r="AH176" s="131">
        <f ca="1">AH174*AH175*Параметры!AH$40</f>
        <v>3160.6953883183578</v>
      </c>
      <c r="AI176" s="131">
        <f ca="1">AI174*AI175*Параметры!AI$40</f>
        <v>3212.9212447177547</v>
      </c>
      <c r="AJ176" s="131">
        <f ca="1">AJ174*AJ175*Параметры!AJ$40</f>
        <v>3266.010056809349</v>
      </c>
      <c r="AK176" s="131">
        <f ca="1">AK174*AK175*Параметры!AK$40</f>
        <v>3319.9760836705027</v>
      </c>
      <c r="AL176" s="131">
        <f ca="1">AL174*AL175*Параметры!AL$40</f>
        <v>3374.3784810543698</v>
      </c>
      <c r="AM176" s="131">
        <f ca="1">AM174*AM175*Параметры!AM$40</f>
        <v>3429.6723369206243</v>
      </c>
      <c r="AN176" s="131">
        <f ca="1">AN174*AN175*Параметры!AN$40</f>
        <v>3485.8722590487769</v>
      </c>
      <c r="AO176" s="131">
        <f ca="1">AO174*AO175*Параметры!AO$40</f>
        <v>3542.9930945869969</v>
      </c>
      <c r="AP176" s="131">
        <f ca="1">AP174*AP175*Параметры!AP$40</f>
        <v>3600.5854385104794</v>
      </c>
      <c r="AQ176" s="131">
        <f ca="1">AQ174*AQ175*Параметры!AQ$40</f>
        <v>3659.1139620961999</v>
      </c>
      <c r="AR176" s="131">
        <f ca="1">AR174*AR175*Параметры!AR$40</f>
        <v>3718.5938832064685</v>
      </c>
      <c r="AS176" s="131"/>
      <c r="AT176" s="84">
        <f t="shared" ref="AT176:AT181" ca="1" si="65">SUM(E176:AS176)</f>
        <v>94000.981344407628</v>
      </c>
    </row>
    <row r="177" spans="1:46" outlineLevel="1" x14ac:dyDescent="0.2">
      <c r="A177" s="402" t="s">
        <v>483</v>
      </c>
      <c r="B177" s="4"/>
      <c r="C177" s="7" t="str">
        <f>CHOOSE(C173,Параметры!$B$64,Параметры!$B$108,Параметры!$B$117)</f>
        <v>тыс. руб.</v>
      </c>
      <c r="E177" s="403">
        <f>((E176*Параметры!E$159))</f>
        <v>0</v>
      </c>
      <c r="F177" s="403">
        <f ca="1">((F176*Параметры!F$159))</f>
        <v>0</v>
      </c>
      <c r="G177" s="403">
        <f ca="1">((G176*Параметры!G$159))</f>
        <v>0</v>
      </c>
      <c r="H177" s="403">
        <f ca="1">((H176*Параметры!H$159))</f>
        <v>0</v>
      </c>
      <c r="I177" s="403">
        <f ca="1">((I176*Параметры!I$159))</f>
        <v>0</v>
      </c>
      <c r="J177" s="403">
        <f ca="1">((J176*Параметры!J$159))</f>
        <v>0</v>
      </c>
      <c r="K177" s="403">
        <f ca="1">((K176*Параметры!K$159))</f>
        <v>316.81192620704297</v>
      </c>
      <c r="L177" s="403">
        <f ca="1">((L176*Параметры!L$159))</f>
        <v>321.88729759804937</v>
      </c>
      <c r="M177" s="403">
        <f ca="1">((M176*Параметры!M$159))</f>
        <v>327.04397714896334</v>
      </c>
      <c r="N177" s="403">
        <f ca="1">((N176*Параметры!N$159))</f>
        <v>332.55789580472521</v>
      </c>
      <c r="O177" s="403">
        <f ca="1">((O176*Параметры!O$159))</f>
        <v>338.16477840743806</v>
      </c>
      <c r="P177" s="403">
        <f ca="1">((P176*Параметры!P$159))</f>
        <v>515.79928847562292</v>
      </c>
      <c r="Q177" s="403">
        <f ca="1">((Q176*Параметры!Q$159))</f>
        <v>524.49559697868085</v>
      </c>
      <c r="R177" s="403">
        <f ca="1">((R176*Параметры!R$159))</f>
        <v>533.22704884646589</v>
      </c>
      <c r="S177" s="403">
        <f ca="1">((S176*Параметры!S$159))</f>
        <v>542.10385608455078</v>
      </c>
      <c r="T177" s="403">
        <f ca="1">((T176*Параметры!T$159))</f>
        <v>551.12843847191323</v>
      </c>
      <c r="U177" s="403">
        <f ca="1">((U176*Параметры!U$159))</f>
        <v>560.30325607039265</v>
      </c>
      <c r="V177" s="403">
        <f ca="1">((V176*Параметры!V$159))</f>
        <v>569.80713752323879</v>
      </c>
      <c r="W177" s="403">
        <f ca="1">((W176*Параметры!W$159))</f>
        <v>579.47222411221628</v>
      </c>
      <c r="X177" s="403">
        <f ca="1">((X176*Параметры!X$159))</f>
        <v>589.30125020391472</v>
      </c>
      <c r="Y177" s="403">
        <f ca="1">((Y176*Параметры!Y$159))</f>
        <v>599.2969965453359</v>
      </c>
      <c r="Z177" s="403">
        <f ca="1">((Z176*Параметры!Z$159))</f>
        <v>609.33740184444923</v>
      </c>
      <c r="AA177" s="403">
        <f ca="1">((AA176*Параметры!AA$159))</f>
        <v>619.54602046542402</v>
      </c>
      <c r="AB177" s="403">
        <f ca="1">((AB176*Параметры!AB$159))</f>
        <v>629.92567059346391</v>
      </c>
      <c r="AC177" s="403">
        <f ca="1">((AC176*Параметры!AC$159))</f>
        <v>640.47921762862848</v>
      </c>
      <c r="AD177" s="403">
        <f ca="1">((AD176*Параметры!AD$159))</f>
        <v>651.10458442365837</v>
      </c>
      <c r="AE177" s="403">
        <f ca="1">((AE176*Параметры!AE$159))</f>
        <v>661.90622301084227</v>
      </c>
      <c r="AF177" s="403">
        <f ca="1">((AF176*Параметры!AF$159))</f>
        <v>672.88705768873024</v>
      </c>
      <c r="AG177" s="403">
        <f ca="1">((AG176*Параметры!AG$159))</f>
        <v>684.05006126914736</v>
      </c>
      <c r="AH177" s="403">
        <f ca="1">((AH176*Параметры!AH$159))</f>
        <v>695.35298543003876</v>
      </c>
      <c r="AI177" s="403">
        <f ca="1">((AI176*Параметры!AI$159))</f>
        <v>706.84267383790609</v>
      </c>
      <c r="AJ177" s="403">
        <f ca="1">((AJ176*Параметры!AJ$159))</f>
        <v>718.52221249805677</v>
      </c>
      <c r="AK177" s="403">
        <f ca="1">((AK176*Параметры!AK$159))</f>
        <v>730.39473840751054</v>
      </c>
      <c r="AL177" s="403">
        <f ca="1">((AL176*Параметры!AL$159))</f>
        <v>742.36326583196137</v>
      </c>
      <c r="AM177" s="403">
        <f ca="1">((AM176*Параметры!AM$159))</f>
        <v>754.52791412253737</v>
      </c>
      <c r="AN177" s="403">
        <f ca="1">((AN176*Параметры!AN$159))</f>
        <v>766.89189699073097</v>
      </c>
      <c r="AO177" s="403">
        <f ca="1">((AO176*Параметры!AO$159))</f>
        <v>779.45848080913936</v>
      </c>
      <c r="AP177" s="403">
        <f ca="1">((AP176*Параметры!AP$159))</f>
        <v>792.12879647230545</v>
      </c>
      <c r="AQ177" s="403">
        <f ca="1">((AQ176*Параметры!AQ$159))</f>
        <v>805.00507166116392</v>
      </c>
      <c r="AR177" s="403">
        <f ca="1">((AR176*Параметры!AR$159))</f>
        <v>818.09065430542307</v>
      </c>
      <c r="AS177" s="403"/>
      <c r="AT177" s="404">
        <f t="shared" ca="1" si="65"/>
        <v>20680.215895769667</v>
      </c>
    </row>
    <row r="178" spans="1:46" outlineLevel="1" x14ac:dyDescent="0.2">
      <c r="A178" s="402" t="s">
        <v>484</v>
      </c>
      <c r="B178" s="4"/>
      <c r="C178" s="7" t="str">
        <f>CHOOSE(C173,Параметры!$B$64,Параметры!$B$108,Параметры!$B$117)</f>
        <v>тыс. руб.</v>
      </c>
      <c r="E178" s="403">
        <f>((E176*(Параметры!E$161+Параметры!E$162)))</f>
        <v>0</v>
      </c>
      <c r="F178" s="403">
        <f ca="1">((F176*(Параметры!F$161+Параметры!F$162)))</f>
        <v>0</v>
      </c>
      <c r="G178" s="403">
        <f ca="1">((G176*(Параметры!G$161+Параметры!G$162)))</f>
        <v>0</v>
      </c>
      <c r="H178" s="403">
        <f ca="1">((H176*(Параметры!H$161+Параметры!H$162)))</f>
        <v>0</v>
      </c>
      <c r="I178" s="403">
        <f ca="1">((I176*(Параметры!I$161+Параметры!I$162)))</f>
        <v>0</v>
      </c>
      <c r="J178" s="403">
        <f ca="1">((J176*(Параметры!J$161+Параметры!J$162)))</f>
        <v>0</v>
      </c>
      <c r="K178" s="403">
        <f ca="1">((K176*(Параметры!K$161+Параметры!K$162)))</f>
        <v>50.401897351120482</v>
      </c>
      <c r="L178" s="403">
        <f ca="1">((L176*(Параметры!L$161+Параметры!L$162)))</f>
        <v>51.209342799689672</v>
      </c>
      <c r="M178" s="403">
        <f ca="1">((M176*(Параметры!M$161+Параметры!M$162)))</f>
        <v>52.029723637335081</v>
      </c>
      <c r="N178" s="403">
        <f ca="1">((N176*(Параметры!N$161+Параметры!N$162)))</f>
        <v>52.906937968933562</v>
      </c>
      <c r="O178" s="403">
        <f ca="1">((O176*(Параметры!O$161+Параметры!O$162)))</f>
        <v>53.798942019365157</v>
      </c>
      <c r="P178" s="403">
        <f ca="1">((P176*(Параметры!P$161+Параметры!P$162)))</f>
        <v>82.058977712030924</v>
      </c>
      <c r="Q178" s="403">
        <f ca="1">((Q176*(Параметры!Q$161+Параметры!Q$162)))</f>
        <v>83.442481337517407</v>
      </c>
      <c r="R178" s="403">
        <f ca="1">((R176*(Параметры!R$161+Параметры!R$162)))</f>
        <v>84.831575952846862</v>
      </c>
      <c r="S178" s="403">
        <f ca="1">((S176*(Параметры!S$161+Параметры!S$162)))</f>
        <v>86.243795286178539</v>
      </c>
      <c r="T178" s="403">
        <f ca="1">((T176*(Параметры!T$161+Параметры!T$162)))</f>
        <v>87.679524302349847</v>
      </c>
      <c r="U178" s="403">
        <f ca="1">((U176*(Параметры!U$161+Параметры!U$162)))</f>
        <v>89.139154374835201</v>
      </c>
      <c r="V178" s="403">
        <f ca="1">((V176*(Параметры!V$161+Параметры!V$162)))</f>
        <v>90.65113551506073</v>
      </c>
      <c r="W178" s="403">
        <f ca="1">((W176*(Параметры!W$161+Параметры!W$162)))</f>
        <v>92.188762926943511</v>
      </c>
      <c r="X178" s="403">
        <f ca="1">((X176*(Параметры!X$161+Параметры!X$162)))</f>
        <v>93.752471623350075</v>
      </c>
      <c r="Y178" s="403">
        <f ca="1">((Y176*(Параметры!Y$161+Параметры!Y$162)))</f>
        <v>95.342703995848908</v>
      </c>
      <c r="Z178" s="403">
        <f ca="1">((Z176*(Параметры!Z$161+Параметры!Z$162)))</f>
        <v>96.940041202526018</v>
      </c>
      <c r="AA178" s="403">
        <f ca="1">((AA176*(Параметры!AA$161+Параметры!AA$162)))</f>
        <v>98.564139619499286</v>
      </c>
      <c r="AB178" s="403">
        <f ca="1">((AB176*(Параметры!AB$161+Параметры!AB$162)))</f>
        <v>100.21544759441471</v>
      </c>
      <c r="AC178" s="403">
        <f ca="1">((AC176*(Параметры!AC$161+Параметры!AC$162)))</f>
        <v>101.89442098637272</v>
      </c>
      <c r="AD178" s="403">
        <f ca="1">((AD176*(Параметры!AD$161+Параметры!AD$162)))</f>
        <v>103.58482024921838</v>
      </c>
      <c r="AE178" s="403">
        <f ca="1">((AE176*(Параметры!AE$161+Параметры!AE$162)))</f>
        <v>105.30326275172492</v>
      </c>
      <c r="AF178" s="403">
        <f ca="1">((AF176*(Параметры!AF$161+Параметры!AF$162)))</f>
        <v>107.05021372320709</v>
      </c>
      <c r="AG178" s="403">
        <f ca="1">((AG176*(Параметры!AG$161+Параметры!AG$162)))</f>
        <v>108.82614611100072</v>
      </c>
      <c r="AH178" s="403">
        <f ca="1">((AH176*(Параметры!AH$161+Параметры!AH$162)))</f>
        <v>110.62433859114253</v>
      </c>
      <c r="AI178" s="403">
        <f ca="1">((AI176*(Параметры!AI$161+Параметры!AI$162)))</f>
        <v>112.45224356512142</v>
      </c>
      <c r="AJ178" s="403">
        <f ca="1">((AJ176*(Параметры!AJ$161+Параметры!AJ$162)))</f>
        <v>114.31035198832723</v>
      </c>
      <c r="AK178" s="403">
        <f ca="1">((AK176*(Параметры!AK$161+Параметры!AK$162)))</f>
        <v>116.1991629284676</v>
      </c>
      <c r="AL178" s="403">
        <f ca="1">((AL176*(Параметры!AL$161+Параметры!AL$162)))</f>
        <v>118.10324683690295</v>
      </c>
      <c r="AM178" s="403">
        <f ca="1">((AM176*(Параметры!AM$161+Параметры!AM$162)))</f>
        <v>120.03853179222186</v>
      </c>
      <c r="AN178" s="403">
        <f ca="1">((AN176*(Параметры!AN$161+Параметры!AN$162)))</f>
        <v>122.0055290667072</v>
      </c>
      <c r="AO178" s="403">
        <f ca="1">((AO176*(Параметры!AO$161+Параметры!AO$162)))</f>
        <v>124.0047583105449</v>
      </c>
      <c r="AP178" s="403">
        <f ca="1">((AP176*(Параметры!AP$161+Параметры!AP$162)))</f>
        <v>126.0204903478668</v>
      </c>
      <c r="AQ178" s="403">
        <f ca="1">((AQ176*(Параметры!AQ$161+Параметры!AQ$162)))</f>
        <v>128.06898867336702</v>
      </c>
      <c r="AR178" s="403">
        <f ca="1">((AR176*(Параметры!AR$161+Параметры!AR$162)))</f>
        <v>130.15078591222641</v>
      </c>
      <c r="AS178" s="403"/>
      <c r="AT178" s="404">
        <f t="shared" ca="1" si="65"/>
        <v>3290.0343470542657</v>
      </c>
    </row>
    <row r="179" spans="1:46" outlineLevel="1" x14ac:dyDescent="0.2">
      <c r="A179" s="402" t="s">
        <v>485</v>
      </c>
      <c r="B179" s="4"/>
      <c r="C179" s="7" t="str">
        <f>CHOOSE(C173,Параметры!$B$64,Параметры!$B$108,Параметры!$B$117)</f>
        <v>тыс. руб.</v>
      </c>
      <c r="E179" s="403">
        <f>E176*(Параметры!E$160)</f>
        <v>0</v>
      </c>
      <c r="F179" s="403">
        <f ca="1">F176*(Параметры!F$160)</f>
        <v>0</v>
      </c>
      <c r="G179" s="403">
        <f ca="1">G176*(Параметры!G$160)</f>
        <v>0</v>
      </c>
      <c r="H179" s="403">
        <f ca="1">H176*(Параметры!H$160)</f>
        <v>0</v>
      </c>
      <c r="I179" s="403">
        <f ca="1">I176*(Параметры!I$160)</f>
        <v>0</v>
      </c>
      <c r="J179" s="403">
        <f ca="1">J176*(Параметры!J$160)</f>
        <v>0</v>
      </c>
      <c r="K179" s="403">
        <f ca="1">K176*(Параметры!K$160)</f>
        <v>73.442764711632691</v>
      </c>
      <c r="L179" s="403">
        <f ca="1">L176*(Параметры!L$160)</f>
        <v>74.619328079547799</v>
      </c>
      <c r="M179" s="403">
        <f ca="1">M176*(Параметры!M$160)</f>
        <v>75.814740157259678</v>
      </c>
      <c r="N179" s="403">
        <f ca="1">N176*(Параметры!N$160)</f>
        <v>77.092966754731748</v>
      </c>
      <c r="O179" s="403">
        <f ca="1">O176*(Параметры!O$160)</f>
        <v>78.392744085360633</v>
      </c>
      <c r="P179" s="403">
        <f ca="1">P176*(Параметры!P$160)</f>
        <v>119.57165323753077</v>
      </c>
      <c r="Q179" s="403">
        <f ca="1">Q176*(Параметры!Q$160)</f>
        <v>121.58761566323963</v>
      </c>
      <c r="R179" s="403">
        <f ca="1">R176*(Параметры!R$160)</f>
        <v>123.61172495986254</v>
      </c>
      <c r="S179" s="403">
        <f ca="1">S176*(Параметры!S$160)</f>
        <v>125.66953027414584</v>
      </c>
      <c r="T179" s="403">
        <f ca="1">T176*(Параметры!T$160)</f>
        <v>127.7615925548526</v>
      </c>
      <c r="U179" s="403">
        <f ca="1">U176*(Параметры!U$160)</f>
        <v>129.88848208904557</v>
      </c>
      <c r="V179" s="403">
        <f ca="1">V176*(Параметры!V$160)</f>
        <v>132.0916546076599</v>
      </c>
      <c r="W179" s="403">
        <f ca="1">W176*(Параметры!W$160)</f>
        <v>134.33219740783196</v>
      </c>
      <c r="X179" s="403">
        <f ca="1">X176*(Параметры!X$160)</f>
        <v>136.61074436545294</v>
      </c>
      <c r="Y179" s="403">
        <f ca="1">Y176*(Параметры!Y$160)</f>
        <v>138.92794010823695</v>
      </c>
      <c r="Z179" s="403">
        <f ca="1">Z176*(Параметры!Z$160)</f>
        <v>141.25548860939503</v>
      </c>
      <c r="AA179" s="403">
        <f ca="1">AA176*(Параметры!AA$160)</f>
        <v>143.62203201698463</v>
      </c>
      <c r="AB179" s="403">
        <f ca="1">AB176*(Параметры!AB$160)</f>
        <v>146.02822363757571</v>
      </c>
      <c r="AC179" s="403">
        <f ca="1">AC176*(Параметры!AC$160)</f>
        <v>148.47472772300023</v>
      </c>
      <c r="AD179" s="403">
        <f ca="1">AD176*(Параметры!AD$160)</f>
        <v>150.93788093457533</v>
      </c>
      <c r="AE179" s="403">
        <f ca="1">AE176*(Параметры!AE$160)</f>
        <v>153.44189715251343</v>
      </c>
      <c r="AF179" s="403">
        <f ca="1">AF176*(Параметры!AF$160)</f>
        <v>155.98745428238746</v>
      </c>
      <c r="AG179" s="403">
        <f ca="1">AG176*(Параметры!AG$160)</f>
        <v>158.57524147602962</v>
      </c>
      <c r="AH179" s="403">
        <f ca="1">AH176*(Параметры!AH$160)</f>
        <v>161.19546480423622</v>
      </c>
      <c r="AI179" s="403">
        <f ca="1">AI176*(Параметры!AI$160)</f>
        <v>163.85898348060547</v>
      </c>
      <c r="AJ179" s="403">
        <f ca="1">AJ176*(Параметры!AJ$160)</f>
        <v>166.56651289727679</v>
      </c>
      <c r="AK179" s="403">
        <f ca="1">AK176*(Параметры!AK$160)</f>
        <v>169.31878026719562</v>
      </c>
      <c r="AL179" s="403">
        <f ca="1">AL176*(Параметры!AL$160)</f>
        <v>172.09330253377286</v>
      </c>
      <c r="AM179" s="403">
        <f ca="1">AM176*(Параметры!AM$160)</f>
        <v>174.91328918295181</v>
      </c>
      <c r="AN179" s="403">
        <f ca="1">AN176*(Параметры!AN$160)</f>
        <v>177.77948521148761</v>
      </c>
      <c r="AO179" s="403">
        <f ca="1">AO176*(Параметры!AO$160)</f>
        <v>180.69264782393682</v>
      </c>
      <c r="AP179" s="403">
        <f ca="1">AP176*(Параметры!AP$160)</f>
        <v>183.62985736403445</v>
      </c>
      <c r="AQ179" s="403">
        <f ca="1">AQ176*(Параметры!AQ$160)</f>
        <v>186.61481206690618</v>
      </c>
      <c r="AR179" s="403">
        <f ca="1">AR176*(Параметры!AR$160)</f>
        <v>189.64828804352987</v>
      </c>
      <c r="AS179" s="403"/>
      <c r="AT179" s="404">
        <f t="shared" ca="1" si="65"/>
        <v>4794.0500485647844</v>
      </c>
    </row>
    <row r="180" spans="1:46" outlineLevel="1" x14ac:dyDescent="0.2">
      <c r="A180" s="402" t="s">
        <v>487</v>
      </c>
      <c r="B180" s="4"/>
      <c r="C180" s="7" t="str">
        <f>CHOOSE(C173,Параметры!$B$64,Параметры!$B$108,Параметры!$B$117)</f>
        <v>тыс. руб.</v>
      </c>
      <c r="E180" s="403">
        <f>E176*(Параметры!E$163)</f>
        <v>0</v>
      </c>
      <c r="F180" s="403">
        <f ca="1">F176*(Параметры!F$163)</f>
        <v>0</v>
      </c>
      <c r="G180" s="403">
        <f ca="1">G176*(Параметры!G$163)</f>
        <v>0</v>
      </c>
      <c r="H180" s="403">
        <f ca="1">H176*(Параметры!H$163)</f>
        <v>0</v>
      </c>
      <c r="I180" s="403">
        <f ca="1">I176*(Параметры!I$163)</f>
        <v>0</v>
      </c>
      <c r="J180" s="403">
        <f ca="1">J176*(Параметры!J$163)</f>
        <v>0</v>
      </c>
      <c r="K180" s="403">
        <f ca="1">K176*(Параметры!K$163)</f>
        <v>0</v>
      </c>
      <c r="L180" s="403">
        <f ca="1">L176*(Параметры!L$163)</f>
        <v>0</v>
      </c>
      <c r="M180" s="403">
        <f ca="1">M176*(Параметры!M$163)</f>
        <v>0</v>
      </c>
      <c r="N180" s="403">
        <f ca="1">N176*(Параметры!N$163)</f>
        <v>0</v>
      </c>
      <c r="O180" s="403">
        <f ca="1">O176*(Параметры!O$163)</f>
        <v>0</v>
      </c>
      <c r="P180" s="403">
        <f ca="1">P176*(Параметры!P$163)</f>
        <v>0</v>
      </c>
      <c r="Q180" s="403">
        <f ca="1">Q176*(Параметры!Q$163)</f>
        <v>0</v>
      </c>
      <c r="R180" s="403">
        <f ca="1">R176*(Параметры!R$163)</f>
        <v>0</v>
      </c>
      <c r="S180" s="403">
        <f ca="1">S176*(Параметры!S$163)</f>
        <v>0</v>
      </c>
      <c r="T180" s="403">
        <f ca="1">T176*(Параметры!T$163)</f>
        <v>0</v>
      </c>
      <c r="U180" s="403">
        <f ca="1">U176*(Параметры!U$163)</f>
        <v>0</v>
      </c>
      <c r="V180" s="403">
        <f ca="1">V176*(Параметры!V$163)</f>
        <v>0</v>
      </c>
      <c r="W180" s="403">
        <f ca="1">W176*(Параметры!W$163)</f>
        <v>0</v>
      </c>
      <c r="X180" s="403">
        <f ca="1">X176*(Параметры!X$163)</f>
        <v>0</v>
      </c>
      <c r="Y180" s="403">
        <f ca="1">Y176*(Параметры!Y$163)</f>
        <v>0</v>
      </c>
      <c r="Z180" s="403">
        <f ca="1">Z176*(Параметры!Z$163)</f>
        <v>0</v>
      </c>
      <c r="AA180" s="403">
        <f ca="1">AA176*(Параметры!AA$163)</f>
        <v>0</v>
      </c>
      <c r="AB180" s="403">
        <f ca="1">AB176*(Параметры!AB$163)</f>
        <v>0</v>
      </c>
      <c r="AC180" s="403">
        <f ca="1">AC176*(Параметры!AC$163)</f>
        <v>0</v>
      </c>
      <c r="AD180" s="403">
        <f ca="1">AD176*(Параметры!AD$163)</f>
        <v>0</v>
      </c>
      <c r="AE180" s="403">
        <f ca="1">AE176*(Параметры!AE$163)</f>
        <v>0</v>
      </c>
      <c r="AF180" s="403">
        <f ca="1">AF176*(Параметры!AF$163)</f>
        <v>0</v>
      </c>
      <c r="AG180" s="403">
        <f ca="1">AG176*(Параметры!AG$163)</f>
        <v>0</v>
      </c>
      <c r="AH180" s="403">
        <f ca="1">AH176*(Параметры!AH$163)</f>
        <v>0</v>
      </c>
      <c r="AI180" s="403">
        <f ca="1">AI176*(Параметры!AI$163)</f>
        <v>0</v>
      </c>
      <c r="AJ180" s="403">
        <f ca="1">AJ176*(Параметры!AJ$163)</f>
        <v>0</v>
      </c>
      <c r="AK180" s="403">
        <f ca="1">AK176*(Параметры!AK$163)</f>
        <v>0</v>
      </c>
      <c r="AL180" s="403">
        <f ca="1">AL176*(Параметры!AL$163)</f>
        <v>0</v>
      </c>
      <c r="AM180" s="403">
        <f ca="1">AM176*(Параметры!AM$163)</f>
        <v>0</v>
      </c>
      <c r="AN180" s="403">
        <f ca="1">AN176*(Параметры!AN$163)</f>
        <v>0</v>
      </c>
      <c r="AO180" s="403">
        <f ca="1">AO176*(Параметры!AO$163)</f>
        <v>0</v>
      </c>
      <c r="AP180" s="403">
        <f ca="1">AP176*(Параметры!AP$163)</f>
        <v>0</v>
      </c>
      <c r="AQ180" s="403">
        <f ca="1">AQ176*(Параметры!AQ$163)</f>
        <v>0</v>
      </c>
      <c r="AR180" s="403">
        <f ca="1">AR176*(Параметры!AR$163)</f>
        <v>0</v>
      </c>
      <c r="AS180" s="403"/>
      <c r="AT180" s="404">
        <f t="shared" ca="1" si="65"/>
        <v>0</v>
      </c>
    </row>
    <row r="181" spans="1:46" outlineLevel="1" x14ac:dyDescent="0.2">
      <c r="A181" s="114" t="s">
        <v>486</v>
      </c>
      <c r="B181" s="24"/>
      <c r="C181" s="2" t="str">
        <f>CHOOSE(C173,Параметры!$B$64,Параметры!$B$108,Параметры!$B$117)</f>
        <v>тыс. руб.</v>
      </c>
      <c r="E181" s="129">
        <f t="shared" ref="E181:AB181" si="66">SUM(E177:E180)</f>
        <v>0</v>
      </c>
      <c r="F181" s="129">
        <f t="shared" ca="1" si="66"/>
        <v>0</v>
      </c>
      <c r="G181" s="129">
        <f t="shared" ca="1" si="66"/>
        <v>0</v>
      </c>
      <c r="H181" s="129">
        <f t="shared" ca="1" si="66"/>
        <v>0</v>
      </c>
      <c r="I181" s="129">
        <f t="shared" ca="1" si="66"/>
        <v>0</v>
      </c>
      <c r="J181" s="129">
        <f t="shared" ca="1" si="66"/>
        <v>0</v>
      </c>
      <c r="K181" s="129">
        <f t="shared" ca="1" si="66"/>
        <v>440.65658826979609</v>
      </c>
      <c r="L181" s="129">
        <f t="shared" ca="1" si="66"/>
        <v>447.71596847728688</v>
      </c>
      <c r="M181" s="129">
        <f t="shared" ca="1" si="66"/>
        <v>454.88844094355812</v>
      </c>
      <c r="N181" s="129">
        <f t="shared" ca="1" si="66"/>
        <v>462.55780052839054</v>
      </c>
      <c r="O181" s="129">
        <f t="shared" ca="1" si="66"/>
        <v>470.35646451216383</v>
      </c>
      <c r="P181" s="129">
        <f t="shared" ca="1" si="66"/>
        <v>717.42991942518461</v>
      </c>
      <c r="Q181" s="129">
        <f t="shared" ca="1" si="66"/>
        <v>729.52569397943785</v>
      </c>
      <c r="R181" s="129">
        <f t="shared" ca="1" si="66"/>
        <v>741.67034975917522</v>
      </c>
      <c r="S181" s="129">
        <f t="shared" ca="1" si="66"/>
        <v>754.01718164487511</v>
      </c>
      <c r="T181" s="129">
        <f t="shared" ca="1" si="66"/>
        <v>766.5695553291157</v>
      </c>
      <c r="U181" s="129">
        <f t="shared" ca="1" si="66"/>
        <v>779.33089253427352</v>
      </c>
      <c r="V181" s="129">
        <f t="shared" ca="1" si="66"/>
        <v>792.54992764595931</v>
      </c>
      <c r="W181" s="129">
        <f t="shared" ca="1" si="66"/>
        <v>805.99318444699168</v>
      </c>
      <c r="X181" s="129">
        <f t="shared" ca="1" si="66"/>
        <v>819.66446619271778</v>
      </c>
      <c r="Y181" s="129">
        <f t="shared" ca="1" si="66"/>
        <v>833.56764064942172</v>
      </c>
      <c r="Z181" s="129">
        <f t="shared" ca="1" si="66"/>
        <v>847.53293165637024</v>
      </c>
      <c r="AA181" s="129">
        <f t="shared" ca="1" si="66"/>
        <v>861.73219210190791</v>
      </c>
      <c r="AB181" s="129">
        <f t="shared" ca="1" si="66"/>
        <v>876.16934182545435</v>
      </c>
      <c r="AC181" s="129">
        <f t="shared" ref="AC181:AR181" ca="1" si="67">SUM(AC177:AC180)</f>
        <v>890.84836633800148</v>
      </c>
      <c r="AD181" s="129">
        <f t="shared" ca="1" si="67"/>
        <v>905.62728560745211</v>
      </c>
      <c r="AE181" s="129">
        <f t="shared" ca="1" si="67"/>
        <v>920.6513829150806</v>
      </c>
      <c r="AF181" s="129">
        <f t="shared" ca="1" si="67"/>
        <v>935.92472569432482</v>
      </c>
      <c r="AG181" s="129">
        <f t="shared" ca="1" si="67"/>
        <v>951.45144885617776</v>
      </c>
      <c r="AH181" s="129">
        <f t="shared" ca="1" si="67"/>
        <v>967.17278882541746</v>
      </c>
      <c r="AI181" s="129">
        <f t="shared" ca="1" si="67"/>
        <v>983.15390088363301</v>
      </c>
      <c r="AJ181" s="129">
        <f t="shared" ca="1" si="67"/>
        <v>999.39907738366071</v>
      </c>
      <c r="AK181" s="129">
        <f t="shared" ca="1" si="67"/>
        <v>1015.9126816031737</v>
      </c>
      <c r="AL181" s="129">
        <f t="shared" ca="1" si="67"/>
        <v>1032.5598152026371</v>
      </c>
      <c r="AM181" s="129">
        <f t="shared" ca="1" si="67"/>
        <v>1049.479735097711</v>
      </c>
      <c r="AN181" s="129">
        <f t="shared" ca="1" si="67"/>
        <v>1066.6769112689258</v>
      </c>
      <c r="AO181" s="129">
        <f t="shared" ca="1" si="67"/>
        <v>1084.155886943621</v>
      </c>
      <c r="AP181" s="129">
        <f t="shared" ca="1" si="67"/>
        <v>1101.7791441842066</v>
      </c>
      <c r="AQ181" s="129">
        <f t="shared" ca="1" si="67"/>
        <v>1119.688872401437</v>
      </c>
      <c r="AR181" s="129">
        <f t="shared" ca="1" si="67"/>
        <v>1137.8897282611792</v>
      </c>
      <c r="AS181" s="129"/>
      <c r="AT181" s="103">
        <f t="shared" ca="1" si="65"/>
        <v>28764.300291388718</v>
      </c>
    </row>
    <row r="182" spans="1:46" outlineLevel="1" x14ac:dyDescent="0.2">
      <c r="A182" s="544" t="str">
        <f>Параметры!$A$86</f>
        <v>Изменение заработной платы</v>
      </c>
      <c r="B182" s="263" t="s">
        <v>391</v>
      </c>
      <c r="C182" s="21" t="s">
        <v>14</v>
      </c>
      <c r="E182" s="362">
        <f>CHOOSE($C$173,Параметры!E$86,Параметры!E$113,Параметры!E$122)</f>
        <v>0</v>
      </c>
      <c r="F182" s="362">
        <f>CHOOSE($C$173,Параметры!F$86,Параметры!F$113,Параметры!F$122)</f>
        <v>0</v>
      </c>
      <c r="G182" s="362">
        <f>CHOOSE($C$173,Параметры!G$86,Параметры!G$113,Параметры!G$122)</f>
        <v>0</v>
      </c>
      <c r="H182" s="362">
        <f>CHOOSE($C$173,Параметры!H$86,Параметры!H$113,Параметры!H$122)</f>
        <v>0</v>
      </c>
      <c r="I182" s="362">
        <f>CHOOSE($C$173,Параметры!I$86,Параметры!I$113,Параметры!I$122)</f>
        <v>6.5636940856837134E-2</v>
      </c>
      <c r="J182" s="362">
        <f>CHOOSE($C$173,Параметры!J$86,Параметры!J$113,Параметры!J$122)</f>
        <v>6.5636940856837134E-2</v>
      </c>
      <c r="K182" s="362">
        <f>CHOOSE($C$173,Параметры!K$86,Параметры!K$113,Параметры!K$122)</f>
        <v>6.5636940856837134E-2</v>
      </c>
      <c r="L182" s="362">
        <f>CHOOSE($C$173,Параметры!L$86,Параметры!L$113,Параметры!L$122)</f>
        <v>6.5636940856837134E-2</v>
      </c>
      <c r="M182" s="362">
        <f>CHOOSE($C$173,Параметры!M$86,Параметры!M$113,Параметры!M$122)</f>
        <v>6.9164258480914675E-2</v>
      </c>
      <c r="N182" s="362">
        <f>CHOOSE($C$173,Параметры!N$86,Параметры!N$113,Параметры!N$122)</f>
        <v>6.9164258480914675E-2</v>
      </c>
      <c r="O182" s="362">
        <f>CHOOSE($C$173,Параметры!O$86,Параметры!O$113,Параметры!O$122)</f>
        <v>6.9164258480914675E-2</v>
      </c>
      <c r="P182" s="362">
        <f>CHOOSE($C$173,Параметры!P$86,Параметры!P$113,Параметры!P$122)</f>
        <v>6.9164258480914675E-2</v>
      </c>
      <c r="Q182" s="362">
        <f>CHOOSE($C$173,Параметры!Q$86,Параметры!Q$113,Параметры!Q$122)</f>
        <v>6.8270657176112026E-2</v>
      </c>
      <c r="R182" s="362">
        <f>CHOOSE($C$173,Параметры!R$86,Параметры!R$113,Параметры!R$122)</f>
        <v>6.8270657176112026E-2</v>
      </c>
      <c r="S182" s="362">
        <f>CHOOSE($C$173,Параметры!S$86,Параметры!S$113,Параметры!S$122)</f>
        <v>6.8270657176112026E-2</v>
      </c>
      <c r="T182" s="362">
        <f>CHOOSE($C$173,Параметры!T$86,Параметры!T$113,Параметры!T$122)</f>
        <v>6.8270657176112026E-2</v>
      </c>
      <c r="U182" s="362">
        <f>CHOOSE($C$173,Параметры!U$86,Параметры!U$113,Параметры!U$122)</f>
        <v>6.9593992275576166E-2</v>
      </c>
      <c r="V182" s="362">
        <f>CHOOSE($C$173,Параметры!V$86,Параметры!V$113,Параметры!V$122)</f>
        <v>6.9593992275576166E-2</v>
      </c>
      <c r="W182" s="362">
        <f>CHOOSE($C$173,Параметры!W$86,Параметры!W$113,Параметры!W$122)</f>
        <v>6.9593992275576166E-2</v>
      </c>
      <c r="X182" s="362">
        <f>CHOOSE($C$173,Параметры!X$86,Параметры!X$113,Параметры!X$122)</f>
        <v>6.9593992275576166E-2</v>
      </c>
      <c r="Y182" s="362">
        <f>CHOOSE($C$173,Параметры!Y$86,Параметры!Y$113,Параметры!Y$122)</f>
        <v>6.8717549596758909E-2</v>
      </c>
      <c r="Z182" s="362">
        <f>CHOOSE($C$173,Параметры!Z$86,Параметры!Z$113,Параметры!Z$122)</f>
        <v>6.8717549596758909E-2</v>
      </c>
      <c r="AA182" s="362">
        <f>CHOOSE($C$173,Параметры!AA$86,Параметры!AA$113,Параметры!AA$122)</f>
        <v>6.8717549596758909E-2</v>
      </c>
      <c r="AB182" s="362">
        <f>CHOOSE($C$173,Параметры!AB$86,Параметры!AB$113,Параметры!AB$122)</f>
        <v>6.8717549596758909E-2</v>
      </c>
      <c r="AC182" s="362">
        <f>CHOOSE($C$173,Параметры!AC$86,Параметры!AC$113,Параметры!AC$122)</f>
        <v>6.8028504971386461E-2</v>
      </c>
      <c r="AD182" s="362">
        <f>CHOOSE($C$173,Параметры!AD$86,Параметры!AD$113,Параметры!AD$122)</f>
        <v>6.8028504971386461E-2</v>
      </c>
      <c r="AE182" s="362">
        <f>CHOOSE($C$173,Параметры!AE$86,Параметры!AE$113,Параметры!AE$122)</f>
        <v>6.8028504971386461E-2</v>
      </c>
      <c r="AF182" s="362">
        <f>CHOOSE($C$173,Параметры!AF$86,Параметры!AF$113,Параметры!AF$122)</f>
        <v>6.8028504971386461E-2</v>
      </c>
      <c r="AG182" s="362">
        <f>CHOOSE($C$173,Параметры!AG$86,Параметры!AG$113,Параметры!AG$122)</f>
        <v>6.7750417348662717E-2</v>
      </c>
      <c r="AH182" s="362">
        <f>CHOOSE($C$173,Параметры!AH$86,Параметры!AH$113,Параметры!AH$122)</f>
        <v>6.7750417348662717E-2</v>
      </c>
      <c r="AI182" s="362">
        <f>CHOOSE($C$173,Параметры!AI$86,Параметры!AI$113,Параметры!AI$122)</f>
        <v>6.7750417348662717E-2</v>
      </c>
      <c r="AJ182" s="362">
        <f>CHOOSE($C$173,Параметры!AJ$86,Параметры!AJ$113,Параметры!AJ$122)</f>
        <v>6.7750417348662717E-2</v>
      </c>
      <c r="AK182" s="362">
        <f>CHOOSE($C$173,Параметры!AK$86,Параметры!AK$113,Параметры!AK$122)</f>
        <v>6.7174282373121841E-2</v>
      </c>
      <c r="AL182" s="362">
        <f>CHOOSE($C$173,Параметры!AL$86,Параметры!AL$113,Параметры!AL$122)</f>
        <v>6.7174282373121841E-2</v>
      </c>
      <c r="AM182" s="362">
        <f>CHOOSE($C$173,Параметры!AM$86,Параметры!AM$113,Параметры!AM$122)</f>
        <v>6.7174282373121841E-2</v>
      </c>
      <c r="AN182" s="362">
        <f>CHOOSE($C$173,Параметры!AN$86,Параметры!AN$113,Параметры!AN$122)</f>
        <v>6.7174282373121841E-2</v>
      </c>
      <c r="AO182" s="362">
        <f>CHOOSE($C$173,Параметры!AO$86,Параметры!AO$113,Параметры!AO$122)</f>
        <v>6.6623774358420818E-2</v>
      </c>
      <c r="AP182" s="362">
        <f>CHOOSE($C$173,Параметры!AP$86,Параметры!AP$113,Параметры!AP$122)</f>
        <v>6.6623774358420818E-2</v>
      </c>
      <c r="AQ182" s="362">
        <f>CHOOSE($C$173,Параметры!AQ$86,Параметры!AQ$113,Параметры!AQ$122)</f>
        <v>6.6623774358420818E-2</v>
      </c>
      <c r="AR182" s="362">
        <f>CHOOSE($C$173,Параметры!AR$86,Параметры!AR$113,Параметры!AR$122)</f>
        <v>6.6623774358420818E-2</v>
      </c>
      <c r="AS182" s="127"/>
      <c r="AT182" s="119"/>
    </row>
    <row r="183" spans="1:46" outlineLevel="1" x14ac:dyDescent="0.2">
      <c r="A183" s="302" t="s">
        <v>392</v>
      </c>
      <c r="B183" s="25"/>
      <c r="C183" s="21" t="s">
        <v>133</v>
      </c>
      <c r="E183" s="416">
        <f ca="1">IF(E$2=1,1,IF(Параметры!$B$62=1,POWER(1+OFFSET(E182,0,-1),Параметры!E$39/360),1) * IF(E$2&gt;1,D183, 1))</f>
        <v>1</v>
      </c>
      <c r="F183" s="416">
        <f ca="1">IF(F$2=1,1,IF(Параметры!$B$62=1,POWER(1+OFFSET(F182,0,-1),Параметры!F$39/360),1) * IF(F$2&gt;1,E183, 1))</f>
        <v>1</v>
      </c>
      <c r="G183" s="416">
        <f ca="1">IF(G$2=1,1,IF(Параметры!$B$62=1,POWER(1+OFFSET(G182,0,-1),Параметры!G$39/360),1) * IF(G$2&gt;1,F183, 1))</f>
        <v>1</v>
      </c>
      <c r="H183" s="416">
        <f ca="1">IF(H$2=1,1,IF(Параметры!$B$62=1,POWER(1+OFFSET(H182,0,-1),Параметры!H$39/360),1) * IF(H$2&gt;1,G183, 1))</f>
        <v>1</v>
      </c>
      <c r="I183" s="416">
        <f ca="1">IF(I$2=1,1,IF(Параметры!$B$62=1,POWER(1+OFFSET(I182,0,-1),Параметры!I$39/360),1) * IF(I$2&gt;1,H183, 1))</f>
        <v>1</v>
      </c>
      <c r="J183" s="416">
        <f ca="1">IF(J$2=1,1,IF(Параметры!$B$62=1,POWER(1+OFFSET(J182,0,-1),Параметры!J$39/360),1) * IF(J$2&gt;1,I183, 1))</f>
        <v>1.0160201399352926</v>
      </c>
      <c r="K183" s="416">
        <f ca="1">IF(K$2=1,1,IF(Параметры!$B$62=1,POWER(1+OFFSET(K182,0,-1),Параметры!K$39/360),1) * IF(K$2&gt;1,J183, 1))</f>
        <v>1.0322969247541316</v>
      </c>
      <c r="L183" s="416">
        <f ca="1">IF(L$2=1,1,IF(Параметры!$B$62=1,POWER(1+OFFSET(L182,0,-1),Параметры!L$39/360),1) * IF(L$2&gt;1,K183, 1))</f>
        <v>1.048834465943465</v>
      </c>
      <c r="M183" s="416">
        <f ca="1">IF(M$2=1,1,IF(Параметры!$B$62=1,POWER(1+OFFSET(M182,0,-1),Параметры!M$39/360),1) * IF(M$2&gt;1,L183, 1))</f>
        <v>1.0656369408568371</v>
      </c>
      <c r="N183" s="416">
        <f ca="1">IF(N$2=1,1,IF(Параметры!$B$62=1,POWER(1+OFFSET(N182,0,-1),Параметры!N$39/360),1) * IF(N$2&gt;1,M183, 1))</f>
        <v>1.0836034402239334</v>
      </c>
      <c r="O183" s="416">
        <f ca="1">IF(O$2=1,1,IF(Параметры!$B$62=1,POWER(1+OFFSET(O182,0,-1),Параметры!O$39/360),1) * IF(O$2&gt;1,N183, 1))</f>
        <v>1.1018728524191532</v>
      </c>
      <c r="P183" s="416">
        <f ca="1">IF(P$2=1,1,IF(Параметры!$B$62=1,POWER(1+OFFSET(P182,0,-1),Параметры!P$39/360),1) * IF(P$2&gt;1,O183, 1))</f>
        <v>1.1204502845131377</v>
      </c>
      <c r="Q183" s="416">
        <f ca="1">IF(Q$2=1,1,IF(Параметры!$B$62=1,POWER(1+OFFSET(Q182,0,-1),Параметры!Q$39/360),1) * IF(Q$2&gt;1,P183, 1))</f>
        <v>1.1393409296810706</v>
      </c>
      <c r="R183" s="416">
        <f ca="1">IF(R$2=1,1,IF(Параметры!$B$62=1,POWER(1+OFFSET(R182,0,-1),Параметры!R$39/360),1) * IF(R$2&gt;1,Q183, 1))</f>
        <v>1.1583079153827869</v>
      </c>
      <c r="S183" s="416">
        <f ca="1">IF(S$2=1,1,IF(Параметры!$B$62=1,POWER(1+OFFSET(S182,0,-1),Параметры!S$39/360),1) * IF(S$2&gt;1,R183, 1))</f>
        <v>1.1775906507756073</v>
      </c>
      <c r="T183" s="416">
        <f ca="1">IF(T$2=1,1,IF(Параметры!$B$62=1,POWER(1+OFFSET(T182,0,-1),Параметры!T$39/360),1) * IF(T$2&gt;1,S183, 1))</f>
        <v>1.197194392249187</v>
      </c>
      <c r="U183" s="416">
        <f ca="1">IF(U$2=1,1,IF(Параметры!$B$62=1,POWER(1+OFFSET(U182,0,-1),Параметры!U$39/360),1) * IF(U$2&gt;1,T183, 1))</f>
        <v>1.2171244836980402</v>
      </c>
      <c r="V183" s="416">
        <f ca="1">IF(V$2=1,1,IF(Параметры!$B$62=1,POWER(1+OFFSET(V182,0,-1),Параметры!V$39/360),1) * IF(V$2&gt;1,U183, 1))</f>
        <v>1.237769387473094</v>
      </c>
      <c r="W183" s="416">
        <f ca="1">IF(W$2=1,1,IF(Параметры!$B$62=1,POWER(1+OFFSET(W182,0,-1),Параметры!W$39/360),1) * IF(W$2&gt;1,V183, 1))</f>
        <v>1.2587644707553303</v>
      </c>
      <c r="X183" s="416">
        <f ca="1">IF(X$2=1,1,IF(Параметры!$B$62=1,POWER(1+OFFSET(X182,0,-1),Параметры!X$39/360),1) * IF(X$2&gt;1,W183, 1))</f>
        <v>1.2801156733005643</v>
      </c>
      <c r="Y183" s="416">
        <f ca="1">IF(Y$2=1,1,IF(Параметры!$B$62=1,POWER(1+OFFSET(Y182,0,-1),Параметры!Y$39/360),1) * IF(Y$2&gt;1,X183, 1))</f>
        <v>1.3018290356149362</v>
      </c>
      <c r="Z183" s="416">
        <f ca="1">IF(Z$2=1,1,IF(Параметры!$B$62=1,POWER(1+OFFSET(Z182,0,-1),Параметры!Z$39/360),1) * IF(Z$2&gt;1,Y183, 1))</f>
        <v>1.3236394088073189</v>
      </c>
      <c r="AA183" s="416">
        <f ca="1">IF(AA$2=1,1,IF(Параметры!$B$62=1,POWER(1+OFFSET(AA182,0,-1),Параметры!AA$39/360),1) * IF(AA$2&gt;1,Z183, 1))</f>
        <v>1.3458151851100773</v>
      </c>
      <c r="AB183" s="416">
        <f ca="1">IF(AB$2=1,1,IF(Параметры!$B$62=1,POWER(1+OFFSET(AB182,0,-1),Параметры!AB$39/360),1) * IF(AB$2&gt;1,AA183, 1))</f>
        <v>1.3683624863548687</v>
      </c>
      <c r="AC183" s="416">
        <f ca="1">IF(AC$2=1,1,IF(Параметры!$B$62=1,POWER(1+OFFSET(AC182,0,-1),Параметры!AC$39/360),1) * IF(AC$2&gt;1,AB183, 1))</f>
        <v>1.391287536936306</v>
      </c>
      <c r="AD183" s="416">
        <f ca="1">IF(AD$2=1,1,IF(Параметры!$B$62=1,POWER(1+OFFSET(AD182,0,-1),Параметры!AD$39/360),1) * IF(AD$2&gt;1,AC183, 1))</f>
        <v>1.4143685987263133</v>
      </c>
      <c r="AE183" s="416">
        <f ca="1">IF(AE$2=1,1,IF(Параметры!$B$62=1,POWER(1+OFFSET(AE182,0,-1),Параметры!AE$39/360),1) * IF(AE$2&gt;1,AD183, 1))</f>
        <v>1.4378325687212823</v>
      </c>
      <c r="AF183" s="416">
        <f ca="1">IF(AF$2=1,1,IF(Параметры!$B$62=1,POWER(1+OFFSET(AF182,0,-1),Параметры!AF$39/360),1) * IF(AF$2&gt;1,AE183, 1))</f>
        <v>1.4616857992586734</v>
      </c>
      <c r="AG183" s="416">
        <f ca="1">IF(AG$2=1,1,IF(Параметры!$B$62=1,POWER(1+OFFSET(AG182,0,-1),Параметры!AG$39/360),1) * IF(AG$2&gt;1,AF183, 1))</f>
        <v>1.4859347480594056</v>
      </c>
      <c r="AH183" s="416">
        <f ca="1">IF(AH$2=1,1,IF(Параметры!$B$62=1,POWER(1+OFFSET(AH182,0,-1),Параметры!AH$39/360),1) * IF(AH$2&gt;1,AG183, 1))</f>
        <v>1.5104876407734087</v>
      </c>
      <c r="AI183" s="416">
        <f ca="1">IF(AI$2=1,1,IF(Параметры!$B$62=1,POWER(1+OFFSET(AI182,0,-1),Параметры!AI$39/360),1) * IF(AI$2&gt;1,AH183, 1))</f>
        <v>1.5354462340347694</v>
      </c>
      <c r="AJ183" s="416">
        <f ca="1">IF(AJ$2=1,1,IF(Параметры!$B$62=1,POWER(1+OFFSET(AJ182,0,-1),Параметры!AJ$39/360),1) * IF(AJ$2&gt;1,AI183, 1))</f>
        <v>1.5608172314501072</v>
      </c>
      <c r="AK183" s="416">
        <f ca="1">IF(AK$2=1,1,IF(Параметры!$B$62=1,POWER(1+OFFSET(AK182,0,-1),Параметры!AK$39/360),1) * IF(AK$2&gt;1,AJ183, 1))</f>
        <v>1.5866074473933107</v>
      </c>
      <c r="AL183" s="416">
        <f ca="1">IF(AL$2=1,1,IF(Параметры!$B$62=1,POWER(1+OFFSET(AL182,0,-1),Параметры!AL$39/360),1) * IF(AL$2&gt;1,AK183, 1))</f>
        <v>1.6126062036102125</v>
      </c>
      <c r="AM183" s="416">
        <f ca="1">IF(AM$2=1,1,IF(Параметры!$B$62=1,POWER(1+OFFSET(AM182,0,-1),Параметры!AM$39/360),1) * IF(AM$2&gt;1,AL183, 1))</f>
        <v>1.6390309853862002</v>
      </c>
      <c r="AN183" s="416">
        <f ca="1">IF(AN$2=1,1,IF(Параметры!$B$62=1,POWER(1+OFFSET(AN182,0,-1),Параметры!AN$39/360),1) * IF(AN$2&gt;1,AM183, 1))</f>
        <v>1.6658887737389612</v>
      </c>
      <c r="AO183" s="416">
        <f ca="1">IF(AO$2=1,1,IF(Параметры!$B$62=1,POWER(1+OFFSET(AO182,0,-1),Параметры!AO$39/360),1) * IF(AO$2&gt;1,AN183, 1))</f>
        <v>1.6931866640798074</v>
      </c>
      <c r="AP183" s="416">
        <f ca="1">IF(AP$2=1,1,IF(Параметры!$B$62=1,POWER(1+OFFSET(AP182,0,-1),Параметры!AP$39/360),1) * IF(AP$2&gt;1,AO183, 1))</f>
        <v>1.7207098869823081</v>
      </c>
      <c r="AQ183" s="416">
        <f ca="1">IF(AQ$2=1,1,IF(Параметры!$B$62=1,POWER(1+OFFSET(AQ182,0,-1),Параметры!AQ$39/360),1) * IF(AQ$2&gt;1,AP183, 1))</f>
        <v>1.7486805075728553</v>
      </c>
      <c r="AR183" s="416">
        <f ca="1">IF(AR$2=1,1,IF(Параметры!$B$62=1,POWER(1+OFFSET(AR182,0,-1),Параметры!AR$39/360),1) * IF(AR$2&gt;1,AQ183, 1))</f>
        <v>1.7771057984260303</v>
      </c>
      <c r="AS183" s="128"/>
      <c r="AT183" s="117"/>
    </row>
    <row r="184" spans="1:46" outlineLevel="1" x14ac:dyDescent="0.2">
      <c r="A184" s="319" t="s">
        <v>491</v>
      </c>
      <c r="B184" s="24"/>
      <c r="C184" s="2" t="s">
        <v>133</v>
      </c>
      <c r="D184" s="310"/>
      <c r="E184" s="417">
        <f>IF(E$2=1,1,CHOOSE($B$8,E183,IF(Параметры!E$43=1,E183,D184),IF(Параметры!E$48=1,E183,D184),IF(Параметры!E$45&lt;&gt;Параметры!D$45,E183,D184),IF(Параметры!E$50&lt;&gt;Параметры!D$50,E183,D184)))</f>
        <v>1</v>
      </c>
      <c r="F184" s="417">
        <f ca="1">IF(F$2=1,1,CHOOSE($B$8,F183,IF(Параметры!F$43=1,F183,E184),IF(Параметры!F$48=1,F183,E184),IF(Параметры!F$45&lt;&gt;Параметры!E$45,F183,E184),IF(Параметры!F$50&lt;&gt;Параметры!E$50,F183,E184)))</f>
        <v>1</v>
      </c>
      <c r="G184" s="417">
        <f ca="1">IF(G$2=1,1,CHOOSE($B$8,G183,IF(Параметры!G$43=1,G183,F184),IF(Параметры!G$48=1,G183,F184),IF(Параметры!G$45&lt;&gt;Параметры!F$45,G183,F184),IF(Параметры!G$50&lt;&gt;Параметры!F$50,G183,F184)))</f>
        <v>1</v>
      </c>
      <c r="H184" s="417">
        <f ca="1">IF(H$2=1,1,CHOOSE($B$8,H183,IF(Параметры!H$43=1,H183,G184),IF(Параметры!H$48=1,H183,G184),IF(Параметры!H$45&lt;&gt;Параметры!G$45,H183,G184),IF(Параметры!H$50&lt;&gt;Параметры!G$50,H183,G184)))</f>
        <v>1</v>
      </c>
      <c r="I184" s="417">
        <f ca="1">IF(I$2=1,1,CHOOSE($B$8,I183,IF(Параметры!I$43=1,I183,H184),IF(Параметры!I$48=1,I183,H184),IF(Параметры!I$45&lt;&gt;Параметры!H$45,I183,H184),IF(Параметры!I$50&lt;&gt;Параметры!H$50,I183,H184)))</f>
        <v>1</v>
      </c>
      <c r="J184" s="417">
        <f ca="1">IF(J$2=1,1,CHOOSE($B$8,J183,IF(Параметры!J$43=1,J183,I184),IF(Параметры!J$48=1,J183,I184),IF(Параметры!J$45&lt;&gt;Параметры!I$45,J183,I184),IF(Параметры!J$50&lt;&gt;Параметры!I$50,J183,I184)))</f>
        <v>1.0160201399352926</v>
      </c>
      <c r="K184" s="417">
        <f ca="1">IF(K$2=1,1,CHOOSE($B$8,K183,IF(Параметры!K$43=1,K183,J184),IF(Параметры!K$48=1,K183,J184),IF(Параметры!K$45&lt;&gt;Параметры!J$45,K183,J184),IF(Параметры!K$50&lt;&gt;Параметры!J$50,K183,J184)))</f>
        <v>1.0322969247541316</v>
      </c>
      <c r="L184" s="417">
        <f ca="1">IF(L$2=1,1,CHOOSE($B$8,L183,IF(Параметры!L$43=1,L183,K184),IF(Параметры!L$48=1,L183,K184),IF(Параметры!L$45&lt;&gt;Параметры!K$45,L183,K184),IF(Параметры!L$50&lt;&gt;Параметры!K$50,L183,K184)))</f>
        <v>1.048834465943465</v>
      </c>
      <c r="M184" s="417">
        <f ca="1">IF(M$2=1,1,CHOOSE($B$8,M183,IF(Параметры!M$43=1,M183,L184),IF(Параметры!M$48=1,M183,L184),IF(Параметры!M$45&lt;&gt;Параметры!L$45,M183,L184),IF(Параметры!M$50&lt;&gt;Параметры!L$50,M183,L184)))</f>
        <v>1.0656369408568371</v>
      </c>
      <c r="N184" s="417">
        <f ca="1">IF(N$2=1,1,CHOOSE($B$8,N183,IF(Параметры!N$43=1,N183,M184),IF(Параметры!N$48=1,N183,M184),IF(Параметры!N$45&lt;&gt;Параметры!M$45,N183,M184),IF(Параметры!N$50&lt;&gt;Параметры!M$50,N183,M184)))</f>
        <v>1.0836034402239334</v>
      </c>
      <c r="O184" s="417">
        <f ca="1">IF(O$2=1,1,CHOOSE($B$8,O183,IF(Параметры!O$43=1,O183,N184),IF(Параметры!O$48=1,O183,N184),IF(Параметры!O$45&lt;&gt;Параметры!N$45,O183,N184),IF(Параметры!O$50&lt;&gt;Параметры!N$50,O183,N184)))</f>
        <v>1.1018728524191532</v>
      </c>
      <c r="P184" s="417">
        <f ca="1">IF(P$2=1,1,CHOOSE($B$8,P183,IF(Параметры!P$43=1,P183,O184),IF(Параметры!P$48=1,P183,O184),IF(Параметры!P$45&lt;&gt;Параметры!O$45,P183,O184),IF(Параметры!P$50&lt;&gt;Параметры!O$50,P183,O184)))</f>
        <v>1.1204502845131377</v>
      </c>
      <c r="Q184" s="417">
        <f ca="1">IF(Q$2=1,1,CHOOSE($B$8,Q183,IF(Параметры!Q$43=1,Q183,P184),IF(Параметры!Q$48=1,Q183,P184),IF(Параметры!Q$45&lt;&gt;Параметры!P$45,Q183,P184),IF(Параметры!Q$50&lt;&gt;Параметры!P$50,Q183,P184)))</f>
        <v>1.1393409296810706</v>
      </c>
      <c r="R184" s="417">
        <f ca="1">IF(R$2=1,1,CHOOSE($B$8,R183,IF(Параметры!R$43=1,R183,Q184),IF(Параметры!R$48=1,R183,Q184),IF(Параметры!R$45&lt;&gt;Параметры!Q$45,R183,Q184),IF(Параметры!R$50&lt;&gt;Параметры!Q$50,R183,Q184)))</f>
        <v>1.1583079153827869</v>
      </c>
      <c r="S184" s="417">
        <f ca="1">IF(S$2=1,1,CHOOSE($B$8,S183,IF(Параметры!S$43=1,S183,R184),IF(Параметры!S$48=1,S183,R184),IF(Параметры!S$45&lt;&gt;Параметры!R$45,S183,R184),IF(Параметры!S$50&lt;&gt;Параметры!R$50,S183,R184)))</f>
        <v>1.1775906507756073</v>
      </c>
      <c r="T184" s="417">
        <f ca="1">IF(T$2=1,1,CHOOSE($B$8,T183,IF(Параметры!T$43=1,T183,S184),IF(Параметры!T$48=1,T183,S184),IF(Параметры!T$45&lt;&gt;Параметры!S$45,T183,S184),IF(Параметры!T$50&lt;&gt;Параметры!S$50,T183,S184)))</f>
        <v>1.197194392249187</v>
      </c>
      <c r="U184" s="417">
        <f ca="1">IF(U$2=1,1,CHOOSE($B$8,U183,IF(Параметры!U$43=1,U183,T184),IF(Параметры!U$48=1,U183,T184),IF(Параметры!U$45&lt;&gt;Параметры!T$45,U183,T184),IF(Параметры!U$50&lt;&gt;Параметры!T$50,U183,T184)))</f>
        <v>1.2171244836980402</v>
      </c>
      <c r="V184" s="417">
        <f ca="1">IF(V$2=1,1,CHOOSE($B$8,V183,IF(Параметры!V$43=1,V183,U184),IF(Параметры!V$48=1,V183,U184),IF(Параметры!V$45&lt;&gt;Параметры!U$45,V183,U184),IF(Параметры!V$50&lt;&gt;Параметры!U$50,V183,U184)))</f>
        <v>1.237769387473094</v>
      </c>
      <c r="W184" s="417">
        <f ca="1">IF(W$2=1,1,CHOOSE($B$8,W183,IF(Параметры!W$43=1,W183,V184),IF(Параметры!W$48=1,W183,V184),IF(Параметры!W$45&lt;&gt;Параметры!V$45,W183,V184),IF(Параметры!W$50&lt;&gt;Параметры!V$50,W183,V184)))</f>
        <v>1.2587644707553303</v>
      </c>
      <c r="X184" s="417">
        <f ca="1">IF(X$2=1,1,CHOOSE($B$8,X183,IF(Параметры!X$43=1,X183,W184),IF(Параметры!X$48=1,X183,W184),IF(Параметры!X$45&lt;&gt;Параметры!W$45,X183,W184),IF(Параметры!X$50&lt;&gt;Параметры!W$50,X183,W184)))</f>
        <v>1.2801156733005643</v>
      </c>
      <c r="Y184" s="417">
        <f ca="1">IF(Y$2=1,1,CHOOSE($B$8,Y183,IF(Параметры!Y$43=1,Y183,X184),IF(Параметры!Y$48=1,Y183,X184),IF(Параметры!Y$45&lt;&gt;Параметры!X$45,Y183,X184),IF(Параметры!Y$50&lt;&gt;Параметры!X$50,Y183,X184)))</f>
        <v>1.3018290356149362</v>
      </c>
      <c r="Z184" s="417">
        <f ca="1">IF(Z$2=1,1,CHOOSE($B$8,Z183,IF(Параметры!Z$43=1,Z183,Y184),IF(Параметры!Z$48=1,Z183,Y184),IF(Параметры!Z$45&lt;&gt;Параметры!Y$45,Z183,Y184),IF(Параметры!Z$50&lt;&gt;Параметры!Y$50,Z183,Y184)))</f>
        <v>1.3236394088073189</v>
      </c>
      <c r="AA184" s="417">
        <f ca="1">IF(AA$2=1,1,CHOOSE($B$8,AA183,IF(Параметры!AA$43=1,AA183,Z184),IF(Параметры!AA$48=1,AA183,Z184),IF(Параметры!AA$45&lt;&gt;Параметры!Z$45,AA183,Z184),IF(Параметры!AA$50&lt;&gt;Параметры!Z$50,AA183,Z184)))</f>
        <v>1.3458151851100773</v>
      </c>
      <c r="AB184" s="417">
        <f ca="1">IF(AB$2=1,1,CHOOSE($B$8,AB183,IF(Параметры!AB$43=1,AB183,AA184),IF(Параметры!AB$48=1,AB183,AA184),IF(Параметры!AB$45&lt;&gt;Параметры!AA$45,AB183,AA184),IF(Параметры!AB$50&lt;&gt;Параметры!AA$50,AB183,AA184)))</f>
        <v>1.3683624863548687</v>
      </c>
      <c r="AC184" s="417">
        <f ca="1">IF(AC$2=1,1,CHOOSE($B$8,AC183,IF(Параметры!AC$43=1,AC183,AB184),IF(Параметры!AC$48=1,AC183,AB184),IF(Параметры!AC$45&lt;&gt;Параметры!AB$45,AC183,AB184),IF(Параметры!AC$50&lt;&gt;Параметры!AB$50,AC183,AB184)))</f>
        <v>1.391287536936306</v>
      </c>
      <c r="AD184" s="417">
        <f ca="1">IF(AD$2=1,1,CHOOSE($B$8,AD183,IF(Параметры!AD$43=1,AD183,AC184),IF(Параметры!AD$48=1,AD183,AC184),IF(Параметры!AD$45&lt;&gt;Параметры!AC$45,AD183,AC184),IF(Параметры!AD$50&lt;&gt;Параметры!AC$50,AD183,AC184)))</f>
        <v>1.4143685987263133</v>
      </c>
      <c r="AE184" s="417">
        <f ca="1">IF(AE$2=1,1,CHOOSE($B$8,AE183,IF(Параметры!AE$43=1,AE183,AD184),IF(Параметры!AE$48=1,AE183,AD184),IF(Параметры!AE$45&lt;&gt;Параметры!AD$45,AE183,AD184),IF(Параметры!AE$50&lt;&gt;Параметры!AD$50,AE183,AD184)))</f>
        <v>1.4378325687212823</v>
      </c>
      <c r="AF184" s="417">
        <f ca="1">IF(AF$2=1,1,CHOOSE($B$8,AF183,IF(Параметры!AF$43=1,AF183,AE184),IF(Параметры!AF$48=1,AF183,AE184),IF(Параметры!AF$45&lt;&gt;Параметры!AE$45,AF183,AE184),IF(Параметры!AF$50&lt;&gt;Параметры!AE$50,AF183,AE184)))</f>
        <v>1.4616857992586734</v>
      </c>
      <c r="AG184" s="417">
        <f ca="1">IF(AG$2=1,1,CHOOSE($B$8,AG183,IF(Параметры!AG$43=1,AG183,AF184),IF(Параметры!AG$48=1,AG183,AF184),IF(Параметры!AG$45&lt;&gt;Параметры!AF$45,AG183,AF184),IF(Параметры!AG$50&lt;&gt;Параметры!AF$50,AG183,AF184)))</f>
        <v>1.4859347480594056</v>
      </c>
      <c r="AH184" s="417">
        <f ca="1">IF(AH$2=1,1,CHOOSE($B$8,AH183,IF(Параметры!AH$43=1,AH183,AG184),IF(Параметры!AH$48=1,AH183,AG184),IF(Параметры!AH$45&lt;&gt;Параметры!AG$45,AH183,AG184),IF(Параметры!AH$50&lt;&gt;Параметры!AG$50,AH183,AG184)))</f>
        <v>1.5104876407734087</v>
      </c>
      <c r="AI184" s="417">
        <f ca="1">IF(AI$2=1,1,CHOOSE($B$8,AI183,IF(Параметры!AI$43=1,AI183,AH184),IF(Параметры!AI$48=1,AI183,AH184),IF(Параметры!AI$45&lt;&gt;Параметры!AH$45,AI183,AH184),IF(Параметры!AI$50&lt;&gt;Параметры!AH$50,AI183,AH184)))</f>
        <v>1.5354462340347694</v>
      </c>
      <c r="AJ184" s="417">
        <f ca="1">IF(AJ$2=1,1,CHOOSE($B$8,AJ183,IF(Параметры!AJ$43=1,AJ183,AI184),IF(Параметры!AJ$48=1,AJ183,AI184),IF(Параметры!AJ$45&lt;&gt;Параметры!AI$45,AJ183,AI184),IF(Параметры!AJ$50&lt;&gt;Параметры!AI$50,AJ183,AI184)))</f>
        <v>1.5608172314501072</v>
      </c>
      <c r="AK184" s="417">
        <f ca="1">IF(AK$2=1,1,CHOOSE($B$8,AK183,IF(Параметры!AK$43=1,AK183,AJ184),IF(Параметры!AK$48=1,AK183,AJ184),IF(Параметры!AK$45&lt;&gt;Параметры!AJ$45,AK183,AJ184),IF(Параметры!AK$50&lt;&gt;Параметры!AJ$50,AK183,AJ184)))</f>
        <v>1.5866074473933107</v>
      </c>
      <c r="AL184" s="417">
        <f ca="1">IF(AL$2=1,1,CHOOSE($B$8,AL183,IF(Параметры!AL$43=1,AL183,AK184),IF(Параметры!AL$48=1,AL183,AK184),IF(Параметры!AL$45&lt;&gt;Параметры!AK$45,AL183,AK184),IF(Параметры!AL$50&lt;&gt;Параметры!AK$50,AL183,AK184)))</f>
        <v>1.6126062036102125</v>
      </c>
      <c r="AM184" s="417">
        <f ca="1">IF(AM$2=1,1,CHOOSE($B$8,AM183,IF(Параметры!AM$43=1,AM183,AL184),IF(Параметры!AM$48=1,AM183,AL184),IF(Параметры!AM$45&lt;&gt;Параметры!AL$45,AM183,AL184),IF(Параметры!AM$50&lt;&gt;Параметры!AL$50,AM183,AL184)))</f>
        <v>1.6390309853862002</v>
      </c>
      <c r="AN184" s="417">
        <f ca="1">IF(AN$2=1,1,CHOOSE($B$8,AN183,IF(Параметры!AN$43=1,AN183,AM184),IF(Параметры!AN$48=1,AN183,AM184),IF(Параметры!AN$45&lt;&gt;Параметры!AM$45,AN183,AM184),IF(Параметры!AN$50&lt;&gt;Параметры!AM$50,AN183,AM184)))</f>
        <v>1.6658887737389612</v>
      </c>
      <c r="AO184" s="417">
        <f ca="1">IF(AO$2=1,1,CHOOSE($B$8,AO183,IF(Параметры!AO$43=1,AO183,AN184),IF(Параметры!AO$48=1,AO183,AN184),IF(Параметры!AO$45&lt;&gt;Параметры!AN$45,AO183,AN184),IF(Параметры!AO$50&lt;&gt;Параметры!AN$50,AO183,AN184)))</f>
        <v>1.6931866640798074</v>
      </c>
      <c r="AP184" s="417">
        <f ca="1">IF(AP$2=1,1,CHOOSE($B$8,AP183,IF(Параметры!AP$43=1,AP183,AO184),IF(Параметры!AP$48=1,AP183,AO184),IF(Параметры!AP$45&lt;&gt;Параметры!AO$45,AP183,AO184),IF(Параметры!AP$50&lt;&gt;Параметры!AO$50,AP183,AO184)))</f>
        <v>1.7207098869823081</v>
      </c>
      <c r="AQ184" s="417">
        <f ca="1">IF(AQ$2=1,1,CHOOSE($B$8,AQ183,IF(Параметры!AQ$43=1,AQ183,AP184),IF(Параметры!AQ$48=1,AQ183,AP184),IF(Параметры!AQ$45&lt;&gt;Параметры!AP$45,AQ183,AP184),IF(Параметры!AQ$50&lt;&gt;Параметры!AP$50,AQ183,AP184)))</f>
        <v>1.7486805075728553</v>
      </c>
      <c r="AR184" s="417">
        <f ca="1">IF(AR$2=1,1,CHOOSE($B$8,AR183,IF(Параметры!AR$43=1,AR183,AQ184),IF(Параметры!AR$48=1,AR183,AQ184),IF(Параметры!AR$45&lt;&gt;Параметры!AQ$45,AR183,AQ184),IF(Параметры!AR$50&lt;&gt;Параметры!AQ$50,AR183,AQ184)))</f>
        <v>1.7771057984260303</v>
      </c>
      <c r="AS184" s="120"/>
      <c r="AT184" s="116"/>
    </row>
    <row r="185" spans="1:46" x14ac:dyDescent="0.2">
      <c r="AS185" s="1"/>
    </row>
    <row r="186" spans="1:46" x14ac:dyDescent="0.2">
      <c r="A186" s="133" t="s">
        <v>79</v>
      </c>
      <c r="B186" s="46"/>
      <c r="C186" s="46"/>
      <c r="D186" s="47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73"/>
      <c r="AT186" s="91"/>
    </row>
    <row r="187" spans="1:46" x14ac:dyDescent="0.2">
      <c r="AS187" s="1"/>
    </row>
    <row r="188" spans="1:46" x14ac:dyDescent="0.2">
      <c r="A188" s="354" t="str">
        <f>A186</f>
        <v>Административный персонал</v>
      </c>
      <c r="B188" s="223" t="s">
        <v>390</v>
      </c>
      <c r="C188" s="286">
        <v>1</v>
      </c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</row>
    <row r="189" spans="1:46" x14ac:dyDescent="0.2">
      <c r="A189" s="93" t="s">
        <v>72</v>
      </c>
      <c r="B189" s="357"/>
      <c r="C189" s="3" t="s">
        <v>73</v>
      </c>
      <c r="E189" s="346">
        <f>ИД!G152</f>
        <v>6</v>
      </c>
      <c r="F189" s="346">
        <f>ИД!H152</f>
        <v>6</v>
      </c>
      <c r="G189" s="346">
        <f>ИД!I152</f>
        <v>6</v>
      </c>
      <c r="H189" s="346">
        <f>ИД!J152</f>
        <v>13</v>
      </c>
      <c r="I189" s="346">
        <f>ИД!K152</f>
        <v>13</v>
      </c>
      <c r="J189" s="346">
        <f>ИД!L152</f>
        <v>13</v>
      </c>
      <c r="K189" s="346">
        <f>ИД!M152</f>
        <v>21</v>
      </c>
      <c r="L189" s="346">
        <f>ИД!N152</f>
        <v>21</v>
      </c>
      <c r="M189" s="346">
        <f>ИД!O152</f>
        <v>21</v>
      </c>
      <c r="N189" s="346">
        <f>ИД!P152</f>
        <v>21</v>
      </c>
      <c r="O189" s="346">
        <f>ИД!Q152</f>
        <v>21</v>
      </c>
      <c r="P189" s="346">
        <f>ИД!$R$152</f>
        <v>21</v>
      </c>
      <c r="Q189" s="346">
        <f>ИД!$R$152</f>
        <v>21</v>
      </c>
      <c r="R189" s="346">
        <f>ИД!$R$152</f>
        <v>21</v>
      </c>
      <c r="S189" s="346">
        <f>ИД!$R$152</f>
        <v>21</v>
      </c>
      <c r="T189" s="346">
        <f>ИД!$R$152</f>
        <v>21</v>
      </c>
      <c r="U189" s="346">
        <f>ИД!$R$152</f>
        <v>21</v>
      </c>
      <c r="V189" s="346">
        <f>ИД!$R$152</f>
        <v>21</v>
      </c>
      <c r="W189" s="346">
        <f>ИД!$R$152</f>
        <v>21</v>
      </c>
      <c r="X189" s="346">
        <f>ИД!$R$152</f>
        <v>21</v>
      </c>
      <c r="Y189" s="346">
        <f>ИД!$R$152</f>
        <v>21</v>
      </c>
      <c r="Z189" s="346">
        <f>ИД!$R$152</f>
        <v>21</v>
      </c>
      <c r="AA189" s="346">
        <f>ИД!$R$152</f>
        <v>21</v>
      </c>
      <c r="AB189" s="346">
        <f>ИД!$R$152</f>
        <v>21</v>
      </c>
      <c r="AC189" s="346">
        <f>ИД!$R$152</f>
        <v>21</v>
      </c>
      <c r="AD189" s="346">
        <f>ИД!$R$152</f>
        <v>21</v>
      </c>
      <c r="AE189" s="346">
        <f>ИД!$R$152</f>
        <v>21</v>
      </c>
      <c r="AF189" s="346">
        <f>ИД!$R$152</f>
        <v>21</v>
      </c>
      <c r="AG189" s="346">
        <f>ИД!$R$152</f>
        <v>21</v>
      </c>
      <c r="AH189" s="346">
        <f>ИД!$R$152</f>
        <v>21</v>
      </c>
      <c r="AI189" s="346">
        <f>ИД!$R$152</f>
        <v>21</v>
      </c>
      <c r="AJ189" s="346">
        <f>ИД!$R$152</f>
        <v>21</v>
      </c>
      <c r="AK189" s="346">
        <f>ИД!$R$152</f>
        <v>21</v>
      </c>
      <c r="AL189" s="346">
        <f>ИД!$R$152</f>
        <v>21</v>
      </c>
      <c r="AM189" s="346">
        <f>ИД!$R$152</f>
        <v>21</v>
      </c>
      <c r="AN189" s="346">
        <f>ИД!$R$152</f>
        <v>21</v>
      </c>
      <c r="AO189" s="346">
        <f>ИД!$R$152</f>
        <v>21</v>
      </c>
      <c r="AP189" s="346">
        <f>ИД!$R$152</f>
        <v>21</v>
      </c>
      <c r="AQ189" s="346">
        <f>ИД!$R$152</f>
        <v>21</v>
      </c>
      <c r="AR189" s="346">
        <f>ИД!$R$152</f>
        <v>21</v>
      </c>
      <c r="AS189" s="94"/>
    </row>
    <row r="190" spans="1:46" x14ac:dyDescent="0.2">
      <c r="A190" s="106" t="s">
        <v>74</v>
      </c>
      <c r="B190" s="350">
        <f>ИД!D152</f>
        <v>57.847000000000001</v>
      </c>
      <c r="C190" s="3" t="str">
        <f>CHOOSE(C188,Параметры!$B$64,Параметры!$B$108,Параметры!$B$117)</f>
        <v>тыс. руб.</v>
      </c>
      <c r="E190" s="348">
        <f t="shared" ref="E190:AR190" si="68">$B190*E199</f>
        <v>57.847000000000001</v>
      </c>
      <c r="F190" s="348">
        <f t="shared" ca="1" si="68"/>
        <v>57.847000000000001</v>
      </c>
      <c r="G190" s="348">
        <f t="shared" ca="1" si="68"/>
        <v>57.847000000000001</v>
      </c>
      <c r="H190" s="348">
        <f t="shared" ca="1" si="68"/>
        <v>57.847000000000001</v>
      </c>
      <c r="I190" s="348">
        <f t="shared" ca="1" si="68"/>
        <v>57.847000000000001</v>
      </c>
      <c r="J190" s="348">
        <f t="shared" ca="1" si="68"/>
        <v>58.773717034836871</v>
      </c>
      <c r="K190" s="348">
        <f t="shared" ca="1" si="68"/>
        <v>59.715280206252253</v>
      </c>
      <c r="L190" s="348">
        <f t="shared" ca="1" si="68"/>
        <v>60.67192735143162</v>
      </c>
      <c r="M190" s="348">
        <f t="shared" ca="1" si="68"/>
        <v>61.64390011774546</v>
      </c>
      <c r="N190" s="348">
        <f t="shared" ca="1" si="68"/>
        <v>62.683208206633878</v>
      </c>
      <c r="O190" s="348">
        <f t="shared" ca="1" si="68"/>
        <v>63.740038893890755</v>
      </c>
      <c r="P190" s="348">
        <f t="shared" ca="1" si="68"/>
        <v>64.81468760823148</v>
      </c>
      <c r="Q190" s="348">
        <f t="shared" ca="1" si="68"/>
        <v>65.907454759260887</v>
      </c>
      <c r="R190" s="348">
        <f t="shared" ca="1" si="68"/>
        <v>67.004637981148079</v>
      </c>
      <c r="S190" s="348">
        <f t="shared" ca="1" si="68"/>
        <v>68.120086375416562</v>
      </c>
      <c r="T190" s="348">
        <f t="shared" ca="1" si="68"/>
        <v>69.254104008438716</v>
      </c>
      <c r="U190" s="348">
        <f t="shared" ca="1" si="68"/>
        <v>70.407000008480537</v>
      </c>
      <c r="V190" s="348">
        <f t="shared" ca="1" si="68"/>
        <v>71.601245757156065</v>
      </c>
      <c r="W190" s="348">
        <f t="shared" ca="1" si="68"/>
        <v>72.815748339783596</v>
      </c>
      <c r="X190" s="348">
        <f t="shared" ca="1" si="68"/>
        <v>74.050851353417741</v>
      </c>
      <c r="Y190" s="348">
        <f t="shared" ca="1" si="68"/>
        <v>75.306904223217217</v>
      </c>
      <c r="Z190" s="348">
        <f t="shared" ca="1" si="68"/>
        <v>76.568568881276974</v>
      </c>
      <c r="AA190" s="348">
        <f t="shared" ca="1" si="68"/>
        <v>77.851371013062646</v>
      </c>
      <c r="AB190" s="348">
        <f t="shared" ca="1" si="68"/>
        <v>79.155664748170096</v>
      </c>
      <c r="AC190" s="348">
        <f t="shared" ca="1" si="68"/>
        <v>80.481810149154498</v>
      </c>
      <c r="AD190" s="348">
        <f t="shared" ca="1" si="68"/>
        <v>81.816980330521048</v>
      </c>
      <c r="AE190" s="348">
        <f t="shared" ca="1" si="68"/>
        <v>83.174300602820011</v>
      </c>
      <c r="AF190" s="348">
        <f t="shared" ca="1" si="68"/>
        <v>84.554138429716474</v>
      </c>
      <c r="AG190" s="348">
        <f t="shared" ca="1" si="68"/>
        <v>85.956867370992441</v>
      </c>
      <c r="AH190" s="348">
        <f t="shared" ca="1" si="68"/>
        <v>87.37717855581937</v>
      </c>
      <c r="AI190" s="348">
        <f t="shared" ca="1" si="68"/>
        <v>88.820958300209313</v>
      </c>
      <c r="AJ190" s="348">
        <f t="shared" ca="1" si="68"/>
        <v>90.28859438769436</v>
      </c>
      <c r="AK190" s="348">
        <f t="shared" ca="1" si="68"/>
        <v>91.780481009360841</v>
      </c>
      <c r="AL190" s="348">
        <f t="shared" ca="1" si="68"/>
        <v>93.284431060239967</v>
      </c>
      <c r="AM190" s="348">
        <f t="shared" ca="1" si="68"/>
        <v>94.813025411635522</v>
      </c>
      <c r="AN190" s="348">
        <f t="shared" ca="1" si="68"/>
        <v>96.366667894477686</v>
      </c>
      <c r="AO190" s="348">
        <f t="shared" ca="1" si="68"/>
        <v>97.945768957024626</v>
      </c>
      <c r="AP190" s="348">
        <f t="shared" ca="1" si="68"/>
        <v>99.537904832265582</v>
      </c>
      <c r="AQ190" s="348">
        <f t="shared" ca="1" si="68"/>
        <v>101.15592132156696</v>
      </c>
      <c r="AR190" s="348">
        <f t="shared" ca="1" si="68"/>
        <v>102.80023912155058</v>
      </c>
      <c r="AS190" s="90"/>
    </row>
    <row r="191" spans="1:46" collapsed="1" x14ac:dyDescent="0.2">
      <c r="A191" s="106" t="s">
        <v>75</v>
      </c>
      <c r="B191" s="4" t="s">
        <v>76</v>
      </c>
      <c r="C191" s="3" t="str">
        <f>CHOOSE(C188,Параметры!$B$64,Параметры!$B$108,Параметры!$B$117)</f>
        <v>тыс. руб.</v>
      </c>
      <c r="E191" s="131">
        <f>E189*E190*Параметры!E$40</f>
        <v>1041.2460000000001</v>
      </c>
      <c r="F191" s="131">
        <f ca="1">F189*F190*Параметры!F$40</f>
        <v>1041.2460000000001</v>
      </c>
      <c r="G191" s="131">
        <f ca="1">G189*G190*Параметры!G$40</f>
        <v>1041.2460000000001</v>
      </c>
      <c r="H191" s="131">
        <f ca="1">H189*H190*Параметры!H$40</f>
        <v>2256.0329999999999</v>
      </c>
      <c r="I191" s="131">
        <f ca="1">I189*I190*Параметры!I$40</f>
        <v>2256.0329999999999</v>
      </c>
      <c r="J191" s="131">
        <f ca="1">J189*J190*Параметры!J$40</f>
        <v>2292.1749643586381</v>
      </c>
      <c r="K191" s="131">
        <f ca="1">K189*K190*Параметры!K$40</f>
        <v>3762.0626529938918</v>
      </c>
      <c r="L191" s="131">
        <f ca="1">L189*L190*Параметры!L$40</f>
        <v>3822.3314231401919</v>
      </c>
      <c r="M191" s="131">
        <f ca="1">M189*M190*Параметры!M$40</f>
        <v>3883.5657074179635</v>
      </c>
      <c r="N191" s="131">
        <f ca="1">N189*N190*Параметры!N$40</f>
        <v>3949.0421170179343</v>
      </c>
      <c r="O191" s="131">
        <f ca="1">O189*O190*Параметры!O$40</f>
        <v>4015.6224503151179</v>
      </c>
      <c r="P191" s="131">
        <f ca="1">P189*P190*Параметры!P$40</f>
        <v>4083.3253193185838</v>
      </c>
      <c r="Q191" s="131">
        <f ca="1">Q189*Q190*Параметры!Q$40</f>
        <v>4152.1696498334359</v>
      </c>
      <c r="R191" s="131">
        <f ca="1">R189*R190*Параметры!R$40</f>
        <v>4221.2921928123287</v>
      </c>
      <c r="S191" s="131">
        <f ca="1">S189*S190*Параметры!S$40</f>
        <v>4291.5654416512434</v>
      </c>
      <c r="T191" s="131">
        <f ca="1">T189*T190*Параметры!T$40</f>
        <v>4363.008552531639</v>
      </c>
      <c r="U191" s="131">
        <f ca="1">U189*U190*Параметры!U$40</f>
        <v>4435.6410005342741</v>
      </c>
      <c r="V191" s="131">
        <f ca="1">V189*V190*Параметры!V$40</f>
        <v>4510.8784827008321</v>
      </c>
      <c r="W191" s="131">
        <f ca="1">W189*W190*Параметры!W$40</f>
        <v>4587.3921454063666</v>
      </c>
      <c r="X191" s="131">
        <f ca="1">X189*X190*Параметры!X$40</f>
        <v>4665.2036352653176</v>
      </c>
      <c r="Y191" s="131">
        <f ca="1">Y189*Y190*Параметры!Y$40</f>
        <v>4744.3349660626845</v>
      </c>
      <c r="Z191" s="131">
        <f ca="1">Z189*Z190*Параметры!Z$40</f>
        <v>4823.819839520449</v>
      </c>
      <c r="AA191" s="131">
        <f ca="1">AA189*AA190*Параметры!AA$40</f>
        <v>4904.6363738229466</v>
      </c>
      <c r="AB191" s="131">
        <f ca="1">AB189*AB190*Параметры!AB$40</f>
        <v>4986.8068791347159</v>
      </c>
      <c r="AC191" s="131">
        <f ca="1">AC189*AC190*Параметры!AC$40</f>
        <v>5070.3540393967332</v>
      </c>
      <c r="AD191" s="131">
        <f ca="1">AD189*AD190*Параметры!AD$40</f>
        <v>5154.4697608228253</v>
      </c>
      <c r="AE191" s="131">
        <f ca="1">AE189*AE190*Параметры!AE$40</f>
        <v>5239.9809379776607</v>
      </c>
      <c r="AF191" s="131">
        <f ca="1">AF189*AF190*Параметры!AF$40</f>
        <v>5326.9107210721377</v>
      </c>
      <c r="AG191" s="131">
        <f ca="1">AG189*AG190*Параметры!AG$40</f>
        <v>5415.2826443725244</v>
      </c>
      <c r="AH191" s="131">
        <f ca="1">AH189*AH190*Параметры!AH$40</f>
        <v>5504.7622490166204</v>
      </c>
      <c r="AI191" s="131">
        <f ca="1">AI189*AI190*Параметры!AI$40</f>
        <v>5595.720372913187</v>
      </c>
      <c r="AJ191" s="131">
        <f ca="1">AJ189*AJ190*Параметры!AJ$40</f>
        <v>5688.1814464247445</v>
      </c>
      <c r="AK191" s="131">
        <f ca="1">AK189*AK190*Параметры!AK$40</f>
        <v>5782.1703035897335</v>
      </c>
      <c r="AL191" s="131">
        <f ca="1">AL189*AL190*Параметры!AL$40</f>
        <v>5876.9191567951184</v>
      </c>
      <c r="AM191" s="131">
        <f ca="1">AM189*AM190*Параметры!AM$40</f>
        <v>5973.2206009330375</v>
      </c>
      <c r="AN191" s="131">
        <f ca="1">AN189*AN190*Параметры!AN$40</f>
        <v>6071.1000773520936</v>
      </c>
      <c r="AO191" s="131">
        <f ca="1">AO189*AO190*Параметры!AO$40</f>
        <v>6170.5834442925516</v>
      </c>
      <c r="AP191" s="131">
        <f ca="1">AP189*AP190*Параметры!AP$40</f>
        <v>6270.8880044327316</v>
      </c>
      <c r="AQ191" s="131">
        <f ca="1">AQ189*AQ190*Параметры!AQ$40</f>
        <v>6372.8230432587188</v>
      </c>
      <c r="AR191" s="131">
        <f ca="1">AR189*AR190*Параметры!AR$40</f>
        <v>6476.4150646576873</v>
      </c>
      <c r="AS191" s="131"/>
      <c r="AT191" s="84">
        <f t="shared" ref="AT191:AT196" ca="1" si="69">SUM(E191:AS191)</f>
        <v>180120.45966114665</v>
      </c>
    </row>
    <row r="192" spans="1:46" outlineLevel="1" x14ac:dyDescent="0.2">
      <c r="A192" s="402" t="s">
        <v>483</v>
      </c>
      <c r="B192" s="4"/>
      <c r="C192" s="7" t="str">
        <f>CHOOSE(C188,Параметры!$B$64,Параметры!$B$108,Параметры!$B$117)</f>
        <v>тыс. руб.</v>
      </c>
      <c r="E192" s="403">
        <f>((E191*Параметры!E$159))</f>
        <v>229.07412000000002</v>
      </c>
      <c r="F192" s="403">
        <f ca="1">((F191*Параметры!F$159))</f>
        <v>229.07412000000002</v>
      </c>
      <c r="G192" s="403">
        <f ca="1">((G191*Параметры!G$159))</f>
        <v>229.07412000000002</v>
      </c>
      <c r="H192" s="403">
        <f ca="1">((H191*Параметры!H$159))</f>
        <v>496.32725999999997</v>
      </c>
      <c r="I192" s="403">
        <f ca="1">((I191*Параметры!I$159))</f>
        <v>496.32725999999997</v>
      </c>
      <c r="J192" s="403">
        <f ca="1">((J191*Параметры!J$159))</f>
        <v>504.27849215890041</v>
      </c>
      <c r="K192" s="403">
        <f ca="1">((K191*Параметры!K$159))</f>
        <v>827.65378365865615</v>
      </c>
      <c r="L192" s="403">
        <f ca="1">((L191*Параметры!L$159))</f>
        <v>840.91291309084227</v>
      </c>
      <c r="M192" s="403">
        <f ca="1">((M191*Параметры!M$159))</f>
        <v>854.38445563195194</v>
      </c>
      <c r="N192" s="403">
        <f ca="1">((N191*Параметры!N$159))</f>
        <v>868.78926574394552</v>
      </c>
      <c r="O192" s="403">
        <f ca="1">((O191*Параметры!O$159))</f>
        <v>883.43693906932594</v>
      </c>
      <c r="P192" s="403">
        <f ca="1">((P191*Параметры!P$159))</f>
        <v>898.33157025008848</v>
      </c>
      <c r="Q192" s="403">
        <f ca="1">((Q191*Параметры!Q$159))</f>
        <v>913.47732296335585</v>
      </c>
      <c r="R192" s="403">
        <f ca="1">((R191*Параметры!R$159))</f>
        <v>928.68428241871231</v>
      </c>
      <c r="S192" s="403">
        <f ca="1">((S191*Параметры!S$159))</f>
        <v>944.14439716327354</v>
      </c>
      <c r="T192" s="403">
        <f ca="1">((T191*Параметры!T$159))</f>
        <v>959.86188155696061</v>
      </c>
      <c r="U192" s="403">
        <f ca="1">((U191*Параметры!U$159))</f>
        <v>975.84102011754032</v>
      </c>
      <c r="V192" s="403">
        <f ca="1">((V191*Параметры!V$159))</f>
        <v>992.39326619418307</v>
      </c>
      <c r="W192" s="403">
        <f ca="1">((W191*Параметры!W$159))</f>
        <v>1009.2262719894006</v>
      </c>
      <c r="X192" s="403">
        <f ca="1">((X191*Параметры!X$159))</f>
        <v>1026.3447997583698</v>
      </c>
      <c r="Y192" s="403">
        <f ca="1">((Y191*Параметры!Y$159))</f>
        <v>1043.7536925337906</v>
      </c>
      <c r="Z192" s="403">
        <f ca="1">((Z191*Параметры!Z$159))</f>
        <v>1061.2403646944988</v>
      </c>
      <c r="AA192" s="403">
        <f ca="1">((AA191*Параметры!AA$159))</f>
        <v>1079.0200022410484</v>
      </c>
      <c r="AB192" s="403">
        <f ca="1">((AB191*Параметры!AB$159))</f>
        <v>1097.0975134096375</v>
      </c>
      <c r="AC192" s="403">
        <f ca="1">((AC191*Параметры!AC$159))</f>
        <v>1115.4778886672814</v>
      </c>
      <c r="AD192" s="403">
        <f ca="1">((AD191*Параметры!AD$159))</f>
        <v>1133.9833473810215</v>
      </c>
      <c r="AE192" s="403">
        <f ca="1">((AE191*Параметры!AE$159))</f>
        <v>1152.7958063550855</v>
      </c>
      <c r="AF192" s="403">
        <f ca="1">((AF191*Параметры!AF$159))</f>
        <v>1171.9203586358703</v>
      </c>
      <c r="AG192" s="403">
        <f ca="1">((AG191*Параметры!AG$159))</f>
        <v>1191.3621817619553</v>
      </c>
      <c r="AH192" s="403">
        <f ca="1">((AH191*Параметры!AH$159))</f>
        <v>1211.0476947836564</v>
      </c>
      <c r="AI192" s="403">
        <f ca="1">((AI191*Параметры!AI$159))</f>
        <v>1231.0584820409013</v>
      </c>
      <c r="AJ192" s="403">
        <f ca="1">((AJ191*Параметры!AJ$159))</f>
        <v>1251.3999182134437</v>
      </c>
      <c r="AK192" s="403">
        <f ca="1">((AK191*Параметры!AK$159))</f>
        <v>1272.0774667897415</v>
      </c>
      <c r="AL192" s="403">
        <f ca="1">((AL191*Параметры!AL$159))</f>
        <v>1292.922214494926</v>
      </c>
      <c r="AM192" s="403">
        <f ca="1">((AM191*Параметры!AM$159))</f>
        <v>1314.1085322052684</v>
      </c>
      <c r="AN192" s="403">
        <f ca="1">((AN191*Параметры!AN$159))</f>
        <v>1335.6420170174606</v>
      </c>
      <c r="AO192" s="403">
        <f ca="1">((AO191*Параметры!AO$159))</f>
        <v>1357.5283577443613</v>
      </c>
      <c r="AP192" s="403">
        <f ca="1">((AP191*Параметры!AP$159))</f>
        <v>1379.5953609752009</v>
      </c>
      <c r="AQ192" s="403">
        <f ca="1">((AQ191*Параметры!AQ$159))</f>
        <v>1402.0210695169183</v>
      </c>
      <c r="AR192" s="403">
        <f ca="1">((AR191*Параметры!AR$159))</f>
        <v>1424.8113142246912</v>
      </c>
      <c r="AS192" s="403"/>
      <c r="AT192" s="404">
        <f t="shared" ca="1" si="69"/>
        <v>39626.501125452283</v>
      </c>
    </row>
    <row r="193" spans="1:46" outlineLevel="1" x14ac:dyDescent="0.2">
      <c r="A193" s="402" t="s">
        <v>484</v>
      </c>
      <c r="B193" s="4"/>
      <c r="C193" s="7" t="str">
        <f>CHOOSE(C188,Параметры!$B$64,Параметры!$B$108,Параметры!$B$117)</f>
        <v>тыс. руб.</v>
      </c>
      <c r="E193" s="403">
        <f>((E191*(Параметры!E$161+Параметры!E$162)))</f>
        <v>36.443610000000007</v>
      </c>
      <c r="F193" s="403">
        <f ca="1">((F191*(Параметры!F$161+Параметры!F$162)))</f>
        <v>36.443610000000007</v>
      </c>
      <c r="G193" s="403">
        <f ca="1">((G191*(Параметры!G$161+Параметры!G$162)))</f>
        <v>36.443610000000007</v>
      </c>
      <c r="H193" s="403">
        <f ca="1">((H191*(Параметры!H$161+Параметры!H$162)))</f>
        <v>78.961155000000005</v>
      </c>
      <c r="I193" s="403">
        <f ca="1">((I191*(Параметры!I$161+Параметры!I$162)))</f>
        <v>78.961155000000005</v>
      </c>
      <c r="J193" s="403">
        <f ca="1">((J191*(Параметры!J$161+Параметры!J$162)))</f>
        <v>80.22612375255234</v>
      </c>
      <c r="K193" s="403">
        <f ca="1">((K191*(Параметры!K$161+Параметры!K$162)))</f>
        <v>131.67219285478623</v>
      </c>
      <c r="L193" s="403">
        <f ca="1">((L191*(Параметры!L$161+Параметры!L$162)))</f>
        <v>133.78159980990674</v>
      </c>
      <c r="M193" s="403">
        <f ca="1">((M191*(Параметры!M$161+Параметры!M$162)))</f>
        <v>135.92479975962874</v>
      </c>
      <c r="N193" s="403">
        <f ca="1">((N191*(Параметры!N$161+Параметры!N$162)))</f>
        <v>138.21647409562772</v>
      </c>
      <c r="O193" s="403">
        <f ca="1">((O191*(Параметры!O$161+Параметры!O$162)))</f>
        <v>140.54678576102913</v>
      </c>
      <c r="P193" s="403">
        <f ca="1">((P191*(Параметры!P$161+Параметры!P$162)))</f>
        <v>142.91638617615044</v>
      </c>
      <c r="Q193" s="403">
        <f ca="1">((Q191*(Параметры!Q$161+Параметры!Q$162)))</f>
        <v>145.32593774417026</v>
      </c>
      <c r="R193" s="403">
        <f ca="1">((R191*(Параметры!R$161+Параметры!R$162)))</f>
        <v>147.74522674843152</v>
      </c>
      <c r="S193" s="403">
        <f ca="1">((S191*(Параметры!S$161+Параметры!S$162)))</f>
        <v>150.20479045779354</v>
      </c>
      <c r="T193" s="403">
        <f ca="1">((T191*(Параметры!T$161+Параметры!T$162)))</f>
        <v>152.70529933860738</v>
      </c>
      <c r="U193" s="403">
        <f ca="1">((U191*(Параметры!U$161+Параметры!U$162)))</f>
        <v>155.2474350186996</v>
      </c>
      <c r="V193" s="403">
        <f ca="1">((V191*(Параметры!V$161+Параметры!V$162)))</f>
        <v>157.88074689452915</v>
      </c>
      <c r="W193" s="403">
        <f ca="1">((W191*(Параметры!W$161+Параметры!W$162)))</f>
        <v>160.55872508922283</v>
      </c>
      <c r="X193" s="403">
        <f ca="1">((X191*(Параметры!X$161+Параметры!X$162)))</f>
        <v>163.28212723428612</v>
      </c>
      <c r="Y193" s="403">
        <f ca="1">((Y191*(Параметры!Y$161+Параметры!Y$162)))</f>
        <v>166.05172381219398</v>
      </c>
      <c r="Z193" s="403">
        <f ca="1">((Z191*(Параметры!Z$161+Параметры!Z$162)))</f>
        <v>168.83369438321574</v>
      </c>
      <c r="AA193" s="403">
        <f ca="1">((AA191*(Параметры!AA$161+Параметры!AA$162)))</f>
        <v>171.66227308380314</v>
      </c>
      <c r="AB193" s="403">
        <f ca="1">((AB191*(Параметры!AB$161+Параметры!AB$162)))</f>
        <v>174.53824076971509</v>
      </c>
      <c r="AC193" s="403">
        <f ca="1">((AC191*(Параметры!AC$161+Параметры!AC$162)))</f>
        <v>177.46239137888568</v>
      </c>
      <c r="AD193" s="403">
        <f ca="1">((AD191*(Параметры!AD$161+Параметры!AD$162)))</f>
        <v>180.40644162879889</v>
      </c>
      <c r="AE193" s="403">
        <f ca="1">((AE191*(Параметры!AE$161+Параметры!AE$162)))</f>
        <v>183.39933282921814</v>
      </c>
      <c r="AF193" s="403">
        <f ca="1">((AF191*(Параметры!AF$161+Параметры!AF$162)))</f>
        <v>186.44187523752484</v>
      </c>
      <c r="AG193" s="403">
        <f ca="1">((AG191*(Параметры!AG$161+Параметры!AG$162)))</f>
        <v>189.53489255303836</v>
      </c>
      <c r="AH193" s="403">
        <f ca="1">((AH191*(Параметры!AH$161+Параметры!AH$162)))</f>
        <v>192.66667871558172</v>
      </c>
      <c r="AI193" s="403">
        <f ca="1">((AI191*(Параметры!AI$161+Параметры!AI$162)))</f>
        <v>195.85021305196156</v>
      </c>
      <c r="AJ193" s="403">
        <f ca="1">((AJ191*(Параметры!AJ$161+Параметры!AJ$162)))</f>
        <v>199.08635062486607</v>
      </c>
      <c r="AK193" s="403">
        <f ca="1">((AK191*(Параметры!AK$161+Параметры!AK$162)))</f>
        <v>202.37596062564069</v>
      </c>
      <c r="AL193" s="403">
        <f ca="1">((AL191*(Параметры!AL$161+Параметры!AL$162)))</f>
        <v>205.69217048782917</v>
      </c>
      <c r="AM193" s="403">
        <f ca="1">((AM191*(Параметры!AM$161+Параметры!AM$162)))</f>
        <v>209.06272103265633</v>
      </c>
      <c r="AN193" s="403">
        <f ca="1">((AN191*(Параметры!AN$161+Параметры!AN$162)))</f>
        <v>212.48850270732331</v>
      </c>
      <c r="AO193" s="403">
        <f ca="1">((AO191*(Параметры!AO$161+Параметры!AO$162)))</f>
        <v>215.97042055023934</v>
      </c>
      <c r="AP193" s="403">
        <f ca="1">((AP191*(Параметры!AP$161+Параметры!AP$162)))</f>
        <v>219.48108015514563</v>
      </c>
      <c r="AQ193" s="403">
        <f ca="1">((AQ191*(Параметры!AQ$161+Параметры!AQ$162)))</f>
        <v>223.04880651405517</v>
      </c>
      <c r="AR193" s="403">
        <f ca="1">((AR191*(Параметры!AR$161+Параметры!AR$162)))</f>
        <v>226.67452726301909</v>
      </c>
      <c r="AS193" s="403"/>
      <c r="AT193" s="404">
        <f t="shared" ca="1" si="69"/>
        <v>6304.2160881401342</v>
      </c>
    </row>
    <row r="194" spans="1:46" outlineLevel="1" x14ac:dyDescent="0.2">
      <c r="A194" s="402" t="s">
        <v>485</v>
      </c>
      <c r="B194" s="4"/>
      <c r="C194" s="7" t="str">
        <f>CHOOSE(C188,Параметры!$B$64,Параметры!$B$108,Параметры!$B$117)</f>
        <v>тыс. руб.</v>
      </c>
      <c r="E194" s="403">
        <f>E191*(Параметры!E$160)</f>
        <v>53.103546000000001</v>
      </c>
      <c r="F194" s="403">
        <f ca="1">F191*(Параметры!F$160)</f>
        <v>53.103546000000001</v>
      </c>
      <c r="G194" s="403">
        <f ca="1">G191*(Параметры!G$160)</f>
        <v>53.103546000000001</v>
      </c>
      <c r="H194" s="403">
        <f ca="1">H191*(Параметры!H$160)</f>
        <v>115.05768299999998</v>
      </c>
      <c r="I194" s="403">
        <f ca="1">I191*(Параметры!I$160)</f>
        <v>115.05768299999998</v>
      </c>
      <c r="J194" s="403">
        <f ca="1">J191*(Параметры!J$160)</f>
        <v>116.90092318229054</v>
      </c>
      <c r="K194" s="403">
        <f ca="1">K191*(Параметры!K$160)</f>
        <v>191.86519530268848</v>
      </c>
      <c r="L194" s="403">
        <f ca="1">L191*(Параметры!L$160)</f>
        <v>194.93890258014977</v>
      </c>
      <c r="M194" s="403">
        <f ca="1">M191*(Параметры!M$160)</f>
        <v>198.06185107831612</v>
      </c>
      <c r="N194" s="403">
        <f ca="1">N191*(Параметры!N$160)</f>
        <v>201.40114796791462</v>
      </c>
      <c r="O194" s="403">
        <f ca="1">O191*(Параметры!O$160)</f>
        <v>204.796744966071</v>
      </c>
      <c r="P194" s="403">
        <f ca="1">P191*(Параметры!P$160)</f>
        <v>208.24959128524776</v>
      </c>
      <c r="Q194" s="403">
        <f ca="1">Q191*(Параметры!Q$160)</f>
        <v>211.7606521415052</v>
      </c>
      <c r="R194" s="403">
        <f ca="1">R191*(Параметры!R$160)</f>
        <v>215.28590183342874</v>
      </c>
      <c r="S194" s="403">
        <f ca="1">S191*(Параметры!S$160)</f>
        <v>218.86983752421341</v>
      </c>
      <c r="T194" s="403">
        <f ca="1">T191*(Параметры!T$160)</f>
        <v>222.51343617911357</v>
      </c>
      <c r="U194" s="403">
        <f ca="1">U191*(Параметры!U$160)</f>
        <v>226.21769102724795</v>
      </c>
      <c r="V194" s="403">
        <f ca="1">V191*(Параметры!V$160)</f>
        <v>230.05480261774241</v>
      </c>
      <c r="W194" s="403">
        <f ca="1">W191*(Параметры!W$160)</f>
        <v>233.95699941572468</v>
      </c>
      <c r="X194" s="403">
        <f ca="1">X191*(Параметры!X$160)</f>
        <v>237.92538539853118</v>
      </c>
      <c r="Y194" s="403">
        <f ca="1">Y191*(Параметры!Y$160)</f>
        <v>241.96108326919691</v>
      </c>
      <c r="Z194" s="403">
        <f ca="1">Z191*(Параметры!Z$160)</f>
        <v>246.01481181554288</v>
      </c>
      <c r="AA194" s="403">
        <f ca="1">AA191*(Параметры!AA$160)</f>
        <v>250.13645506497025</v>
      </c>
      <c r="AB194" s="403">
        <f ca="1">AB191*(Параметры!AB$160)</f>
        <v>254.3271508358705</v>
      </c>
      <c r="AC194" s="403">
        <f ca="1">AC191*(Параметры!AC$160)</f>
        <v>258.58805600923336</v>
      </c>
      <c r="AD194" s="403">
        <f ca="1">AD191*(Параметры!AD$160)</f>
        <v>262.87795780196404</v>
      </c>
      <c r="AE194" s="403">
        <f ca="1">AE191*(Параметры!AE$160)</f>
        <v>267.23902783686066</v>
      </c>
      <c r="AF194" s="403">
        <f ca="1">AF191*(Параметры!AF$160)</f>
        <v>271.67244677467903</v>
      </c>
      <c r="AG194" s="403">
        <f ca="1">AG191*(Параметры!AG$160)</f>
        <v>276.17941486299873</v>
      </c>
      <c r="AH194" s="403">
        <f ca="1">AH191*(Параметры!AH$160)</f>
        <v>280.74287469984762</v>
      </c>
      <c r="AI194" s="403">
        <f ca="1">AI191*(Параметры!AI$160)</f>
        <v>285.38173901857255</v>
      </c>
      <c r="AJ194" s="403">
        <f ca="1">AJ191*(Параметры!AJ$160)</f>
        <v>290.09725376766193</v>
      </c>
      <c r="AK194" s="403">
        <f ca="1">AK191*(Параметры!AK$160)</f>
        <v>294.89068548307637</v>
      </c>
      <c r="AL194" s="403">
        <f ca="1">AL191*(Параметры!AL$160)</f>
        <v>299.72287699655101</v>
      </c>
      <c r="AM194" s="403">
        <f ca="1">AM191*(Параметры!AM$160)</f>
        <v>304.63425064758491</v>
      </c>
      <c r="AN194" s="403">
        <f ca="1">AN191*(Параметры!AN$160)</f>
        <v>309.62610394495675</v>
      </c>
      <c r="AO194" s="403">
        <f ca="1">AO191*(Параметры!AO$160)</f>
        <v>314.69975565892008</v>
      </c>
      <c r="AP194" s="403">
        <f ca="1">AP191*(Параметры!AP$160)</f>
        <v>319.8152882260693</v>
      </c>
      <c r="AQ194" s="403">
        <f ca="1">AQ191*(Параметры!AQ$160)</f>
        <v>325.01397520619463</v>
      </c>
      <c r="AR194" s="403">
        <f ca="1">AR191*(Параметры!AR$160)</f>
        <v>330.29716829754204</v>
      </c>
      <c r="AS194" s="403"/>
      <c r="AT194" s="404">
        <f t="shared" ca="1" si="69"/>
        <v>9186.1434427184777</v>
      </c>
    </row>
    <row r="195" spans="1:46" outlineLevel="1" x14ac:dyDescent="0.2">
      <c r="A195" s="402" t="s">
        <v>487</v>
      </c>
      <c r="B195" s="4"/>
      <c r="C195" s="7" t="str">
        <f>CHOOSE(C188,Параметры!$B$64,Параметры!$B$108,Параметры!$B$117)</f>
        <v>тыс. руб.</v>
      </c>
      <c r="E195" s="403">
        <f>E191*(Параметры!E$163)</f>
        <v>0</v>
      </c>
      <c r="F195" s="403">
        <f ca="1">F191*(Параметры!F$163)</f>
        <v>0</v>
      </c>
      <c r="G195" s="403">
        <f ca="1">G191*(Параметры!G$163)</f>
        <v>0</v>
      </c>
      <c r="H195" s="403">
        <f ca="1">H191*(Параметры!H$163)</f>
        <v>0</v>
      </c>
      <c r="I195" s="403">
        <f ca="1">I191*(Параметры!I$163)</f>
        <v>0</v>
      </c>
      <c r="J195" s="403">
        <f ca="1">J191*(Параметры!J$163)</f>
        <v>0</v>
      </c>
      <c r="K195" s="403">
        <f ca="1">K191*(Параметры!K$163)</f>
        <v>0</v>
      </c>
      <c r="L195" s="403">
        <f ca="1">L191*(Параметры!L$163)</f>
        <v>0</v>
      </c>
      <c r="M195" s="403">
        <f ca="1">M191*(Параметры!M$163)</f>
        <v>0</v>
      </c>
      <c r="N195" s="403">
        <f ca="1">N191*(Параметры!N$163)</f>
        <v>0</v>
      </c>
      <c r="O195" s="403">
        <f ca="1">O191*(Параметры!O$163)</f>
        <v>0</v>
      </c>
      <c r="P195" s="403">
        <f ca="1">P191*(Параметры!P$163)</f>
        <v>0</v>
      </c>
      <c r="Q195" s="403">
        <f ca="1">Q191*(Параметры!Q$163)</f>
        <v>0</v>
      </c>
      <c r="R195" s="403">
        <f ca="1">R191*(Параметры!R$163)</f>
        <v>0</v>
      </c>
      <c r="S195" s="403">
        <f ca="1">S191*(Параметры!S$163)</f>
        <v>0</v>
      </c>
      <c r="T195" s="403">
        <f ca="1">T191*(Параметры!T$163)</f>
        <v>0</v>
      </c>
      <c r="U195" s="403">
        <f ca="1">U191*(Параметры!U$163)</f>
        <v>0</v>
      </c>
      <c r="V195" s="403">
        <f ca="1">V191*(Параметры!V$163)</f>
        <v>0</v>
      </c>
      <c r="W195" s="403">
        <f ca="1">W191*(Параметры!W$163)</f>
        <v>0</v>
      </c>
      <c r="X195" s="403">
        <f ca="1">X191*(Параметры!X$163)</f>
        <v>0</v>
      </c>
      <c r="Y195" s="403">
        <f ca="1">Y191*(Параметры!Y$163)</f>
        <v>0</v>
      </c>
      <c r="Z195" s="403">
        <f ca="1">Z191*(Параметры!Z$163)</f>
        <v>0</v>
      </c>
      <c r="AA195" s="403">
        <f ca="1">AA191*(Параметры!AA$163)</f>
        <v>0</v>
      </c>
      <c r="AB195" s="403">
        <f ca="1">AB191*(Параметры!AB$163)</f>
        <v>0</v>
      </c>
      <c r="AC195" s="403">
        <f ca="1">AC191*(Параметры!AC$163)</f>
        <v>0</v>
      </c>
      <c r="AD195" s="403">
        <f ca="1">AD191*(Параметры!AD$163)</f>
        <v>0</v>
      </c>
      <c r="AE195" s="403">
        <f ca="1">AE191*(Параметры!AE$163)</f>
        <v>0</v>
      </c>
      <c r="AF195" s="403">
        <f ca="1">AF191*(Параметры!AF$163)</f>
        <v>0</v>
      </c>
      <c r="AG195" s="403">
        <f ca="1">AG191*(Параметры!AG$163)</f>
        <v>0</v>
      </c>
      <c r="AH195" s="403">
        <f ca="1">AH191*(Параметры!AH$163)</f>
        <v>0</v>
      </c>
      <c r="AI195" s="403">
        <f ca="1">AI191*(Параметры!AI$163)</f>
        <v>0</v>
      </c>
      <c r="AJ195" s="403">
        <f ca="1">AJ191*(Параметры!AJ$163)</f>
        <v>0</v>
      </c>
      <c r="AK195" s="403">
        <f ca="1">AK191*(Параметры!AK$163)</f>
        <v>0</v>
      </c>
      <c r="AL195" s="403">
        <f ca="1">AL191*(Параметры!AL$163)</f>
        <v>0</v>
      </c>
      <c r="AM195" s="403">
        <f ca="1">AM191*(Параметры!AM$163)</f>
        <v>0</v>
      </c>
      <c r="AN195" s="403">
        <f ca="1">AN191*(Параметры!AN$163)</f>
        <v>0</v>
      </c>
      <c r="AO195" s="403">
        <f ca="1">AO191*(Параметры!AO$163)</f>
        <v>0</v>
      </c>
      <c r="AP195" s="403">
        <f ca="1">AP191*(Параметры!AP$163)</f>
        <v>0</v>
      </c>
      <c r="AQ195" s="403">
        <f ca="1">AQ191*(Параметры!AQ$163)</f>
        <v>0</v>
      </c>
      <c r="AR195" s="403">
        <f ca="1">AR191*(Параметры!AR$163)</f>
        <v>0</v>
      </c>
      <c r="AS195" s="403"/>
      <c r="AT195" s="404">
        <f t="shared" ca="1" si="69"/>
        <v>0</v>
      </c>
    </row>
    <row r="196" spans="1:46" outlineLevel="1" x14ac:dyDescent="0.2">
      <c r="A196" s="114" t="s">
        <v>486</v>
      </c>
      <c r="B196" s="24"/>
      <c r="C196" s="2" t="str">
        <f>CHOOSE(C188,Параметры!$B$64,Параметры!$B$108,Параметры!$B$117)</f>
        <v>тыс. руб.</v>
      </c>
      <c r="E196" s="129">
        <f t="shared" ref="E196:AB196" si="70">SUM(E192:E195)</f>
        <v>318.62127600000002</v>
      </c>
      <c r="F196" s="129">
        <f t="shared" ca="1" si="70"/>
        <v>318.62127600000002</v>
      </c>
      <c r="G196" s="129">
        <f t="shared" ca="1" si="70"/>
        <v>318.62127600000002</v>
      </c>
      <c r="H196" s="129">
        <f t="shared" ca="1" si="70"/>
        <v>690.34609799999998</v>
      </c>
      <c r="I196" s="129">
        <f t="shared" ca="1" si="70"/>
        <v>690.34609799999998</v>
      </c>
      <c r="J196" s="129">
        <f t="shared" ca="1" si="70"/>
        <v>701.4055390937433</v>
      </c>
      <c r="K196" s="129">
        <f t="shared" ca="1" si="70"/>
        <v>1151.1911718161309</v>
      </c>
      <c r="L196" s="129">
        <f t="shared" ca="1" si="70"/>
        <v>1169.6334154808987</v>
      </c>
      <c r="M196" s="129">
        <f t="shared" ca="1" si="70"/>
        <v>1188.3711064698969</v>
      </c>
      <c r="N196" s="129">
        <f t="shared" ca="1" si="70"/>
        <v>1208.4068878074879</v>
      </c>
      <c r="O196" s="129">
        <f t="shared" ca="1" si="70"/>
        <v>1228.7804697964261</v>
      </c>
      <c r="P196" s="129">
        <f t="shared" ca="1" si="70"/>
        <v>1249.4975477114867</v>
      </c>
      <c r="Q196" s="129">
        <f t="shared" ca="1" si="70"/>
        <v>1270.5639128490313</v>
      </c>
      <c r="R196" s="129">
        <f t="shared" ca="1" si="70"/>
        <v>1291.7154110005727</v>
      </c>
      <c r="S196" s="129">
        <f t="shared" ca="1" si="70"/>
        <v>1313.2190251452805</v>
      </c>
      <c r="T196" s="129">
        <f t="shared" ca="1" si="70"/>
        <v>1335.0806170746816</v>
      </c>
      <c r="U196" s="129">
        <f t="shared" ca="1" si="70"/>
        <v>1357.3061461634879</v>
      </c>
      <c r="V196" s="129">
        <f t="shared" ca="1" si="70"/>
        <v>1380.3288157064546</v>
      </c>
      <c r="W196" s="129">
        <f t="shared" ca="1" si="70"/>
        <v>1403.7419964943483</v>
      </c>
      <c r="X196" s="129">
        <f t="shared" ca="1" si="70"/>
        <v>1427.5523123911873</v>
      </c>
      <c r="Y196" s="129">
        <f t="shared" ca="1" si="70"/>
        <v>1451.7664996151816</v>
      </c>
      <c r="Z196" s="129">
        <f t="shared" ca="1" si="70"/>
        <v>1476.0888708932575</v>
      </c>
      <c r="AA196" s="129">
        <f t="shared" ca="1" si="70"/>
        <v>1500.8187303898219</v>
      </c>
      <c r="AB196" s="129">
        <f t="shared" ca="1" si="70"/>
        <v>1525.962905015223</v>
      </c>
      <c r="AC196" s="129">
        <f t="shared" ref="AC196:AR196" ca="1" si="71">SUM(AC192:AC195)</f>
        <v>1551.5283360554004</v>
      </c>
      <c r="AD196" s="129">
        <f t="shared" ca="1" si="71"/>
        <v>1577.2677468117845</v>
      </c>
      <c r="AE196" s="129">
        <f t="shared" ca="1" si="71"/>
        <v>1603.4341670211643</v>
      </c>
      <c r="AF196" s="129">
        <f t="shared" ca="1" si="71"/>
        <v>1630.0346806480741</v>
      </c>
      <c r="AG196" s="129">
        <f t="shared" ca="1" si="71"/>
        <v>1657.0764891779925</v>
      </c>
      <c r="AH196" s="129">
        <f t="shared" ca="1" si="71"/>
        <v>1684.4572481990858</v>
      </c>
      <c r="AI196" s="129">
        <f t="shared" ca="1" si="71"/>
        <v>1712.2904341114354</v>
      </c>
      <c r="AJ196" s="129">
        <f t="shared" ca="1" si="71"/>
        <v>1740.5835226059717</v>
      </c>
      <c r="AK196" s="129">
        <f t="shared" ca="1" si="71"/>
        <v>1769.3441128984584</v>
      </c>
      <c r="AL196" s="129">
        <f t="shared" ca="1" si="71"/>
        <v>1798.3372619793063</v>
      </c>
      <c r="AM196" s="129">
        <f t="shared" ca="1" si="71"/>
        <v>1827.8055038855096</v>
      </c>
      <c r="AN196" s="129">
        <f t="shared" ca="1" si="71"/>
        <v>1857.7566236697407</v>
      </c>
      <c r="AO196" s="129">
        <f t="shared" ca="1" si="71"/>
        <v>1888.1985339535208</v>
      </c>
      <c r="AP196" s="129">
        <f t="shared" ca="1" si="71"/>
        <v>1918.8917293564159</v>
      </c>
      <c r="AQ196" s="129">
        <f t="shared" ca="1" si="71"/>
        <v>1950.0838512371679</v>
      </c>
      <c r="AR196" s="129">
        <f t="shared" ca="1" si="71"/>
        <v>1981.7830097852525</v>
      </c>
      <c r="AS196" s="129"/>
      <c r="AT196" s="103">
        <f t="shared" ca="1" si="69"/>
        <v>55116.86065631087</v>
      </c>
    </row>
    <row r="197" spans="1:46" outlineLevel="1" x14ac:dyDescent="0.2">
      <c r="A197" s="420" t="str">
        <f>Параметры!$A$86</f>
        <v>Изменение заработной платы</v>
      </c>
      <c r="B197" s="263" t="s">
        <v>391</v>
      </c>
      <c r="C197" s="21" t="s">
        <v>14</v>
      </c>
      <c r="E197" s="362">
        <f>CHOOSE($C188,Параметры!E$86,Параметры!E$113,Параметры!E$122)</f>
        <v>0</v>
      </c>
      <c r="F197" s="362">
        <f>CHOOSE($C188,Параметры!F$86,Параметры!F$113,Параметры!F$122)</f>
        <v>0</v>
      </c>
      <c r="G197" s="362">
        <f>CHOOSE($C188,Параметры!G$86,Параметры!G$113,Параметры!G$122)</f>
        <v>0</v>
      </c>
      <c r="H197" s="362">
        <f>CHOOSE($C188,Параметры!H$86,Параметры!H$113,Параметры!H$122)</f>
        <v>0</v>
      </c>
      <c r="I197" s="362">
        <f>CHOOSE($C188,Параметры!I$86,Параметры!I$113,Параметры!I$122)</f>
        <v>6.5636940856837134E-2</v>
      </c>
      <c r="J197" s="362">
        <f>CHOOSE($C188,Параметры!J$86,Параметры!J$113,Параметры!J$122)</f>
        <v>6.5636940856837134E-2</v>
      </c>
      <c r="K197" s="362">
        <f>CHOOSE($C188,Параметры!K$86,Параметры!K$113,Параметры!K$122)</f>
        <v>6.5636940856837134E-2</v>
      </c>
      <c r="L197" s="362">
        <f>CHOOSE($C188,Параметры!L$86,Параметры!L$113,Параметры!L$122)</f>
        <v>6.5636940856837134E-2</v>
      </c>
      <c r="M197" s="362">
        <f>CHOOSE($C188,Параметры!M$86,Параметры!M$113,Параметры!M$122)</f>
        <v>6.9164258480914675E-2</v>
      </c>
      <c r="N197" s="362">
        <f>CHOOSE($C188,Параметры!N$86,Параметры!N$113,Параметры!N$122)</f>
        <v>6.9164258480914675E-2</v>
      </c>
      <c r="O197" s="362">
        <f>CHOOSE($C188,Параметры!O$86,Параметры!O$113,Параметры!O$122)</f>
        <v>6.9164258480914675E-2</v>
      </c>
      <c r="P197" s="362">
        <f>CHOOSE($C188,Параметры!P$86,Параметры!P$113,Параметры!P$122)</f>
        <v>6.9164258480914675E-2</v>
      </c>
      <c r="Q197" s="362">
        <f>CHOOSE($C188,Параметры!Q$86,Параметры!Q$113,Параметры!Q$122)</f>
        <v>6.8270657176112026E-2</v>
      </c>
      <c r="R197" s="362">
        <f>CHOOSE($C188,Параметры!R$86,Параметры!R$113,Параметры!R$122)</f>
        <v>6.8270657176112026E-2</v>
      </c>
      <c r="S197" s="362">
        <f>CHOOSE($C188,Параметры!S$86,Параметры!S$113,Параметры!S$122)</f>
        <v>6.8270657176112026E-2</v>
      </c>
      <c r="T197" s="362">
        <f>CHOOSE($C188,Параметры!T$86,Параметры!T$113,Параметры!T$122)</f>
        <v>6.8270657176112026E-2</v>
      </c>
      <c r="U197" s="362">
        <f>CHOOSE($C188,Параметры!U$86,Параметры!U$113,Параметры!U$122)</f>
        <v>6.9593992275576166E-2</v>
      </c>
      <c r="V197" s="362">
        <f>CHOOSE($C188,Параметры!V$86,Параметры!V$113,Параметры!V$122)</f>
        <v>6.9593992275576166E-2</v>
      </c>
      <c r="W197" s="362">
        <f>CHOOSE($C188,Параметры!W$86,Параметры!W$113,Параметры!W$122)</f>
        <v>6.9593992275576166E-2</v>
      </c>
      <c r="X197" s="362">
        <f>CHOOSE($C188,Параметры!X$86,Параметры!X$113,Параметры!X$122)</f>
        <v>6.9593992275576166E-2</v>
      </c>
      <c r="Y197" s="362">
        <f>CHOOSE($C188,Параметры!Y$86,Параметры!Y$113,Параметры!Y$122)</f>
        <v>6.8717549596758909E-2</v>
      </c>
      <c r="Z197" s="362">
        <f>CHOOSE($C188,Параметры!Z$86,Параметры!Z$113,Параметры!Z$122)</f>
        <v>6.8717549596758909E-2</v>
      </c>
      <c r="AA197" s="362">
        <f>CHOOSE($C188,Параметры!AA$86,Параметры!AA$113,Параметры!AA$122)</f>
        <v>6.8717549596758909E-2</v>
      </c>
      <c r="AB197" s="362">
        <f>CHOOSE($C188,Параметры!AB$86,Параметры!AB$113,Параметры!AB$122)</f>
        <v>6.8717549596758909E-2</v>
      </c>
      <c r="AC197" s="362">
        <f>CHOOSE($C188,Параметры!AC$86,Параметры!AC$113,Параметры!AC$122)</f>
        <v>6.8028504971386461E-2</v>
      </c>
      <c r="AD197" s="362">
        <f>CHOOSE($C188,Параметры!AD$86,Параметры!AD$113,Параметры!AD$122)</f>
        <v>6.8028504971386461E-2</v>
      </c>
      <c r="AE197" s="362">
        <f>CHOOSE($C188,Параметры!AE$86,Параметры!AE$113,Параметры!AE$122)</f>
        <v>6.8028504971386461E-2</v>
      </c>
      <c r="AF197" s="362">
        <f>CHOOSE($C188,Параметры!AF$86,Параметры!AF$113,Параметры!AF$122)</f>
        <v>6.8028504971386461E-2</v>
      </c>
      <c r="AG197" s="362">
        <f>CHOOSE($C188,Параметры!AG$86,Параметры!AG$113,Параметры!AG$122)</f>
        <v>6.7750417348662717E-2</v>
      </c>
      <c r="AH197" s="362">
        <f>CHOOSE($C188,Параметры!AH$86,Параметры!AH$113,Параметры!AH$122)</f>
        <v>6.7750417348662717E-2</v>
      </c>
      <c r="AI197" s="362">
        <f>CHOOSE($C188,Параметры!AI$86,Параметры!AI$113,Параметры!AI$122)</f>
        <v>6.7750417348662717E-2</v>
      </c>
      <c r="AJ197" s="362">
        <f>CHOOSE($C188,Параметры!AJ$86,Параметры!AJ$113,Параметры!AJ$122)</f>
        <v>6.7750417348662717E-2</v>
      </c>
      <c r="AK197" s="362">
        <f>CHOOSE($C188,Параметры!AK$86,Параметры!AK$113,Параметры!AK$122)</f>
        <v>6.7174282373121841E-2</v>
      </c>
      <c r="AL197" s="362">
        <f>CHOOSE($C188,Параметры!AL$86,Параметры!AL$113,Параметры!AL$122)</f>
        <v>6.7174282373121841E-2</v>
      </c>
      <c r="AM197" s="362">
        <f>CHOOSE($C188,Параметры!AM$86,Параметры!AM$113,Параметры!AM$122)</f>
        <v>6.7174282373121841E-2</v>
      </c>
      <c r="AN197" s="362">
        <f>CHOOSE($C188,Параметры!AN$86,Параметры!AN$113,Параметры!AN$122)</f>
        <v>6.7174282373121841E-2</v>
      </c>
      <c r="AO197" s="362">
        <f>CHOOSE($C188,Параметры!AO$86,Параметры!AO$113,Параметры!AO$122)</f>
        <v>6.6623774358420818E-2</v>
      </c>
      <c r="AP197" s="362">
        <f>CHOOSE($C188,Параметры!AP$86,Параметры!AP$113,Параметры!AP$122)</f>
        <v>6.6623774358420818E-2</v>
      </c>
      <c r="AQ197" s="362">
        <f>CHOOSE($C188,Параметры!AQ$86,Параметры!AQ$113,Параметры!AQ$122)</f>
        <v>6.6623774358420818E-2</v>
      </c>
      <c r="AR197" s="362">
        <f>CHOOSE($C188,Параметры!AR$86,Параметры!AR$113,Параметры!AR$122)</f>
        <v>6.6623774358420818E-2</v>
      </c>
      <c r="AS197" s="127"/>
      <c r="AT197" s="119"/>
    </row>
    <row r="198" spans="1:46" outlineLevel="1" x14ac:dyDescent="0.2">
      <c r="A198" s="302" t="s">
        <v>392</v>
      </c>
      <c r="B198" s="25"/>
      <c r="C198" s="21" t="s">
        <v>133</v>
      </c>
      <c r="E198" s="416">
        <f ca="1">IF(E$2=1,1,IF(Параметры!$B$62=1,POWER(1+OFFSET(E197,0,-1),Параметры!E$39/360),1) * IF(E$2&gt;1,D198, 1))</f>
        <v>1</v>
      </c>
      <c r="F198" s="416">
        <f ca="1">IF(F$2=1,1,IF(Параметры!$B$62=1,POWER(1+OFFSET(F197,0,-1),Параметры!F$39/360),1) * IF(F$2&gt;1,E198, 1))</f>
        <v>1</v>
      </c>
      <c r="G198" s="416">
        <f ca="1">IF(G$2=1,1,IF(Параметры!$B$62=1,POWER(1+OFFSET(G197,0,-1),Параметры!G$39/360),1) * IF(G$2&gt;1,F198, 1))</f>
        <v>1</v>
      </c>
      <c r="H198" s="416">
        <f ca="1">IF(H$2=1,1,IF(Параметры!$B$62=1,POWER(1+OFFSET(H197,0,-1),Параметры!H$39/360),1) * IF(H$2&gt;1,G198, 1))</f>
        <v>1</v>
      </c>
      <c r="I198" s="416">
        <f ca="1">IF(I$2=1,1,IF(Параметры!$B$62=1,POWER(1+OFFSET(I197,0,-1),Параметры!I$39/360),1) * IF(I$2&gt;1,H198, 1))</f>
        <v>1</v>
      </c>
      <c r="J198" s="416">
        <f ca="1">IF(J$2=1,1,IF(Параметры!$B$62=1,POWER(1+OFFSET(J197,0,-1),Параметры!J$39/360),1) * IF(J$2&gt;1,I198, 1))</f>
        <v>1.0160201399352926</v>
      </c>
      <c r="K198" s="416">
        <f ca="1">IF(K$2=1,1,IF(Параметры!$B$62=1,POWER(1+OFFSET(K197,0,-1),Параметры!K$39/360),1) * IF(K$2&gt;1,J198, 1))</f>
        <v>1.0322969247541316</v>
      </c>
      <c r="L198" s="416">
        <f ca="1">IF(L$2=1,1,IF(Параметры!$B$62=1,POWER(1+OFFSET(L197,0,-1),Параметры!L$39/360),1) * IF(L$2&gt;1,K198, 1))</f>
        <v>1.048834465943465</v>
      </c>
      <c r="M198" s="416">
        <f ca="1">IF(M$2=1,1,IF(Параметры!$B$62=1,POWER(1+OFFSET(M197,0,-1),Параметры!M$39/360),1) * IF(M$2&gt;1,L198, 1))</f>
        <v>1.0656369408568371</v>
      </c>
      <c r="N198" s="416">
        <f ca="1">IF(N$2=1,1,IF(Параметры!$B$62=1,POWER(1+OFFSET(N197,0,-1),Параметры!N$39/360),1) * IF(N$2&gt;1,M198, 1))</f>
        <v>1.0836034402239334</v>
      </c>
      <c r="O198" s="416">
        <f ca="1">IF(O$2=1,1,IF(Параметры!$B$62=1,POWER(1+OFFSET(O197,0,-1),Параметры!O$39/360),1) * IF(O$2&gt;1,N198, 1))</f>
        <v>1.1018728524191532</v>
      </c>
      <c r="P198" s="416">
        <f ca="1">IF(P$2=1,1,IF(Параметры!$B$62=1,POWER(1+OFFSET(P197,0,-1),Параметры!P$39/360),1) * IF(P$2&gt;1,O198, 1))</f>
        <v>1.1204502845131377</v>
      </c>
      <c r="Q198" s="416">
        <f ca="1">IF(Q$2=1,1,IF(Параметры!$B$62=1,POWER(1+OFFSET(Q197,0,-1),Параметры!Q$39/360),1) * IF(Q$2&gt;1,P198, 1))</f>
        <v>1.1393409296810706</v>
      </c>
      <c r="R198" s="416">
        <f ca="1">IF(R$2=1,1,IF(Параметры!$B$62=1,POWER(1+OFFSET(R197,0,-1),Параметры!R$39/360),1) * IF(R$2&gt;1,Q198, 1))</f>
        <v>1.1583079153827869</v>
      </c>
      <c r="S198" s="416">
        <f ca="1">IF(S$2=1,1,IF(Параметры!$B$62=1,POWER(1+OFFSET(S197,0,-1),Параметры!S$39/360),1) * IF(S$2&gt;1,R198, 1))</f>
        <v>1.1775906507756073</v>
      </c>
      <c r="T198" s="416">
        <f ca="1">IF(T$2=1,1,IF(Параметры!$B$62=1,POWER(1+OFFSET(T197,0,-1),Параметры!T$39/360),1) * IF(T$2&gt;1,S198, 1))</f>
        <v>1.197194392249187</v>
      </c>
      <c r="U198" s="416">
        <f ca="1">IF(U$2=1,1,IF(Параметры!$B$62=1,POWER(1+OFFSET(U197,0,-1),Параметры!U$39/360),1) * IF(U$2&gt;1,T198, 1))</f>
        <v>1.2171244836980402</v>
      </c>
      <c r="V198" s="416">
        <f ca="1">IF(V$2=1,1,IF(Параметры!$B$62=1,POWER(1+OFFSET(V197,0,-1),Параметры!V$39/360),1) * IF(V$2&gt;1,U198, 1))</f>
        <v>1.237769387473094</v>
      </c>
      <c r="W198" s="416">
        <f ca="1">IF(W$2=1,1,IF(Параметры!$B$62=1,POWER(1+OFFSET(W197,0,-1),Параметры!W$39/360),1) * IF(W$2&gt;1,V198, 1))</f>
        <v>1.2587644707553303</v>
      </c>
      <c r="X198" s="416">
        <f ca="1">IF(X$2=1,1,IF(Параметры!$B$62=1,POWER(1+OFFSET(X197,0,-1),Параметры!X$39/360),1) * IF(X$2&gt;1,W198, 1))</f>
        <v>1.2801156733005643</v>
      </c>
      <c r="Y198" s="416">
        <f ca="1">IF(Y$2=1,1,IF(Параметры!$B$62=1,POWER(1+OFFSET(Y197,0,-1),Параметры!Y$39/360),1) * IF(Y$2&gt;1,X198, 1))</f>
        <v>1.3018290356149362</v>
      </c>
      <c r="Z198" s="416">
        <f ca="1">IF(Z$2=1,1,IF(Параметры!$B$62=1,POWER(1+OFFSET(Z197,0,-1),Параметры!Z$39/360),1) * IF(Z$2&gt;1,Y198, 1))</f>
        <v>1.3236394088073189</v>
      </c>
      <c r="AA198" s="416">
        <f ca="1">IF(AA$2=1,1,IF(Параметры!$B$62=1,POWER(1+OFFSET(AA197,0,-1),Параметры!AA$39/360),1) * IF(AA$2&gt;1,Z198, 1))</f>
        <v>1.3458151851100773</v>
      </c>
      <c r="AB198" s="416">
        <f ca="1">IF(AB$2=1,1,IF(Параметры!$B$62=1,POWER(1+OFFSET(AB197,0,-1),Параметры!AB$39/360),1) * IF(AB$2&gt;1,AA198, 1))</f>
        <v>1.3683624863548687</v>
      </c>
      <c r="AC198" s="416">
        <f ca="1">IF(AC$2=1,1,IF(Параметры!$B$62=1,POWER(1+OFFSET(AC197,0,-1),Параметры!AC$39/360),1) * IF(AC$2&gt;1,AB198, 1))</f>
        <v>1.391287536936306</v>
      </c>
      <c r="AD198" s="416">
        <f ca="1">IF(AD$2=1,1,IF(Параметры!$B$62=1,POWER(1+OFFSET(AD197,0,-1),Параметры!AD$39/360),1) * IF(AD$2&gt;1,AC198, 1))</f>
        <v>1.4143685987263133</v>
      </c>
      <c r="AE198" s="416">
        <f ca="1">IF(AE$2=1,1,IF(Параметры!$B$62=1,POWER(1+OFFSET(AE197,0,-1),Параметры!AE$39/360),1) * IF(AE$2&gt;1,AD198, 1))</f>
        <v>1.4378325687212823</v>
      </c>
      <c r="AF198" s="416">
        <f ca="1">IF(AF$2=1,1,IF(Параметры!$B$62=1,POWER(1+OFFSET(AF197,0,-1),Параметры!AF$39/360),1) * IF(AF$2&gt;1,AE198, 1))</f>
        <v>1.4616857992586734</v>
      </c>
      <c r="AG198" s="416">
        <f ca="1">IF(AG$2=1,1,IF(Параметры!$B$62=1,POWER(1+OFFSET(AG197,0,-1),Параметры!AG$39/360),1) * IF(AG$2&gt;1,AF198, 1))</f>
        <v>1.4859347480594056</v>
      </c>
      <c r="AH198" s="416">
        <f ca="1">IF(AH$2=1,1,IF(Параметры!$B$62=1,POWER(1+OFFSET(AH197,0,-1),Параметры!AH$39/360),1) * IF(AH$2&gt;1,AG198, 1))</f>
        <v>1.5104876407734087</v>
      </c>
      <c r="AI198" s="416">
        <f ca="1">IF(AI$2=1,1,IF(Параметры!$B$62=1,POWER(1+OFFSET(AI197,0,-1),Параметры!AI$39/360),1) * IF(AI$2&gt;1,AH198, 1))</f>
        <v>1.5354462340347694</v>
      </c>
      <c r="AJ198" s="416">
        <f ca="1">IF(AJ$2=1,1,IF(Параметры!$B$62=1,POWER(1+OFFSET(AJ197,0,-1),Параметры!AJ$39/360),1) * IF(AJ$2&gt;1,AI198, 1))</f>
        <v>1.5608172314501072</v>
      </c>
      <c r="AK198" s="416">
        <f ca="1">IF(AK$2=1,1,IF(Параметры!$B$62=1,POWER(1+OFFSET(AK197,0,-1),Параметры!AK$39/360),1) * IF(AK$2&gt;1,AJ198, 1))</f>
        <v>1.5866074473933107</v>
      </c>
      <c r="AL198" s="416">
        <f ca="1">IF(AL$2=1,1,IF(Параметры!$B$62=1,POWER(1+OFFSET(AL197,0,-1),Параметры!AL$39/360),1) * IF(AL$2&gt;1,AK198, 1))</f>
        <v>1.6126062036102125</v>
      </c>
      <c r="AM198" s="416">
        <f ca="1">IF(AM$2=1,1,IF(Параметры!$B$62=1,POWER(1+OFFSET(AM197,0,-1),Параметры!AM$39/360),1) * IF(AM$2&gt;1,AL198, 1))</f>
        <v>1.6390309853862002</v>
      </c>
      <c r="AN198" s="416">
        <f ca="1">IF(AN$2=1,1,IF(Параметры!$B$62=1,POWER(1+OFFSET(AN197,0,-1),Параметры!AN$39/360),1) * IF(AN$2&gt;1,AM198, 1))</f>
        <v>1.6658887737389612</v>
      </c>
      <c r="AO198" s="416">
        <f ca="1">IF(AO$2=1,1,IF(Параметры!$B$62=1,POWER(1+OFFSET(AO197,0,-1),Параметры!AO$39/360),1) * IF(AO$2&gt;1,AN198, 1))</f>
        <v>1.6931866640798074</v>
      </c>
      <c r="AP198" s="416">
        <f ca="1">IF(AP$2=1,1,IF(Параметры!$B$62=1,POWER(1+OFFSET(AP197,0,-1),Параметры!AP$39/360),1) * IF(AP$2&gt;1,AO198, 1))</f>
        <v>1.7207098869823081</v>
      </c>
      <c r="AQ198" s="416">
        <f ca="1">IF(AQ$2=1,1,IF(Параметры!$B$62=1,POWER(1+OFFSET(AQ197,0,-1),Параметры!AQ$39/360),1) * IF(AQ$2&gt;1,AP198, 1))</f>
        <v>1.7486805075728553</v>
      </c>
      <c r="AR198" s="416">
        <f ca="1">IF(AR$2=1,1,IF(Параметры!$B$62=1,POWER(1+OFFSET(AR197,0,-1),Параметры!AR$39/360),1) * IF(AR$2&gt;1,AQ198, 1))</f>
        <v>1.7771057984260303</v>
      </c>
      <c r="AS198" s="128"/>
      <c r="AT198" s="117"/>
    </row>
    <row r="199" spans="1:46" outlineLevel="1" x14ac:dyDescent="0.2">
      <c r="A199" s="319" t="s">
        <v>491</v>
      </c>
      <c r="B199" s="24"/>
      <c r="C199" s="2" t="s">
        <v>133</v>
      </c>
      <c r="D199" s="310"/>
      <c r="E199" s="417">
        <f>IF(E$2=1,1,CHOOSE($B$8,E198,IF(Параметры!E$43=1,E198,D199),IF(Параметры!E$48=1,E198,D199),IF(Параметры!E$45&lt;&gt;Параметры!D$45,E198,D199),IF(Параметры!E$50&lt;&gt;Параметры!D$50,E198,D199)))</f>
        <v>1</v>
      </c>
      <c r="F199" s="417">
        <f ca="1">IF(F$2=1,1,CHOOSE($B$8,F198,IF(Параметры!F$43=1,F198,E199),IF(Параметры!F$48=1,F198,E199),IF(Параметры!F$45&lt;&gt;Параметры!E$45,F198,E199),IF(Параметры!F$50&lt;&gt;Параметры!E$50,F198,E199)))</f>
        <v>1</v>
      </c>
      <c r="G199" s="417">
        <f ca="1">IF(G$2=1,1,CHOOSE($B$8,G198,IF(Параметры!G$43=1,G198,F199),IF(Параметры!G$48=1,G198,F199),IF(Параметры!G$45&lt;&gt;Параметры!F$45,G198,F199),IF(Параметры!G$50&lt;&gt;Параметры!F$50,G198,F199)))</f>
        <v>1</v>
      </c>
      <c r="H199" s="417">
        <f ca="1">IF(H$2=1,1,CHOOSE($B$8,H198,IF(Параметры!H$43=1,H198,G199),IF(Параметры!H$48=1,H198,G199),IF(Параметры!H$45&lt;&gt;Параметры!G$45,H198,G199),IF(Параметры!H$50&lt;&gt;Параметры!G$50,H198,G199)))</f>
        <v>1</v>
      </c>
      <c r="I199" s="417">
        <f ca="1">IF(I$2=1,1,CHOOSE($B$8,I198,IF(Параметры!I$43=1,I198,H199),IF(Параметры!I$48=1,I198,H199),IF(Параметры!I$45&lt;&gt;Параметры!H$45,I198,H199),IF(Параметры!I$50&lt;&gt;Параметры!H$50,I198,H199)))</f>
        <v>1</v>
      </c>
      <c r="J199" s="417">
        <f ca="1">IF(J$2=1,1,CHOOSE($B$8,J198,IF(Параметры!J$43=1,J198,I199),IF(Параметры!J$48=1,J198,I199),IF(Параметры!J$45&lt;&gt;Параметры!I$45,J198,I199),IF(Параметры!J$50&lt;&gt;Параметры!I$50,J198,I199)))</f>
        <v>1.0160201399352926</v>
      </c>
      <c r="K199" s="417">
        <f ca="1">IF(K$2=1,1,CHOOSE($B$8,K198,IF(Параметры!K$43=1,K198,J199),IF(Параметры!K$48=1,K198,J199),IF(Параметры!K$45&lt;&gt;Параметры!J$45,K198,J199),IF(Параметры!K$50&lt;&gt;Параметры!J$50,K198,J199)))</f>
        <v>1.0322969247541316</v>
      </c>
      <c r="L199" s="417">
        <f ca="1">IF(L$2=1,1,CHOOSE($B$8,L198,IF(Параметры!L$43=1,L198,K199),IF(Параметры!L$48=1,L198,K199),IF(Параметры!L$45&lt;&gt;Параметры!K$45,L198,K199),IF(Параметры!L$50&lt;&gt;Параметры!K$50,L198,K199)))</f>
        <v>1.048834465943465</v>
      </c>
      <c r="M199" s="417">
        <f ca="1">IF(M$2=1,1,CHOOSE($B$8,M198,IF(Параметры!M$43=1,M198,L199),IF(Параметры!M$48=1,M198,L199),IF(Параметры!M$45&lt;&gt;Параметры!L$45,M198,L199),IF(Параметры!M$50&lt;&gt;Параметры!L$50,M198,L199)))</f>
        <v>1.0656369408568371</v>
      </c>
      <c r="N199" s="417">
        <f ca="1">IF(N$2=1,1,CHOOSE($B$8,N198,IF(Параметры!N$43=1,N198,M199),IF(Параметры!N$48=1,N198,M199),IF(Параметры!N$45&lt;&gt;Параметры!M$45,N198,M199),IF(Параметры!N$50&lt;&gt;Параметры!M$50,N198,M199)))</f>
        <v>1.0836034402239334</v>
      </c>
      <c r="O199" s="417">
        <f ca="1">IF(O$2=1,1,CHOOSE($B$8,O198,IF(Параметры!O$43=1,O198,N199),IF(Параметры!O$48=1,O198,N199),IF(Параметры!O$45&lt;&gt;Параметры!N$45,O198,N199),IF(Параметры!O$50&lt;&gt;Параметры!N$50,O198,N199)))</f>
        <v>1.1018728524191532</v>
      </c>
      <c r="P199" s="417">
        <f ca="1">IF(P$2=1,1,CHOOSE($B$8,P198,IF(Параметры!P$43=1,P198,O199),IF(Параметры!P$48=1,P198,O199),IF(Параметры!P$45&lt;&gt;Параметры!O$45,P198,O199),IF(Параметры!P$50&lt;&gt;Параметры!O$50,P198,O199)))</f>
        <v>1.1204502845131377</v>
      </c>
      <c r="Q199" s="417">
        <f ca="1">IF(Q$2=1,1,CHOOSE($B$8,Q198,IF(Параметры!Q$43=1,Q198,P199),IF(Параметры!Q$48=1,Q198,P199),IF(Параметры!Q$45&lt;&gt;Параметры!P$45,Q198,P199),IF(Параметры!Q$50&lt;&gt;Параметры!P$50,Q198,P199)))</f>
        <v>1.1393409296810706</v>
      </c>
      <c r="R199" s="417">
        <f ca="1">IF(R$2=1,1,CHOOSE($B$8,R198,IF(Параметры!R$43=1,R198,Q199),IF(Параметры!R$48=1,R198,Q199),IF(Параметры!R$45&lt;&gt;Параметры!Q$45,R198,Q199),IF(Параметры!R$50&lt;&gt;Параметры!Q$50,R198,Q199)))</f>
        <v>1.1583079153827869</v>
      </c>
      <c r="S199" s="417">
        <f ca="1">IF(S$2=1,1,CHOOSE($B$8,S198,IF(Параметры!S$43=1,S198,R199),IF(Параметры!S$48=1,S198,R199),IF(Параметры!S$45&lt;&gt;Параметры!R$45,S198,R199),IF(Параметры!S$50&lt;&gt;Параметры!R$50,S198,R199)))</f>
        <v>1.1775906507756073</v>
      </c>
      <c r="T199" s="417">
        <f ca="1">IF(T$2=1,1,CHOOSE($B$8,T198,IF(Параметры!T$43=1,T198,S199),IF(Параметры!T$48=1,T198,S199),IF(Параметры!T$45&lt;&gt;Параметры!S$45,T198,S199),IF(Параметры!T$50&lt;&gt;Параметры!S$50,T198,S199)))</f>
        <v>1.197194392249187</v>
      </c>
      <c r="U199" s="417">
        <f ca="1">IF(U$2=1,1,CHOOSE($B$8,U198,IF(Параметры!U$43=1,U198,T199),IF(Параметры!U$48=1,U198,T199),IF(Параметры!U$45&lt;&gt;Параметры!T$45,U198,T199),IF(Параметры!U$50&lt;&gt;Параметры!T$50,U198,T199)))</f>
        <v>1.2171244836980402</v>
      </c>
      <c r="V199" s="417">
        <f ca="1">IF(V$2=1,1,CHOOSE($B$8,V198,IF(Параметры!V$43=1,V198,U199),IF(Параметры!V$48=1,V198,U199),IF(Параметры!V$45&lt;&gt;Параметры!U$45,V198,U199),IF(Параметры!V$50&lt;&gt;Параметры!U$50,V198,U199)))</f>
        <v>1.237769387473094</v>
      </c>
      <c r="W199" s="417">
        <f ca="1">IF(W$2=1,1,CHOOSE($B$8,W198,IF(Параметры!W$43=1,W198,V199),IF(Параметры!W$48=1,W198,V199),IF(Параметры!W$45&lt;&gt;Параметры!V$45,W198,V199),IF(Параметры!W$50&lt;&gt;Параметры!V$50,W198,V199)))</f>
        <v>1.2587644707553303</v>
      </c>
      <c r="X199" s="417">
        <f ca="1">IF(X$2=1,1,CHOOSE($B$8,X198,IF(Параметры!X$43=1,X198,W199),IF(Параметры!X$48=1,X198,W199),IF(Параметры!X$45&lt;&gt;Параметры!W$45,X198,W199),IF(Параметры!X$50&lt;&gt;Параметры!W$50,X198,W199)))</f>
        <v>1.2801156733005643</v>
      </c>
      <c r="Y199" s="417">
        <f ca="1">IF(Y$2=1,1,CHOOSE($B$8,Y198,IF(Параметры!Y$43=1,Y198,X199),IF(Параметры!Y$48=1,Y198,X199),IF(Параметры!Y$45&lt;&gt;Параметры!X$45,Y198,X199),IF(Параметры!Y$50&lt;&gt;Параметры!X$50,Y198,X199)))</f>
        <v>1.3018290356149362</v>
      </c>
      <c r="Z199" s="417">
        <f ca="1">IF(Z$2=1,1,CHOOSE($B$8,Z198,IF(Параметры!Z$43=1,Z198,Y199),IF(Параметры!Z$48=1,Z198,Y199),IF(Параметры!Z$45&lt;&gt;Параметры!Y$45,Z198,Y199),IF(Параметры!Z$50&lt;&gt;Параметры!Y$50,Z198,Y199)))</f>
        <v>1.3236394088073189</v>
      </c>
      <c r="AA199" s="417">
        <f ca="1">IF(AA$2=1,1,CHOOSE($B$8,AA198,IF(Параметры!AA$43=1,AA198,Z199),IF(Параметры!AA$48=1,AA198,Z199),IF(Параметры!AA$45&lt;&gt;Параметры!Z$45,AA198,Z199),IF(Параметры!AA$50&lt;&gt;Параметры!Z$50,AA198,Z199)))</f>
        <v>1.3458151851100773</v>
      </c>
      <c r="AB199" s="417">
        <f ca="1">IF(AB$2=1,1,CHOOSE($B$8,AB198,IF(Параметры!AB$43=1,AB198,AA199),IF(Параметры!AB$48=1,AB198,AA199),IF(Параметры!AB$45&lt;&gt;Параметры!AA$45,AB198,AA199),IF(Параметры!AB$50&lt;&gt;Параметры!AA$50,AB198,AA199)))</f>
        <v>1.3683624863548687</v>
      </c>
      <c r="AC199" s="417">
        <f ca="1">IF(AC$2=1,1,CHOOSE($B$8,AC198,IF(Параметры!AC$43=1,AC198,AB199),IF(Параметры!AC$48=1,AC198,AB199),IF(Параметры!AC$45&lt;&gt;Параметры!AB$45,AC198,AB199),IF(Параметры!AC$50&lt;&gt;Параметры!AB$50,AC198,AB199)))</f>
        <v>1.391287536936306</v>
      </c>
      <c r="AD199" s="417">
        <f ca="1">IF(AD$2=1,1,CHOOSE($B$8,AD198,IF(Параметры!AD$43=1,AD198,AC199),IF(Параметры!AD$48=1,AD198,AC199),IF(Параметры!AD$45&lt;&gt;Параметры!AC$45,AD198,AC199),IF(Параметры!AD$50&lt;&gt;Параметры!AC$50,AD198,AC199)))</f>
        <v>1.4143685987263133</v>
      </c>
      <c r="AE199" s="417">
        <f ca="1">IF(AE$2=1,1,CHOOSE($B$8,AE198,IF(Параметры!AE$43=1,AE198,AD199),IF(Параметры!AE$48=1,AE198,AD199),IF(Параметры!AE$45&lt;&gt;Параметры!AD$45,AE198,AD199),IF(Параметры!AE$50&lt;&gt;Параметры!AD$50,AE198,AD199)))</f>
        <v>1.4378325687212823</v>
      </c>
      <c r="AF199" s="417">
        <f ca="1">IF(AF$2=1,1,CHOOSE($B$8,AF198,IF(Параметры!AF$43=1,AF198,AE199),IF(Параметры!AF$48=1,AF198,AE199),IF(Параметры!AF$45&lt;&gt;Параметры!AE$45,AF198,AE199),IF(Параметры!AF$50&lt;&gt;Параметры!AE$50,AF198,AE199)))</f>
        <v>1.4616857992586734</v>
      </c>
      <c r="AG199" s="417">
        <f ca="1">IF(AG$2=1,1,CHOOSE($B$8,AG198,IF(Параметры!AG$43=1,AG198,AF199),IF(Параметры!AG$48=1,AG198,AF199),IF(Параметры!AG$45&lt;&gt;Параметры!AF$45,AG198,AF199),IF(Параметры!AG$50&lt;&gt;Параметры!AF$50,AG198,AF199)))</f>
        <v>1.4859347480594056</v>
      </c>
      <c r="AH199" s="417">
        <f ca="1">IF(AH$2=1,1,CHOOSE($B$8,AH198,IF(Параметры!AH$43=1,AH198,AG199),IF(Параметры!AH$48=1,AH198,AG199),IF(Параметры!AH$45&lt;&gt;Параметры!AG$45,AH198,AG199),IF(Параметры!AH$50&lt;&gt;Параметры!AG$50,AH198,AG199)))</f>
        <v>1.5104876407734087</v>
      </c>
      <c r="AI199" s="417">
        <f ca="1">IF(AI$2=1,1,CHOOSE($B$8,AI198,IF(Параметры!AI$43=1,AI198,AH199),IF(Параметры!AI$48=1,AI198,AH199),IF(Параметры!AI$45&lt;&gt;Параметры!AH$45,AI198,AH199),IF(Параметры!AI$50&lt;&gt;Параметры!AH$50,AI198,AH199)))</f>
        <v>1.5354462340347694</v>
      </c>
      <c r="AJ199" s="417">
        <f ca="1">IF(AJ$2=1,1,CHOOSE($B$8,AJ198,IF(Параметры!AJ$43=1,AJ198,AI199),IF(Параметры!AJ$48=1,AJ198,AI199),IF(Параметры!AJ$45&lt;&gt;Параметры!AI$45,AJ198,AI199),IF(Параметры!AJ$50&lt;&gt;Параметры!AI$50,AJ198,AI199)))</f>
        <v>1.5608172314501072</v>
      </c>
      <c r="AK199" s="417">
        <f ca="1">IF(AK$2=1,1,CHOOSE($B$8,AK198,IF(Параметры!AK$43=1,AK198,AJ199),IF(Параметры!AK$48=1,AK198,AJ199),IF(Параметры!AK$45&lt;&gt;Параметры!AJ$45,AK198,AJ199),IF(Параметры!AK$50&lt;&gt;Параметры!AJ$50,AK198,AJ199)))</f>
        <v>1.5866074473933107</v>
      </c>
      <c r="AL199" s="417">
        <f ca="1">IF(AL$2=1,1,CHOOSE($B$8,AL198,IF(Параметры!AL$43=1,AL198,AK199),IF(Параметры!AL$48=1,AL198,AK199),IF(Параметры!AL$45&lt;&gt;Параметры!AK$45,AL198,AK199),IF(Параметры!AL$50&lt;&gt;Параметры!AK$50,AL198,AK199)))</f>
        <v>1.6126062036102125</v>
      </c>
      <c r="AM199" s="417">
        <f ca="1">IF(AM$2=1,1,CHOOSE($B$8,AM198,IF(Параметры!AM$43=1,AM198,AL199),IF(Параметры!AM$48=1,AM198,AL199),IF(Параметры!AM$45&lt;&gt;Параметры!AL$45,AM198,AL199),IF(Параметры!AM$50&lt;&gt;Параметры!AL$50,AM198,AL199)))</f>
        <v>1.6390309853862002</v>
      </c>
      <c r="AN199" s="417">
        <f ca="1">IF(AN$2=1,1,CHOOSE($B$8,AN198,IF(Параметры!AN$43=1,AN198,AM199),IF(Параметры!AN$48=1,AN198,AM199),IF(Параметры!AN$45&lt;&gt;Параметры!AM$45,AN198,AM199),IF(Параметры!AN$50&lt;&gt;Параметры!AM$50,AN198,AM199)))</f>
        <v>1.6658887737389612</v>
      </c>
      <c r="AO199" s="417">
        <f ca="1">IF(AO$2=1,1,CHOOSE($B$8,AO198,IF(Параметры!AO$43=1,AO198,AN199),IF(Параметры!AO$48=1,AO198,AN199),IF(Параметры!AO$45&lt;&gt;Параметры!AN$45,AO198,AN199),IF(Параметры!AO$50&lt;&gt;Параметры!AN$50,AO198,AN199)))</f>
        <v>1.6931866640798074</v>
      </c>
      <c r="AP199" s="417">
        <f ca="1">IF(AP$2=1,1,CHOOSE($B$8,AP198,IF(Параметры!AP$43=1,AP198,AO199),IF(Параметры!AP$48=1,AP198,AO199),IF(Параметры!AP$45&lt;&gt;Параметры!AO$45,AP198,AO199),IF(Параметры!AP$50&lt;&gt;Параметры!AO$50,AP198,AO199)))</f>
        <v>1.7207098869823081</v>
      </c>
      <c r="AQ199" s="417">
        <f ca="1">IF(AQ$2=1,1,CHOOSE($B$8,AQ198,IF(Параметры!AQ$43=1,AQ198,AP199),IF(Параметры!AQ$48=1,AQ198,AP199),IF(Параметры!AQ$45&lt;&gt;Параметры!AP$45,AQ198,AP199),IF(Параметры!AQ$50&lt;&gt;Параметры!AP$50,AQ198,AP199)))</f>
        <v>1.7486805075728553</v>
      </c>
      <c r="AR199" s="417">
        <f ca="1">IF(AR$2=1,1,CHOOSE($B$8,AR198,IF(Параметры!AR$43=1,AR198,AQ199),IF(Параметры!AR$48=1,AR198,AQ199),IF(Параметры!AR$45&lt;&gt;Параметры!AQ$45,AR198,AQ199),IF(Параметры!AR$50&lt;&gt;Параметры!AQ$50,AR198,AQ199)))</f>
        <v>1.7771057984260303</v>
      </c>
      <c r="AS199" s="120"/>
      <c r="AT199" s="116"/>
    </row>
    <row r="200" spans="1:46" x14ac:dyDescent="0.2">
      <c r="AS200" s="1"/>
    </row>
    <row r="201" spans="1:46" s="60" customFormat="1" collapsed="1" x14ac:dyDescent="0.2">
      <c r="A201" s="135" t="s">
        <v>213</v>
      </c>
      <c r="B201" s="257"/>
      <c r="C201" s="224" t="str">
        <f>Параметры!$B$64</f>
        <v>тыс. руб.</v>
      </c>
      <c r="D201" s="169"/>
      <c r="E201" s="85">
        <f t="shared" ref="E201:AR201" si="72">E202+E207</f>
        <v>0</v>
      </c>
      <c r="F201" s="85">
        <f t="shared" ca="1" si="72"/>
        <v>0</v>
      </c>
      <c r="G201" s="85">
        <f t="shared" ca="1" si="72"/>
        <v>0</v>
      </c>
      <c r="H201" s="85">
        <f t="shared" ca="1" si="72"/>
        <v>0</v>
      </c>
      <c r="I201" s="85">
        <f t="shared" ca="1" si="72"/>
        <v>0</v>
      </c>
      <c r="J201" s="85">
        <f t="shared" ca="1" si="72"/>
        <v>0</v>
      </c>
      <c r="K201" s="85">
        <f t="shared" ca="1" si="72"/>
        <v>1880.7107983018095</v>
      </c>
      <c r="L201" s="85">
        <f t="shared" ca="1" si="72"/>
        <v>1910.8400484684203</v>
      </c>
      <c r="M201" s="85">
        <f t="shared" ca="1" si="72"/>
        <v>1941.4519734388462</v>
      </c>
      <c r="N201" s="85">
        <f t="shared" ca="1" si="72"/>
        <v>1974.1845996407778</v>
      </c>
      <c r="O201" s="85">
        <f t="shared" ca="1" si="72"/>
        <v>2007.4690936368825</v>
      </c>
      <c r="P201" s="85">
        <f t="shared" ca="1" si="72"/>
        <v>3061.9721397689254</v>
      </c>
      <c r="Q201" s="85">
        <f t="shared" ca="1" si="72"/>
        <v>3113.5965893370776</v>
      </c>
      <c r="R201" s="85">
        <f t="shared" ca="1" si="72"/>
        <v>3165.4296626976566</v>
      </c>
      <c r="S201" s="85">
        <f t="shared" ca="1" si="72"/>
        <v>3218.1256183928331</v>
      </c>
      <c r="T201" s="85">
        <f t="shared" ca="1" si="72"/>
        <v>3271.6988211105395</v>
      </c>
      <c r="U201" s="85">
        <f t="shared" ca="1" si="72"/>
        <v>3326.163874672422</v>
      </c>
      <c r="V201" s="85">
        <f t="shared" ca="1" si="72"/>
        <v>3382.5823709334081</v>
      </c>
      <c r="W201" s="85">
        <f t="shared" ca="1" si="72"/>
        <v>3439.9578395025201</v>
      </c>
      <c r="X201" s="85">
        <f t="shared" ca="1" si="72"/>
        <v>3498.3065125741487</v>
      </c>
      <c r="Y201" s="85">
        <f t="shared" ca="1" si="72"/>
        <v>3557.644897673676</v>
      </c>
      <c r="Z201" s="85">
        <f t="shared" ca="1" si="72"/>
        <v>3617.2483945856848</v>
      </c>
      <c r="AA201" s="85">
        <f t="shared" ca="1" si="72"/>
        <v>3677.8504669447443</v>
      </c>
      <c r="AB201" s="85">
        <f t="shared" ca="1" si="72"/>
        <v>3739.4678445230174</v>
      </c>
      <c r="AC201" s="85">
        <f t="shared" ca="1" si="72"/>
        <v>3802.1175373772221</v>
      </c>
      <c r="AD201" s="85">
        <f t="shared" ca="1" si="72"/>
        <v>3865.1935784422626</v>
      </c>
      <c r="AE201" s="85">
        <f t="shared" ca="1" si="72"/>
        <v>3929.3160329643633</v>
      </c>
      <c r="AF201" s="85">
        <f t="shared" ca="1" si="72"/>
        <v>3994.5022606430989</v>
      </c>
      <c r="AG201" s="85">
        <f t="shared" ca="1" si="72"/>
        <v>4060.769909170484</v>
      </c>
      <c r="AH201" s="85">
        <f t="shared" ca="1" si="72"/>
        <v>4127.868177143775</v>
      </c>
      <c r="AI201" s="85">
        <f t="shared" ca="1" si="72"/>
        <v>4196.0751456013877</v>
      </c>
      <c r="AJ201" s="85">
        <f t="shared" ca="1" si="72"/>
        <v>4265.4091341930098</v>
      </c>
      <c r="AK201" s="85">
        <f t="shared" ca="1" si="72"/>
        <v>4335.8887652736767</v>
      </c>
      <c r="AL201" s="85">
        <f t="shared" ca="1" si="72"/>
        <v>4406.9382962570071</v>
      </c>
      <c r="AM201" s="85">
        <f t="shared" ca="1" si="72"/>
        <v>4479.1520720183353</v>
      </c>
      <c r="AN201" s="85">
        <f t="shared" ca="1" si="72"/>
        <v>4552.5491703177031</v>
      </c>
      <c r="AO201" s="85">
        <f t="shared" ca="1" si="72"/>
        <v>4627.1489815306177</v>
      </c>
      <c r="AP201" s="85">
        <f t="shared" ca="1" si="72"/>
        <v>4702.3645826946859</v>
      </c>
      <c r="AQ201" s="85">
        <f t="shared" ca="1" si="72"/>
        <v>4778.8028344976374</v>
      </c>
      <c r="AR201" s="85">
        <f t="shared" ca="1" si="72"/>
        <v>4856.4836114676473</v>
      </c>
      <c r="AS201" s="142"/>
      <c r="AT201" s="137">
        <f t="shared" ref="AT201:AT207" ca="1" si="73">SUM(E201:AS201)</f>
        <v>122765.28163579627</v>
      </c>
    </row>
    <row r="202" spans="1:46" outlineLevel="1" x14ac:dyDescent="0.2">
      <c r="A202" s="106" t="s">
        <v>75</v>
      </c>
      <c r="B202" s="26"/>
      <c r="C202" s="266" t="str">
        <f>Параметры!$B$64</f>
        <v>тыс. руб.</v>
      </c>
      <c r="D202" s="165"/>
      <c r="E202" s="82">
        <f>SUM(E$176*CHOOSE($C$173,1,Параметры!E$109,Параметры!E$118))</f>
        <v>0</v>
      </c>
      <c r="F202" s="82">
        <f ca="1">SUM(F$176*CHOOSE($C$173,1,Параметры!F$109,Параметры!F$118))</f>
        <v>0</v>
      </c>
      <c r="G202" s="82">
        <f ca="1">SUM(G$176*CHOOSE($C$173,1,Параметры!G$109,Параметры!G$118))</f>
        <v>0</v>
      </c>
      <c r="H202" s="82">
        <f ca="1">SUM(H$176*CHOOSE($C$173,1,Параметры!H$109,Параметры!H$118))</f>
        <v>0</v>
      </c>
      <c r="I202" s="82">
        <f ca="1">SUM(I$176*CHOOSE($C$173,1,Параметры!I$109,Параметры!I$118))</f>
        <v>0</v>
      </c>
      <c r="J202" s="82">
        <f ca="1">SUM(J$176*CHOOSE($C$173,1,Параметры!J$109,Параметры!J$118))</f>
        <v>0</v>
      </c>
      <c r="K202" s="82">
        <f ca="1">SUM(K$176*CHOOSE($C$173,1,Параметры!K$109,Параметры!K$118))</f>
        <v>1440.0542100320135</v>
      </c>
      <c r="L202" s="82">
        <f ca="1">SUM(L$176*CHOOSE($C$173,1,Параметры!L$109,Параметры!L$118))</f>
        <v>1463.1240799911334</v>
      </c>
      <c r="M202" s="82">
        <f ca="1">SUM(M$176*CHOOSE($C$173,1,Параметры!M$109,Параметры!M$118))</f>
        <v>1486.563532495288</v>
      </c>
      <c r="N202" s="82">
        <f ca="1">SUM(N$176*CHOOSE($C$173,1,Параметры!N$109,Параметры!N$118))</f>
        <v>1511.6267991123873</v>
      </c>
      <c r="O202" s="82">
        <f ca="1">SUM(O$176*CHOOSE($C$173,1,Параметры!O$109,Параметры!O$118))</f>
        <v>1537.1126291247185</v>
      </c>
      <c r="P202" s="82">
        <f ca="1">SUM(P$176*CHOOSE($C$173,1,Параметры!P$109,Параметры!P$118))</f>
        <v>2344.5422203437406</v>
      </c>
      <c r="Q202" s="82">
        <f ca="1">SUM(Q$176*CHOOSE($C$173,1,Параметры!Q$109,Параметры!Q$118))</f>
        <v>2384.07089535764</v>
      </c>
      <c r="R202" s="82">
        <f ca="1">SUM(R$176*CHOOSE($C$173,1,Параметры!R$109,Параметры!R$118))</f>
        <v>2423.7593129384813</v>
      </c>
      <c r="S202" s="82">
        <f ca="1">SUM(S$176*CHOOSE($C$173,1,Параметры!S$109,Параметры!S$118))</f>
        <v>2464.108436747958</v>
      </c>
      <c r="T202" s="82">
        <f ca="1">SUM(T$176*CHOOSE($C$173,1,Параметры!T$109,Параметры!T$118))</f>
        <v>2505.1292657814238</v>
      </c>
      <c r="U202" s="82">
        <f ca="1">SUM(U$176*CHOOSE($C$173,1,Параметры!U$109,Параметры!U$118))</f>
        <v>2546.8329821381485</v>
      </c>
      <c r="V202" s="82">
        <f ca="1">SUM(V$176*CHOOSE($C$173,1,Параметры!V$109,Параметры!V$118))</f>
        <v>2590.032443287449</v>
      </c>
      <c r="W202" s="82">
        <f ca="1">SUM(W$176*CHOOSE($C$173,1,Параметры!W$109,Параметры!W$118))</f>
        <v>2633.9646550555285</v>
      </c>
      <c r="X202" s="82">
        <f ca="1">SUM(X$176*CHOOSE($C$173,1,Параметры!X$109,Параметры!X$118))</f>
        <v>2678.6420463814306</v>
      </c>
      <c r="Y202" s="82">
        <f ca="1">SUM(Y$176*CHOOSE($C$173,1,Параметры!Y$109,Параметры!Y$118))</f>
        <v>2724.0772570242543</v>
      </c>
      <c r="Z202" s="82">
        <f ca="1">SUM(Z$176*CHOOSE($C$173,1,Параметры!Z$109,Параметры!Z$118))</f>
        <v>2769.7154629293145</v>
      </c>
      <c r="AA202" s="82">
        <f ca="1">SUM(AA$176*CHOOSE($C$173,1,Параметры!AA$109,Параметры!AA$118))</f>
        <v>2816.1182748428364</v>
      </c>
      <c r="AB202" s="82">
        <f ca="1">SUM(AB$176*CHOOSE($C$173,1,Параметры!AB$109,Параметры!AB$118))</f>
        <v>2863.298502697563</v>
      </c>
      <c r="AC202" s="82">
        <f ca="1">SUM(AC$176*CHOOSE($C$173,1,Параметры!AC$109,Параметры!AC$118))</f>
        <v>2911.2691710392205</v>
      </c>
      <c r="AD202" s="82">
        <f ca="1">SUM(AD$176*CHOOSE($C$173,1,Параметры!AD$109,Параметры!AD$118))</f>
        <v>2959.5662928348106</v>
      </c>
      <c r="AE202" s="82">
        <f ca="1">SUM(AE$176*CHOOSE($C$173,1,Параметры!AE$109,Параметры!AE$118))</f>
        <v>3008.664650049283</v>
      </c>
      <c r="AF202" s="82">
        <f ca="1">SUM(AF$176*CHOOSE($C$173,1,Параметры!AF$109,Параметры!AF$118))</f>
        <v>3058.577534948774</v>
      </c>
      <c r="AG202" s="82">
        <f ca="1">SUM(AG$176*CHOOSE($C$173,1,Параметры!AG$109,Параметры!AG$118))</f>
        <v>3109.3184603143063</v>
      </c>
      <c r="AH202" s="82">
        <f ca="1">SUM(AH$176*CHOOSE($C$173,1,Параметры!AH$109,Параметры!AH$118))</f>
        <v>3160.6953883183578</v>
      </c>
      <c r="AI202" s="82">
        <f ca="1">SUM(AI$176*CHOOSE($C$173,1,Параметры!AI$109,Параметры!AI$118))</f>
        <v>3212.9212447177547</v>
      </c>
      <c r="AJ202" s="82">
        <f ca="1">SUM(AJ$176*CHOOSE($C$173,1,Параметры!AJ$109,Параметры!AJ$118))</f>
        <v>3266.010056809349</v>
      </c>
      <c r="AK202" s="82">
        <f ca="1">SUM(AK$176*CHOOSE($C$173,1,Параметры!AK$109,Параметры!AK$118))</f>
        <v>3319.9760836705027</v>
      </c>
      <c r="AL202" s="82">
        <f ca="1">SUM(AL$176*CHOOSE($C$173,1,Параметры!AL$109,Параметры!AL$118))</f>
        <v>3374.3784810543698</v>
      </c>
      <c r="AM202" s="82">
        <f ca="1">SUM(AM$176*CHOOSE($C$173,1,Параметры!AM$109,Параметры!AM$118))</f>
        <v>3429.6723369206243</v>
      </c>
      <c r="AN202" s="82">
        <f ca="1">SUM(AN$176*CHOOSE($C$173,1,Параметры!AN$109,Параметры!AN$118))</f>
        <v>3485.8722590487769</v>
      </c>
      <c r="AO202" s="82">
        <f ca="1">SUM(AO$176*CHOOSE($C$173,1,Параметры!AO$109,Параметры!AO$118))</f>
        <v>3542.9930945869969</v>
      </c>
      <c r="AP202" s="82">
        <f ca="1">SUM(AP$176*CHOOSE($C$173,1,Параметры!AP$109,Параметры!AP$118))</f>
        <v>3600.5854385104794</v>
      </c>
      <c r="AQ202" s="82">
        <f ca="1">SUM(AQ$176*CHOOSE($C$173,1,Параметры!AQ$109,Параметры!AQ$118))</f>
        <v>3659.1139620961999</v>
      </c>
      <c r="AR202" s="82">
        <f ca="1">SUM(AR$176*CHOOSE($C$173,1,Параметры!AR$109,Параметры!AR$118))</f>
        <v>3718.5938832064685</v>
      </c>
      <c r="AS202" s="90"/>
      <c r="AT202" s="84">
        <f t="shared" ca="1" si="73"/>
        <v>94000.981344407628</v>
      </c>
    </row>
    <row r="203" spans="1:46" outlineLevel="1" x14ac:dyDescent="0.2">
      <c r="A203" s="134" t="s">
        <v>483</v>
      </c>
      <c r="B203" s="26"/>
      <c r="C203" s="266" t="str">
        <f>Параметры!$B$64</f>
        <v>тыс. руб.</v>
      </c>
      <c r="E203" s="82">
        <f>SUM(E$177*CHOOSE($C$173,1,Параметры!E$109,Параметры!E$118))</f>
        <v>0</v>
      </c>
      <c r="F203" s="82">
        <f ca="1">SUM(F$177*CHOOSE($C$173,1,Параметры!F$109,Параметры!F$118))</f>
        <v>0</v>
      </c>
      <c r="G203" s="82">
        <f ca="1">SUM(G$177*CHOOSE($C$173,1,Параметры!G$109,Параметры!G$118))</f>
        <v>0</v>
      </c>
      <c r="H203" s="82">
        <f ca="1">SUM(H$177*CHOOSE($C$173,1,Параметры!H$109,Параметры!H$118))</f>
        <v>0</v>
      </c>
      <c r="I203" s="82">
        <f ca="1">SUM(I$177*CHOOSE($C$173,1,Параметры!I$109,Параметры!I$118))</f>
        <v>0</v>
      </c>
      <c r="J203" s="82">
        <f ca="1">SUM(J$177*CHOOSE($C$173,1,Параметры!J$109,Параметры!J$118))</f>
        <v>0</v>
      </c>
      <c r="K203" s="82">
        <f ca="1">SUM(K$177*CHOOSE($C$173,1,Параметры!K$109,Параметры!K$118))</f>
        <v>316.81192620704297</v>
      </c>
      <c r="L203" s="82">
        <f ca="1">SUM(L$177*CHOOSE($C$173,1,Параметры!L$109,Параметры!L$118))</f>
        <v>321.88729759804937</v>
      </c>
      <c r="M203" s="82">
        <f ca="1">SUM(M$177*CHOOSE($C$173,1,Параметры!M$109,Параметры!M$118))</f>
        <v>327.04397714896334</v>
      </c>
      <c r="N203" s="82">
        <f ca="1">SUM(N$177*CHOOSE($C$173,1,Параметры!N$109,Параметры!N$118))</f>
        <v>332.55789580472521</v>
      </c>
      <c r="O203" s="82">
        <f ca="1">SUM(O$177*CHOOSE($C$173,1,Параметры!O$109,Параметры!O$118))</f>
        <v>338.16477840743806</v>
      </c>
      <c r="P203" s="82">
        <f ca="1">SUM(P$177*CHOOSE($C$173,1,Параметры!P$109,Параметры!P$118))</f>
        <v>515.79928847562292</v>
      </c>
      <c r="Q203" s="82">
        <f ca="1">SUM(Q$177*CHOOSE($C$173,1,Параметры!Q$109,Параметры!Q$118))</f>
        <v>524.49559697868085</v>
      </c>
      <c r="R203" s="82">
        <f ca="1">SUM(R$177*CHOOSE($C$173,1,Параметры!R$109,Параметры!R$118))</f>
        <v>533.22704884646589</v>
      </c>
      <c r="S203" s="82">
        <f ca="1">SUM(S$177*CHOOSE($C$173,1,Параметры!S$109,Параметры!S$118))</f>
        <v>542.10385608455078</v>
      </c>
      <c r="T203" s="82">
        <f ca="1">SUM(T$177*CHOOSE($C$173,1,Параметры!T$109,Параметры!T$118))</f>
        <v>551.12843847191323</v>
      </c>
      <c r="U203" s="82">
        <f ca="1">SUM(U$177*CHOOSE($C$173,1,Параметры!U$109,Параметры!U$118))</f>
        <v>560.30325607039265</v>
      </c>
      <c r="V203" s="82">
        <f ca="1">SUM(V$177*CHOOSE($C$173,1,Параметры!V$109,Параметры!V$118))</f>
        <v>569.80713752323879</v>
      </c>
      <c r="W203" s="82">
        <f ca="1">SUM(W$177*CHOOSE($C$173,1,Параметры!W$109,Параметры!W$118))</f>
        <v>579.47222411221628</v>
      </c>
      <c r="X203" s="82">
        <f ca="1">SUM(X$177*CHOOSE($C$173,1,Параметры!X$109,Параметры!X$118))</f>
        <v>589.30125020391472</v>
      </c>
      <c r="Y203" s="82">
        <f ca="1">SUM(Y$177*CHOOSE($C$173,1,Параметры!Y$109,Параметры!Y$118))</f>
        <v>599.2969965453359</v>
      </c>
      <c r="Z203" s="82">
        <f ca="1">SUM(Z$177*CHOOSE($C$173,1,Параметры!Z$109,Параметры!Z$118))</f>
        <v>609.33740184444923</v>
      </c>
      <c r="AA203" s="82">
        <f ca="1">SUM(AA$177*CHOOSE($C$173,1,Параметры!AA$109,Параметры!AA$118))</f>
        <v>619.54602046542402</v>
      </c>
      <c r="AB203" s="82">
        <f ca="1">SUM(AB$177*CHOOSE($C$173,1,Параметры!AB$109,Параметры!AB$118))</f>
        <v>629.92567059346391</v>
      </c>
      <c r="AC203" s="82">
        <f ca="1">SUM(AC$177*CHOOSE($C$173,1,Параметры!AC$109,Параметры!AC$118))</f>
        <v>640.47921762862848</v>
      </c>
      <c r="AD203" s="82">
        <f ca="1">SUM(AD$177*CHOOSE($C$173,1,Параметры!AD$109,Параметры!AD$118))</f>
        <v>651.10458442365837</v>
      </c>
      <c r="AE203" s="82">
        <f ca="1">SUM(AE$177*CHOOSE($C$173,1,Параметры!AE$109,Параметры!AE$118))</f>
        <v>661.90622301084227</v>
      </c>
      <c r="AF203" s="82">
        <f ca="1">SUM(AF$177*CHOOSE($C$173,1,Параметры!AF$109,Параметры!AF$118))</f>
        <v>672.88705768873024</v>
      </c>
      <c r="AG203" s="82">
        <f ca="1">SUM(AG$177*CHOOSE($C$173,1,Параметры!AG$109,Параметры!AG$118))</f>
        <v>684.05006126914736</v>
      </c>
      <c r="AH203" s="82">
        <f ca="1">SUM(AH$177*CHOOSE($C$173,1,Параметры!AH$109,Параметры!AH$118))</f>
        <v>695.35298543003876</v>
      </c>
      <c r="AI203" s="82">
        <f ca="1">SUM(AI$177*CHOOSE($C$173,1,Параметры!AI$109,Параметры!AI$118))</f>
        <v>706.84267383790609</v>
      </c>
      <c r="AJ203" s="82">
        <f ca="1">SUM(AJ$177*CHOOSE($C$173,1,Параметры!AJ$109,Параметры!AJ$118))</f>
        <v>718.52221249805677</v>
      </c>
      <c r="AK203" s="82">
        <f ca="1">SUM(AK$177*CHOOSE($C$173,1,Параметры!AK$109,Параметры!AK$118))</f>
        <v>730.39473840751054</v>
      </c>
      <c r="AL203" s="82">
        <f ca="1">SUM(AL$177*CHOOSE($C$173,1,Параметры!AL$109,Параметры!AL$118))</f>
        <v>742.36326583196137</v>
      </c>
      <c r="AM203" s="82">
        <f ca="1">SUM(AM$177*CHOOSE($C$173,1,Параметры!AM$109,Параметры!AM$118))</f>
        <v>754.52791412253737</v>
      </c>
      <c r="AN203" s="82">
        <f ca="1">SUM(AN$177*CHOOSE($C$173,1,Параметры!AN$109,Параметры!AN$118))</f>
        <v>766.89189699073097</v>
      </c>
      <c r="AO203" s="82">
        <f ca="1">SUM(AO$177*CHOOSE($C$173,1,Параметры!AO$109,Параметры!AO$118))</f>
        <v>779.45848080913936</v>
      </c>
      <c r="AP203" s="82">
        <f ca="1">SUM(AP$177*CHOOSE($C$173,1,Параметры!AP$109,Параметры!AP$118))</f>
        <v>792.12879647230545</v>
      </c>
      <c r="AQ203" s="82">
        <f ca="1">SUM(AQ$177*CHOOSE($C$173,1,Параметры!AQ$109,Параметры!AQ$118))</f>
        <v>805.00507166116392</v>
      </c>
      <c r="AR203" s="82">
        <f ca="1">SUM(AR$177*CHOOSE($C$173,1,Параметры!AR$109,Параметры!AR$118))</f>
        <v>818.09065430542307</v>
      </c>
      <c r="AS203" s="90"/>
      <c r="AT203" s="84">
        <f t="shared" ca="1" si="73"/>
        <v>20680.215895769667</v>
      </c>
    </row>
    <row r="204" spans="1:46" outlineLevel="1" x14ac:dyDescent="0.2">
      <c r="A204" s="134" t="s">
        <v>484</v>
      </c>
      <c r="B204" s="26"/>
      <c r="C204" s="266" t="str">
        <f>Параметры!$B$64</f>
        <v>тыс. руб.</v>
      </c>
      <c r="E204" s="82">
        <f>SUM(E$178*CHOOSE($C$173,1,Параметры!E$109,Параметры!E$118))</f>
        <v>0</v>
      </c>
      <c r="F204" s="82">
        <f ca="1">SUM(F$178*CHOOSE($C$173,1,Параметры!F$109,Параметры!F$118))</f>
        <v>0</v>
      </c>
      <c r="G204" s="82">
        <f ca="1">SUM(G$178*CHOOSE($C$173,1,Параметры!G$109,Параметры!G$118))</f>
        <v>0</v>
      </c>
      <c r="H204" s="82">
        <f ca="1">SUM(H$178*CHOOSE($C$173,1,Параметры!H$109,Параметры!H$118))</f>
        <v>0</v>
      </c>
      <c r="I204" s="82">
        <f ca="1">SUM(I$178*CHOOSE($C$173,1,Параметры!I$109,Параметры!I$118))</f>
        <v>0</v>
      </c>
      <c r="J204" s="82">
        <f ca="1">SUM(J$178*CHOOSE($C$173,1,Параметры!J$109,Параметры!J$118))</f>
        <v>0</v>
      </c>
      <c r="K204" s="82">
        <f ca="1">SUM(K$178*CHOOSE($C$173,1,Параметры!K$109,Параметры!K$118))</f>
        <v>50.401897351120482</v>
      </c>
      <c r="L204" s="82">
        <f ca="1">SUM(L$178*CHOOSE($C$173,1,Параметры!L$109,Параметры!L$118))</f>
        <v>51.209342799689672</v>
      </c>
      <c r="M204" s="82">
        <f ca="1">SUM(M$178*CHOOSE($C$173,1,Параметры!M$109,Параметры!M$118))</f>
        <v>52.029723637335081</v>
      </c>
      <c r="N204" s="82">
        <f ca="1">SUM(N$178*CHOOSE($C$173,1,Параметры!N$109,Параметры!N$118))</f>
        <v>52.906937968933562</v>
      </c>
      <c r="O204" s="82">
        <f ca="1">SUM(O$178*CHOOSE($C$173,1,Параметры!O$109,Параметры!O$118))</f>
        <v>53.798942019365157</v>
      </c>
      <c r="P204" s="82">
        <f ca="1">SUM(P$178*CHOOSE($C$173,1,Параметры!P$109,Параметры!P$118))</f>
        <v>82.058977712030924</v>
      </c>
      <c r="Q204" s="82">
        <f ca="1">SUM(Q$178*CHOOSE($C$173,1,Параметры!Q$109,Параметры!Q$118))</f>
        <v>83.442481337517407</v>
      </c>
      <c r="R204" s="82">
        <f ca="1">SUM(R$178*CHOOSE($C$173,1,Параметры!R$109,Параметры!R$118))</f>
        <v>84.831575952846862</v>
      </c>
      <c r="S204" s="82">
        <f ca="1">SUM(S$178*CHOOSE($C$173,1,Параметры!S$109,Параметры!S$118))</f>
        <v>86.243795286178539</v>
      </c>
      <c r="T204" s="82">
        <f ca="1">SUM(T$178*CHOOSE($C$173,1,Параметры!T$109,Параметры!T$118))</f>
        <v>87.679524302349847</v>
      </c>
      <c r="U204" s="82">
        <f ca="1">SUM(U$178*CHOOSE($C$173,1,Параметры!U$109,Параметры!U$118))</f>
        <v>89.139154374835201</v>
      </c>
      <c r="V204" s="82">
        <f ca="1">SUM(V$178*CHOOSE($C$173,1,Параметры!V$109,Параметры!V$118))</f>
        <v>90.65113551506073</v>
      </c>
      <c r="W204" s="82">
        <f ca="1">SUM(W$178*CHOOSE($C$173,1,Параметры!W$109,Параметры!W$118))</f>
        <v>92.188762926943511</v>
      </c>
      <c r="X204" s="82">
        <f ca="1">SUM(X$178*CHOOSE($C$173,1,Параметры!X$109,Параметры!X$118))</f>
        <v>93.752471623350075</v>
      </c>
      <c r="Y204" s="82">
        <f ca="1">SUM(Y$178*CHOOSE($C$173,1,Параметры!Y$109,Параметры!Y$118))</f>
        <v>95.342703995848908</v>
      </c>
      <c r="Z204" s="82">
        <f ca="1">SUM(Z$178*CHOOSE($C$173,1,Параметры!Z$109,Параметры!Z$118))</f>
        <v>96.940041202526018</v>
      </c>
      <c r="AA204" s="82">
        <f ca="1">SUM(AA$178*CHOOSE($C$173,1,Параметры!AA$109,Параметры!AA$118))</f>
        <v>98.564139619499286</v>
      </c>
      <c r="AB204" s="82">
        <f ca="1">SUM(AB$178*CHOOSE($C$173,1,Параметры!AB$109,Параметры!AB$118))</f>
        <v>100.21544759441471</v>
      </c>
      <c r="AC204" s="82">
        <f ca="1">SUM(AC$178*CHOOSE($C$173,1,Параметры!AC$109,Параметры!AC$118))</f>
        <v>101.89442098637272</v>
      </c>
      <c r="AD204" s="82">
        <f ca="1">SUM(AD$178*CHOOSE($C$173,1,Параметры!AD$109,Параметры!AD$118))</f>
        <v>103.58482024921838</v>
      </c>
      <c r="AE204" s="82">
        <f ca="1">SUM(AE$178*CHOOSE($C$173,1,Параметры!AE$109,Параметры!AE$118))</f>
        <v>105.30326275172492</v>
      </c>
      <c r="AF204" s="82">
        <f ca="1">SUM(AF$178*CHOOSE($C$173,1,Параметры!AF$109,Параметры!AF$118))</f>
        <v>107.05021372320709</v>
      </c>
      <c r="AG204" s="82">
        <f ca="1">SUM(AG$178*CHOOSE($C$173,1,Параметры!AG$109,Параметры!AG$118))</f>
        <v>108.82614611100072</v>
      </c>
      <c r="AH204" s="82">
        <f ca="1">SUM(AH$178*CHOOSE($C$173,1,Параметры!AH$109,Параметры!AH$118))</f>
        <v>110.62433859114253</v>
      </c>
      <c r="AI204" s="82">
        <f ca="1">SUM(AI$178*CHOOSE($C$173,1,Параметры!AI$109,Параметры!AI$118))</f>
        <v>112.45224356512142</v>
      </c>
      <c r="AJ204" s="82">
        <f ca="1">SUM(AJ$178*CHOOSE($C$173,1,Параметры!AJ$109,Параметры!AJ$118))</f>
        <v>114.31035198832723</v>
      </c>
      <c r="AK204" s="82">
        <f ca="1">SUM(AK$178*CHOOSE($C$173,1,Параметры!AK$109,Параметры!AK$118))</f>
        <v>116.1991629284676</v>
      </c>
      <c r="AL204" s="82">
        <f ca="1">SUM(AL$178*CHOOSE($C$173,1,Параметры!AL$109,Параметры!AL$118))</f>
        <v>118.10324683690295</v>
      </c>
      <c r="AM204" s="82">
        <f ca="1">SUM(AM$178*CHOOSE($C$173,1,Параметры!AM$109,Параметры!AM$118))</f>
        <v>120.03853179222186</v>
      </c>
      <c r="AN204" s="82">
        <f ca="1">SUM(AN$178*CHOOSE($C$173,1,Параметры!AN$109,Параметры!AN$118))</f>
        <v>122.0055290667072</v>
      </c>
      <c r="AO204" s="82">
        <f ca="1">SUM(AO$178*CHOOSE($C$173,1,Параметры!AO$109,Параметры!AO$118))</f>
        <v>124.0047583105449</v>
      </c>
      <c r="AP204" s="82">
        <f ca="1">SUM(AP$178*CHOOSE($C$173,1,Параметры!AP$109,Параметры!AP$118))</f>
        <v>126.0204903478668</v>
      </c>
      <c r="AQ204" s="82">
        <f ca="1">SUM(AQ$178*CHOOSE($C$173,1,Параметры!AQ$109,Параметры!AQ$118))</f>
        <v>128.06898867336702</v>
      </c>
      <c r="AR204" s="82">
        <f ca="1">SUM(AR$178*CHOOSE($C$173,1,Параметры!AR$109,Параметры!AR$118))</f>
        <v>130.15078591222641</v>
      </c>
      <c r="AS204" s="90"/>
      <c r="AT204" s="84">
        <f t="shared" ca="1" si="73"/>
        <v>3290.0343470542657</v>
      </c>
    </row>
    <row r="205" spans="1:46" outlineLevel="1" x14ac:dyDescent="0.2">
      <c r="A205" s="134" t="s">
        <v>485</v>
      </c>
      <c r="B205" s="26"/>
      <c r="C205" s="266" t="str">
        <f>Параметры!$B$64</f>
        <v>тыс. руб.</v>
      </c>
      <c r="E205" s="82">
        <f>SUM(E$179*CHOOSE($C$173,1,Параметры!E$109,Параметры!E$118))</f>
        <v>0</v>
      </c>
      <c r="F205" s="82">
        <f ca="1">SUM(F$179*CHOOSE($C$173,1,Параметры!F$109,Параметры!F$118))</f>
        <v>0</v>
      </c>
      <c r="G205" s="82">
        <f ca="1">SUM(G$179*CHOOSE($C$173,1,Параметры!G$109,Параметры!G$118))</f>
        <v>0</v>
      </c>
      <c r="H205" s="82">
        <f ca="1">SUM(H$179*CHOOSE($C$173,1,Параметры!H$109,Параметры!H$118))</f>
        <v>0</v>
      </c>
      <c r="I205" s="82">
        <f ca="1">SUM(I$179*CHOOSE($C$173,1,Параметры!I$109,Параметры!I$118))</f>
        <v>0</v>
      </c>
      <c r="J205" s="82">
        <f ca="1">SUM(J$179*CHOOSE($C$173,1,Параметры!J$109,Параметры!J$118))</f>
        <v>0</v>
      </c>
      <c r="K205" s="82">
        <f ca="1">SUM(K$179*CHOOSE($C$173,1,Параметры!K$109,Параметры!K$118))</f>
        <v>73.442764711632691</v>
      </c>
      <c r="L205" s="82">
        <f ca="1">SUM(L$179*CHOOSE($C$173,1,Параметры!L$109,Параметры!L$118))</f>
        <v>74.619328079547799</v>
      </c>
      <c r="M205" s="82">
        <f ca="1">SUM(M$179*CHOOSE($C$173,1,Параметры!M$109,Параметры!M$118))</f>
        <v>75.814740157259678</v>
      </c>
      <c r="N205" s="82">
        <f ca="1">SUM(N$179*CHOOSE($C$173,1,Параметры!N$109,Параметры!N$118))</f>
        <v>77.092966754731748</v>
      </c>
      <c r="O205" s="82">
        <f ca="1">SUM(O$179*CHOOSE($C$173,1,Параметры!O$109,Параметры!O$118))</f>
        <v>78.392744085360633</v>
      </c>
      <c r="P205" s="82">
        <f ca="1">SUM(P$179*CHOOSE($C$173,1,Параметры!P$109,Параметры!P$118))</f>
        <v>119.57165323753077</v>
      </c>
      <c r="Q205" s="82">
        <f ca="1">SUM(Q$179*CHOOSE($C$173,1,Параметры!Q$109,Параметры!Q$118))</f>
        <v>121.58761566323963</v>
      </c>
      <c r="R205" s="82">
        <f ca="1">SUM(R$179*CHOOSE($C$173,1,Параметры!R$109,Параметры!R$118))</f>
        <v>123.61172495986254</v>
      </c>
      <c r="S205" s="82">
        <f ca="1">SUM(S$179*CHOOSE($C$173,1,Параметры!S$109,Параметры!S$118))</f>
        <v>125.66953027414584</v>
      </c>
      <c r="T205" s="82">
        <f ca="1">SUM(T$179*CHOOSE($C$173,1,Параметры!T$109,Параметры!T$118))</f>
        <v>127.7615925548526</v>
      </c>
      <c r="U205" s="82">
        <f ca="1">SUM(U$179*CHOOSE($C$173,1,Параметры!U$109,Параметры!U$118))</f>
        <v>129.88848208904557</v>
      </c>
      <c r="V205" s="82">
        <f ca="1">SUM(V$179*CHOOSE($C$173,1,Параметры!V$109,Параметры!V$118))</f>
        <v>132.0916546076599</v>
      </c>
      <c r="W205" s="82">
        <f ca="1">SUM(W$179*CHOOSE($C$173,1,Параметры!W$109,Параметры!W$118))</f>
        <v>134.33219740783196</v>
      </c>
      <c r="X205" s="82">
        <f ca="1">SUM(X$179*CHOOSE($C$173,1,Параметры!X$109,Параметры!X$118))</f>
        <v>136.61074436545294</v>
      </c>
      <c r="Y205" s="82">
        <f ca="1">SUM(Y$179*CHOOSE($C$173,1,Параметры!Y$109,Параметры!Y$118))</f>
        <v>138.92794010823695</v>
      </c>
      <c r="Z205" s="82">
        <f ca="1">SUM(Z$179*CHOOSE($C$173,1,Параметры!Z$109,Параметры!Z$118))</f>
        <v>141.25548860939503</v>
      </c>
      <c r="AA205" s="82">
        <f ca="1">SUM(AA$179*CHOOSE($C$173,1,Параметры!AA$109,Параметры!AA$118))</f>
        <v>143.62203201698463</v>
      </c>
      <c r="AB205" s="82">
        <f ca="1">SUM(AB$179*CHOOSE($C$173,1,Параметры!AB$109,Параметры!AB$118))</f>
        <v>146.02822363757571</v>
      </c>
      <c r="AC205" s="82">
        <f ca="1">SUM(AC$179*CHOOSE($C$173,1,Параметры!AC$109,Параметры!AC$118))</f>
        <v>148.47472772300023</v>
      </c>
      <c r="AD205" s="82">
        <f ca="1">SUM(AD$179*CHOOSE($C$173,1,Параметры!AD$109,Параметры!AD$118))</f>
        <v>150.93788093457533</v>
      </c>
      <c r="AE205" s="82">
        <f ca="1">SUM(AE$179*CHOOSE($C$173,1,Параметры!AE$109,Параметры!AE$118))</f>
        <v>153.44189715251343</v>
      </c>
      <c r="AF205" s="82">
        <f ca="1">SUM(AF$179*CHOOSE($C$173,1,Параметры!AF$109,Параметры!AF$118))</f>
        <v>155.98745428238746</v>
      </c>
      <c r="AG205" s="82">
        <f ca="1">SUM(AG$179*CHOOSE($C$173,1,Параметры!AG$109,Параметры!AG$118))</f>
        <v>158.57524147602962</v>
      </c>
      <c r="AH205" s="82">
        <f ca="1">SUM(AH$179*CHOOSE($C$173,1,Параметры!AH$109,Параметры!AH$118))</f>
        <v>161.19546480423622</v>
      </c>
      <c r="AI205" s="82">
        <f ca="1">SUM(AI$179*CHOOSE($C$173,1,Параметры!AI$109,Параметры!AI$118))</f>
        <v>163.85898348060547</v>
      </c>
      <c r="AJ205" s="82">
        <f ca="1">SUM(AJ$179*CHOOSE($C$173,1,Параметры!AJ$109,Параметры!AJ$118))</f>
        <v>166.56651289727679</v>
      </c>
      <c r="AK205" s="82">
        <f ca="1">SUM(AK$179*CHOOSE($C$173,1,Параметры!AK$109,Параметры!AK$118))</f>
        <v>169.31878026719562</v>
      </c>
      <c r="AL205" s="82">
        <f ca="1">SUM(AL$179*CHOOSE($C$173,1,Параметры!AL$109,Параметры!AL$118))</f>
        <v>172.09330253377286</v>
      </c>
      <c r="AM205" s="82">
        <f ca="1">SUM(AM$179*CHOOSE($C$173,1,Параметры!AM$109,Параметры!AM$118))</f>
        <v>174.91328918295181</v>
      </c>
      <c r="AN205" s="82">
        <f ca="1">SUM(AN$179*CHOOSE($C$173,1,Параметры!AN$109,Параметры!AN$118))</f>
        <v>177.77948521148761</v>
      </c>
      <c r="AO205" s="82">
        <f ca="1">SUM(AO$179*CHOOSE($C$173,1,Параметры!AO$109,Параметры!AO$118))</f>
        <v>180.69264782393682</v>
      </c>
      <c r="AP205" s="82">
        <f ca="1">SUM(AP$179*CHOOSE($C$173,1,Параметры!AP$109,Параметры!AP$118))</f>
        <v>183.62985736403445</v>
      </c>
      <c r="AQ205" s="82">
        <f ca="1">SUM(AQ$179*CHOOSE($C$173,1,Параметры!AQ$109,Параметры!AQ$118))</f>
        <v>186.61481206690618</v>
      </c>
      <c r="AR205" s="82">
        <f ca="1">SUM(AR$179*CHOOSE($C$173,1,Параметры!AR$109,Параметры!AR$118))</f>
        <v>189.64828804352987</v>
      </c>
      <c r="AS205" s="90"/>
      <c r="AT205" s="84">
        <f t="shared" ca="1" si="73"/>
        <v>4794.0500485647844</v>
      </c>
    </row>
    <row r="206" spans="1:46" outlineLevel="1" x14ac:dyDescent="0.2">
      <c r="A206" s="134" t="s">
        <v>487</v>
      </c>
      <c r="B206" s="26"/>
      <c r="C206" s="266" t="str">
        <f>Параметры!$B$64</f>
        <v>тыс. руб.</v>
      </c>
      <c r="E206" s="82">
        <f>SUM(E$180*CHOOSE($C$173,1,Параметры!E$109,Параметры!E$118))</f>
        <v>0</v>
      </c>
      <c r="F206" s="82">
        <f ca="1">SUM(F$180*CHOOSE($C$173,1,Параметры!F$109,Параметры!F$118))</f>
        <v>0</v>
      </c>
      <c r="G206" s="82">
        <f ca="1">SUM(G$180*CHOOSE($C$173,1,Параметры!G$109,Параметры!G$118))</f>
        <v>0</v>
      </c>
      <c r="H206" s="82">
        <f ca="1">SUM(H$180*CHOOSE($C$173,1,Параметры!H$109,Параметры!H$118))</f>
        <v>0</v>
      </c>
      <c r="I206" s="82">
        <f ca="1">SUM(I$180*CHOOSE($C$173,1,Параметры!I$109,Параметры!I$118))</f>
        <v>0</v>
      </c>
      <c r="J206" s="82">
        <f ca="1">SUM(J$180*CHOOSE($C$173,1,Параметры!J$109,Параметры!J$118))</f>
        <v>0</v>
      </c>
      <c r="K206" s="82">
        <f ca="1">SUM(K$180*CHOOSE($C$173,1,Параметры!K$109,Параметры!K$118))</f>
        <v>0</v>
      </c>
      <c r="L206" s="82">
        <f ca="1">SUM(L$180*CHOOSE($C$173,1,Параметры!L$109,Параметры!L$118))</f>
        <v>0</v>
      </c>
      <c r="M206" s="82">
        <f ca="1">SUM(M$180*CHOOSE($C$173,1,Параметры!M$109,Параметры!M$118))</f>
        <v>0</v>
      </c>
      <c r="N206" s="82">
        <f ca="1">SUM(N$180*CHOOSE($C$173,1,Параметры!N$109,Параметры!N$118))</f>
        <v>0</v>
      </c>
      <c r="O206" s="82">
        <f ca="1">SUM(O$180*CHOOSE($C$173,1,Параметры!O$109,Параметры!O$118))</f>
        <v>0</v>
      </c>
      <c r="P206" s="82">
        <f ca="1">SUM(P$180*CHOOSE($C$173,1,Параметры!P$109,Параметры!P$118))</f>
        <v>0</v>
      </c>
      <c r="Q206" s="82">
        <f ca="1">SUM(Q$180*CHOOSE($C$173,1,Параметры!Q$109,Параметры!Q$118))</f>
        <v>0</v>
      </c>
      <c r="R206" s="82">
        <f ca="1">SUM(R$180*CHOOSE($C$173,1,Параметры!R$109,Параметры!R$118))</f>
        <v>0</v>
      </c>
      <c r="S206" s="82">
        <f ca="1">SUM(S$180*CHOOSE($C$173,1,Параметры!S$109,Параметры!S$118))</f>
        <v>0</v>
      </c>
      <c r="T206" s="82">
        <f ca="1">SUM(T$180*CHOOSE($C$173,1,Параметры!T$109,Параметры!T$118))</f>
        <v>0</v>
      </c>
      <c r="U206" s="82">
        <f ca="1">SUM(U$180*CHOOSE($C$173,1,Параметры!U$109,Параметры!U$118))</f>
        <v>0</v>
      </c>
      <c r="V206" s="82">
        <f ca="1">SUM(V$180*CHOOSE($C$173,1,Параметры!V$109,Параметры!V$118))</f>
        <v>0</v>
      </c>
      <c r="W206" s="82">
        <f ca="1">SUM(W$180*CHOOSE($C$173,1,Параметры!W$109,Параметры!W$118))</f>
        <v>0</v>
      </c>
      <c r="X206" s="82">
        <f ca="1">SUM(X$180*CHOOSE($C$173,1,Параметры!X$109,Параметры!X$118))</f>
        <v>0</v>
      </c>
      <c r="Y206" s="82">
        <f ca="1">SUM(Y$180*CHOOSE($C$173,1,Параметры!Y$109,Параметры!Y$118))</f>
        <v>0</v>
      </c>
      <c r="Z206" s="82">
        <f ca="1">SUM(Z$180*CHOOSE($C$173,1,Параметры!Z$109,Параметры!Z$118))</f>
        <v>0</v>
      </c>
      <c r="AA206" s="82">
        <f ca="1">SUM(AA$180*CHOOSE($C$173,1,Параметры!AA$109,Параметры!AA$118))</f>
        <v>0</v>
      </c>
      <c r="AB206" s="82">
        <f ca="1">SUM(AB$180*CHOOSE($C$173,1,Параметры!AB$109,Параметры!AB$118))</f>
        <v>0</v>
      </c>
      <c r="AC206" s="82">
        <f ca="1">SUM(AC$180*CHOOSE($C$173,1,Параметры!AC$109,Параметры!AC$118))</f>
        <v>0</v>
      </c>
      <c r="AD206" s="82">
        <f ca="1">SUM(AD$180*CHOOSE($C$173,1,Параметры!AD$109,Параметры!AD$118))</f>
        <v>0</v>
      </c>
      <c r="AE206" s="82">
        <f ca="1">SUM(AE$180*CHOOSE($C$173,1,Параметры!AE$109,Параметры!AE$118))</f>
        <v>0</v>
      </c>
      <c r="AF206" s="82">
        <f ca="1">SUM(AF$180*CHOOSE($C$173,1,Параметры!AF$109,Параметры!AF$118))</f>
        <v>0</v>
      </c>
      <c r="AG206" s="82">
        <f ca="1">SUM(AG$180*CHOOSE($C$173,1,Параметры!AG$109,Параметры!AG$118))</f>
        <v>0</v>
      </c>
      <c r="AH206" s="82">
        <f ca="1">SUM(AH$180*CHOOSE($C$173,1,Параметры!AH$109,Параметры!AH$118))</f>
        <v>0</v>
      </c>
      <c r="AI206" s="82">
        <f ca="1">SUM(AI$180*CHOOSE($C$173,1,Параметры!AI$109,Параметры!AI$118))</f>
        <v>0</v>
      </c>
      <c r="AJ206" s="82">
        <f ca="1">SUM(AJ$180*CHOOSE($C$173,1,Параметры!AJ$109,Параметры!AJ$118))</f>
        <v>0</v>
      </c>
      <c r="AK206" s="82">
        <f ca="1">SUM(AK$180*CHOOSE($C$173,1,Параметры!AK$109,Параметры!AK$118))</f>
        <v>0</v>
      </c>
      <c r="AL206" s="82">
        <f ca="1">SUM(AL$180*CHOOSE($C$173,1,Параметры!AL$109,Параметры!AL$118))</f>
        <v>0</v>
      </c>
      <c r="AM206" s="82">
        <f ca="1">SUM(AM$180*CHOOSE($C$173,1,Параметры!AM$109,Параметры!AM$118))</f>
        <v>0</v>
      </c>
      <c r="AN206" s="82">
        <f ca="1">SUM(AN$180*CHOOSE($C$173,1,Параметры!AN$109,Параметры!AN$118))</f>
        <v>0</v>
      </c>
      <c r="AO206" s="82">
        <f ca="1">SUM(AO$180*CHOOSE($C$173,1,Параметры!AO$109,Параметры!AO$118))</f>
        <v>0</v>
      </c>
      <c r="AP206" s="82">
        <f ca="1">SUM(AP$180*CHOOSE($C$173,1,Параметры!AP$109,Параметры!AP$118))</f>
        <v>0</v>
      </c>
      <c r="AQ206" s="82">
        <f ca="1">SUM(AQ$180*CHOOSE($C$173,1,Параметры!AQ$109,Параметры!AQ$118))</f>
        <v>0</v>
      </c>
      <c r="AR206" s="82">
        <f ca="1">SUM(AR$180*CHOOSE($C$173,1,Параметры!AR$109,Параметры!AR$118))</f>
        <v>0</v>
      </c>
      <c r="AS206" s="90"/>
      <c r="AT206" s="84">
        <f t="shared" ca="1" si="73"/>
        <v>0</v>
      </c>
    </row>
    <row r="207" spans="1:46" outlineLevel="1" x14ac:dyDescent="0.2">
      <c r="A207" s="106" t="s">
        <v>486</v>
      </c>
      <c r="B207" s="27"/>
      <c r="C207" s="266" t="str">
        <f>Параметры!$B$64</f>
        <v>тыс. руб.</v>
      </c>
      <c r="E207" s="82">
        <f>SUM(E$181*CHOOSE($C$173,1,Параметры!E$109,Параметры!E$118))</f>
        <v>0</v>
      </c>
      <c r="F207" s="82">
        <f ca="1">SUM(F$181*CHOOSE($C$173,1,Параметры!F$109,Параметры!F$118))</f>
        <v>0</v>
      </c>
      <c r="G207" s="82">
        <f ca="1">SUM(G$181*CHOOSE($C$173,1,Параметры!G$109,Параметры!G$118))</f>
        <v>0</v>
      </c>
      <c r="H207" s="82">
        <f ca="1">SUM(H$181*CHOOSE($C$173,1,Параметры!H$109,Параметры!H$118))</f>
        <v>0</v>
      </c>
      <c r="I207" s="82">
        <f ca="1">SUM(I$181*CHOOSE($C$173,1,Параметры!I$109,Параметры!I$118))</f>
        <v>0</v>
      </c>
      <c r="J207" s="82">
        <f ca="1">SUM(J$181*CHOOSE($C$173,1,Параметры!J$109,Параметры!J$118))</f>
        <v>0</v>
      </c>
      <c r="K207" s="82">
        <f ca="1">SUM(K$181*CHOOSE($C$173,1,Параметры!K$109,Параметры!K$118))</f>
        <v>440.65658826979609</v>
      </c>
      <c r="L207" s="82">
        <f ca="1">SUM(L$181*CHOOSE($C$173,1,Параметры!L$109,Параметры!L$118))</f>
        <v>447.71596847728688</v>
      </c>
      <c r="M207" s="82">
        <f ca="1">SUM(M$181*CHOOSE($C$173,1,Параметры!M$109,Параметры!M$118))</f>
        <v>454.88844094355812</v>
      </c>
      <c r="N207" s="82">
        <f ca="1">SUM(N$181*CHOOSE($C$173,1,Параметры!N$109,Параметры!N$118))</f>
        <v>462.55780052839054</v>
      </c>
      <c r="O207" s="82">
        <f ca="1">SUM(O$181*CHOOSE($C$173,1,Параметры!O$109,Параметры!O$118))</f>
        <v>470.35646451216383</v>
      </c>
      <c r="P207" s="82">
        <f ca="1">SUM(P$181*CHOOSE($C$173,1,Параметры!P$109,Параметры!P$118))</f>
        <v>717.42991942518461</v>
      </c>
      <c r="Q207" s="82">
        <f ca="1">SUM(Q$181*CHOOSE($C$173,1,Параметры!Q$109,Параметры!Q$118))</f>
        <v>729.52569397943785</v>
      </c>
      <c r="R207" s="82">
        <f ca="1">SUM(R$181*CHOOSE($C$173,1,Параметры!R$109,Параметры!R$118))</f>
        <v>741.67034975917522</v>
      </c>
      <c r="S207" s="82">
        <f ca="1">SUM(S$181*CHOOSE($C$173,1,Параметры!S$109,Параметры!S$118))</f>
        <v>754.01718164487511</v>
      </c>
      <c r="T207" s="82">
        <f ca="1">SUM(T$181*CHOOSE($C$173,1,Параметры!T$109,Параметры!T$118))</f>
        <v>766.5695553291157</v>
      </c>
      <c r="U207" s="82">
        <f ca="1">SUM(U$181*CHOOSE($C$173,1,Параметры!U$109,Параметры!U$118))</f>
        <v>779.33089253427352</v>
      </c>
      <c r="V207" s="82">
        <f ca="1">SUM(V$181*CHOOSE($C$173,1,Параметры!V$109,Параметры!V$118))</f>
        <v>792.54992764595931</v>
      </c>
      <c r="W207" s="82">
        <f ca="1">SUM(W$181*CHOOSE($C$173,1,Параметры!W$109,Параметры!W$118))</f>
        <v>805.99318444699168</v>
      </c>
      <c r="X207" s="82">
        <f ca="1">SUM(X$181*CHOOSE($C$173,1,Параметры!X$109,Параметры!X$118))</f>
        <v>819.66446619271778</v>
      </c>
      <c r="Y207" s="82">
        <f ca="1">SUM(Y$181*CHOOSE($C$173,1,Параметры!Y$109,Параметры!Y$118))</f>
        <v>833.56764064942172</v>
      </c>
      <c r="Z207" s="82">
        <f ca="1">SUM(Z$181*CHOOSE($C$173,1,Параметры!Z$109,Параметры!Z$118))</f>
        <v>847.53293165637024</v>
      </c>
      <c r="AA207" s="82">
        <f ca="1">SUM(AA$181*CHOOSE($C$173,1,Параметры!AA$109,Параметры!AA$118))</f>
        <v>861.73219210190791</v>
      </c>
      <c r="AB207" s="82">
        <f ca="1">SUM(AB$181*CHOOSE($C$173,1,Параметры!AB$109,Параметры!AB$118))</f>
        <v>876.16934182545435</v>
      </c>
      <c r="AC207" s="82">
        <f ca="1">SUM(AC$181*CHOOSE($C$173,1,Параметры!AC$109,Параметры!AC$118))</f>
        <v>890.84836633800148</v>
      </c>
      <c r="AD207" s="82">
        <f ca="1">SUM(AD$181*CHOOSE($C$173,1,Параметры!AD$109,Параметры!AD$118))</f>
        <v>905.62728560745211</v>
      </c>
      <c r="AE207" s="82">
        <f ca="1">SUM(AE$181*CHOOSE($C$173,1,Параметры!AE$109,Параметры!AE$118))</f>
        <v>920.6513829150806</v>
      </c>
      <c r="AF207" s="82">
        <f ca="1">SUM(AF$181*CHOOSE($C$173,1,Параметры!AF$109,Параметры!AF$118))</f>
        <v>935.92472569432482</v>
      </c>
      <c r="AG207" s="82">
        <f ca="1">SUM(AG$181*CHOOSE($C$173,1,Параметры!AG$109,Параметры!AG$118))</f>
        <v>951.45144885617776</v>
      </c>
      <c r="AH207" s="82">
        <f ca="1">SUM(AH$181*CHOOSE($C$173,1,Параметры!AH$109,Параметры!AH$118))</f>
        <v>967.17278882541746</v>
      </c>
      <c r="AI207" s="82">
        <f ca="1">SUM(AI$181*CHOOSE($C$173,1,Параметры!AI$109,Параметры!AI$118))</f>
        <v>983.15390088363301</v>
      </c>
      <c r="AJ207" s="82">
        <f ca="1">SUM(AJ$181*CHOOSE($C$173,1,Параметры!AJ$109,Параметры!AJ$118))</f>
        <v>999.39907738366071</v>
      </c>
      <c r="AK207" s="82">
        <f ca="1">SUM(AK$181*CHOOSE($C$173,1,Параметры!AK$109,Параметры!AK$118))</f>
        <v>1015.9126816031737</v>
      </c>
      <c r="AL207" s="82">
        <f ca="1">SUM(AL$181*CHOOSE($C$173,1,Параметры!AL$109,Параметры!AL$118))</f>
        <v>1032.5598152026371</v>
      </c>
      <c r="AM207" s="82">
        <f ca="1">SUM(AM$181*CHOOSE($C$173,1,Параметры!AM$109,Параметры!AM$118))</f>
        <v>1049.479735097711</v>
      </c>
      <c r="AN207" s="82">
        <f ca="1">SUM(AN$181*CHOOSE($C$173,1,Параметры!AN$109,Параметры!AN$118))</f>
        <v>1066.6769112689258</v>
      </c>
      <c r="AO207" s="82">
        <f ca="1">SUM(AO$181*CHOOSE($C$173,1,Параметры!AO$109,Параметры!AO$118))</f>
        <v>1084.155886943621</v>
      </c>
      <c r="AP207" s="82">
        <f ca="1">SUM(AP$181*CHOOSE($C$173,1,Параметры!AP$109,Параметры!AP$118))</f>
        <v>1101.7791441842066</v>
      </c>
      <c r="AQ207" s="82">
        <f ca="1">SUM(AQ$181*CHOOSE($C$173,1,Параметры!AQ$109,Параметры!AQ$118))</f>
        <v>1119.688872401437</v>
      </c>
      <c r="AR207" s="82">
        <f ca="1">SUM(AR$181*CHOOSE($C$173,1,Параметры!AR$109,Параметры!AR$118))</f>
        <v>1137.8897282611792</v>
      </c>
      <c r="AS207" s="90"/>
      <c r="AT207" s="84">
        <f t="shared" ca="1" si="73"/>
        <v>28764.300291388718</v>
      </c>
    </row>
    <row r="208" spans="1:46" outlineLevel="1" x14ac:dyDescent="0.2">
      <c r="A208" s="106" t="s">
        <v>183</v>
      </c>
      <c r="B208" s="22"/>
      <c r="C208" s="266" t="str">
        <f>Параметры!$B$64</f>
        <v>тыс. руб.</v>
      </c>
      <c r="E208" s="124">
        <f t="shared" ref="E208:AR208" si="74">E201-IF(E$2=1,0,0)</f>
        <v>0</v>
      </c>
      <c r="F208" s="124">
        <f t="shared" ca="1" si="74"/>
        <v>0</v>
      </c>
      <c r="G208" s="124">
        <f t="shared" ca="1" si="74"/>
        <v>0</v>
      </c>
      <c r="H208" s="124">
        <f t="shared" ca="1" si="74"/>
        <v>0</v>
      </c>
      <c r="I208" s="124">
        <f t="shared" ca="1" si="74"/>
        <v>0</v>
      </c>
      <c r="J208" s="124">
        <f t="shared" ca="1" si="74"/>
        <v>0</v>
      </c>
      <c r="K208" s="124">
        <f t="shared" ca="1" si="74"/>
        <v>1880.7107983018095</v>
      </c>
      <c r="L208" s="124">
        <f t="shared" ca="1" si="74"/>
        <v>1910.8400484684203</v>
      </c>
      <c r="M208" s="124">
        <f t="shared" ca="1" si="74"/>
        <v>1941.4519734388462</v>
      </c>
      <c r="N208" s="124">
        <f t="shared" ca="1" si="74"/>
        <v>1974.1845996407778</v>
      </c>
      <c r="O208" s="124">
        <f t="shared" ca="1" si="74"/>
        <v>2007.4690936368825</v>
      </c>
      <c r="P208" s="124">
        <f t="shared" ca="1" si="74"/>
        <v>3061.9721397689254</v>
      </c>
      <c r="Q208" s="124">
        <f t="shared" ca="1" si="74"/>
        <v>3113.5965893370776</v>
      </c>
      <c r="R208" s="124">
        <f t="shared" ca="1" si="74"/>
        <v>3165.4296626976566</v>
      </c>
      <c r="S208" s="124">
        <f t="shared" ca="1" si="74"/>
        <v>3218.1256183928331</v>
      </c>
      <c r="T208" s="124">
        <f t="shared" ca="1" si="74"/>
        <v>3271.6988211105395</v>
      </c>
      <c r="U208" s="124">
        <f t="shared" ca="1" si="74"/>
        <v>3326.163874672422</v>
      </c>
      <c r="V208" s="124">
        <f t="shared" ca="1" si="74"/>
        <v>3382.5823709334081</v>
      </c>
      <c r="W208" s="124">
        <f t="shared" ca="1" si="74"/>
        <v>3439.9578395025201</v>
      </c>
      <c r="X208" s="124">
        <f t="shared" ca="1" si="74"/>
        <v>3498.3065125741487</v>
      </c>
      <c r="Y208" s="124">
        <f t="shared" ca="1" si="74"/>
        <v>3557.644897673676</v>
      </c>
      <c r="Z208" s="124">
        <f t="shared" ca="1" si="74"/>
        <v>3617.2483945856848</v>
      </c>
      <c r="AA208" s="124">
        <f t="shared" ca="1" si="74"/>
        <v>3677.8504669447443</v>
      </c>
      <c r="AB208" s="124">
        <f t="shared" ca="1" si="74"/>
        <v>3739.4678445230174</v>
      </c>
      <c r="AC208" s="124">
        <f t="shared" ca="1" si="74"/>
        <v>3802.1175373772221</v>
      </c>
      <c r="AD208" s="124">
        <f t="shared" ca="1" si="74"/>
        <v>3865.1935784422626</v>
      </c>
      <c r="AE208" s="124">
        <f t="shared" ca="1" si="74"/>
        <v>3929.3160329643633</v>
      </c>
      <c r="AF208" s="124">
        <f t="shared" ca="1" si="74"/>
        <v>3994.5022606430989</v>
      </c>
      <c r="AG208" s="124">
        <f t="shared" ca="1" si="74"/>
        <v>4060.769909170484</v>
      </c>
      <c r="AH208" s="124">
        <f t="shared" ca="1" si="74"/>
        <v>4127.868177143775</v>
      </c>
      <c r="AI208" s="124">
        <f t="shared" ca="1" si="74"/>
        <v>4196.0751456013877</v>
      </c>
      <c r="AJ208" s="124">
        <f t="shared" ca="1" si="74"/>
        <v>4265.4091341930098</v>
      </c>
      <c r="AK208" s="124">
        <f t="shared" ca="1" si="74"/>
        <v>4335.8887652736767</v>
      </c>
      <c r="AL208" s="124">
        <f t="shared" ca="1" si="74"/>
        <v>4406.9382962570071</v>
      </c>
      <c r="AM208" s="124">
        <f t="shared" ca="1" si="74"/>
        <v>4479.1520720183353</v>
      </c>
      <c r="AN208" s="124">
        <f t="shared" ca="1" si="74"/>
        <v>4552.5491703177031</v>
      </c>
      <c r="AO208" s="124">
        <f t="shared" ca="1" si="74"/>
        <v>4627.1489815306177</v>
      </c>
      <c r="AP208" s="124">
        <f t="shared" ca="1" si="74"/>
        <v>4702.3645826946859</v>
      </c>
      <c r="AQ208" s="124">
        <f t="shared" ca="1" si="74"/>
        <v>4778.8028344976374</v>
      </c>
      <c r="AR208" s="124">
        <f t="shared" ca="1" si="74"/>
        <v>4856.4836114676473</v>
      </c>
      <c r="AS208" s="124"/>
      <c r="AT208" s="84">
        <f t="shared" ref="AT208" ca="1" si="75">SUM(E208:AS208)</f>
        <v>122765.28163579627</v>
      </c>
    </row>
    <row r="209" spans="1:46" s="60" customFormat="1" collapsed="1" x14ac:dyDescent="0.2">
      <c r="A209" s="135" t="s">
        <v>214</v>
      </c>
      <c r="B209" s="257"/>
      <c r="C209" s="224" t="str">
        <f>Параметры!$B$64</f>
        <v>тыс. руб.</v>
      </c>
      <c r="D209" s="169"/>
      <c r="E209" s="85">
        <f t="shared" ref="E209:AR209" si="76">E210+E215</f>
        <v>1359.8672760000002</v>
      </c>
      <c r="F209" s="85">
        <f t="shared" ca="1" si="76"/>
        <v>1359.8672760000002</v>
      </c>
      <c r="G209" s="85">
        <f t="shared" ca="1" si="76"/>
        <v>1359.8672760000002</v>
      </c>
      <c r="H209" s="85">
        <f t="shared" ca="1" si="76"/>
        <v>2946.3790979999999</v>
      </c>
      <c r="I209" s="85">
        <f t="shared" ca="1" si="76"/>
        <v>2946.3790979999999</v>
      </c>
      <c r="J209" s="85">
        <f t="shared" ca="1" si="76"/>
        <v>2993.5805034523814</v>
      </c>
      <c r="K209" s="85">
        <f t="shared" ca="1" si="76"/>
        <v>4913.2538248100227</v>
      </c>
      <c r="L209" s="85">
        <f t="shared" ca="1" si="76"/>
        <v>4991.9648386210902</v>
      </c>
      <c r="M209" s="85">
        <f t="shared" ca="1" si="76"/>
        <v>5071.9368138878599</v>
      </c>
      <c r="N209" s="85">
        <f t="shared" ca="1" si="76"/>
        <v>5157.449004825422</v>
      </c>
      <c r="O209" s="85">
        <f t="shared" ca="1" si="76"/>
        <v>5244.4029201115445</v>
      </c>
      <c r="P209" s="85">
        <f t="shared" ca="1" si="76"/>
        <v>5332.8228670300705</v>
      </c>
      <c r="Q209" s="85">
        <f t="shared" ca="1" si="76"/>
        <v>5422.733562682467</v>
      </c>
      <c r="R209" s="85">
        <f t="shared" ca="1" si="76"/>
        <v>5513.0076038129009</v>
      </c>
      <c r="S209" s="85">
        <f t="shared" ca="1" si="76"/>
        <v>5604.7844667965237</v>
      </c>
      <c r="T209" s="85">
        <f t="shared" ca="1" si="76"/>
        <v>5698.0891696063209</v>
      </c>
      <c r="U209" s="85">
        <f t="shared" ca="1" si="76"/>
        <v>5792.947146697762</v>
      </c>
      <c r="V209" s="85">
        <f t="shared" ca="1" si="76"/>
        <v>5891.2072984072865</v>
      </c>
      <c r="W209" s="85">
        <f t="shared" ca="1" si="76"/>
        <v>5991.1341419007149</v>
      </c>
      <c r="X209" s="85">
        <f t="shared" ca="1" si="76"/>
        <v>6092.7559476565048</v>
      </c>
      <c r="Y209" s="85">
        <f t="shared" ca="1" si="76"/>
        <v>6196.1014656778661</v>
      </c>
      <c r="Z209" s="85">
        <f t="shared" ca="1" si="76"/>
        <v>6299.908710413707</v>
      </c>
      <c r="AA209" s="85">
        <f t="shared" ca="1" si="76"/>
        <v>6405.4551042127687</v>
      </c>
      <c r="AB209" s="85">
        <f t="shared" ca="1" si="76"/>
        <v>6512.7697841499394</v>
      </c>
      <c r="AC209" s="85">
        <f t="shared" ca="1" si="76"/>
        <v>6621.8823754521336</v>
      </c>
      <c r="AD209" s="85">
        <f t="shared" ca="1" si="76"/>
        <v>6731.7375076346098</v>
      </c>
      <c r="AE209" s="85">
        <f t="shared" ca="1" si="76"/>
        <v>6843.415104998825</v>
      </c>
      <c r="AF209" s="85">
        <f t="shared" ca="1" si="76"/>
        <v>6956.9454017202115</v>
      </c>
      <c r="AG209" s="85">
        <f t="shared" ca="1" si="76"/>
        <v>7072.3591335505171</v>
      </c>
      <c r="AH209" s="85">
        <f t="shared" ca="1" si="76"/>
        <v>7189.2194972157067</v>
      </c>
      <c r="AI209" s="85">
        <f t="shared" ca="1" si="76"/>
        <v>7308.0108070246224</v>
      </c>
      <c r="AJ209" s="85">
        <f t="shared" ca="1" si="76"/>
        <v>7428.7649690307162</v>
      </c>
      <c r="AK209" s="85">
        <f t="shared" ca="1" si="76"/>
        <v>7551.5144164881922</v>
      </c>
      <c r="AL209" s="85">
        <f t="shared" ca="1" si="76"/>
        <v>7675.2564187744247</v>
      </c>
      <c r="AM209" s="85">
        <f t="shared" ca="1" si="76"/>
        <v>7801.0261048185475</v>
      </c>
      <c r="AN209" s="85">
        <f t="shared" ca="1" si="76"/>
        <v>7928.8567010218339</v>
      </c>
      <c r="AO209" s="85">
        <f t="shared" ca="1" si="76"/>
        <v>8058.781978246072</v>
      </c>
      <c r="AP209" s="85">
        <f t="shared" ca="1" si="76"/>
        <v>8189.7797337891479</v>
      </c>
      <c r="AQ209" s="85">
        <f t="shared" ca="1" si="76"/>
        <v>8322.9068944958872</v>
      </c>
      <c r="AR209" s="85">
        <f t="shared" ca="1" si="76"/>
        <v>8458.1980744429402</v>
      </c>
      <c r="AS209" s="142"/>
      <c r="AT209" s="137">
        <f t="shared" ref="AT209:AT215" ca="1" si="77">SUM(E209:AS209)</f>
        <v>235237.32031745758</v>
      </c>
    </row>
    <row r="210" spans="1:46" outlineLevel="1" x14ac:dyDescent="0.2">
      <c r="A210" s="106" t="s">
        <v>75</v>
      </c>
      <c r="B210" s="26"/>
      <c r="C210" s="266" t="str">
        <f>Параметры!$B$64</f>
        <v>тыс. руб.</v>
      </c>
      <c r="E210" s="82">
        <f>SUM(E$191*CHOOSE($C$188,1,Параметры!E$109,Параметры!E$118))</f>
        <v>1041.2460000000001</v>
      </c>
      <c r="F210" s="82">
        <f ca="1">SUM(F$191*CHOOSE($C$188,1,Параметры!F$109,Параметры!F$118))</f>
        <v>1041.2460000000001</v>
      </c>
      <c r="G210" s="82">
        <f ca="1">SUM(G$191*CHOOSE($C$188,1,Параметры!G$109,Параметры!G$118))</f>
        <v>1041.2460000000001</v>
      </c>
      <c r="H210" s="82">
        <f ca="1">SUM(H$191*CHOOSE($C$188,1,Параметры!H$109,Параметры!H$118))</f>
        <v>2256.0329999999999</v>
      </c>
      <c r="I210" s="82">
        <f ca="1">SUM(I$191*CHOOSE($C$188,1,Параметры!I$109,Параметры!I$118))</f>
        <v>2256.0329999999999</v>
      </c>
      <c r="J210" s="82">
        <f ca="1">SUM(J$191*CHOOSE($C$188,1,Параметры!J$109,Параметры!J$118))</f>
        <v>2292.1749643586381</v>
      </c>
      <c r="K210" s="82">
        <f ca="1">SUM(K$191*CHOOSE($C$188,1,Параметры!K$109,Параметры!K$118))</f>
        <v>3762.0626529938918</v>
      </c>
      <c r="L210" s="82">
        <f ca="1">SUM(L$191*CHOOSE($C$188,1,Параметры!L$109,Параметры!L$118))</f>
        <v>3822.3314231401919</v>
      </c>
      <c r="M210" s="82">
        <f ca="1">SUM(M$191*CHOOSE($C$188,1,Параметры!M$109,Параметры!M$118))</f>
        <v>3883.5657074179635</v>
      </c>
      <c r="N210" s="82">
        <f ca="1">SUM(N$191*CHOOSE($C$188,1,Параметры!N$109,Параметры!N$118))</f>
        <v>3949.0421170179343</v>
      </c>
      <c r="O210" s="82">
        <f ca="1">SUM(O$191*CHOOSE($C$188,1,Параметры!O$109,Параметры!O$118))</f>
        <v>4015.6224503151179</v>
      </c>
      <c r="P210" s="82">
        <f ca="1">SUM(P$191*CHOOSE($C$188,1,Параметры!P$109,Параметры!P$118))</f>
        <v>4083.3253193185838</v>
      </c>
      <c r="Q210" s="82">
        <f ca="1">SUM(Q$191*CHOOSE($C$188,1,Параметры!Q$109,Параметры!Q$118))</f>
        <v>4152.1696498334359</v>
      </c>
      <c r="R210" s="82">
        <f ca="1">SUM(R$191*CHOOSE($C$188,1,Параметры!R$109,Параметры!R$118))</f>
        <v>4221.2921928123287</v>
      </c>
      <c r="S210" s="82">
        <f ca="1">SUM(S$191*CHOOSE($C$188,1,Параметры!S$109,Параметры!S$118))</f>
        <v>4291.5654416512434</v>
      </c>
      <c r="T210" s="82">
        <f ca="1">SUM(T$191*CHOOSE($C$188,1,Параметры!T$109,Параметры!T$118))</f>
        <v>4363.008552531639</v>
      </c>
      <c r="U210" s="82">
        <f ca="1">SUM(U$191*CHOOSE($C$188,1,Параметры!U$109,Параметры!U$118))</f>
        <v>4435.6410005342741</v>
      </c>
      <c r="V210" s="82">
        <f ca="1">SUM(V$191*CHOOSE($C$188,1,Параметры!V$109,Параметры!V$118))</f>
        <v>4510.8784827008321</v>
      </c>
      <c r="W210" s="82">
        <f ca="1">SUM(W$191*CHOOSE($C$188,1,Параметры!W$109,Параметры!W$118))</f>
        <v>4587.3921454063666</v>
      </c>
      <c r="X210" s="82">
        <f ca="1">SUM(X$191*CHOOSE($C$188,1,Параметры!X$109,Параметры!X$118))</f>
        <v>4665.2036352653176</v>
      </c>
      <c r="Y210" s="82">
        <f ca="1">SUM(Y$191*CHOOSE($C$188,1,Параметры!Y$109,Параметры!Y$118))</f>
        <v>4744.3349660626845</v>
      </c>
      <c r="Z210" s="82">
        <f ca="1">SUM(Z$191*CHOOSE($C$188,1,Параметры!Z$109,Параметры!Z$118))</f>
        <v>4823.819839520449</v>
      </c>
      <c r="AA210" s="82">
        <f ca="1">SUM(AA$191*CHOOSE($C$188,1,Параметры!AA$109,Параметры!AA$118))</f>
        <v>4904.6363738229466</v>
      </c>
      <c r="AB210" s="82">
        <f ca="1">SUM(AB$191*CHOOSE($C$188,1,Параметры!AB$109,Параметры!AB$118))</f>
        <v>4986.8068791347159</v>
      </c>
      <c r="AC210" s="82">
        <f ca="1">SUM(AC$191*CHOOSE($C$188,1,Параметры!AC$109,Параметры!AC$118))</f>
        <v>5070.3540393967332</v>
      </c>
      <c r="AD210" s="82">
        <f ca="1">SUM(AD$191*CHOOSE($C$188,1,Параметры!AD$109,Параметры!AD$118))</f>
        <v>5154.4697608228253</v>
      </c>
      <c r="AE210" s="82">
        <f ca="1">SUM(AE$191*CHOOSE($C$188,1,Параметры!AE$109,Параметры!AE$118))</f>
        <v>5239.9809379776607</v>
      </c>
      <c r="AF210" s="82">
        <f ca="1">SUM(AF$191*CHOOSE($C$188,1,Параметры!AF$109,Параметры!AF$118))</f>
        <v>5326.9107210721377</v>
      </c>
      <c r="AG210" s="82">
        <f ca="1">SUM(AG$191*CHOOSE($C$188,1,Параметры!AG$109,Параметры!AG$118))</f>
        <v>5415.2826443725244</v>
      </c>
      <c r="AH210" s="82">
        <f ca="1">SUM(AH$191*CHOOSE($C$188,1,Параметры!AH$109,Параметры!AH$118))</f>
        <v>5504.7622490166204</v>
      </c>
      <c r="AI210" s="82">
        <f ca="1">SUM(AI$191*CHOOSE($C$188,1,Параметры!AI$109,Параметры!AI$118))</f>
        <v>5595.720372913187</v>
      </c>
      <c r="AJ210" s="82">
        <f ca="1">SUM(AJ$191*CHOOSE($C$188,1,Параметры!AJ$109,Параметры!AJ$118))</f>
        <v>5688.1814464247445</v>
      </c>
      <c r="AK210" s="82">
        <f ca="1">SUM(AK$191*CHOOSE($C$188,1,Параметры!AK$109,Параметры!AK$118))</f>
        <v>5782.1703035897335</v>
      </c>
      <c r="AL210" s="82">
        <f ca="1">SUM(AL$191*CHOOSE($C$188,1,Параметры!AL$109,Параметры!AL$118))</f>
        <v>5876.9191567951184</v>
      </c>
      <c r="AM210" s="82">
        <f ca="1">SUM(AM$191*CHOOSE($C$188,1,Параметры!AM$109,Параметры!AM$118))</f>
        <v>5973.2206009330375</v>
      </c>
      <c r="AN210" s="82">
        <f ca="1">SUM(AN$191*CHOOSE($C$188,1,Параметры!AN$109,Параметры!AN$118))</f>
        <v>6071.1000773520936</v>
      </c>
      <c r="AO210" s="82">
        <f ca="1">SUM(AO$191*CHOOSE($C$188,1,Параметры!AO$109,Параметры!AO$118))</f>
        <v>6170.5834442925516</v>
      </c>
      <c r="AP210" s="82">
        <f ca="1">SUM(AP$191*CHOOSE($C$188,1,Параметры!AP$109,Параметры!AP$118))</f>
        <v>6270.8880044327316</v>
      </c>
      <c r="AQ210" s="82">
        <f ca="1">SUM(AQ$191*CHOOSE($C$188,1,Параметры!AQ$109,Параметры!AQ$118))</f>
        <v>6372.8230432587188</v>
      </c>
      <c r="AR210" s="82">
        <f ca="1">SUM(AR$191*CHOOSE($C$188,1,Параметры!AR$109,Параметры!AR$118))</f>
        <v>6476.4150646576873</v>
      </c>
      <c r="AS210" s="90"/>
      <c r="AT210" s="84">
        <f t="shared" ca="1" si="77"/>
        <v>180120.45966114665</v>
      </c>
    </row>
    <row r="211" spans="1:46" outlineLevel="1" x14ac:dyDescent="0.2">
      <c r="A211" s="134" t="s">
        <v>483</v>
      </c>
      <c r="B211" s="26"/>
      <c r="C211" s="266" t="str">
        <f>Параметры!$B$64</f>
        <v>тыс. руб.</v>
      </c>
      <c r="E211" s="82">
        <f>SUM(E$192*CHOOSE($C$188,1,Параметры!E$109,Параметры!E$118))</f>
        <v>229.07412000000002</v>
      </c>
      <c r="F211" s="82">
        <f ca="1">SUM(F$192*CHOOSE($C$188,1,Параметры!F$109,Параметры!F$118))</f>
        <v>229.07412000000002</v>
      </c>
      <c r="G211" s="82">
        <f ca="1">SUM(G$192*CHOOSE($C$188,1,Параметры!G$109,Параметры!G$118))</f>
        <v>229.07412000000002</v>
      </c>
      <c r="H211" s="82">
        <f ca="1">SUM(H$192*CHOOSE($C$188,1,Параметры!H$109,Параметры!H$118))</f>
        <v>496.32725999999997</v>
      </c>
      <c r="I211" s="82">
        <f ca="1">SUM(I$192*CHOOSE($C$188,1,Параметры!I$109,Параметры!I$118))</f>
        <v>496.32725999999997</v>
      </c>
      <c r="J211" s="82">
        <f ca="1">SUM(J$192*CHOOSE($C$188,1,Параметры!J$109,Параметры!J$118))</f>
        <v>504.27849215890041</v>
      </c>
      <c r="K211" s="82">
        <f ca="1">SUM(K$192*CHOOSE($C$188,1,Параметры!K$109,Параметры!K$118))</f>
        <v>827.65378365865615</v>
      </c>
      <c r="L211" s="82">
        <f ca="1">SUM(L$192*CHOOSE($C$188,1,Параметры!L$109,Параметры!L$118))</f>
        <v>840.91291309084227</v>
      </c>
      <c r="M211" s="82">
        <f ca="1">SUM(M$192*CHOOSE($C$188,1,Параметры!M$109,Параметры!M$118))</f>
        <v>854.38445563195194</v>
      </c>
      <c r="N211" s="82">
        <f ca="1">SUM(N$192*CHOOSE($C$188,1,Параметры!N$109,Параметры!N$118))</f>
        <v>868.78926574394552</v>
      </c>
      <c r="O211" s="82">
        <f ca="1">SUM(O$192*CHOOSE($C$188,1,Параметры!O$109,Параметры!O$118))</f>
        <v>883.43693906932594</v>
      </c>
      <c r="P211" s="82">
        <f ca="1">SUM(P$192*CHOOSE($C$188,1,Параметры!P$109,Параметры!P$118))</f>
        <v>898.33157025008848</v>
      </c>
      <c r="Q211" s="82">
        <f ca="1">SUM(Q$192*CHOOSE($C$188,1,Параметры!Q$109,Параметры!Q$118))</f>
        <v>913.47732296335585</v>
      </c>
      <c r="R211" s="82">
        <f ca="1">SUM(R$192*CHOOSE($C$188,1,Параметры!R$109,Параметры!R$118))</f>
        <v>928.68428241871231</v>
      </c>
      <c r="S211" s="82">
        <f ca="1">SUM(S$192*CHOOSE($C$188,1,Параметры!S$109,Параметры!S$118))</f>
        <v>944.14439716327354</v>
      </c>
      <c r="T211" s="82">
        <f ca="1">SUM(T$192*CHOOSE($C$188,1,Параметры!T$109,Параметры!T$118))</f>
        <v>959.86188155696061</v>
      </c>
      <c r="U211" s="82">
        <f ca="1">SUM(U$192*CHOOSE($C$188,1,Параметры!U$109,Параметры!U$118))</f>
        <v>975.84102011754032</v>
      </c>
      <c r="V211" s="82">
        <f ca="1">SUM(V$192*CHOOSE($C$188,1,Параметры!V$109,Параметры!V$118))</f>
        <v>992.39326619418307</v>
      </c>
      <c r="W211" s="82">
        <f ca="1">SUM(W$192*CHOOSE($C$188,1,Параметры!W$109,Параметры!W$118))</f>
        <v>1009.2262719894006</v>
      </c>
      <c r="X211" s="82">
        <f ca="1">SUM(X$192*CHOOSE($C$188,1,Параметры!X$109,Параметры!X$118))</f>
        <v>1026.3447997583698</v>
      </c>
      <c r="Y211" s="82">
        <f ca="1">SUM(Y$192*CHOOSE($C$188,1,Параметры!Y$109,Параметры!Y$118))</f>
        <v>1043.7536925337906</v>
      </c>
      <c r="Z211" s="82">
        <f ca="1">SUM(Z$192*CHOOSE($C$188,1,Параметры!Z$109,Параметры!Z$118))</f>
        <v>1061.2403646944988</v>
      </c>
      <c r="AA211" s="82">
        <f ca="1">SUM(AA$192*CHOOSE($C$188,1,Параметры!AA$109,Параметры!AA$118))</f>
        <v>1079.0200022410484</v>
      </c>
      <c r="AB211" s="82">
        <f ca="1">SUM(AB$192*CHOOSE($C$188,1,Параметры!AB$109,Параметры!AB$118))</f>
        <v>1097.0975134096375</v>
      </c>
      <c r="AC211" s="82">
        <f ca="1">SUM(AC$192*CHOOSE($C$188,1,Параметры!AC$109,Параметры!AC$118))</f>
        <v>1115.4778886672814</v>
      </c>
      <c r="AD211" s="82">
        <f ca="1">SUM(AD$192*CHOOSE($C$188,1,Параметры!AD$109,Параметры!AD$118))</f>
        <v>1133.9833473810215</v>
      </c>
      <c r="AE211" s="82">
        <f ca="1">SUM(AE$192*CHOOSE($C$188,1,Параметры!AE$109,Параметры!AE$118))</f>
        <v>1152.7958063550855</v>
      </c>
      <c r="AF211" s="82">
        <f ca="1">SUM(AF$192*CHOOSE($C$188,1,Параметры!AF$109,Параметры!AF$118))</f>
        <v>1171.9203586358703</v>
      </c>
      <c r="AG211" s="82">
        <f ca="1">SUM(AG$192*CHOOSE($C$188,1,Параметры!AG$109,Параметры!AG$118))</f>
        <v>1191.3621817619553</v>
      </c>
      <c r="AH211" s="82">
        <f ca="1">SUM(AH$192*CHOOSE($C$188,1,Параметры!AH$109,Параметры!AH$118))</f>
        <v>1211.0476947836564</v>
      </c>
      <c r="AI211" s="82">
        <f ca="1">SUM(AI$192*CHOOSE($C$188,1,Параметры!AI$109,Параметры!AI$118))</f>
        <v>1231.0584820409013</v>
      </c>
      <c r="AJ211" s="82">
        <f ca="1">SUM(AJ$192*CHOOSE($C$188,1,Параметры!AJ$109,Параметры!AJ$118))</f>
        <v>1251.3999182134437</v>
      </c>
      <c r="AK211" s="82">
        <f ca="1">SUM(AK$192*CHOOSE($C$188,1,Параметры!AK$109,Параметры!AK$118))</f>
        <v>1272.0774667897415</v>
      </c>
      <c r="AL211" s="82">
        <f ca="1">SUM(AL$192*CHOOSE($C$188,1,Параметры!AL$109,Параметры!AL$118))</f>
        <v>1292.922214494926</v>
      </c>
      <c r="AM211" s="82">
        <f ca="1">SUM(AM$192*CHOOSE($C$188,1,Параметры!AM$109,Параметры!AM$118))</f>
        <v>1314.1085322052684</v>
      </c>
      <c r="AN211" s="82">
        <f ca="1">SUM(AN$192*CHOOSE($C$188,1,Параметры!AN$109,Параметры!AN$118))</f>
        <v>1335.6420170174606</v>
      </c>
      <c r="AO211" s="82">
        <f ca="1">SUM(AO$192*CHOOSE($C$188,1,Параметры!AO$109,Параметры!AO$118))</f>
        <v>1357.5283577443613</v>
      </c>
      <c r="AP211" s="82">
        <f ca="1">SUM(AP$192*CHOOSE($C$188,1,Параметры!AP$109,Параметры!AP$118))</f>
        <v>1379.5953609752009</v>
      </c>
      <c r="AQ211" s="82">
        <f ca="1">SUM(AQ$192*CHOOSE($C$188,1,Параметры!AQ$109,Параметры!AQ$118))</f>
        <v>1402.0210695169183</v>
      </c>
      <c r="AR211" s="82">
        <f ca="1">SUM(AR$192*CHOOSE($C$188,1,Параметры!AR$109,Параметры!AR$118))</f>
        <v>1424.8113142246912</v>
      </c>
      <c r="AS211" s="90"/>
      <c r="AT211" s="84">
        <f t="shared" ca="1" si="77"/>
        <v>39626.501125452283</v>
      </c>
    </row>
    <row r="212" spans="1:46" outlineLevel="1" x14ac:dyDescent="0.2">
      <c r="A212" s="134" t="s">
        <v>484</v>
      </c>
      <c r="B212" s="26"/>
      <c r="C212" s="266" t="str">
        <f>Параметры!$B$64</f>
        <v>тыс. руб.</v>
      </c>
      <c r="E212" s="82">
        <f>SUM(E$193*CHOOSE($C$188,1,Параметры!E$109,Параметры!E$118))</f>
        <v>36.443610000000007</v>
      </c>
      <c r="F212" s="82">
        <f ca="1">SUM(F$193*CHOOSE($C$188,1,Параметры!F$109,Параметры!F$118))</f>
        <v>36.443610000000007</v>
      </c>
      <c r="G212" s="82">
        <f ca="1">SUM(G$193*CHOOSE($C$188,1,Параметры!G$109,Параметры!G$118))</f>
        <v>36.443610000000007</v>
      </c>
      <c r="H212" s="82">
        <f ca="1">SUM(H$193*CHOOSE($C$188,1,Параметры!H$109,Параметры!H$118))</f>
        <v>78.961155000000005</v>
      </c>
      <c r="I212" s="82">
        <f ca="1">SUM(I$193*CHOOSE($C$188,1,Параметры!I$109,Параметры!I$118))</f>
        <v>78.961155000000005</v>
      </c>
      <c r="J212" s="82">
        <f ca="1">SUM(J$193*CHOOSE($C$188,1,Параметры!J$109,Параметры!J$118))</f>
        <v>80.22612375255234</v>
      </c>
      <c r="K212" s="82">
        <f ca="1">SUM(K$193*CHOOSE($C$188,1,Параметры!K$109,Параметры!K$118))</f>
        <v>131.67219285478623</v>
      </c>
      <c r="L212" s="82">
        <f ca="1">SUM(L$193*CHOOSE($C$188,1,Параметры!L$109,Параметры!L$118))</f>
        <v>133.78159980990674</v>
      </c>
      <c r="M212" s="82">
        <f ca="1">SUM(M$193*CHOOSE($C$188,1,Параметры!M$109,Параметры!M$118))</f>
        <v>135.92479975962874</v>
      </c>
      <c r="N212" s="82">
        <f ca="1">SUM(N$193*CHOOSE($C$188,1,Параметры!N$109,Параметры!N$118))</f>
        <v>138.21647409562772</v>
      </c>
      <c r="O212" s="82">
        <f ca="1">SUM(O$193*CHOOSE($C$188,1,Параметры!O$109,Параметры!O$118))</f>
        <v>140.54678576102913</v>
      </c>
      <c r="P212" s="82">
        <f ca="1">SUM(P$193*CHOOSE($C$188,1,Параметры!P$109,Параметры!P$118))</f>
        <v>142.91638617615044</v>
      </c>
      <c r="Q212" s="82">
        <f ca="1">SUM(Q$193*CHOOSE($C$188,1,Параметры!Q$109,Параметры!Q$118))</f>
        <v>145.32593774417026</v>
      </c>
      <c r="R212" s="82">
        <f ca="1">SUM(R$193*CHOOSE($C$188,1,Параметры!R$109,Параметры!R$118))</f>
        <v>147.74522674843152</v>
      </c>
      <c r="S212" s="82">
        <f ca="1">SUM(S$193*CHOOSE($C$188,1,Параметры!S$109,Параметры!S$118))</f>
        <v>150.20479045779354</v>
      </c>
      <c r="T212" s="82">
        <f ca="1">SUM(T$193*CHOOSE($C$188,1,Параметры!T$109,Параметры!T$118))</f>
        <v>152.70529933860738</v>
      </c>
      <c r="U212" s="82">
        <f ca="1">SUM(U$193*CHOOSE($C$188,1,Параметры!U$109,Параметры!U$118))</f>
        <v>155.2474350186996</v>
      </c>
      <c r="V212" s="82">
        <f ca="1">SUM(V$193*CHOOSE($C$188,1,Параметры!V$109,Параметры!V$118))</f>
        <v>157.88074689452915</v>
      </c>
      <c r="W212" s="82">
        <f ca="1">SUM(W$193*CHOOSE($C$188,1,Параметры!W$109,Параметры!W$118))</f>
        <v>160.55872508922283</v>
      </c>
      <c r="X212" s="82">
        <f ca="1">SUM(X$193*CHOOSE($C$188,1,Параметры!X$109,Параметры!X$118))</f>
        <v>163.28212723428612</v>
      </c>
      <c r="Y212" s="82">
        <f ca="1">SUM(Y$193*CHOOSE($C$188,1,Параметры!Y$109,Параметры!Y$118))</f>
        <v>166.05172381219398</v>
      </c>
      <c r="Z212" s="82">
        <f ca="1">SUM(Z$193*CHOOSE($C$188,1,Параметры!Z$109,Параметры!Z$118))</f>
        <v>168.83369438321574</v>
      </c>
      <c r="AA212" s="82">
        <f ca="1">SUM(AA$193*CHOOSE($C$188,1,Параметры!AA$109,Параметры!AA$118))</f>
        <v>171.66227308380314</v>
      </c>
      <c r="AB212" s="82">
        <f ca="1">SUM(AB$193*CHOOSE($C$188,1,Параметры!AB$109,Параметры!AB$118))</f>
        <v>174.53824076971509</v>
      </c>
      <c r="AC212" s="82">
        <f ca="1">SUM(AC$193*CHOOSE($C$188,1,Параметры!AC$109,Параметры!AC$118))</f>
        <v>177.46239137888568</v>
      </c>
      <c r="AD212" s="82">
        <f ca="1">SUM(AD$193*CHOOSE($C$188,1,Параметры!AD$109,Параметры!AD$118))</f>
        <v>180.40644162879889</v>
      </c>
      <c r="AE212" s="82">
        <f ca="1">SUM(AE$193*CHOOSE($C$188,1,Параметры!AE$109,Параметры!AE$118))</f>
        <v>183.39933282921814</v>
      </c>
      <c r="AF212" s="82">
        <f ca="1">SUM(AF$193*CHOOSE($C$188,1,Параметры!AF$109,Параметры!AF$118))</f>
        <v>186.44187523752484</v>
      </c>
      <c r="AG212" s="82">
        <f ca="1">SUM(AG$193*CHOOSE($C$188,1,Параметры!AG$109,Параметры!AG$118))</f>
        <v>189.53489255303836</v>
      </c>
      <c r="AH212" s="82">
        <f ca="1">SUM(AH$193*CHOOSE($C$188,1,Параметры!AH$109,Параметры!AH$118))</f>
        <v>192.66667871558172</v>
      </c>
      <c r="AI212" s="82">
        <f ca="1">SUM(AI$193*CHOOSE($C$188,1,Параметры!AI$109,Параметры!AI$118))</f>
        <v>195.85021305196156</v>
      </c>
      <c r="AJ212" s="82">
        <f ca="1">SUM(AJ$193*CHOOSE($C$188,1,Параметры!AJ$109,Параметры!AJ$118))</f>
        <v>199.08635062486607</v>
      </c>
      <c r="AK212" s="82">
        <f ca="1">SUM(AK$193*CHOOSE($C$188,1,Параметры!AK$109,Параметры!AK$118))</f>
        <v>202.37596062564069</v>
      </c>
      <c r="AL212" s="82">
        <f ca="1">SUM(AL$193*CHOOSE($C$188,1,Параметры!AL$109,Параметры!AL$118))</f>
        <v>205.69217048782917</v>
      </c>
      <c r="AM212" s="82">
        <f ca="1">SUM(AM$193*CHOOSE($C$188,1,Параметры!AM$109,Параметры!AM$118))</f>
        <v>209.06272103265633</v>
      </c>
      <c r="AN212" s="82">
        <f ca="1">SUM(AN$193*CHOOSE($C$188,1,Параметры!AN$109,Параметры!AN$118))</f>
        <v>212.48850270732331</v>
      </c>
      <c r="AO212" s="82">
        <f ca="1">SUM(AO$193*CHOOSE($C$188,1,Параметры!AO$109,Параметры!AO$118))</f>
        <v>215.97042055023934</v>
      </c>
      <c r="AP212" s="82">
        <f ca="1">SUM(AP$193*CHOOSE($C$188,1,Параметры!AP$109,Параметры!AP$118))</f>
        <v>219.48108015514563</v>
      </c>
      <c r="AQ212" s="82">
        <f ca="1">SUM(AQ$193*CHOOSE($C$188,1,Параметры!AQ$109,Параметры!AQ$118))</f>
        <v>223.04880651405517</v>
      </c>
      <c r="AR212" s="82">
        <f ca="1">SUM(AR$193*CHOOSE($C$188,1,Параметры!AR$109,Параметры!AR$118))</f>
        <v>226.67452726301909</v>
      </c>
      <c r="AS212" s="90"/>
      <c r="AT212" s="84">
        <f t="shared" ca="1" si="77"/>
        <v>6304.2160881401342</v>
      </c>
    </row>
    <row r="213" spans="1:46" outlineLevel="1" x14ac:dyDescent="0.2">
      <c r="A213" s="134" t="s">
        <v>485</v>
      </c>
      <c r="B213" s="26"/>
      <c r="C213" s="266" t="str">
        <f>Параметры!$B$64</f>
        <v>тыс. руб.</v>
      </c>
      <c r="E213" s="82">
        <f>SUM(E$194*CHOOSE($C$188,1,Параметры!E$109,Параметры!E$118))</f>
        <v>53.103546000000001</v>
      </c>
      <c r="F213" s="82">
        <f ca="1">SUM(F$194*CHOOSE($C$188,1,Параметры!F$109,Параметры!F$118))</f>
        <v>53.103546000000001</v>
      </c>
      <c r="G213" s="82">
        <f ca="1">SUM(G$194*CHOOSE($C$188,1,Параметры!G$109,Параметры!G$118))</f>
        <v>53.103546000000001</v>
      </c>
      <c r="H213" s="82">
        <f ca="1">SUM(H$194*CHOOSE($C$188,1,Параметры!H$109,Параметры!H$118))</f>
        <v>115.05768299999998</v>
      </c>
      <c r="I213" s="82">
        <f ca="1">SUM(I$194*CHOOSE($C$188,1,Параметры!I$109,Параметры!I$118))</f>
        <v>115.05768299999998</v>
      </c>
      <c r="J213" s="82">
        <f ca="1">SUM(J$194*CHOOSE($C$188,1,Параметры!J$109,Параметры!J$118))</f>
        <v>116.90092318229054</v>
      </c>
      <c r="K213" s="82">
        <f ca="1">SUM(K$194*CHOOSE($C$188,1,Параметры!K$109,Параметры!K$118))</f>
        <v>191.86519530268848</v>
      </c>
      <c r="L213" s="82">
        <f ca="1">SUM(L$194*CHOOSE($C$188,1,Параметры!L$109,Параметры!L$118))</f>
        <v>194.93890258014977</v>
      </c>
      <c r="M213" s="82">
        <f ca="1">SUM(M$194*CHOOSE($C$188,1,Параметры!M$109,Параметры!M$118))</f>
        <v>198.06185107831612</v>
      </c>
      <c r="N213" s="82">
        <f ca="1">SUM(N$194*CHOOSE($C$188,1,Параметры!N$109,Параметры!N$118))</f>
        <v>201.40114796791462</v>
      </c>
      <c r="O213" s="82">
        <f ca="1">SUM(O$194*CHOOSE($C$188,1,Параметры!O$109,Параметры!O$118))</f>
        <v>204.796744966071</v>
      </c>
      <c r="P213" s="82">
        <f ca="1">SUM(P$194*CHOOSE($C$188,1,Параметры!P$109,Параметры!P$118))</f>
        <v>208.24959128524776</v>
      </c>
      <c r="Q213" s="82">
        <f ca="1">SUM(Q$194*CHOOSE($C$188,1,Параметры!Q$109,Параметры!Q$118))</f>
        <v>211.7606521415052</v>
      </c>
      <c r="R213" s="82">
        <f ca="1">SUM(R$194*CHOOSE($C$188,1,Параметры!R$109,Параметры!R$118))</f>
        <v>215.28590183342874</v>
      </c>
      <c r="S213" s="82">
        <f ca="1">SUM(S$194*CHOOSE($C$188,1,Параметры!S$109,Параметры!S$118))</f>
        <v>218.86983752421341</v>
      </c>
      <c r="T213" s="82">
        <f ca="1">SUM(T$194*CHOOSE($C$188,1,Параметры!T$109,Параметры!T$118))</f>
        <v>222.51343617911357</v>
      </c>
      <c r="U213" s="82">
        <f ca="1">SUM(U$194*CHOOSE($C$188,1,Параметры!U$109,Параметры!U$118))</f>
        <v>226.21769102724795</v>
      </c>
      <c r="V213" s="82">
        <f ca="1">SUM(V$194*CHOOSE($C$188,1,Параметры!V$109,Параметры!V$118))</f>
        <v>230.05480261774241</v>
      </c>
      <c r="W213" s="82">
        <f ca="1">SUM(W$194*CHOOSE($C$188,1,Параметры!W$109,Параметры!W$118))</f>
        <v>233.95699941572468</v>
      </c>
      <c r="X213" s="82">
        <f ca="1">SUM(X$194*CHOOSE($C$188,1,Параметры!X$109,Параметры!X$118))</f>
        <v>237.92538539853118</v>
      </c>
      <c r="Y213" s="82">
        <f ca="1">SUM(Y$194*CHOOSE($C$188,1,Параметры!Y$109,Параметры!Y$118))</f>
        <v>241.96108326919691</v>
      </c>
      <c r="Z213" s="82">
        <f ca="1">SUM(Z$194*CHOOSE($C$188,1,Параметры!Z$109,Параметры!Z$118))</f>
        <v>246.01481181554288</v>
      </c>
      <c r="AA213" s="82">
        <f ca="1">SUM(AA$194*CHOOSE($C$188,1,Параметры!AA$109,Параметры!AA$118))</f>
        <v>250.13645506497025</v>
      </c>
      <c r="AB213" s="82">
        <f ca="1">SUM(AB$194*CHOOSE($C$188,1,Параметры!AB$109,Параметры!AB$118))</f>
        <v>254.3271508358705</v>
      </c>
      <c r="AC213" s="82">
        <f ca="1">SUM(AC$194*CHOOSE($C$188,1,Параметры!AC$109,Параметры!AC$118))</f>
        <v>258.58805600923336</v>
      </c>
      <c r="AD213" s="82">
        <f ca="1">SUM(AD$194*CHOOSE($C$188,1,Параметры!AD$109,Параметры!AD$118))</f>
        <v>262.87795780196404</v>
      </c>
      <c r="AE213" s="82">
        <f ca="1">SUM(AE$194*CHOOSE($C$188,1,Параметры!AE$109,Параметры!AE$118))</f>
        <v>267.23902783686066</v>
      </c>
      <c r="AF213" s="82">
        <f ca="1">SUM(AF$194*CHOOSE($C$188,1,Параметры!AF$109,Параметры!AF$118))</f>
        <v>271.67244677467903</v>
      </c>
      <c r="AG213" s="82">
        <f ca="1">SUM(AG$194*CHOOSE($C$188,1,Параметры!AG$109,Параметры!AG$118))</f>
        <v>276.17941486299873</v>
      </c>
      <c r="AH213" s="82">
        <f ca="1">SUM(AH$194*CHOOSE($C$188,1,Параметры!AH$109,Параметры!AH$118))</f>
        <v>280.74287469984762</v>
      </c>
      <c r="AI213" s="82">
        <f ca="1">SUM(AI$194*CHOOSE($C$188,1,Параметры!AI$109,Параметры!AI$118))</f>
        <v>285.38173901857255</v>
      </c>
      <c r="AJ213" s="82">
        <f ca="1">SUM(AJ$194*CHOOSE($C$188,1,Параметры!AJ$109,Параметры!AJ$118))</f>
        <v>290.09725376766193</v>
      </c>
      <c r="AK213" s="82">
        <f ca="1">SUM(AK$194*CHOOSE($C$188,1,Параметры!AK$109,Параметры!AK$118))</f>
        <v>294.89068548307637</v>
      </c>
      <c r="AL213" s="82">
        <f ca="1">SUM(AL$194*CHOOSE($C$188,1,Параметры!AL$109,Параметры!AL$118))</f>
        <v>299.72287699655101</v>
      </c>
      <c r="AM213" s="82">
        <f ca="1">SUM(AM$194*CHOOSE($C$188,1,Параметры!AM$109,Параметры!AM$118))</f>
        <v>304.63425064758491</v>
      </c>
      <c r="AN213" s="82">
        <f ca="1">SUM(AN$194*CHOOSE($C$188,1,Параметры!AN$109,Параметры!AN$118))</f>
        <v>309.62610394495675</v>
      </c>
      <c r="AO213" s="82">
        <f ca="1">SUM(AO$194*CHOOSE($C$188,1,Параметры!AO$109,Параметры!AO$118))</f>
        <v>314.69975565892008</v>
      </c>
      <c r="AP213" s="82">
        <f ca="1">SUM(AP$194*CHOOSE($C$188,1,Параметры!AP$109,Параметры!AP$118))</f>
        <v>319.8152882260693</v>
      </c>
      <c r="AQ213" s="82">
        <f ca="1">SUM(AQ$194*CHOOSE($C$188,1,Параметры!AQ$109,Параметры!AQ$118))</f>
        <v>325.01397520619463</v>
      </c>
      <c r="AR213" s="82">
        <f ca="1">SUM(AR$194*CHOOSE($C$188,1,Параметры!AR$109,Параметры!AR$118))</f>
        <v>330.29716829754204</v>
      </c>
      <c r="AS213" s="90"/>
      <c r="AT213" s="84">
        <f t="shared" ca="1" si="77"/>
        <v>9186.1434427184777</v>
      </c>
    </row>
    <row r="214" spans="1:46" outlineLevel="1" x14ac:dyDescent="0.2">
      <c r="A214" s="134" t="s">
        <v>487</v>
      </c>
      <c r="B214" s="26"/>
      <c r="C214" s="266" t="str">
        <f>Параметры!$B$64</f>
        <v>тыс. руб.</v>
      </c>
      <c r="E214" s="82">
        <f>SUM(E$195*CHOOSE($C$188,1,Параметры!E$109,Параметры!E$118))</f>
        <v>0</v>
      </c>
      <c r="F214" s="82">
        <f ca="1">SUM(F$195*CHOOSE($C$188,1,Параметры!F$109,Параметры!F$118))</f>
        <v>0</v>
      </c>
      <c r="G214" s="82">
        <f ca="1">SUM(G$195*CHOOSE($C$188,1,Параметры!G$109,Параметры!G$118))</f>
        <v>0</v>
      </c>
      <c r="H214" s="82">
        <f ca="1">SUM(H$195*CHOOSE($C$188,1,Параметры!H$109,Параметры!H$118))</f>
        <v>0</v>
      </c>
      <c r="I214" s="82">
        <f ca="1">SUM(I$195*CHOOSE($C$188,1,Параметры!I$109,Параметры!I$118))</f>
        <v>0</v>
      </c>
      <c r="J214" s="82">
        <f ca="1">SUM(J$195*CHOOSE($C$188,1,Параметры!J$109,Параметры!J$118))</f>
        <v>0</v>
      </c>
      <c r="K214" s="82">
        <f ca="1">SUM(K$195*CHOOSE($C$188,1,Параметры!K$109,Параметры!K$118))</f>
        <v>0</v>
      </c>
      <c r="L214" s="82">
        <f ca="1">SUM(L$195*CHOOSE($C$188,1,Параметры!L$109,Параметры!L$118))</f>
        <v>0</v>
      </c>
      <c r="M214" s="82">
        <f ca="1">SUM(M$195*CHOOSE($C$188,1,Параметры!M$109,Параметры!M$118))</f>
        <v>0</v>
      </c>
      <c r="N214" s="82">
        <f ca="1">SUM(N$195*CHOOSE($C$188,1,Параметры!N$109,Параметры!N$118))</f>
        <v>0</v>
      </c>
      <c r="O214" s="82">
        <f ca="1">SUM(O$195*CHOOSE($C$188,1,Параметры!O$109,Параметры!O$118))</f>
        <v>0</v>
      </c>
      <c r="P214" s="82">
        <f ca="1">SUM(P$195*CHOOSE($C$188,1,Параметры!P$109,Параметры!P$118))</f>
        <v>0</v>
      </c>
      <c r="Q214" s="82">
        <f ca="1">SUM(Q$195*CHOOSE($C$188,1,Параметры!Q$109,Параметры!Q$118))</f>
        <v>0</v>
      </c>
      <c r="R214" s="82">
        <f ca="1">SUM(R$195*CHOOSE($C$188,1,Параметры!R$109,Параметры!R$118))</f>
        <v>0</v>
      </c>
      <c r="S214" s="82">
        <f ca="1">SUM(S$195*CHOOSE($C$188,1,Параметры!S$109,Параметры!S$118))</f>
        <v>0</v>
      </c>
      <c r="T214" s="82">
        <f ca="1">SUM(T$195*CHOOSE($C$188,1,Параметры!T$109,Параметры!T$118))</f>
        <v>0</v>
      </c>
      <c r="U214" s="82">
        <f ca="1">SUM(U$195*CHOOSE($C$188,1,Параметры!U$109,Параметры!U$118))</f>
        <v>0</v>
      </c>
      <c r="V214" s="82">
        <f ca="1">SUM(V$195*CHOOSE($C$188,1,Параметры!V$109,Параметры!V$118))</f>
        <v>0</v>
      </c>
      <c r="W214" s="82">
        <f ca="1">SUM(W$195*CHOOSE($C$188,1,Параметры!W$109,Параметры!W$118))</f>
        <v>0</v>
      </c>
      <c r="X214" s="82">
        <f ca="1">SUM(X$195*CHOOSE($C$188,1,Параметры!X$109,Параметры!X$118))</f>
        <v>0</v>
      </c>
      <c r="Y214" s="82">
        <f ca="1">SUM(Y$195*CHOOSE($C$188,1,Параметры!Y$109,Параметры!Y$118))</f>
        <v>0</v>
      </c>
      <c r="Z214" s="82">
        <f ca="1">SUM(Z$195*CHOOSE($C$188,1,Параметры!Z$109,Параметры!Z$118))</f>
        <v>0</v>
      </c>
      <c r="AA214" s="82">
        <f ca="1">SUM(AA$195*CHOOSE($C$188,1,Параметры!AA$109,Параметры!AA$118))</f>
        <v>0</v>
      </c>
      <c r="AB214" s="82">
        <f ca="1">SUM(AB$195*CHOOSE($C$188,1,Параметры!AB$109,Параметры!AB$118))</f>
        <v>0</v>
      </c>
      <c r="AC214" s="82">
        <f ca="1">SUM(AC$195*CHOOSE($C$188,1,Параметры!AC$109,Параметры!AC$118))</f>
        <v>0</v>
      </c>
      <c r="AD214" s="82">
        <f ca="1">SUM(AD$195*CHOOSE($C$188,1,Параметры!AD$109,Параметры!AD$118))</f>
        <v>0</v>
      </c>
      <c r="AE214" s="82">
        <f ca="1">SUM(AE$195*CHOOSE($C$188,1,Параметры!AE$109,Параметры!AE$118))</f>
        <v>0</v>
      </c>
      <c r="AF214" s="82">
        <f ca="1">SUM(AF$195*CHOOSE($C$188,1,Параметры!AF$109,Параметры!AF$118))</f>
        <v>0</v>
      </c>
      <c r="AG214" s="82">
        <f ca="1">SUM(AG$195*CHOOSE($C$188,1,Параметры!AG$109,Параметры!AG$118))</f>
        <v>0</v>
      </c>
      <c r="AH214" s="82">
        <f ca="1">SUM(AH$195*CHOOSE($C$188,1,Параметры!AH$109,Параметры!AH$118))</f>
        <v>0</v>
      </c>
      <c r="AI214" s="82">
        <f ca="1">SUM(AI$195*CHOOSE($C$188,1,Параметры!AI$109,Параметры!AI$118))</f>
        <v>0</v>
      </c>
      <c r="AJ214" s="82">
        <f ca="1">SUM(AJ$195*CHOOSE($C$188,1,Параметры!AJ$109,Параметры!AJ$118))</f>
        <v>0</v>
      </c>
      <c r="AK214" s="82">
        <f ca="1">SUM(AK$195*CHOOSE($C$188,1,Параметры!AK$109,Параметры!AK$118))</f>
        <v>0</v>
      </c>
      <c r="AL214" s="82">
        <f ca="1">SUM(AL$195*CHOOSE($C$188,1,Параметры!AL$109,Параметры!AL$118))</f>
        <v>0</v>
      </c>
      <c r="AM214" s="82">
        <f ca="1">SUM(AM$195*CHOOSE($C$188,1,Параметры!AM$109,Параметры!AM$118))</f>
        <v>0</v>
      </c>
      <c r="AN214" s="82">
        <f ca="1">SUM(AN$195*CHOOSE($C$188,1,Параметры!AN$109,Параметры!AN$118))</f>
        <v>0</v>
      </c>
      <c r="AO214" s="82">
        <f ca="1">SUM(AO$195*CHOOSE($C$188,1,Параметры!AO$109,Параметры!AO$118))</f>
        <v>0</v>
      </c>
      <c r="AP214" s="82">
        <f ca="1">SUM(AP$195*CHOOSE($C$188,1,Параметры!AP$109,Параметры!AP$118))</f>
        <v>0</v>
      </c>
      <c r="AQ214" s="82">
        <f ca="1">SUM(AQ$195*CHOOSE($C$188,1,Параметры!AQ$109,Параметры!AQ$118))</f>
        <v>0</v>
      </c>
      <c r="AR214" s="82">
        <f ca="1">SUM(AR$195*CHOOSE($C$188,1,Параметры!AR$109,Параметры!AR$118))</f>
        <v>0</v>
      </c>
      <c r="AS214" s="90"/>
      <c r="AT214" s="84">
        <f t="shared" ca="1" si="77"/>
        <v>0</v>
      </c>
    </row>
    <row r="215" spans="1:46" outlineLevel="1" x14ac:dyDescent="0.2">
      <c r="A215" s="106" t="s">
        <v>486</v>
      </c>
      <c r="B215" s="27"/>
      <c r="C215" s="266" t="str">
        <f>Параметры!$B$64</f>
        <v>тыс. руб.</v>
      </c>
      <c r="E215" s="82">
        <f>SUM(E$196*CHOOSE($C$188,1,Параметры!E$109,Параметры!E$118))</f>
        <v>318.62127600000002</v>
      </c>
      <c r="F215" s="82">
        <f ca="1">SUM(F$196*CHOOSE($C$188,1,Параметры!F$109,Параметры!F$118))</f>
        <v>318.62127600000002</v>
      </c>
      <c r="G215" s="82">
        <f ca="1">SUM(G$196*CHOOSE($C$188,1,Параметры!G$109,Параметры!G$118))</f>
        <v>318.62127600000002</v>
      </c>
      <c r="H215" s="82">
        <f ca="1">SUM(H$196*CHOOSE($C$188,1,Параметры!H$109,Параметры!H$118))</f>
        <v>690.34609799999998</v>
      </c>
      <c r="I215" s="82">
        <f ca="1">SUM(I$196*CHOOSE($C$188,1,Параметры!I$109,Параметры!I$118))</f>
        <v>690.34609799999998</v>
      </c>
      <c r="J215" s="82">
        <f ca="1">SUM(J$196*CHOOSE($C$188,1,Параметры!J$109,Параметры!J$118))</f>
        <v>701.4055390937433</v>
      </c>
      <c r="K215" s="82">
        <f ca="1">SUM(K$196*CHOOSE($C$188,1,Параметры!K$109,Параметры!K$118))</f>
        <v>1151.1911718161309</v>
      </c>
      <c r="L215" s="82">
        <f ca="1">SUM(L$196*CHOOSE($C$188,1,Параметры!L$109,Параметры!L$118))</f>
        <v>1169.6334154808987</v>
      </c>
      <c r="M215" s="82">
        <f ca="1">SUM(M$196*CHOOSE($C$188,1,Параметры!M$109,Параметры!M$118))</f>
        <v>1188.3711064698969</v>
      </c>
      <c r="N215" s="82">
        <f ca="1">SUM(N$196*CHOOSE($C$188,1,Параметры!N$109,Параметры!N$118))</f>
        <v>1208.4068878074879</v>
      </c>
      <c r="O215" s="82">
        <f ca="1">SUM(O$196*CHOOSE($C$188,1,Параметры!O$109,Параметры!O$118))</f>
        <v>1228.7804697964261</v>
      </c>
      <c r="P215" s="82">
        <f ca="1">SUM(P$196*CHOOSE($C$188,1,Параметры!P$109,Параметры!P$118))</f>
        <v>1249.4975477114867</v>
      </c>
      <c r="Q215" s="82">
        <f ca="1">SUM(Q$196*CHOOSE($C$188,1,Параметры!Q$109,Параметры!Q$118))</f>
        <v>1270.5639128490313</v>
      </c>
      <c r="R215" s="82">
        <f ca="1">SUM(R$196*CHOOSE($C$188,1,Параметры!R$109,Параметры!R$118))</f>
        <v>1291.7154110005727</v>
      </c>
      <c r="S215" s="82">
        <f ca="1">SUM(S$196*CHOOSE($C$188,1,Параметры!S$109,Параметры!S$118))</f>
        <v>1313.2190251452805</v>
      </c>
      <c r="T215" s="82">
        <f ca="1">SUM(T$196*CHOOSE($C$188,1,Параметры!T$109,Параметры!T$118))</f>
        <v>1335.0806170746816</v>
      </c>
      <c r="U215" s="82">
        <f ca="1">SUM(U$196*CHOOSE($C$188,1,Параметры!U$109,Параметры!U$118))</f>
        <v>1357.3061461634879</v>
      </c>
      <c r="V215" s="82">
        <f ca="1">SUM(V$196*CHOOSE($C$188,1,Параметры!V$109,Параметры!V$118))</f>
        <v>1380.3288157064546</v>
      </c>
      <c r="W215" s="82">
        <f ca="1">SUM(W$196*CHOOSE($C$188,1,Параметры!W$109,Параметры!W$118))</f>
        <v>1403.7419964943483</v>
      </c>
      <c r="X215" s="82">
        <f ca="1">SUM(X$196*CHOOSE($C$188,1,Параметры!X$109,Параметры!X$118))</f>
        <v>1427.5523123911873</v>
      </c>
      <c r="Y215" s="82">
        <f ca="1">SUM(Y$196*CHOOSE($C$188,1,Параметры!Y$109,Параметры!Y$118))</f>
        <v>1451.7664996151816</v>
      </c>
      <c r="Z215" s="82">
        <f ca="1">SUM(Z$196*CHOOSE($C$188,1,Параметры!Z$109,Параметры!Z$118))</f>
        <v>1476.0888708932575</v>
      </c>
      <c r="AA215" s="82">
        <f ca="1">SUM(AA$196*CHOOSE($C$188,1,Параметры!AA$109,Параметры!AA$118))</f>
        <v>1500.8187303898219</v>
      </c>
      <c r="AB215" s="82">
        <f ca="1">SUM(AB$196*CHOOSE($C$188,1,Параметры!AB$109,Параметры!AB$118))</f>
        <v>1525.962905015223</v>
      </c>
      <c r="AC215" s="82">
        <f ca="1">SUM(AC$196*CHOOSE($C$188,1,Параметры!AC$109,Параметры!AC$118))</f>
        <v>1551.5283360554004</v>
      </c>
      <c r="AD215" s="82">
        <f ca="1">SUM(AD$196*CHOOSE($C$188,1,Параметры!AD$109,Параметры!AD$118))</f>
        <v>1577.2677468117845</v>
      </c>
      <c r="AE215" s="82">
        <f ca="1">SUM(AE$196*CHOOSE($C$188,1,Параметры!AE$109,Параметры!AE$118))</f>
        <v>1603.4341670211643</v>
      </c>
      <c r="AF215" s="82">
        <f ca="1">SUM(AF$196*CHOOSE($C$188,1,Параметры!AF$109,Параметры!AF$118))</f>
        <v>1630.0346806480741</v>
      </c>
      <c r="AG215" s="82">
        <f ca="1">SUM(AG$196*CHOOSE($C$188,1,Параметры!AG$109,Параметры!AG$118))</f>
        <v>1657.0764891779925</v>
      </c>
      <c r="AH215" s="82">
        <f ca="1">SUM(AH$196*CHOOSE($C$188,1,Параметры!AH$109,Параметры!AH$118))</f>
        <v>1684.4572481990858</v>
      </c>
      <c r="AI215" s="82">
        <f ca="1">SUM(AI$196*CHOOSE($C$188,1,Параметры!AI$109,Параметры!AI$118))</f>
        <v>1712.2904341114354</v>
      </c>
      <c r="AJ215" s="82">
        <f ca="1">SUM(AJ$196*CHOOSE($C$188,1,Параметры!AJ$109,Параметры!AJ$118))</f>
        <v>1740.5835226059717</v>
      </c>
      <c r="AK215" s="82">
        <f ca="1">SUM(AK$196*CHOOSE($C$188,1,Параметры!AK$109,Параметры!AK$118))</f>
        <v>1769.3441128984584</v>
      </c>
      <c r="AL215" s="82">
        <f ca="1">SUM(AL$196*CHOOSE($C$188,1,Параметры!AL$109,Параметры!AL$118))</f>
        <v>1798.3372619793063</v>
      </c>
      <c r="AM215" s="82">
        <f ca="1">SUM(AM$196*CHOOSE($C$188,1,Параметры!AM$109,Параметры!AM$118))</f>
        <v>1827.8055038855096</v>
      </c>
      <c r="AN215" s="82">
        <f ca="1">SUM(AN$196*CHOOSE($C$188,1,Параметры!AN$109,Параметры!AN$118))</f>
        <v>1857.7566236697407</v>
      </c>
      <c r="AO215" s="82">
        <f ca="1">SUM(AO$196*CHOOSE($C$188,1,Параметры!AO$109,Параметры!AO$118))</f>
        <v>1888.1985339535208</v>
      </c>
      <c r="AP215" s="82">
        <f ca="1">SUM(AP$196*CHOOSE($C$188,1,Параметры!AP$109,Параметры!AP$118))</f>
        <v>1918.8917293564159</v>
      </c>
      <c r="AQ215" s="82">
        <f ca="1">SUM(AQ$196*CHOOSE($C$188,1,Параметры!AQ$109,Параметры!AQ$118))</f>
        <v>1950.0838512371679</v>
      </c>
      <c r="AR215" s="82">
        <f ca="1">SUM(AR$196*CHOOSE($C$188,1,Параметры!AR$109,Параметры!AR$118))</f>
        <v>1981.7830097852525</v>
      </c>
      <c r="AS215" s="90"/>
      <c r="AT215" s="84">
        <f t="shared" ca="1" si="77"/>
        <v>55116.86065631087</v>
      </c>
    </row>
    <row r="216" spans="1:46" outlineLevel="1" x14ac:dyDescent="0.2">
      <c r="A216" s="106" t="s">
        <v>183</v>
      </c>
      <c r="B216" s="22"/>
      <c r="C216" s="266" t="str">
        <f>Параметры!$B$64</f>
        <v>тыс. руб.</v>
      </c>
      <c r="E216" s="124">
        <f t="shared" ref="E216:AR216" si="78">E209-IF(E$2=1,0,0)</f>
        <v>1359.8672760000002</v>
      </c>
      <c r="F216" s="124">
        <f t="shared" ca="1" si="78"/>
        <v>1359.8672760000002</v>
      </c>
      <c r="G216" s="124">
        <f t="shared" ca="1" si="78"/>
        <v>1359.8672760000002</v>
      </c>
      <c r="H216" s="124">
        <f t="shared" ca="1" si="78"/>
        <v>2946.3790979999999</v>
      </c>
      <c r="I216" s="124">
        <f t="shared" ca="1" si="78"/>
        <v>2946.3790979999999</v>
      </c>
      <c r="J216" s="124">
        <f t="shared" ca="1" si="78"/>
        <v>2993.5805034523814</v>
      </c>
      <c r="K216" s="124">
        <f t="shared" ca="1" si="78"/>
        <v>4913.2538248100227</v>
      </c>
      <c r="L216" s="124">
        <f t="shared" ca="1" si="78"/>
        <v>4991.9648386210902</v>
      </c>
      <c r="M216" s="124">
        <f t="shared" ca="1" si="78"/>
        <v>5071.9368138878599</v>
      </c>
      <c r="N216" s="124">
        <f t="shared" ca="1" si="78"/>
        <v>5157.449004825422</v>
      </c>
      <c r="O216" s="124">
        <f t="shared" ca="1" si="78"/>
        <v>5244.4029201115445</v>
      </c>
      <c r="P216" s="124">
        <f t="shared" ca="1" si="78"/>
        <v>5332.8228670300705</v>
      </c>
      <c r="Q216" s="124">
        <f t="shared" ca="1" si="78"/>
        <v>5422.733562682467</v>
      </c>
      <c r="R216" s="124">
        <f t="shared" ca="1" si="78"/>
        <v>5513.0076038129009</v>
      </c>
      <c r="S216" s="124">
        <f t="shared" ca="1" si="78"/>
        <v>5604.7844667965237</v>
      </c>
      <c r="T216" s="124">
        <f t="shared" ca="1" si="78"/>
        <v>5698.0891696063209</v>
      </c>
      <c r="U216" s="124">
        <f t="shared" ca="1" si="78"/>
        <v>5792.947146697762</v>
      </c>
      <c r="V216" s="124">
        <f t="shared" ca="1" si="78"/>
        <v>5891.2072984072865</v>
      </c>
      <c r="W216" s="124">
        <f t="shared" ca="1" si="78"/>
        <v>5991.1341419007149</v>
      </c>
      <c r="X216" s="124">
        <f t="shared" ca="1" si="78"/>
        <v>6092.7559476565048</v>
      </c>
      <c r="Y216" s="124">
        <f t="shared" ca="1" si="78"/>
        <v>6196.1014656778661</v>
      </c>
      <c r="Z216" s="124">
        <f t="shared" ca="1" si="78"/>
        <v>6299.908710413707</v>
      </c>
      <c r="AA216" s="124">
        <f t="shared" ca="1" si="78"/>
        <v>6405.4551042127687</v>
      </c>
      <c r="AB216" s="124">
        <f t="shared" ca="1" si="78"/>
        <v>6512.7697841499394</v>
      </c>
      <c r="AC216" s="124">
        <f t="shared" ca="1" si="78"/>
        <v>6621.8823754521336</v>
      </c>
      <c r="AD216" s="124">
        <f t="shared" ca="1" si="78"/>
        <v>6731.7375076346098</v>
      </c>
      <c r="AE216" s="124">
        <f t="shared" ca="1" si="78"/>
        <v>6843.415104998825</v>
      </c>
      <c r="AF216" s="124">
        <f t="shared" ca="1" si="78"/>
        <v>6956.9454017202115</v>
      </c>
      <c r="AG216" s="124">
        <f t="shared" ca="1" si="78"/>
        <v>7072.3591335505171</v>
      </c>
      <c r="AH216" s="124">
        <f t="shared" ca="1" si="78"/>
        <v>7189.2194972157067</v>
      </c>
      <c r="AI216" s="124">
        <f t="shared" ca="1" si="78"/>
        <v>7308.0108070246224</v>
      </c>
      <c r="AJ216" s="124">
        <f t="shared" ca="1" si="78"/>
        <v>7428.7649690307162</v>
      </c>
      <c r="AK216" s="124">
        <f t="shared" ca="1" si="78"/>
        <v>7551.5144164881922</v>
      </c>
      <c r="AL216" s="124">
        <f t="shared" ca="1" si="78"/>
        <v>7675.2564187744247</v>
      </c>
      <c r="AM216" s="124">
        <f t="shared" ca="1" si="78"/>
        <v>7801.0261048185475</v>
      </c>
      <c r="AN216" s="124">
        <f t="shared" ca="1" si="78"/>
        <v>7928.8567010218339</v>
      </c>
      <c r="AO216" s="124">
        <f t="shared" ca="1" si="78"/>
        <v>8058.781978246072</v>
      </c>
      <c r="AP216" s="124">
        <f t="shared" ca="1" si="78"/>
        <v>8189.7797337891479</v>
      </c>
      <c r="AQ216" s="124">
        <f t="shared" ca="1" si="78"/>
        <v>8322.9068944958872</v>
      </c>
      <c r="AR216" s="124">
        <f t="shared" ca="1" si="78"/>
        <v>8458.1980744429402</v>
      </c>
      <c r="AS216" s="124"/>
      <c r="AT216" s="84">
        <f ca="1">SUM(E216:AS216)</f>
        <v>235237.32031745758</v>
      </c>
    </row>
    <row r="217" spans="1:46" x14ac:dyDescent="0.2">
      <c r="A217" s="135" t="s">
        <v>215</v>
      </c>
      <c r="B217" s="28"/>
      <c r="C217" s="266" t="str">
        <f>Параметры!$B$64</f>
        <v>тыс. руб.</v>
      </c>
      <c r="E217" s="136">
        <f t="shared" ref="E217:AR217" si="79">E201+E209</f>
        <v>1359.8672760000002</v>
      </c>
      <c r="F217" s="136">
        <f t="shared" ca="1" si="79"/>
        <v>1359.8672760000002</v>
      </c>
      <c r="G217" s="136">
        <f t="shared" ca="1" si="79"/>
        <v>1359.8672760000002</v>
      </c>
      <c r="H217" s="136">
        <f t="shared" ca="1" si="79"/>
        <v>2946.3790979999999</v>
      </c>
      <c r="I217" s="136">
        <f t="shared" ca="1" si="79"/>
        <v>2946.3790979999999</v>
      </c>
      <c r="J217" s="136">
        <f t="shared" ca="1" si="79"/>
        <v>2993.5805034523814</v>
      </c>
      <c r="K217" s="136">
        <f t="shared" ca="1" si="79"/>
        <v>6793.9646231118322</v>
      </c>
      <c r="L217" s="136">
        <f t="shared" ca="1" si="79"/>
        <v>6902.8048870895109</v>
      </c>
      <c r="M217" s="136">
        <f t="shared" ca="1" si="79"/>
        <v>7013.3887873267058</v>
      </c>
      <c r="N217" s="136">
        <f t="shared" ca="1" si="79"/>
        <v>7131.6336044662003</v>
      </c>
      <c r="O217" s="136">
        <f t="shared" ca="1" si="79"/>
        <v>7251.872013748427</v>
      </c>
      <c r="P217" s="136">
        <f t="shared" ca="1" si="79"/>
        <v>8394.795006798995</v>
      </c>
      <c r="Q217" s="136">
        <f t="shared" ca="1" si="79"/>
        <v>8536.3301520195455</v>
      </c>
      <c r="R217" s="136">
        <f t="shared" ca="1" si="79"/>
        <v>8678.4372665105584</v>
      </c>
      <c r="S217" s="136">
        <f t="shared" ca="1" si="79"/>
        <v>8822.9100851893563</v>
      </c>
      <c r="T217" s="136">
        <f t="shared" ca="1" si="79"/>
        <v>8969.7879907168608</v>
      </c>
      <c r="U217" s="136">
        <f t="shared" ca="1" si="79"/>
        <v>9119.1110213701832</v>
      </c>
      <c r="V217" s="136">
        <f t="shared" ca="1" si="79"/>
        <v>9273.7896693406947</v>
      </c>
      <c r="W217" s="136">
        <f t="shared" ca="1" si="79"/>
        <v>9431.091981403235</v>
      </c>
      <c r="X217" s="136">
        <f t="shared" ca="1" si="79"/>
        <v>9591.0624602306525</v>
      </c>
      <c r="Y217" s="136">
        <f t="shared" ca="1" si="79"/>
        <v>9753.7463633515417</v>
      </c>
      <c r="Z217" s="136">
        <f t="shared" ca="1" si="79"/>
        <v>9917.1571049993909</v>
      </c>
      <c r="AA217" s="136">
        <f t="shared" ca="1" si="79"/>
        <v>10083.305571157513</v>
      </c>
      <c r="AB217" s="136">
        <f t="shared" ca="1" si="79"/>
        <v>10252.237628672956</v>
      </c>
      <c r="AC217" s="136">
        <f t="shared" ca="1" si="79"/>
        <v>10423.999912829357</v>
      </c>
      <c r="AD217" s="136">
        <f t="shared" ca="1" si="79"/>
        <v>10596.931086076873</v>
      </c>
      <c r="AE217" s="136">
        <f t="shared" ca="1" si="79"/>
        <v>10772.731137963188</v>
      </c>
      <c r="AF217" s="136">
        <f t="shared" ca="1" si="79"/>
        <v>10951.447662363311</v>
      </c>
      <c r="AG217" s="136">
        <f t="shared" ca="1" si="79"/>
        <v>11133.129042721001</v>
      </c>
      <c r="AH217" s="136">
        <f t="shared" ca="1" si="79"/>
        <v>11317.087674359482</v>
      </c>
      <c r="AI217" s="136">
        <f t="shared" ca="1" si="79"/>
        <v>11504.08595262601</v>
      </c>
      <c r="AJ217" s="136">
        <f t="shared" ca="1" si="79"/>
        <v>11694.174103223726</v>
      </c>
      <c r="AK217" s="136">
        <f t="shared" ca="1" si="79"/>
        <v>11887.403181761869</v>
      </c>
      <c r="AL217" s="136">
        <f t="shared" ca="1" si="79"/>
        <v>12082.194715031432</v>
      </c>
      <c r="AM217" s="136">
        <f t="shared" ca="1" si="79"/>
        <v>12280.178176836882</v>
      </c>
      <c r="AN217" s="136">
        <f t="shared" ca="1" si="79"/>
        <v>12481.405871339537</v>
      </c>
      <c r="AO217" s="136">
        <f t="shared" ca="1" si="79"/>
        <v>12685.93095977669</v>
      </c>
      <c r="AP217" s="136">
        <f t="shared" ca="1" si="79"/>
        <v>12892.144316483835</v>
      </c>
      <c r="AQ217" s="136">
        <f t="shared" ca="1" si="79"/>
        <v>13101.709728993525</v>
      </c>
      <c r="AR217" s="136">
        <f t="shared" ca="1" si="79"/>
        <v>13314.681685910587</v>
      </c>
      <c r="AS217" s="136"/>
      <c r="AT217" s="137">
        <f ca="1">SUM(E217:AS217)</f>
        <v>358002.60195325379</v>
      </c>
    </row>
    <row r="218" spans="1:46" s="60" customFormat="1" x14ac:dyDescent="0.2">
      <c r="A218" s="135" t="s">
        <v>482</v>
      </c>
      <c r="B218" s="28"/>
      <c r="C218" s="224" t="s">
        <v>368</v>
      </c>
      <c r="D218" s="169"/>
      <c r="E218" s="136">
        <f t="shared" ref="E218:AR218" si="80">SUM(E$174,E$189)</f>
        <v>6</v>
      </c>
      <c r="F218" s="136">
        <f t="shared" si="80"/>
        <v>6</v>
      </c>
      <c r="G218" s="136">
        <f t="shared" si="80"/>
        <v>6</v>
      </c>
      <c r="H218" s="136">
        <f t="shared" si="80"/>
        <v>13</v>
      </c>
      <c r="I218" s="136">
        <f t="shared" si="80"/>
        <v>13</v>
      </c>
      <c r="J218" s="136">
        <f t="shared" si="80"/>
        <v>13</v>
      </c>
      <c r="K218" s="136">
        <f t="shared" si="80"/>
        <v>33</v>
      </c>
      <c r="L218" s="136">
        <f t="shared" si="80"/>
        <v>33</v>
      </c>
      <c r="M218" s="136">
        <f t="shared" si="80"/>
        <v>33</v>
      </c>
      <c r="N218" s="136">
        <f t="shared" si="80"/>
        <v>33</v>
      </c>
      <c r="O218" s="136">
        <f t="shared" si="80"/>
        <v>33</v>
      </c>
      <c r="P218" s="136">
        <f t="shared" si="80"/>
        <v>39</v>
      </c>
      <c r="Q218" s="136">
        <f t="shared" si="80"/>
        <v>39</v>
      </c>
      <c r="R218" s="136">
        <f t="shared" si="80"/>
        <v>39</v>
      </c>
      <c r="S218" s="136">
        <f t="shared" si="80"/>
        <v>39</v>
      </c>
      <c r="T218" s="136">
        <f t="shared" si="80"/>
        <v>39</v>
      </c>
      <c r="U218" s="136">
        <f t="shared" si="80"/>
        <v>39</v>
      </c>
      <c r="V218" s="136">
        <f t="shared" si="80"/>
        <v>39</v>
      </c>
      <c r="W218" s="136">
        <f t="shared" si="80"/>
        <v>39</v>
      </c>
      <c r="X218" s="136">
        <f t="shared" si="80"/>
        <v>39</v>
      </c>
      <c r="Y218" s="136">
        <f t="shared" si="80"/>
        <v>39</v>
      </c>
      <c r="Z218" s="136">
        <f t="shared" si="80"/>
        <v>39</v>
      </c>
      <c r="AA218" s="136">
        <f t="shared" si="80"/>
        <v>39</v>
      </c>
      <c r="AB218" s="136">
        <f t="shared" si="80"/>
        <v>39</v>
      </c>
      <c r="AC218" s="136">
        <f t="shared" si="80"/>
        <v>39</v>
      </c>
      <c r="AD218" s="136">
        <f t="shared" si="80"/>
        <v>39</v>
      </c>
      <c r="AE218" s="136">
        <f t="shared" si="80"/>
        <v>39</v>
      </c>
      <c r="AF218" s="136">
        <f t="shared" si="80"/>
        <v>39</v>
      </c>
      <c r="AG218" s="136">
        <f t="shared" si="80"/>
        <v>39</v>
      </c>
      <c r="AH218" s="136">
        <f t="shared" si="80"/>
        <v>39</v>
      </c>
      <c r="AI218" s="136">
        <f t="shared" si="80"/>
        <v>39</v>
      </c>
      <c r="AJ218" s="136">
        <f t="shared" si="80"/>
        <v>39</v>
      </c>
      <c r="AK218" s="136">
        <f t="shared" si="80"/>
        <v>39</v>
      </c>
      <c r="AL218" s="136">
        <f t="shared" si="80"/>
        <v>39</v>
      </c>
      <c r="AM218" s="136">
        <f t="shared" si="80"/>
        <v>39</v>
      </c>
      <c r="AN218" s="136">
        <f t="shared" si="80"/>
        <v>39</v>
      </c>
      <c r="AO218" s="136">
        <f t="shared" si="80"/>
        <v>39</v>
      </c>
      <c r="AP218" s="136">
        <f t="shared" si="80"/>
        <v>39</v>
      </c>
      <c r="AQ218" s="136">
        <f t="shared" si="80"/>
        <v>39</v>
      </c>
      <c r="AR218" s="136">
        <f t="shared" si="80"/>
        <v>39</v>
      </c>
      <c r="AS218" s="136"/>
      <c r="AT218" s="137"/>
    </row>
    <row r="219" spans="1:46" x14ac:dyDescent="0.2">
      <c r="A219" s="207" t="s">
        <v>488</v>
      </c>
      <c r="B219" s="27"/>
      <c r="C219" s="266" t="str">
        <f>Параметры!$B$64</f>
        <v>тыс. руб.</v>
      </c>
      <c r="E219" s="395">
        <f>IFERROR(E222/E218/Параметры!E$40,0)</f>
        <v>57.847000000000008</v>
      </c>
      <c r="F219" s="395">
        <f ca="1">IFERROR(F222/F218/Параметры!F$40,0)</f>
        <v>57.847000000000008</v>
      </c>
      <c r="G219" s="395">
        <f ca="1">IFERROR(G222/G218/Параметры!G$40,0)</f>
        <v>57.847000000000008</v>
      </c>
      <c r="H219" s="395">
        <f ca="1">IFERROR(H222/H218/Параметры!H$40,0)</f>
        <v>57.847000000000001</v>
      </c>
      <c r="I219" s="395">
        <f ca="1">IFERROR(I222/I218/Параметры!I$40,0)</f>
        <v>57.847000000000001</v>
      </c>
      <c r="J219" s="395">
        <f ca="1">IFERROR(J222/J218/Параметры!J$40,0)</f>
        <v>58.773717034836871</v>
      </c>
      <c r="K219" s="395">
        <f ca="1">IFERROR(K222/K218/Параметры!K$40,0)</f>
        <v>52.54663498005965</v>
      </c>
      <c r="L219" s="395">
        <f ca="1">IFERROR(L222/L218/Параметры!L$40,0)</f>
        <v>53.38843942556894</v>
      </c>
      <c r="M219" s="395">
        <f ca="1">IFERROR(M222/M218/Параметры!M$40,0)</f>
        <v>54.243729696093453</v>
      </c>
      <c r="N219" s="395">
        <f ca="1">IFERROR(N222/N218/Параметры!N$40,0)</f>
        <v>55.158271880104259</v>
      </c>
      <c r="O219" s="395">
        <f ca="1">IFERROR(O222/O218/Параметры!O$40,0)</f>
        <v>56.088233125654909</v>
      </c>
      <c r="P219" s="395">
        <f ca="1">IFERROR(P222/P218/Параметры!P$40,0)</f>
        <v>54.939038800532678</v>
      </c>
      <c r="Q219" s="395">
        <f ca="1">IFERROR(Q222/Q218/Параметры!Q$40,0)</f>
        <v>55.86530380505193</v>
      </c>
      <c r="R219" s="395">
        <f ca="1">IFERROR(R222/R218/Параметры!R$40,0)</f>
        <v>56.795312014964189</v>
      </c>
      <c r="S219" s="395">
        <f ca="1">IFERROR(S222/S218/Параметры!S$40,0)</f>
        <v>57.740802379480357</v>
      </c>
      <c r="T219" s="395">
        <f ca="1">IFERROR(T222/T218/Параметры!T$40,0)</f>
        <v>58.702032635154382</v>
      </c>
      <c r="U219" s="395">
        <f ca="1">IFERROR(U222/U218/Параметры!U$40,0)</f>
        <v>59.679264809166007</v>
      </c>
      <c r="V219" s="395">
        <f ca="1">IFERROR(V222/V218/Параметры!V$40,0)</f>
        <v>60.691546375968215</v>
      </c>
      <c r="W219" s="395">
        <f ca="1">IFERROR(W222/W218/Параметры!W$40,0)</f>
        <v>61.720998294546114</v>
      </c>
      <c r="X219" s="395">
        <f ca="1">IFERROR(X222/X218/Параметры!X$40,0)</f>
        <v>62.767911808946565</v>
      </c>
      <c r="Y219" s="395">
        <f ca="1">IFERROR(Y222/Y218/Параметры!Y$40,0)</f>
        <v>63.832583103307172</v>
      </c>
      <c r="Z219" s="395">
        <f ca="1">IFERROR(Z222/Z218/Параметры!Z$40,0)</f>
        <v>64.902011132049253</v>
      </c>
      <c r="AA219" s="395">
        <f ca="1">IFERROR(AA222/AA218/Параметры!AA$40,0)</f>
        <v>65.98935597150242</v>
      </c>
      <c r="AB219" s="395">
        <f ca="1">IFERROR(AB222/AB218/Параметры!AB$40,0)</f>
        <v>67.094917793438285</v>
      </c>
      <c r="AC219" s="395">
        <f ca="1">IFERROR(AC222/AC218/Параметры!AC$40,0)</f>
        <v>68.219001798597887</v>
      </c>
      <c r="AD219" s="395">
        <f ca="1">IFERROR(AD222/AD218/Параметры!AD$40,0)</f>
        <v>69.350735501347316</v>
      </c>
      <c r="AE219" s="395">
        <f ca="1">IFERROR(AE222/AE218/Параметры!AE$40,0)</f>
        <v>70.501244342110638</v>
      </c>
      <c r="AF219" s="395">
        <f ca="1">IFERROR(AF222/AF218/Параметры!AF$40,0)</f>
        <v>71.670839795050526</v>
      </c>
      <c r="AG219" s="395">
        <f ca="1">IFERROR(AG222/AG218/Параметры!AG$40,0)</f>
        <v>72.85983850159684</v>
      </c>
      <c r="AH219" s="395">
        <f ca="1">IFERROR(AH222/AH218/Параметры!AH$40,0)</f>
        <v>74.063740490042548</v>
      </c>
      <c r="AI219" s="395">
        <f ca="1">IFERROR(AI222/AI218/Параметры!AI$40,0)</f>
        <v>75.287535193426848</v>
      </c>
      <c r="AJ219" s="395">
        <f ca="1">IFERROR(AJ222/AJ218/Параметры!AJ$40,0)</f>
        <v>76.5315513096931</v>
      </c>
      <c r="AK219" s="395">
        <f ca="1">IFERROR(AK222/AK218/Параметры!AK$40,0)</f>
        <v>77.796122968036215</v>
      </c>
      <c r="AL219" s="395">
        <f ca="1">IFERROR(AL222/AL218/Параметры!AL$40,0)</f>
        <v>79.070919981619554</v>
      </c>
      <c r="AM219" s="395">
        <f ca="1">IFERROR(AM222/AM218/Параметры!AM$40,0)</f>
        <v>80.366606306441554</v>
      </c>
      <c r="AN219" s="395">
        <f ca="1">IFERROR(AN222/AN218/Параметры!AN$40,0)</f>
        <v>81.683524242742493</v>
      </c>
      <c r="AO219" s="395">
        <f ca="1">IFERROR(AO222/AO218/Параметры!AO$40,0)</f>
        <v>83.022021699825203</v>
      </c>
      <c r="AP219" s="395">
        <f ca="1">IFERROR(AP222/AP218/Параметры!AP$40,0)</f>
        <v>84.371567888403504</v>
      </c>
      <c r="AQ219" s="395">
        <f ca="1">IFERROR(AQ222/AQ218/Параметры!AQ$40,0)</f>
        <v>85.743051327819828</v>
      </c>
      <c r="AR219" s="395">
        <f ca="1">IFERROR(AR222/AR218/Параметры!AR$40,0)</f>
        <v>87.136828614223575</v>
      </c>
      <c r="AS219" s="131"/>
      <c r="AT219" s="84"/>
    </row>
    <row r="220" spans="1:46" s="104" customFormat="1" x14ac:dyDescent="0.2">
      <c r="A220" s="138" t="s">
        <v>400</v>
      </c>
      <c r="B220" s="38"/>
      <c r="C220" s="266" t="s">
        <v>368</v>
      </c>
      <c r="D220" s="40"/>
      <c r="E220" s="140">
        <f>E218</f>
        <v>6</v>
      </c>
      <c r="F220" s="140">
        <f>F218-E218</f>
        <v>0</v>
      </c>
      <c r="G220" s="140">
        <f t="shared" ref="G220:AR220" si="81">G218-F218</f>
        <v>0</v>
      </c>
      <c r="H220" s="140">
        <f t="shared" si="81"/>
        <v>7</v>
      </c>
      <c r="I220" s="140">
        <f t="shared" si="81"/>
        <v>0</v>
      </c>
      <c r="J220" s="140">
        <f t="shared" si="81"/>
        <v>0</v>
      </c>
      <c r="K220" s="140">
        <f t="shared" si="81"/>
        <v>20</v>
      </c>
      <c r="L220" s="140">
        <f t="shared" si="81"/>
        <v>0</v>
      </c>
      <c r="M220" s="140">
        <f t="shared" si="81"/>
        <v>0</v>
      </c>
      <c r="N220" s="140">
        <f t="shared" si="81"/>
        <v>0</v>
      </c>
      <c r="O220" s="140">
        <f t="shared" si="81"/>
        <v>0</v>
      </c>
      <c r="P220" s="140">
        <f t="shared" si="81"/>
        <v>6</v>
      </c>
      <c r="Q220" s="140">
        <f t="shared" si="81"/>
        <v>0</v>
      </c>
      <c r="R220" s="140">
        <f t="shared" si="81"/>
        <v>0</v>
      </c>
      <c r="S220" s="140">
        <f t="shared" si="81"/>
        <v>0</v>
      </c>
      <c r="T220" s="140">
        <f t="shared" si="81"/>
        <v>0</v>
      </c>
      <c r="U220" s="140">
        <f t="shared" si="81"/>
        <v>0</v>
      </c>
      <c r="V220" s="140">
        <f t="shared" si="81"/>
        <v>0</v>
      </c>
      <c r="W220" s="140">
        <f t="shared" si="81"/>
        <v>0</v>
      </c>
      <c r="X220" s="140">
        <f t="shared" si="81"/>
        <v>0</v>
      </c>
      <c r="Y220" s="140">
        <f t="shared" si="81"/>
        <v>0</v>
      </c>
      <c r="Z220" s="140">
        <f t="shared" si="81"/>
        <v>0</v>
      </c>
      <c r="AA220" s="140">
        <f t="shared" si="81"/>
        <v>0</v>
      </c>
      <c r="AB220" s="140">
        <f t="shared" si="81"/>
        <v>0</v>
      </c>
      <c r="AC220" s="140">
        <f t="shared" si="81"/>
        <v>0</v>
      </c>
      <c r="AD220" s="140">
        <f t="shared" si="81"/>
        <v>0</v>
      </c>
      <c r="AE220" s="140">
        <f t="shared" si="81"/>
        <v>0</v>
      </c>
      <c r="AF220" s="140">
        <f t="shared" si="81"/>
        <v>0</v>
      </c>
      <c r="AG220" s="140">
        <f t="shared" si="81"/>
        <v>0</v>
      </c>
      <c r="AH220" s="140">
        <f t="shared" si="81"/>
        <v>0</v>
      </c>
      <c r="AI220" s="140">
        <f t="shared" si="81"/>
        <v>0</v>
      </c>
      <c r="AJ220" s="140">
        <f t="shared" si="81"/>
        <v>0</v>
      </c>
      <c r="AK220" s="140">
        <f t="shared" si="81"/>
        <v>0</v>
      </c>
      <c r="AL220" s="140">
        <f t="shared" si="81"/>
        <v>0</v>
      </c>
      <c r="AM220" s="140">
        <f t="shared" si="81"/>
        <v>0</v>
      </c>
      <c r="AN220" s="140">
        <f t="shared" si="81"/>
        <v>0</v>
      </c>
      <c r="AO220" s="140">
        <f t="shared" si="81"/>
        <v>0</v>
      </c>
      <c r="AP220" s="140">
        <f t="shared" si="81"/>
        <v>0</v>
      </c>
      <c r="AQ220" s="140">
        <f t="shared" si="81"/>
        <v>0</v>
      </c>
      <c r="AR220" s="140">
        <f t="shared" si="81"/>
        <v>0</v>
      </c>
      <c r="AS220" s="140"/>
      <c r="AT220" s="84"/>
    </row>
    <row r="221" spans="1:46" s="104" customFormat="1" collapsed="1" x14ac:dyDescent="0.2">
      <c r="A221" s="138" t="s">
        <v>403</v>
      </c>
      <c r="B221" s="38"/>
      <c r="C221" s="266" t="s">
        <v>368</v>
      </c>
      <c r="D221" s="40"/>
      <c r="E221" s="140">
        <f>E220</f>
        <v>6</v>
      </c>
      <c r="F221" s="140">
        <f>E221+F220</f>
        <v>6</v>
      </c>
      <c r="G221" s="140">
        <f t="shared" ref="G221:AR221" si="82">F221+G220</f>
        <v>6</v>
      </c>
      <c r="H221" s="140">
        <f t="shared" si="82"/>
        <v>13</v>
      </c>
      <c r="I221" s="140">
        <f t="shared" si="82"/>
        <v>13</v>
      </c>
      <c r="J221" s="140">
        <f t="shared" si="82"/>
        <v>13</v>
      </c>
      <c r="K221" s="140">
        <f t="shared" si="82"/>
        <v>33</v>
      </c>
      <c r="L221" s="140">
        <f t="shared" si="82"/>
        <v>33</v>
      </c>
      <c r="M221" s="140">
        <f t="shared" si="82"/>
        <v>33</v>
      </c>
      <c r="N221" s="140">
        <f t="shared" si="82"/>
        <v>33</v>
      </c>
      <c r="O221" s="140">
        <f t="shared" si="82"/>
        <v>33</v>
      </c>
      <c r="P221" s="140">
        <f t="shared" si="82"/>
        <v>39</v>
      </c>
      <c r="Q221" s="140">
        <f t="shared" si="82"/>
        <v>39</v>
      </c>
      <c r="R221" s="140">
        <f t="shared" si="82"/>
        <v>39</v>
      </c>
      <c r="S221" s="140">
        <f t="shared" si="82"/>
        <v>39</v>
      </c>
      <c r="T221" s="140">
        <f t="shared" si="82"/>
        <v>39</v>
      </c>
      <c r="U221" s="140">
        <f t="shared" si="82"/>
        <v>39</v>
      </c>
      <c r="V221" s="140">
        <f t="shared" si="82"/>
        <v>39</v>
      </c>
      <c r="W221" s="140">
        <f t="shared" si="82"/>
        <v>39</v>
      </c>
      <c r="X221" s="140">
        <f t="shared" si="82"/>
        <v>39</v>
      </c>
      <c r="Y221" s="140">
        <f t="shared" si="82"/>
        <v>39</v>
      </c>
      <c r="Z221" s="140">
        <f t="shared" si="82"/>
        <v>39</v>
      </c>
      <c r="AA221" s="140">
        <f t="shared" si="82"/>
        <v>39</v>
      </c>
      <c r="AB221" s="140">
        <f t="shared" si="82"/>
        <v>39</v>
      </c>
      <c r="AC221" s="140">
        <f t="shared" si="82"/>
        <v>39</v>
      </c>
      <c r="AD221" s="140">
        <f t="shared" si="82"/>
        <v>39</v>
      </c>
      <c r="AE221" s="140">
        <f t="shared" si="82"/>
        <v>39</v>
      </c>
      <c r="AF221" s="140">
        <f t="shared" si="82"/>
        <v>39</v>
      </c>
      <c r="AG221" s="140">
        <f t="shared" si="82"/>
        <v>39</v>
      </c>
      <c r="AH221" s="140">
        <f t="shared" si="82"/>
        <v>39</v>
      </c>
      <c r="AI221" s="140">
        <f t="shared" si="82"/>
        <v>39</v>
      </c>
      <c r="AJ221" s="140">
        <f t="shared" si="82"/>
        <v>39</v>
      </c>
      <c r="AK221" s="140">
        <f t="shared" si="82"/>
        <v>39</v>
      </c>
      <c r="AL221" s="140">
        <f t="shared" si="82"/>
        <v>39</v>
      </c>
      <c r="AM221" s="140">
        <f t="shared" si="82"/>
        <v>39</v>
      </c>
      <c r="AN221" s="140">
        <f t="shared" si="82"/>
        <v>39</v>
      </c>
      <c r="AO221" s="140">
        <f t="shared" si="82"/>
        <v>39</v>
      </c>
      <c r="AP221" s="140">
        <f t="shared" si="82"/>
        <v>39</v>
      </c>
      <c r="AQ221" s="140">
        <f t="shared" si="82"/>
        <v>39</v>
      </c>
      <c r="AR221" s="140">
        <f t="shared" si="82"/>
        <v>39</v>
      </c>
      <c r="AS221" s="140"/>
      <c r="AT221" s="84"/>
    </row>
    <row r="222" spans="1:46" outlineLevel="1" x14ac:dyDescent="0.2">
      <c r="A222" s="106" t="s">
        <v>75</v>
      </c>
      <c r="B222" s="27"/>
      <c r="C222" s="266" t="str">
        <f>Параметры!$B$64</f>
        <v>тыс. руб.</v>
      </c>
      <c r="E222" s="131">
        <f t="shared" ref="E222:AR222" si="83">E202+E210</f>
        <v>1041.2460000000001</v>
      </c>
      <c r="F222" s="131">
        <f t="shared" ca="1" si="83"/>
        <v>1041.2460000000001</v>
      </c>
      <c r="G222" s="131">
        <f t="shared" ca="1" si="83"/>
        <v>1041.2460000000001</v>
      </c>
      <c r="H222" s="131">
        <f t="shared" ca="1" si="83"/>
        <v>2256.0329999999999</v>
      </c>
      <c r="I222" s="131">
        <f t="shared" ca="1" si="83"/>
        <v>2256.0329999999999</v>
      </c>
      <c r="J222" s="131">
        <f t="shared" ca="1" si="83"/>
        <v>2292.1749643586381</v>
      </c>
      <c r="K222" s="131">
        <f t="shared" ca="1" si="83"/>
        <v>5202.1168630259053</v>
      </c>
      <c r="L222" s="131">
        <f t="shared" ca="1" si="83"/>
        <v>5285.4555031313248</v>
      </c>
      <c r="M222" s="131">
        <f t="shared" ca="1" si="83"/>
        <v>5370.1292399132517</v>
      </c>
      <c r="N222" s="131">
        <f t="shared" ca="1" si="83"/>
        <v>5460.668916130322</v>
      </c>
      <c r="O222" s="131">
        <f t="shared" ca="1" si="83"/>
        <v>5552.7350794398362</v>
      </c>
      <c r="P222" s="131">
        <f t="shared" ca="1" si="83"/>
        <v>6427.8675396623239</v>
      </c>
      <c r="Q222" s="131">
        <f t="shared" ca="1" si="83"/>
        <v>6536.2405451910763</v>
      </c>
      <c r="R222" s="131">
        <f t="shared" ca="1" si="83"/>
        <v>6645.0515057508101</v>
      </c>
      <c r="S222" s="131">
        <f t="shared" ca="1" si="83"/>
        <v>6755.6738783992014</v>
      </c>
      <c r="T222" s="131">
        <f t="shared" ca="1" si="83"/>
        <v>6868.1378183130628</v>
      </c>
      <c r="U222" s="131">
        <f t="shared" ca="1" si="83"/>
        <v>6982.4739826724226</v>
      </c>
      <c r="V222" s="131">
        <f t="shared" ca="1" si="83"/>
        <v>7100.9109259882807</v>
      </c>
      <c r="W222" s="131">
        <f t="shared" ca="1" si="83"/>
        <v>7221.3568004618955</v>
      </c>
      <c r="X222" s="131">
        <f t="shared" ca="1" si="83"/>
        <v>7343.8456816467478</v>
      </c>
      <c r="Y222" s="131">
        <f t="shared" ca="1" si="83"/>
        <v>7468.4122230869389</v>
      </c>
      <c r="Z222" s="131">
        <f t="shared" ca="1" si="83"/>
        <v>7593.5353024497635</v>
      </c>
      <c r="AA222" s="131">
        <f t="shared" ca="1" si="83"/>
        <v>7720.754648665783</v>
      </c>
      <c r="AB222" s="131">
        <f t="shared" ca="1" si="83"/>
        <v>7850.1053818322789</v>
      </c>
      <c r="AC222" s="131">
        <f t="shared" ca="1" si="83"/>
        <v>7981.6232104359533</v>
      </c>
      <c r="AD222" s="131">
        <f t="shared" ca="1" si="83"/>
        <v>8114.0360536576354</v>
      </c>
      <c r="AE222" s="131">
        <f t="shared" ca="1" si="83"/>
        <v>8248.6455880269441</v>
      </c>
      <c r="AF222" s="131">
        <f t="shared" ca="1" si="83"/>
        <v>8385.4882560209116</v>
      </c>
      <c r="AG222" s="131">
        <f t="shared" ca="1" si="83"/>
        <v>8524.6011046868298</v>
      </c>
      <c r="AH222" s="131">
        <f t="shared" ca="1" si="83"/>
        <v>8665.4576373349773</v>
      </c>
      <c r="AI222" s="131">
        <f t="shared" ca="1" si="83"/>
        <v>8808.6416176309413</v>
      </c>
      <c r="AJ222" s="131">
        <f t="shared" ca="1" si="83"/>
        <v>8954.191503234093</v>
      </c>
      <c r="AK222" s="131">
        <f t="shared" ca="1" si="83"/>
        <v>9102.1463872602362</v>
      </c>
      <c r="AL222" s="131">
        <f t="shared" ca="1" si="83"/>
        <v>9251.2976378494877</v>
      </c>
      <c r="AM222" s="131">
        <f t="shared" ca="1" si="83"/>
        <v>9402.8929378536614</v>
      </c>
      <c r="AN222" s="131">
        <f t="shared" ca="1" si="83"/>
        <v>9556.9723364008714</v>
      </c>
      <c r="AO222" s="131">
        <f t="shared" ca="1" si="83"/>
        <v>9713.576538879548</v>
      </c>
      <c r="AP222" s="131">
        <f t="shared" ca="1" si="83"/>
        <v>9871.4734429432101</v>
      </c>
      <c r="AQ222" s="131">
        <f t="shared" ca="1" si="83"/>
        <v>10031.937005354919</v>
      </c>
      <c r="AR222" s="131">
        <f t="shared" ca="1" si="83"/>
        <v>10195.008947864157</v>
      </c>
      <c r="AS222" s="131"/>
      <c r="AT222" s="84">
        <f t="shared" ref="AT222:AT227" ca="1" si="84">SUM(E222:AS222)</f>
        <v>274121.44100555428</v>
      </c>
    </row>
    <row r="223" spans="1:46" outlineLevel="1" x14ac:dyDescent="0.2">
      <c r="A223" s="134" t="s">
        <v>483</v>
      </c>
      <c r="B223" s="27"/>
      <c r="C223" s="266" t="str">
        <f>Параметры!$B$64</f>
        <v>тыс. руб.</v>
      </c>
      <c r="E223" s="131">
        <f t="shared" ref="E223:AR223" si="85">E203+E211</f>
        <v>229.07412000000002</v>
      </c>
      <c r="F223" s="131">
        <f t="shared" ca="1" si="85"/>
        <v>229.07412000000002</v>
      </c>
      <c r="G223" s="131">
        <f t="shared" ca="1" si="85"/>
        <v>229.07412000000002</v>
      </c>
      <c r="H223" s="131">
        <f t="shared" ca="1" si="85"/>
        <v>496.32725999999997</v>
      </c>
      <c r="I223" s="131">
        <f t="shared" ca="1" si="85"/>
        <v>496.32725999999997</v>
      </c>
      <c r="J223" s="131">
        <f t="shared" ca="1" si="85"/>
        <v>504.27849215890041</v>
      </c>
      <c r="K223" s="131">
        <f t="shared" ca="1" si="85"/>
        <v>1144.4657098656992</v>
      </c>
      <c r="L223" s="131">
        <f t="shared" ca="1" si="85"/>
        <v>1162.8002106888916</v>
      </c>
      <c r="M223" s="131">
        <f t="shared" ca="1" si="85"/>
        <v>1181.4284327809153</v>
      </c>
      <c r="N223" s="131">
        <f t="shared" ca="1" si="85"/>
        <v>1201.3471615486708</v>
      </c>
      <c r="O223" s="131">
        <f t="shared" ca="1" si="85"/>
        <v>1221.601717476764</v>
      </c>
      <c r="P223" s="131">
        <f t="shared" ca="1" si="85"/>
        <v>1414.1308587257113</v>
      </c>
      <c r="Q223" s="131">
        <f t="shared" ca="1" si="85"/>
        <v>1437.9729199420367</v>
      </c>
      <c r="R223" s="131">
        <f t="shared" ca="1" si="85"/>
        <v>1461.9113312651782</v>
      </c>
      <c r="S223" s="131">
        <f t="shared" ca="1" si="85"/>
        <v>1486.2482532478243</v>
      </c>
      <c r="T223" s="131">
        <f t="shared" ca="1" si="85"/>
        <v>1510.9903200288738</v>
      </c>
      <c r="U223" s="131">
        <f t="shared" ca="1" si="85"/>
        <v>1536.144276187933</v>
      </c>
      <c r="V223" s="131">
        <f t="shared" ca="1" si="85"/>
        <v>1562.200403717422</v>
      </c>
      <c r="W223" s="131">
        <f t="shared" ca="1" si="85"/>
        <v>1588.6984961016169</v>
      </c>
      <c r="X223" s="131">
        <f t="shared" ca="1" si="85"/>
        <v>1615.6460499622845</v>
      </c>
      <c r="Y223" s="131">
        <f t="shared" ca="1" si="85"/>
        <v>1643.0506890791266</v>
      </c>
      <c r="Z223" s="131">
        <f t="shared" ca="1" si="85"/>
        <v>1670.577766538948</v>
      </c>
      <c r="AA223" s="131">
        <f t="shared" ca="1" si="85"/>
        <v>1698.5660227064723</v>
      </c>
      <c r="AB223" s="131">
        <f t="shared" ca="1" si="85"/>
        <v>1727.0231840031015</v>
      </c>
      <c r="AC223" s="131">
        <f t="shared" ca="1" si="85"/>
        <v>1755.9571062959099</v>
      </c>
      <c r="AD223" s="131">
        <f t="shared" ca="1" si="85"/>
        <v>1785.08793180468</v>
      </c>
      <c r="AE223" s="131">
        <f t="shared" ca="1" si="85"/>
        <v>1814.7020293659277</v>
      </c>
      <c r="AF223" s="131">
        <f t="shared" ca="1" si="85"/>
        <v>1844.8074163246006</v>
      </c>
      <c r="AG223" s="131">
        <f t="shared" ca="1" si="85"/>
        <v>1875.4122430311027</v>
      </c>
      <c r="AH223" s="131">
        <f t="shared" ca="1" si="85"/>
        <v>1906.4006802136951</v>
      </c>
      <c r="AI223" s="131">
        <f t="shared" ca="1" si="85"/>
        <v>1937.9011558788075</v>
      </c>
      <c r="AJ223" s="131">
        <f t="shared" ca="1" si="85"/>
        <v>1969.9221307115004</v>
      </c>
      <c r="AK223" s="131">
        <f t="shared" ca="1" si="85"/>
        <v>2002.4722051972522</v>
      </c>
      <c r="AL223" s="131">
        <f t="shared" ca="1" si="85"/>
        <v>2035.2854803268874</v>
      </c>
      <c r="AM223" s="131">
        <f t="shared" ca="1" si="85"/>
        <v>2068.636446327806</v>
      </c>
      <c r="AN223" s="131">
        <f t="shared" ca="1" si="85"/>
        <v>2102.5339140081915</v>
      </c>
      <c r="AO223" s="131">
        <f t="shared" ca="1" si="85"/>
        <v>2136.9868385535005</v>
      </c>
      <c r="AP223" s="131">
        <f t="shared" ca="1" si="85"/>
        <v>2171.7241574475065</v>
      </c>
      <c r="AQ223" s="131">
        <f t="shared" ca="1" si="85"/>
        <v>2207.0261411780821</v>
      </c>
      <c r="AR223" s="131">
        <f t="shared" ca="1" si="85"/>
        <v>2242.9019685301141</v>
      </c>
      <c r="AS223" s="131"/>
      <c r="AT223" s="84">
        <f t="shared" ca="1" si="84"/>
        <v>60306.717021221928</v>
      </c>
    </row>
    <row r="224" spans="1:46" outlineLevel="1" x14ac:dyDescent="0.2">
      <c r="A224" s="134" t="s">
        <v>484</v>
      </c>
      <c r="B224" s="27"/>
      <c r="C224" s="266" t="str">
        <f>Параметры!$B$64</f>
        <v>тыс. руб.</v>
      </c>
      <c r="E224" s="131">
        <f t="shared" ref="E224:AR224" si="86">E204+E212</f>
        <v>36.443610000000007</v>
      </c>
      <c r="F224" s="131">
        <f t="shared" ca="1" si="86"/>
        <v>36.443610000000007</v>
      </c>
      <c r="G224" s="131">
        <f t="shared" ca="1" si="86"/>
        <v>36.443610000000007</v>
      </c>
      <c r="H224" s="131">
        <f t="shared" ca="1" si="86"/>
        <v>78.961155000000005</v>
      </c>
      <c r="I224" s="131">
        <f t="shared" ca="1" si="86"/>
        <v>78.961155000000005</v>
      </c>
      <c r="J224" s="131">
        <f t="shared" ca="1" si="86"/>
        <v>80.22612375255234</v>
      </c>
      <c r="K224" s="131">
        <f t="shared" ca="1" si="86"/>
        <v>182.07409020590671</v>
      </c>
      <c r="L224" s="131">
        <f t="shared" ca="1" si="86"/>
        <v>184.9909426095964</v>
      </c>
      <c r="M224" s="131">
        <f t="shared" ca="1" si="86"/>
        <v>187.95452339696382</v>
      </c>
      <c r="N224" s="131">
        <f t="shared" ca="1" si="86"/>
        <v>191.12341206456128</v>
      </c>
      <c r="O224" s="131">
        <f t="shared" ca="1" si="86"/>
        <v>194.34572778039427</v>
      </c>
      <c r="P224" s="131">
        <f t="shared" ca="1" si="86"/>
        <v>224.97536388818136</v>
      </c>
      <c r="Q224" s="131">
        <f t="shared" ca="1" si="86"/>
        <v>228.76841908168768</v>
      </c>
      <c r="R224" s="131">
        <f t="shared" ca="1" si="86"/>
        <v>232.57680270127838</v>
      </c>
      <c r="S224" s="131">
        <f t="shared" ca="1" si="86"/>
        <v>236.44858574397207</v>
      </c>
      <c r="T224" s="131">
        <f t="shared" ca="1" si="86"/>
        <v>240.38482364095722</v>
      </c>
      <c r="U224" s="131">
        <f t="shared" ca="1" si="86"/>
        <v>244.38658939353479</v>
      </c>
      <c r="V224" s="131">
        <f t="shared" ca="1" si="86"/>
        <v>248.53188240958988</v>
      </c>
      <c r="W224" s="131">
        <f t="shared" ca="1" si="86"/>
        <v>252.74748801616636</v>
      </c>
      <c r="X224" s="131">
        <f t="shared" ca="1" si="86"/>
        <v>257.03459885763618</v>
      </c>
      <c r="Y224" s="131">
        <f t="shared" ca="1" si="86"/>
        <v>261.39442780804291</v>
      </c>
      <c r="Z224" s="131">
        <f t="shared" ca="1" si="86"/>
        <v>265.77373558574175</v>
      </c>
      <c r="AA224" s="131">
        <f t="shared" ca="1" si="86"/>
        <v>270.22641270330246</v>
      </c>
      <c r="AB224" s="131">
        <f t="shared" ca="1" si="86"/>
        <v>274.7536883641298</v>
      </c>
      <c r="AC224" s="131">
        <f t="shared" ca="1" si="86"/>
        <v>279.35681236525841</v>
      </c>
      <c r="AD224" s="131">
        <f t="shared" ca="1" si="86"/>
        <v>283.99126187801727</v>
      </c>
      <c r="AE224" s="131">
        <f t="shared" ca="1" si="86"/>
        <v>288.70259558094307</v>
      </c>
      <c r="AF224" s="131">
        <f t="shared" ca="1" si="86"/>
        <v>293.49208896073196</v>
      </c>
      <c r="AG224" s="131">
        <f t="shared" ca="1" si="86"/>
        <v>298.36103866403909</v>
      </c>
      <c r="AH224" s="131">
        <f t="shared" ca="1" si="86"/>
        <v>303.29101730672426</v>
      </c>
      <c r="AI224" s="131">
        <f t="shared" ca="1" si="86"/>
        <v>308.30245661708295</v>
      </c>
      <c r="AJ224" s="131">
        <f t="shared" ca="1" si="86"/>
        <v>313.39670261319327</v>
      </c>
      <c r="AK224" s="131">
        <f t="shared" ca="1" si="86"/>
        <v>318.5751235541083</v>
      </c>
      <c r="AL224" s="131">
        <f t="shared" ca="1" si="86"/>
        <v>323.79541732473211</v>
      </c>
      <c r="AM224" s="131">
        <f t="shared" ca="1" si="86"/>
        <v>329.1012528248782</v>
      </c>
      <c r="AN224" s="131">
        <f t="shared" ca="1" si="86"/>
        <v>334.49403177403053</v>
      </c>
      <c r="AO224" s="131">
        <f t="shared" ca="1" si="86"/>
        <v>339.97517886078424</v>
      </c>
      <c r="AP224" s="131">
        <f t="shared" ca="1" si="86"/>
        <v>345.50157050301243</v>
      </c>
      <c r="AQ224" s="131">
        <f t="shared" ca="1" si="86"/>
        <v>351.11779518742219</v>
      </c>
      <c r="AR224" s="131">
        <f t="shared" ca="1" si="86"/>
        <v>356.82531317524547</v>
      </c>
      <c r="AS224" s="131"/>
      <c r="AT224" s="84">
        <f t="shared" ca="1" si="84"/>
        <v>9594.250435194399</v>
      </c>
    </row>
    <row r="225" spans="1:46" outlineLevel="1" x14ac:dyDescent="0.2">
      <c r="A225" s="134" t="s">
        <v>485</v>
      </c>
      <c r="B225" s="27"/>
      <c r="C225" s="266" t="str">
        <f>Параметры!$B$64</f>
        <v>тыс. руб.</v>
      </c>
      <c r="E225" s="131">
        <f t="shared" ref="E225:AR225" si="87">E205+E213</f>
        <v>53.103546000000001</v>
      </c>
      <c r="F225" s="131">
        <f t="shared" ca="1" si="87"/>
        <v>53.103546000000001</v>
      </c>
      <c r="G225" s="131">
        <f t="shared" ca="1" si="87"/>
        <v>53.103546000000001</v>
      </c>
      <c r="H225" s="131">
        <f t="shared" ca="1" si="87"/>
        <v>115.05768299999998</v>
      </c>
      <c r="I225" s="131">
        <f t="shared" ca="1" si="87"/>
        <v>115.05768299999998</v>
      </c>
      <c r="J225" s="131">
        <f t="shared" ca="1" si="87"/>
        <v>116.90092318229054</v>
      </c>
      <c r="K225" s="131">
        <f t="shared" ca="1" si="87"/>
        <v>265.30796001432117</v>
      </c>
      <c r="L225" s="131">
        <f t="shared" ca="1" si="87"/>
        <v>269.55823065969759</v>
      </c>
      <c r="M225" s="131">
        <f t="shared" ca="1" si="87"/>
        <v>273.8765912355758</v>
      </c>
      <c r="N225" s="131">
        <f t="shared" ca="1" si="87"/>
        <v>278.49411472264637</v>
      </c>
      <c r="O225" s="131">
        <f t="shared" ca="1" si="87"/>
        <v>283.18948905143162</v>
      </c>
      <c r="P225" s="131">
        <f t="shared" ca="1" si="87"/>
        <v>327.82124452277856</v>
      </c>
      <c r="Q225" s="131">
        <f t="shared" ca="1" si="87"/>
        <v>333.34826780474486</v>
      </c>
      <c r="R225" s="131">
        <f t="shared" ca="1" si="87"/>
        <v>338.89762679329129</v>
      </c>
      <c r="S225" s="131">
        <f t="shared" ca="1" si="87"/>
        <v>344.53936779835925</v>
      </c>
      <c r="T225" s="131">
        <f t="shared" ca="1" si="87"/>
        <v>350.27502873396617</v>
      </c>
      <c r="U225" s="131">
        <f t="shared" ca="1" si="87"/>
        <v>356.10617311629352</v>
      </c>
      <c r="V225" s="131">
        <f t="shared" ca="1" si="87"/>
        <v>362.14645722540229</v>
      </c>
      <c r="W225" s="131">
        <f t="shared" ca="1" si="87"/>
        <v>368.28919682355661</v>
      </c>
      <c r="X225" s="131">
        <f t="shared" ca="1" si="87"/>
        <v>374.53612976398415</v>
      </c>
      <c r="Y225" s="131">
        <f t="shared" ca="1" si="87"/>
        <v>380.88902337743389</v>
      </c>
      <c r="Z225" s="131">
        <f t="shared" ca="1" si="87"/>
        <v>387.27030042493789</v>
      </c>
      <c r="AA225" s="131">
        <f t="shared" ca="1" si="87"/>
        <v>393.75848708195485</v>
      </c>
      <c r="AB225" s="131">
        <f t="shared" ca="1" si="87"/>
        <v>400.3553744734462</v>
      </c>
      <c r="AC225" s="131">
        <f t="shared" ca="1" si="87"/>
        <v>407.06278373223358</v>
      </c>
      <c r="AD225" s="131">
        <f t="shared" ca="1" si="87"/>
        <v>413.81583873653938</v>
      </c>
      <c r="AE225" s="131">
        <f t="shared" ca="1" si="87"/>
        <v>420.68092498937409</v>
      </c>
      <c r="AF225" s="131">
        <f t="shared" ca="1" si="87"/>
        <v>427.65990105706646</v>
      </c>
      <c r="AG225" s="131">
        <f t="shared" ca="1" si="87"/>
        <v>434.75465633902832</v>
      </c>
      <c r="AH225" s="131">
        <f t="shared" ca="1" si="87"/>
        <v>441.93833950408384</v>
      </c>
      <c r="AI225" s="131">
        <f t="shared" ca="1" si="87"/>
        <v>449.24072249917799</v>
      </c>
      <c r="AJ225" s="131">
        <f t="shared" ca="1" si="87"/>
        <v>456.66376666493875</v>
      </c>
      <c r="AK225" s="131">
        <f t="shared" ca="1" si="87"/>
        <v>464.20946575027199</v>
      </c>
      <c r="AL225" s="131">
        <f t="shared" ca="1" si="87"/>
        <v>471.81617953032389</v>
      </c>
      <c r="AM225" s="131">
        <f t="shared" ca="1" si="87"/>
        <v>479.54753983053672</v>
      </c>
      <c r="AN225" s="131">
        <f t="shared" ca="1" si="87"/>
        <v>487.40558915644436</v>
      </c>
      <c r="AO225" s="131">
        <f t="shared" ca="1" si="87"/>
        <v>495.39240348285693</v>
      </c>
      <c r="AP225" s="131">
        <f t="shared" ca="1" si="87"/>
        <v>503.44514559010372</v>
      </c>
      <c r="AQ225" s="131">
        <f t="shared" ca="1" si="87"/>
        <v>511.62878727310078</v>
      </c>
      <c r="AR225" s="131">
        <f t="shared" ca="1" si="87"/>
        <v>519.94545634107192</v>
      </c>
      <c r="AS225" s="131"/>
      <c r="AT225" s="84">
        <f t="shared" ca="1" si="84"/>
        <v>13980.193491283266</v>
      </c>
    </row>
    <row r="226" spans="1:46" outlineLevel="1" x14ac:dyDescent="0.2">
      <c r="A226" s="134" t="s">
        <v>487</v>
      </c>
      <c r="B226" s="27"/>
      <c r="C226" s="266" t="str">
        <f>Параметры!$B$64</f>
        <v>тыс. руб.</v>
      </c>
      <c r="E226" s="131">
        <f t="shared" ref="E226:AR226" si="88">E206+E214</f>
        <v>0</v>
      </c>
      <c r="F226" s="131">
        <f t="shared" ca="1" si="88"/>
        <v>0</v>
      </c>
      <c r="G226" s="131">
        <f t="shared" ca="1" si="88"/>
        <v>0</v>
      </c>
      <c r="H226" s="131">
        <f t="shared" ca="1" si="88"/>
        <v>0</v>
      </c>
      <c r="I226" s="131">
        <f t="shared" ca="1" si="88"/>
        <v>0</v>
      </c>
      <c r="J226" s="131">
        <f t="shared" ca="1" si="88"/>
        <v>0</v>
      </c>
      <c r="K226" s="131">
        <f t="shared" ca="1" si="88"/>
        <v>0</v>
      </c>
      <c r="L226" s="131">
        <f t="shared" ca="1" si="88"/>
        <v>0</v>
      </c>
      <c r="M226" s="131">
        <f t="shared" ca="1" si="88"/>
        <v>0</v>
      </c>
      <c r="N226" s="131">
        <f t="shared" ca="1" si="88"/>
        <v>0</v>
      </c>
      <c r="O226" s="131">
        <f t="shared" ca="1" si="88"/>
        <v>0</v>
      </c>
      <c r="P226" s="131">
        <f t="shared" ca="1" si="88"/>
        <v>0</v>
      </c>
      <c r="Q226" s="131">
        <f t="shared" ca="1" si="88"/>
        <v>0</v>
      </c>
      <c r="R226" s="131">
        <f t="shared" ca="1" si="88"/>
        <v>0</v>
      </c>
      <c r="S226" s="131">
        <f t="shared" ca="1" si="88"/>
        <v>0</v>
      </c>
      <c r="T226" s="131">
        <f t="shared" ca="1" si="88"/>
        <v>0</v>
      </c>
      <c r="U226" s="131">
        <f t="shared" ca="1" si="88"/>
        <v>0</v>
      </c>
      <c r="V226" s="131">
        <f t="shared" ca="1" si="88"/>
        <v>0</v>
      </c>
      <c r="W226" s="131">
        <f t="shared" ca="1" si="88"/>
        <v>0</v>
      </c>
      <c r="X226" s="131">
        <f t="shared" ca="1" si="88"/>
        <v>0</v>
      </c>
      <c r="Y226" s="131">
        <f t="shared" ca="1" si="88"/>
        <v>0</v>
      </c>
      <c r="Z226" s="131">
        <f t="shared" ca="1" si="88"/>
        <v>0</v>
      </c>
      <c r="AA226" s="131">
        <f t="shared" ca="1" si="88"/>
        <v>0</v>
      </c>
      <c r="AB226" s="131">
        <f t="shared" ca="1" si="88"/>
        <v>0</v>
      </c>
      <c r="AC226" s="131">
        <f t="shared" ca="1" si="88"/>
        <v>0</v>
      </c>
      <c r="AD226" s="131">
        <f t="shared" ca="1" si="88"/>
        <v>0</v>
      </c>
      <c r="AE226" s="131">
        <f t="shared" ca="1" si="88"/>
        <v>0</v>
      </c>
      <c r="AF226" s="131">
        <f t="shared" ca="1" si="88"/>
        <v>0</v>
      </c>
      <c r="AG226" s="131">
        <f t="shared" ca="1" si="88"/>
        <v>0</v>
      </c>
      <c r="AH226" s="131">
        <f t="shared" ca="1" si="88"/>
        <v>0</v>
      </c>
      <c r="AI226" s="131">
        <f t="shared" ca="1" si="88"/>
        <v>0</v>
      </c>
      <c r="AJ226" s="131">
        <f t="shared" ca="1" si="88"/>
        <v>0</v>
      </c>
      <c r="AK226" s="131">
        <f t="shared" ca="1" si="88"/>
        <v>0</v>
      </c>
      <c r="AL226" s="131">
        <f t="shared" ca="1" si="88"/>
        <v>0</v>
      </c>
      <c r="AM226" s="131">
        <f t="shared" ca="1" si="88"/>
        <v>0</v>
      </c>
      <c r="AN226" s="131">
        <f t="shared" ca="1" si="88"/>
        <v>0</v>
      </c>
      <c r="AO226" s="131">
        <f t="shared" ca="1" si="88"/>
        <v>0</v>
      </c>
      <c r="AP226" s="131">
        <f t="shared" ca="1" si="88"/>
        <v>0</v>
      </c>
      <c r="AQ226" s="131">
        <f t="shared" ca="1" si="88"/>
        <v>0</v>
      </c>
      <c r="AR226" s="131">
        <f t="shared" ca="1" si="88"/>
        <v>0</v>
      </c>
      <c r="AS226" s="131"/>
      <c r="AT226" s="84">
        <f t="shared" ca="1" si="84"/>
        <v>0</v>
      </c>
    </row>
    <row r="227" spans="1:46" outlineLevel="1" x14ac:dyDescent="0.2">
      <c r="A227" s="106" t="s">
        <v>486</v>
      </c>
      <c r="B227" s="27"/>
      <c r="C227" s="266" t="str">
        <f>Параметры!$B$64</f>
        <v>тыс. руб.</v>
      </c>
      <c r="E227" s="131">
        <f t="shared" ref="E227:AR227" si="89">E207+E215</f>
        <v>318.62127600000002</v>
      </c>
      <c r="F227" s="131">
        <f t="shared" ca="1" si="89"/>
        <v>318.62127600000002</v>
      </c>
      <c r="G227" s="131">
        <f t="shared" ca="1" si="89"/>
        <v>318.62127600000002</v>
      </c>
      <c r="H227" s="131">
        <f t="shared" ca="1" si="89"/>
        <v>690.34609799999998</v>
      </c>
      <c r="I227" s="131">
        <f t="shared" ca="1" si="89"/>
        <v>690.34609799999998</v>
      </c>
      <c r="J227" s="131">
        <f t="shared" ca="1" si="89"/>
        <v>701.4055390937433</v>
      </c>
      <c r="K227" s="131">
        <f t="shared" ca="1" si="89"/>
        <v>1591.8477600859269</v>
      </c>
      <c r="L227" s="131">
        <f t="shared" ca="1" si="89"/>
        <v>1617.3493839581856</v>
      </c>
      <c r="M227" s="131">
        <f t="shared" ca="1" si="89"/>
        <v>1643.259547413455</v>
      </c>
      <c r="N227" s="131">
        <f t="shared" ca="1" si="89"/>
        <v>1670.9646883358785</v>
      </c>
      <c r="O227" s="131">
        <f t="shared" ca="1" si="89"/>
        <v>1699.1369343085898</v>
      </c>
      <c r="P227" s="131">
        <f t="shared" ca="1" si="89"/>
        <v>1966.9274671366713</v>
      </c>
      <c r="Q227" s="131">
        <f t="shared" ca="1" si="89"/>
        <v>2000.0896068284692</v>
      </c>
      <c r="R227" s="131">
        <f t="shared" ca="1" si="89"/>
        <v>2033.3857607597479</v>
      </c>
      <c r="S227" s="131">
        <f t="shared" ca="1" si="89"/>
        <v>2067.2362067901558</v>
      </c>
      <c r="T227" s="131">
        <f t="shared" ca="1" si="89"/>
        <v>2101.6501724037971</v>
      </c>
      <c r="U227" s="131">
        <f t="shared" ca="1" si="89"/>
        <v>2136.6370386977615</v>
      </c>
      <c r="V227" s="131">
        <f t="shared" ca="1" si="89"/>
        <v>2172.8787433524139</v>
      </c>
      <c r="W227" s="131">
        <f t="shared" ca="1" si="89"/>
        <v>2209.7351809413399</v>
      </c>
      <c r="X227" s="131">
        <f t="shared" ca="1" si="89"/>
        <v>2247.2167785839051</v>
      </c>
      <c r="Y227" s="131">
        <f t="shared" ca="1" si="89"/>
        <v>2285.3341402646033</v>
      </c>
      <c r="Z227" s="131">
        <f t="shared" ca="1" si="89"/>
        <v>2323.6218025496278</v>
      </c>
      <c r="AA227" s="131">
        <f t="shared" ca="1" si="89"/>
        <v>2362.5509224917296</v>
      </c>
      <c r="AB227" s="131">
        <f t="shared" ca="1" si="89"/>
        <v>2402.1322468406775</v>
      </c>
      <c r="AC227" s="131">
        <f t="shared" ca="1" si="89"/>
        <v>2442.376702393402</v>
      </c>
      <c r="AD227" s="131">
        <f t="shared" ca="1" si="89"/>
        <v>2482.8950324192365</v>
      </c>
      <c r="AE227" s="131">
        <f t="shared" ca="1" si="89"/>
        <v>2524.0855499362451</v>
      </c>
      <c r="AF227" s="131">
        <f t="shared" ca="1" si="89"/>
        <v>2565.9594063423988</v>
      </c>
      <c r="AG227" s="131">
        <f t="shared" ca="1" si="89"/>
        <v>2608.5279380341703</v>
      </c>
      <c r="AH227" s="131">
        <f t="shared" ca="1" si="89"/>
        <v>2651.6300370245035</v>
      </c>
      <c r="AI227" s="131">
        <f t="shared" ca="1" si="89"/>
        <v>2695.4443349950684</v>
      </c>
      <c r="AJ227" s="131">
        <f t="shared" ca="1" si="89"/>
        <v>2739.9825999896325</v>
      </c>
      <c r="AK227" s="131">
        <f t="shared" ca="1" si="89"/>
        <v>2785.2567945016322</v>
      </c>
      <c r="AL227" s="131">
        <f t="shared" ca="1" si="89"/>
        <v>2830.8970771819431</v>
      </c>
      <c r="AM227" s="131">
        <f t="shared" ca="1" si="89"/>
        <v>2877.2852389832206</v>
      </c>
      <c r="AN227" s="131">
        <f t="shared" ca="1" si="89"/>
        <v>2924.4335349386665</v>
      </c>
      <c r="AO227" s="131">
        <f t="shared" ca="1" si="89"/>
        <v>2972.3544208971416</v>
      </c>
      <c r="AP227" s="131">
        <f t="shared" ca="1" si="89"/>
        <v>3020.6708735406228</v>
      </c>
      <c r="AQ227" s="131">
        <f t="shared" ca="1" si="89"/>
        <v>3069.7727236386049</v>
      </c>
      <c r="AR227" s="131">
        <f t="shared" ca="1" si="89"/>
        <v>3119.6727380464317</v>
      </c>
      <c r="AS227" s="131"/>
      <c r="AT227" s="84">
        <f t="shared" ca="1" si="84"/>
        <v>83881.160947699609</v>
      </c>
    </row>
    <row r="228" spans="1:46" outlineLevel="1" x14ac:dyDescent="0.2">
      <c r="A228" s="106" t="s">
        <v>81</v>
      </c>
      <c r="B228" s="266"/>
      <c r="C228" s="266" t="str">
        <f>Параметры!$B$64</f>
        <v>тыс. руб.</v>
      </c>
      <c r="E228" s="363">
        <f>IF(AND($B229=0,E$2&gt;1),D228,E222*$B229/Параметры!E$39)</f>
        <v>173.54100000000003</v>
      </c>
      <c r="F228" s="363">
        <f ca="1">IF(AND($B229=0,F$2&gt;1),E228,F222*$B229/Параметры!F$39)</f>
        <v>173.54100000000003</v>
      </c>
      <c r="G228" s="363">
        <f ca="1">IF(AND($B229=0,G$2&gt;1),F228,G222*$B229/Параметры!G$39)</f>
        <v>173.54100000000003</v>
      </c>
      <c r="H228" s="363">
        <f ca="1">IF(AND($B229=0,H$2&gt;1),G228,H222*$B229/Параметры!H$39)</f>
        <v>376.00549999999993</v>
      </c>
      <c r="I228" s="363">
        <f ca="1">IF(AND($B229=0,I$2&gt;1),H228,I222*$B229/Параметры!I$39)</f>
        <v>376.00549999999993</v>
      </c>
      <c r="J228" s="363">
        <f ca="1">IF(AND($B229=0,J$2&gt;1),I228,J222*$B229/Параметры!J$39)</f>
        <v>382.02916072643973</v>
      </c>
      <c r="K228" s="363">
        <f ca="1">IF(AND($B229=0,K$2&gt;1),J228,K222*$B229/Параметры!K$39)</f>
        <v>867.01947717098426</v>
      </c>
      <c r="L228" s="363">
        <f ca="1">IF(AND($B229=0,L$2&gt;1),K228,L222*$B229/Параметры!L$39)</f>
        <v>880.90925052188754</v>
      </c>
      <c r="M228" s="363">
        <f ca="1">IF(AND($B229=0,M$2&gt;1),L228,M222*$B229/Параметры!M$39)</f>
        <v>895.02153998554195</v>
      </c>
      <c r="N228" s="363">
        <f ca="1">IF(AND($B229=0,N$2&gt;1),M228,N222*$B229/Параметры!N$39)</f>
        <v>910.11148602172034</v>
      </c>
      <c r="O228" s="363">
        <f ca="1">IF(AND($B229=0,O$2&gt;1),N228,O222*$B229/Параметры!O$39)</f>
        <v>925.45584657330608</v>
      </c>
      <c r="P228" s="363">
        <f ca="1">IF(AND($B229=0,P$2&gt;1),O228,P222*$B229/Параметры!P$39)</f>
        <v>1071.3112566103873</v>
      </c>
      <c r="Q228" s="363">
        <f ca="1">IF(AND($B229=0,Q$2&gt;1),P228,Q222*$B229/Параметры!Q$39)</f>
        <v>1089.3734241985128</v>
      </c>
      <c r="R228" s="363">
        <f ca="1">IF(AND($B229=0,R$2&gt;1),Q228,R222*$B229/Параметры!R$39)</f>
        <v>1107.5085842918015</v>
      </c>
      <c r="S228" s="363">
        <f ca="1">IF(AND($B229=0,S$2&gt;1),R228,S222*$B229/Параметры!S$39)</f>
        <v>1125.945646399867</v>
      </c>
      <c r="T228" s="363">
        <f ca="1">IF(AND($B229=0,T$2&gt;1),S228,T222*$B229/Параметры!T$39)</f>
        <v>1144.6896363855105</v>
      </c>
      <c r="U228" s="363">
        <f ca="1">IF(AND($B229=0,U$2&gt;1),T228,U222*$B229/Параметры!U$39)</f>
        <v>1163.745663778737</v>
      </c>
      <c r="V228" s="363">
        <f ca="1">IF(AND($B229=0,V$2&gt;1),U228,V222*$B229/Параметры!V$39)</f>
        <v>1183.48515433138</v>
      </c>
      <c r="W228" s="363">
        <f ca="1">IF(AND($B229=0,W$2&gt;1),V228,W222*$B229/Параметры!W$39)</f>
        <v>1203.5594667436492</v>
      </c>
      <c r="X228" s="363">
        <f ca="1">IF(AND($B229=0,X$2&gt;1),W228,X222*$B229/Параметры!X$39)</f>
        <v>1223.9742802744579</v>
      </c>
      <c r="Y228" s="363">
        <f ca="1">IF(AND($B229=0,Y$2&gt;1),X228,Y222*$B229/Параметры!Y$39)</f>
        <v>1244.7353705144899</v>
      </c>
      <c r="Z228" s="363">
        <f ca="1">IF(AND($B229=0,Z$2&gt;1),Y228,Z222*$B229/Параметры!Z$39)</f>
        <v>1265.5892170749607</v>
      </c>
      <c r="AA228" s="363">
        <f ca="1">IF(AND($B229=0,AA$2&gt;1),Z228,AA222*$B229/Параметры!AA$39)</f>
        <v>1286.7924414442971</v>
      </c>
      <c r="AB228" s="363">
        <f ca="1">IF(AND($B229=0,AB$2&gt;1),AA228,AB222*$B229/Параметры!AB$39)</f>
        <v>1308.3508969720465</v>
      </c>
      <c r="AC228" s="363">
        <f ca="1">IF(AND($B229=0,AC$2&gt;1),AB228,AC222*$B229/Параметры!AC$39)</f>
        <v>1330.270535072659</v>
      </c>
      <c r="AD228" s="363">
        <f ca="1">IF(AND($B229=0,AD$2&gt;1),AC228,AD222*$B229/Параметры!AD$39)</f>
        <v>1352.3393422762726</v>
      </c>
      <c r="AE228" s="363">
        <f ca="1">IF(AND($B229=0,AE$2&gt;1),AD228,AE222*$B229/Параметры!AE$39)</f>
        <v>1374.7742646711572</v>
      </c>
      <c r="AF228" s="363">
        <f ca="1">IF(AND($B229=0,AF$2&gt;1),AE228,AF222*$B229/Параметры!AF$39)</f>
        <v>1397.5813760034853</v>
      </c>
      <c r="AG228" s="363">
        <f ca="1">IF(AND($B229=0,AG$2&gt;1),AF228,AG222*$B229/Параметры!AG$39)</f>
        <v>1420.7668507811384</v>
      </c>
      <c r="AH228" s="363">
        <f ca="1">IF(AND($B229=0,AH$2&gt;1),AG228,AH222*$B229/Параметры!AH$39)</f>
        <v>1444.2429395558297</v>
      </c>
      <c r="AI228" s="363">
        <f ca="1">IF(AND($B229=0,AI$2&gt;1),AH228,AI222*$B229/Параметры!AI$39)</f>
        <v>1468.1069362718238</v>
      </c>
      <c r="AJ228" s="363">
        <f ca="1">IF(AND($B229=0,AJ$2&gt;1),AI228,AJ222*$B229/Параметры!AJ$39)</f>
        <v>1492.3652505390155</v>
      </c>
      <c r="AK228" s="363">
        <f ca="1">IF(AND($B229=0,AK$2&gt;1),AJ228,AK222*$B229/Параметры!AK$39)</f>
        <v>1517.0243978767062</v>
      </c>
      <c r="AL228" s="363">
        <f ca="1">IF(AND($B229=0,AL$2&gt;1),AK228,AL222*$B229/Параметры!AL$39)</f>
        <v>1541.8829396415813</v>
      </c>
      <c r="AM228" s="363">
        <f ca="1">IF(AND($B229=0,AM$2&gt;1),AL228,AM222*$B229/Параметры!AM$39)</f>
        <v>1567.1488229756101</v>
      </c>
      <c r="AN228" s="363">
        <f ca="1">IF(AND($B229=0,AN$2&gt;1),AM228,AN222*$B229/Параметры!AN$39)</f>
        <v>1592.8287227334783</v>
      </c>
      <c r="AO228" s="363">
        <f ca="1">IF(AND($B229=0,AO$2&gt;1),AN228,AO222*$B229/Параметры!AO$39)</f>
        <v>1618.9294231465915</v>
      </c>
      <c r="AP228" s="363">
        <f ca="1">IF(AND($B229=0,AP$2&gt;1),AO228,AP222*$B229/Параметры!AP$39)</f>
        <v>1645.2455738238682</v>
      </c>
      <c r="AQ228" s="363">
        <f ca="1">IF(AND($B229=0,AQ$2&gt;1),AP228,AQ222*$B229/Параметры!AQ$39)</f>
        <v>1671.9895008924866</v>
      </c>
      <c r="AR228" s="363">
        <f ca="1">IF(AND($B229=0,AR$2&gt;1),AQ228,AR222*$B229/Параметры!AR$39)</f>
        <v>1699.1681579773597</v>
      </c>
      <c r="AS228" s="141"/>
    </row>
    <row r="229" spans="1:46" outlineLevel="1" x14ac:dyDescent="0.2">
      <c r="A229" s="134" t="s">
        <v>82</v>
      </c>
      <c r="B229" s="350">
        <f>B366</f>
        <v>15</v>
      </c>
      <c r="C229" s="266" t="s">
        <v>65</v>
      </c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2"/>
      <c r="AP229" s="82"/>
      <c r="AQ229" s="82"/>
      <c r="AR229" s="82"/>
      <c r="AS229" s="90"/>
      <c r="AT229" s="92"/>
    </row>
    <row r="230" spans="1:46" outlineLevel="1" x14ac:dyDescent="0.2">
      <c r="A230" s="106" t="s">
        <v>83</v>
      </c>
      <c r="B230" s="271"/>
      <c r="C230" s="266" t="str">
        <f>Параметры!$B$64</f>
        <v>тыс. руб.</v>
      </c>
      <c r="E230" s="363">
        <f>IF(AND($B231=0,E$2&gt;1),D230,E227*$B231/Параметры!E$39)</f>
        <v>106.20709200000002</v>
      </c>
      <c r="F230" s="363">
        <f ca="1">IF(AND($B231=0,F$2&gt;1),E230,F227*$B231/Параметры!F$39)</f>
        <v>106.20709200000002</v>
      </c>
      <c r="G230" s="363">
        <f ca="1">IF(AND($B231=0,G$2&gt;1),F230,G227*$B231/Параметры!G$39)</f>
        <v>106.20709200000002</v>
      </c>
      <c r="H230" s="363">
        <f ca="1">IF(AND($B231=0,H$2&gt;1),G230,H227*$B231/Параметры!H$39)</f>
        <v>230.11536599999999</v>
      </c>
      <c r="I230" s="363">
        <f ca="1">IF(AND($B231=0,I$2&gt;1),H230,I227*$B231/Параметры!I$39)</f>
        <v>230.11536599999999</v>
      </c>
      <c r="J230" s="363">
        <f ca="1">IF(AND($B231=0,J$2&gt;1),I230,J227*$B231/Параметры!J$39)</f>
        <v>233.80184636458111</v>
      </c>
      <c r="K230" s="363">
        <f ca="1">IF(AND($B231=0,K$2&gt;1),J230,K227*$B231/Параметры!K$39)</f>
        <v>530.61592002864234</v>
      </c>
      <c r="L230" s="363">
        <f ca="1">IF(AND($B231=0,L$2&gt;1),K230,L227*$B231/Параметры!L$39)</f>
        <v>539.11646131939517</v>
      </c>
      <c r="M230" s="363">
        <f ca="1">IF(AND($B231=0,M$2&gt;1),L230,M227*$B231/Параметры!M$39)</f>
        <v>547.75318247115172</v>
      </c>
      <c r="N230" s="363">
        <f ca="1">IF(AND($B231=0,N$2&gt;1),M230,N227*$B231/Параметры!N$39)</f>
        <v>556.98822944529275</v>
      </c>
      <c r="O230" s="363">
        <f ca="1">IF(AND($B231=0,O$2&gt;1),N230,O227*$B231/Параметры!O$39)</f>
        <v>566.37897810286324</v>
      </c>
      <c r="P230" s="363">
        <f ca="1">IF(AND($B231=0,P$2&gt;1),O230,P227*$B231/Параметры!P$39)</f>
        <v>655.64248904555711</v>
      </c>
      <c r="Q230" s="363">
        <f ca="1">IF(AND($B231=0,Q$2&gt;1),P230,Q227*$B231/Параметры!Q$39)</f>
        <v>666.69653560948973</v>
      </c>
      <c r="R230" s="363">
        <f ca="1">IF(AND($B231=0,R$2&gt;1),Q230,R227*$B231/Параметры!R$39)</f>
        <v>677.79525358658259</v>
      </c>
      <c r="S230" s="363">
        <f ca="1">IF(AND($B231=0,S$2&gt;1),R230,S227*$B231/Параметры!S$39)</f>
        <v>689.07873559671862</v>
      </c>
      <c r="T230" s="363">
        <f ca="1">IF(AND($B231=0,T$2&gt;1),S230,T227*$B231/Параметры!T$39)</f>
        <v>700.55005746793245</v>
      </c>
      <c r="U230" s="363">
        <f ca="1">IF(AND($B231=0,U$2&gt;1),T230,U227*$B231/Параметры!U$39)</f>
        <v>712.21234623258715</v>
      </c>
      <c r="V230" s="363">
        <f ca="1">IF(AND($B231=0,V$2&gt;1),U230,V227*$B231/Параметры!V$39)</f>
        <v>724.29291445080469</v>
      </c>
      <c r="W230" s="363">
        <f ca="1">IF(AND($B231=0,W$2&gt;1),V230,W227*$B231/Параметры!W$39)</f>
        <v>736.57839364711333</v>
      </c>
      <c r="X230" s="363">
        <f ca="1">IF(AND($B231=0,X$2&gt;1),W230,X227*$B231/Параметры!X$39)</f>
        <v>749.07225952796841</v>
      </c>
      <c r="Y230" s="363">
        <f ca="1">IF(AND($B231=0,Y$2&gt;1),X230,Y227*$B231/Параметры!Y$39)</f>
        <v>761.77804675486777</v>
      </c>
      <c r="Z230" s="363">
        <f ca="1">IF(AND($B231=0,Z$2&gt;1),Y230,Z227*$B231/Параметры!Z$39)</f>
        <v>774.54060084987589</v>
      </c>
      <c r="AA230" s="363">
        <f ca="1">IF(AND($B231=0,AA$2&gt;1),Z230,AA227*$B231/Параметры!AA$39)</f>
        <v>787.51697416390982</v>
      </c>
      <c r="AB230" s="363">
        <f ca="1">IF(AND($B231=0,AB$2&gt;1),AA230,AB227*$B231/Параметры!AB$39)</f>
        <v>800.71074894689241</v>
      </c>
      <c r="AC230" s="363">
        <f ca="1">IF(AND($B231=0,AC$2&gt;1),AB230,AC227*$B231/Параметры!AC$39)</f>
        <v>814.12556746446728</v>
      </c>
      <c r="AD230" s="363">
        <f ca="1">IF(AND($B231=0,AD$2&gt;1),AC230,AD227*$B231/Параметры!AD$39)</f>
        <v>827.63167747307887</v>
      </c>
      <c r="AE230" s="363">
        <f ca="1">IF(AND($B231=0,AE$2&gt;1),AD230,AE227*$B231/Параметры!AE$39)</f>
        <v>841.36184997874841</v>
      </c>
      <c r="AF230" s="363">
        <f ca="1">IF(AND($B231=0,AF$2&gt;1),AE230,AF227*$B231/Параметры!AF$39)</f>
        <v>855.31980211413293</v>
      </c>
      <c r="AG230" s="363">
        <f ca="1">IF(AND($B231=0,AG$2&gt;1),AF230,AG227*$B231/Параметры!AG$39)</f>
        <v>869.50931267805686</v>
      </c>
      <c r="AH230" s="363">
        <f ca="1">IF(AND($B231=0,AH$2&gt;1),AG230,AH227*$B231/Параметры!AH$39)</f>
        <v>883.87667900816791</v>
      </c>
      <c r="AI230" s="363">
        <f ca="1">IF(AND($B231=0,AI$2&gt;1),AH230,AI227*$B231/Параметры!AI$39)</f>
        <v>898.48144499835621</v>
      </c>
      <c r="AJ230" s="363">
        <f ca="1">IF(AND($B231=0,AJ$2&gt;1),AI230,AJ227*$B231/Параметры!AJ$39)</f>
        <v>913.3275333298775</v>
      </c>
      <c r="AK230" s="363">
        <f ca="1">IF(AND($B231=0,AK$2&gt;1),AJ230,AK227*$B231/Параметры!AK$39)</f>
        <v>928.41893150054398</v>
      </c>
      <c r="AL230" s="363">
        <f ca="1">IF(AND($B231=0,AL$2&gt;1),AK230,AL227*$B231/Параметры!AL$39)</f>
        <v>943.63235906064767</v>
      </c>
      <c r="AM230" s="363">
        <f ca="1">IF(AND($B231=0,AM$2&gt;1),AL230,AM227*$B231/Параметры!AM$39)</f>
        <v>959.09507966107356</v>
      </c>
      <c r="AN230" s="363">
        <f ca="1">IF(AND($B231=0,AN$2&gt;1),AM230,AN227*$B231/Параметры!AN$39)</f>
        <v>974.81117831288884</v>
      </c>
      <c r="AO230" s="363">
        <f ca="1">IF(AND($B231=0,AO$2&gt;1),AN230,AO227*$B231/Параметры!AO$39)</f>
        <v>990.78480696571387</v>
      </c>
      <c r="AP230" s="363">
        <f ca="1">IF(AND($B231=0,AP$2&gt;1),AO230,AP227*$B231/Параметры!AP$39)</f>
        <v>1006.8902911802077</v>
      </c>
      <c r="AQ230" s="363">
        <f ca="1">IF(AND($B231=0,AQ$2&gt;1),AP230,AQ227*$B231/Параметры!AQ$39)</f>
        <v>1023.2575745462017</v>
      </c>
      <c r="AR230" s="363">
        <f ca="1">IF(AND($B231=0,AR$2&gt;1),AQ230,AR227*$B231/Параметры!AR$39)</f>
        <v>1039.8909126821441</v>
      </c>
      <c r="AS230" s="141"/>
    </row>
    <row r="231" spans="1:46" outlineLevel="1" x14ac:dyDescent="0.2">
      <c r="A231" s="134" t="s">
        <v>212</v>
      </c>
      <c r="B231" s="350">
        <f>Параметры!B165*30</f>
        <v>30</v>
      </c>
      <c r="C231" s="266" t="s">
        <v>65</v>
      </c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  <c r="AP231" s="82"/>
      <c r="AQ231" s="82"/>
      <c r="AR231" s="82"/>
      <c r="AS231" s="90"/>
      <c r="AT231" s="92"/>
    </row>
    <row r="232" spans="1:46" outlineLevel="1" x14ac:dyDescent="0.2">
      <c r="A232" s="106" t="s">
        <v>84</v>
      </c>
      <c r="C232" s="266" t="str">
        <f>Параметры!$B$64</f>
        <v>тыс. руб.</v>
      </c>
      <c r="E232" s="90">
        <f t="shared" ref="E232:AR232" si="90">E222-IF(E$2=1,E228,E228-D228)</f>
        <v>867.70500000000004</v>
      </c>
      <c r="F232" s="90">
        <f ca="1">F222-IF(F$2=1,F228,F228-E228)</f>
        <v>1041.2460000000001</v>
      </c>
      <c r="G232" s="90">
        <f t="shared" ca="1" si="90"/>
        <v>1041.2460000000001</v>
      </c>
      <c r="H232" s="90">
        <f t="shared" ca="1" si="90"/>
        <v>2053.5684999999999</v>
      </c>
      <c r="I232" s="90">
        <f t="shared" ca="1" si="90"/>
        <v>2256.0329999999999</v>
      </c>
      <c r="J232" s="90">
        <f t="shared" ca="1" si="90"/>
        <v>2286.1513036321985</v>
      </c>
      <c r="K232" s="90">
        <f t="shared" ca="1" si="90"/>
        <v>4717.1265465813613</v>
      </c>
      <c r="L232" s="90">
        <f t="shared" ca="1" si="90"/>
        <v>5271.5657297804219</v>
      </c>
      <c r="M232" s="90">
        <f t="shared" ca="1" si="90"/>
        <v>5356.0169504495971</v>
      </c>
      <c r="N232" s="90">
        <f t="shared" ca="1" si="90"/>
        <v>5445.5789700941441</v>
      </c>
      <c r="O232" s="90">
        <f t="shared" ca="1" si="90"/>
        <v>5537.3907188882504</v>
      </c>
      <c r="P232" s="90">
        <f t="shared" ca="1" si="90"/>
        <v>6282.0121296252428</v>
      </c>
      <c r="Q232" s="90">
        <f t="shared" ca="1" si="90"/>
        <v>6518.1783776029506</v>
      </c>
      <c r="R232" s="90">
        <f t="shared" ca="1" si="90"/>
        <v>6626.9163456575216</v>
      </c>
      <c r="S232" s="90">
        <f t="shared" ca="1" si="90"/>
        <v>6737.2368162911362</v>
      </c>
      <c r="T232" s="90">
        <f t="shared" ca="1" si="90"/>
        <v>6849.3938283274192</v>
      </c>
      <c r="U232" s="90">
        <f t="shared" ca="1" si="90"/>
        <v>6963.4179552791957</v>
      </c>
      <c r="V232" s="90">
        <f t="shared" ca="1" si="90"/>
        <v>7081.1714354356372</v>
      </c>
      <c r="W232" s="90">
        <f t="shared" ca="1" si="90"/>
        <v>7201.2824880496264</v>
      </c>
      <c r="X232" s="90">
        <f t="shared" ca="1" si="90"/>
        <v>7323.4308681159391</v>
      </c>
      <c r="Y232" s="90">
        <f t="shared" ca="1" si="90"/>
        <v>7447.6511328469069</v>
      </c>
      <c r="Z232" s="90">
        <f t="shared" ca="1" si="90"/>
        <v>7572.6814558892929</v>
      </c>
      <c r="AA232" s="90">
        <f t="shared" ca="1" si="90"/>
        <v>7699.5514242964464</v>
      </c>
      <c r="AB232" s="90">
        <f t="shared" ca="1" si="90"/>
        <v>7828.5469263045297</v>
      </c>
      <c r="AC232" s="90">
        <f t="shared" ca="1" si="90"/>
        <v>7959.7035723353411</v>
      </c>
      <c r="AD232" s="90">
        <f t="shared" ca="1" si="90"/>
        <v>8091.9672464540217</v>
      </c>
      <c r="AE232" s="90">
        <f t="shared" ca="1" si="90"/>
        <v>8226.2106656320593</v>
      </c>
      <c r="AF232" s="90">
        <f t="shared" ca="1" si="90"/>
        <v>8362.681144688584</v>
      </c>
      <c r="AG232" s="90">
        <f t="shared" ca="1" si="90"/>
        <v>8501.4156299091774</v>
      </c>
      <c r="AH232" s="90">
        <f t="shared" ca="1" si="90"/>
        <v>8641.9815485602867</v>
      </c>
      <c r="AI232" s="90">
        <f t="shared" ca="1" si="90"/>
        <v>8784.777620914947</v>
      </c>
      <c r="AJ232" s="90">
        <f t="shared" ca="1" si="90"/>
        <v>8929.9331889669011</v>
      </c>
      <c r="AK232" s="90">
        <f t="shared" ca="1" si="90"/>
        <v>9077.487239922546</v>
      </c>
      <c r="AL232" s="90">
        <f t="shared" ca="1" si="90"/>
        <v>9226.4390960846122</v>
      </c>
      <c r="AM232" s="90">
        <f t="shared" ca="1" si="90"/>
        <v>9377.627054519633</v>
      </c>
      <c r="AN232" s="90">
        <f t="shared" ca="1" si="90"/>
        <v>9531.2924366430034</v>
      </c>
      <c r="AO232" s="90">
        <f t="shared" ca="1" si="90"/>
        <v>9687.4758384664347</v>
      </c>
      <c r="AP232" s="90">
        <f t="shared" ca="1" si="90"/>
        <v>9845.1572922659325</v>
      </c>
      <c r="AQ232" s="90">
        <f t="shared" ca="1" si="90"/>
        <v>10005.1930782863</v>
      </c>
      <c r="AR232" s="90">
        <f t="shared" ca="1" si="90"/>
        <v>10167.830290779284</v>
      </c>
      <c r="AS232" s="90"/>
      <c r="AT232" s="84">
        <f ca="1">SUM(E232:AS232)</f>
        <v>272422.27284757694</v>
      </c>
    </row>
    <row r="233" spans="1:46" outlineLevel="1" x14ac:dyDescent="0.2">
      <c r="A233" s="106" t="s">
        <v>211</v>
      </c>
      <c r="C233" s="266" t="str">
        <f>Параметры!$B$64</f>
        <v>тыс. руб.</v>
      </c>
      <c r="E233" s="90">
        <f t="shared" ref="E233:AR233" si="91">E227-IF(E$2=1,E230,E230-D230)</f>
        <v>212.41418400000001</v>
      </c>
      <c r="F233" s="90">
        <f ca="1">F227-IF(F$2=1,F230,F230-E230)</f>
        <v>318.62127600000002</v>
      </c>
      <c r="G233" s="90">
        <f t="shared" ca="1" si="91"/>
        <v>318.62127600000002</v>
      </c>
      <c r="H233" s="90">
        <f t="shared" ca="1" si="91"/>
        <v>566.43782399999998</v>
      </c>
      <c r="I233" s="90">
        <f t="shared" ca="1" si="91"/>
        <v>690.34609799999998</v>
      </c>
      <c r="J233" s="90">
        <f t="shared" ca="1" si="91"/>
        <v>697.71905872916216</v>
      </c>
      <c r="K233" s="90">
        <f t="shared" ca="1" si="91"/>
        <v>1295.0336864218657</v>
      </c>
      <c r="L233" s="90">
        <f t="shared" ca="1" si="91"/>
        <v>1608.8488426674328</v>
      </c>
      <c r="M233" s="90">
        <f t="shared" ca="1" si="91"/>
        <v>1634.6228262616985</v>
      </c>
      <c r="N233" s="90">
        <f t="shared" ca="1" si="91"/>
        <v>1661.7296413617373</v>
      </c>
      <c r="O233" s="90">
        <f t="shared" ca="1" si="91"/>
        <v>1689.7461856510195</v>
      </c>
      <c r="P233" s="90">
        <f t="shared" ca="1" si="91"/>
        <v>1877.6639561939774</v>
      </c>
      <c r="Q233" s="90">
        <f t="shared" ca="1" si="91"/>
        <v>1989.0355602645366</v>
      </c>
      <c r="R233" s="90">
        <f t="shared" ca="1" si="91"/>
        <v>2022.2870427826551</v>
      </c>
      <c r="S233" s="90">
        <f t="shared" ca="1" si="91"/>
        <v>2055.9527247800197</v>
      </c>
      <c r="T233" s="90">
        <f t="shared" ca="1" si="91"/>
        <v>2090.1788505325831</v>
      </c>
      <c r="U233" s="90">
        <f t="shared" ca="1" si="91"/>
        <v>2124.974749933107</v>
      </c>
      <c r="V233" s="90">
        <f t="shared" ca="1" si="91"/>
        <v>2160.7981751341963</v>
      </c>
      <c r="W233" s="90">
        <f t="shared" ca="1" si="91"/>
        <v>2197.4497017450312</v>
      </c>
      <c r="X233" s="90">
        <f t="shared" ca="1" si="91"/>
        <v>2234.72291270305</v>
      </c>
      <c r="Y233" s="90">
        <f t="shared" ca="1" si="91"/>
        <v>2272.6283530377041</v>
      </c>
      <c r="Z233" s="90">
        <f t="shared" ca="1" si="91"/>
        <v>2310.8592484546198</v>
      </c>
      <c r="AA233" s="90">
        <f t="shared" ca="1" si="91"/>
        <v>2349.5745491776956</v>
      </c>
      <c r="AB233" s="90">
        <f t="shared" ca="1" si="91"/>
        <v>2388.938472057695</v>
      </c>
      <c r="AC233" s="90">
        <f t="shared" ca="1" si="91"/>
        <v>2428.961883875827</v>
      </c>
      <c r="AD233" s="90">
        <f t="shared" ca="1" si="91"/>
        <v>2469.3889224106251</v>
      </c>
      <c r="AE233" s="90">
        <f t="shared" ca="1" si="91"/>
        <v>2510.3553774305756</v>
      </c>
      <c r="AF233" s="90">
        <f t="shared" ca="1" si="91"/>
        <v>2552.0014542070144</v>
      </c>
      <c r="AG233" s="90">
        <f t="shared" ca="1" si="91"/>
        <v>2594.3384274702466</v>
      </c>
      <c r="AH233" s="90">
        <f t="shared" ca="1" si="91"/>
        <v>2637.2626706943925</v>
      </c>
      <c r="AI233" s="90">
        <f t="shared" ca="1" si="91"/>
        <v>2680.8395690048801</v>
      </c>
      <c r="AJ233" s="90">
        <f t="shared" ca="1" si="91"/>
        <v>2725.136511658111</v>
      </c>
      <c r="AK233" s="90">
        <f t="shared" ca="1" si="91"/>
        <v>2770.1653963309655</v>
      </c>
      <c r="AL233" s="90">
        <f t="shared" ca="1" si="91"/>
        <v>2815.6836496218393</v>
      </c>
      <c r="AM233" s="90">
        <f t="shared" ca="1" si="91"/>
        <v>2861.8225183827944</v>
      </c>
      <c r="AN233" s="90">
        <f t="shared" ca="1" si="91"/>
        <v>2908.7174362868514</v>
      </c>
      <c r="AO233" s="90">
        <f t="shared" ca="1" si="91"/>
        <v>2956.3807922443166</v>
      </c>
      <c r="AP233" s="90">
        <f t="shared" ca="1" si="91"/>
        <v>3004.5653893261288</v>
      </c>
      <c r="AQ233" s="90">
        <f t="shared" ca="1" si="91"/>
        <v>3053.405440272611</v>
      </c>
      <c r="AR233" s="90">
        <f t="shared" ca="1" si="91"/>
        <v>3103.0393999104895</v>
      </c>
      <c r="AS233" s="90"/>
      <c r="AT233" s="84">
        <f ca="1">SUM(E233:AS233)</f>
        <v>82841.270035017471</v>
      </c>
    </row>
    <row r="234" spans="1:46" x14ac:dyDescent="0.2">
      <c r="A234" s="46"/>
      <c r="B234" s="46"/>
      <c r="C234" s="46"/>
      <c r="D234" s="47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73"/>
      <c r="AT234" s="91"/>
    </row>
    <row r="236" spans="1:46" ht="12" thickBot="1" x14ac:dyDescent="0.25"/>
    <row r="237" spans="1:46" s="43" customFormat="1" ht="25.5" customHeight="1" thickBot="1" x14ac:dyDescent="0.25">
      <c r="A237" s="481" t="s">
        <v>544</v>
      </c>
      <c r="B237" s="479"/>
      <c r="C237" s="490"/>
      <c r="D237" s="491"/>
      <c r="E237" s="479" t="str">
        <f>CHOOSE($D$2,Параметры!E$53,Параметры!E$54)</f>
        <v>1 кв. 2020</v>
      </c>
      <c r="F237" s="479" t="str">
        <f>CHOOSE($D$2,Параметры!F$53,Параметры!F$54)</f>
        <v>2 кв. 2020</v>
      </c>
      <c r="G237" s="479" t="str">
        <f>CHOOSE($D$2,Параметры!G$53,Параметры!G$54)</f>
        <v>3 кв. 2020</v>
      </c>
      <c r="H237" s="479" t="str">
        <f>CHOOSE($D$2,Параметры!H$53,Параметры!H$54)</f>
        <v>4 кв. 2020</v>
      </c>
      <c r="I237" s="479" t="str">
        <f>CHOOSE($D$2,Параметры!I$53,Параметры!I$54)</f>
        <v>1 кв. 2021</v>
      </c>
      <c r="J237" s="479" t="str">
        <f>CHOOSE($D$2,Параметры!J$53,Параметры!J$54)</f>
        <v>2 кв. 2021</v>
      </c>
      <c r="K237" s="479" t="str">
        <f>CHOOSE($D$2,Параметры!K$53,Параметры!K$54)</f>
        <v>3 кв. 2021</v>
      </c>
      <c r="L237" s="479" t="str">
        <f>CHOOSE($D$2,Параметры!L$53,Параметры!L$54)</f>
        <v>4 кв. 2021</v>
      </c>
      <c r="M237" s="479" t="str">
        <f>CHOOSE($D$2,Параметры!M$53,Параметры!M$54)</f>
        <v>1 кв. 2022</v>
      </c>
      <c r="N237" s="479" t="str">
        <f>CHOOSE($D$2,Параметры!N$53,Параметры!N$54)</f>
        <v>2 кв. 2022</v>
      </c>
      <c r="O237" s="479" t="str">
        <f>CHOOSE($D$2,Параметры!O$53,Параметры!O$54)</f>
        <v>3 кв. 2022</v>
      </c>
      <c r="P237" s="479" t="str">
        <f>CHOOSE($D$2,Параметры!P$53,Параметры!P$54)</f>
        <v>4 кв. 2022</v>
      </c>
      <c r="Q237" s="479" t="str">
        <f>CHOOSE($D$2,Параметры!Q$53,Параметры!Q$54)</f>
        <v>1 кв. 2023</v>
      </c>
      <c r="R237" s="479" t="str">
        <f>CHOOSE($D$2,Параметры!R$53,Параметры!R$54)</f>
        <v>2 кв. 2023</v>
      </c>
      <c r="S237" s="479" t="str">
        <f>CHOOSE($D$2,Параметры!S$53,Параметры!S$54)</f>
        <v>3 кв. 2023</v>
      </c>
      <c r="T237" s="479" t="str">
        <f>CHOOSE($D$2,Параметры!T$53,Параметры!T$54)</f>
        <v>4 кв. 2023</v>
      </c>
      <c r="U237" s="479" t="str">
        <f>CHOOSE($D$2,Параметры!U$53,Параметры!U$54)</f>
        <v>1 кв. 2024</v>
      </c>
      <c r="V237" s="479" t="str">
        <f>CHOOSE($D$2,Параметры!V$53,Параметры!V$54)</f>
        <v>2 кв. 2024</v>
      </c>
      <c r="W237" s="479" t="str">
        <f>CHOOSE($D$2,Параметры!W$53,Параметры!W$54)</f>
        <v>3 кв. 2024</v>
      </c>
      <c r="X237" s="479" t="str">
        <f>CHOOSE($D$2,Параметры!X$53,Параметры!X$54)</f>
        <v>4 кв. 2024</v>
      </c>
      <c r="Y237" s="479" t="str">
        <f>CHOOSE($D$2,Параметры!Y$53,Параметры!Y$54)</f>
        <v>1 кв. 2025</v>
      </c>
      <c r="Z237" s="479" t="str">
        <f>CHOOSE($D$2,Параметры!Z$53,Параметры!Z$54)</f>
        <v>2 кв. 2025</v>
      </c>
      <c r="AA237" s="479" t="str">
        <f>CHOOSE($D$2,Параметры!AA$53,Параметры!AA$54)</f>
        <v>3 кв. 2025</v>
      </c>
      <c r="AB237" s="479" t="str">
        <f>CHOOSE($D$2,Параметры!AB$53,Параметры!AB$54)</f>
        <v>4 кв. 2025</v>
      </c>
      <c r="AC237" s="479" t="str">
        <f>CHOOSE($D$2,Параметры!AC$53,Параметры!AC$54)</f>
        <v>1 кв. 2026</v>
      </c>
      <c r="AD237" s="479" t="str">
        <f>CHOOSE($D$2,Параметры!AD$53,Параметры!AD$54)</f>
        <v>2 кв. 2026</v>
      </c>
      <c r="AE237" s="479" t="str">
        <f>CHOOSE($D$2,Параметры!AE$53,Параметры!AE$54)</f>
        <v>3 кв. 2026</v>
      </c>
      <c r="AF237" s="479" t="str">
        <f>CHOOSE($D$2,Параметры!AF$53,Параметры!AF$54)</f>
        <v>4 кв. 2026</v>
      </c>
      <c r="AG237" s="479" t="str">
        <f>CHOOSE($D$2,Параметры!AG$53,Параметры!AG$54)</f>
        <v>1 кв. 2027</v>
      </c>
      <c r="AH237" s="479" t="str">
        <f>CHOOSE($D$2,Параметры!AH$53,Параметры!AH$54)</f>
        <v>2 кв. 2027</v>
      </c>
      <c r="AI237" s="479" t="str">
        <f>CHOOSE($D$2,Параметры!AI$53,Параметры!AI$54)</f>
        <v>3 кв. 2027</v>
      </c>
      <c r="AJ237" s="479" t="str">
        <f>CHOOSE($D$2,Параметры!AJ$53,Параметры!AJ$54)</f>
        <v>4 кв. 2027</v>
      </c>
      <c r="AK237" s="479" t="str">
        <f>CHOOSE($D$2,Параметры!AK$53,Параметры!AK$54)</f>
        <v>1 кв. 2028</v>
      </c>
      <c r="AL237" s="479" t="str">
        <f>CHOOSE($D$2,Параметры!AL$53,Параметры!AL$54)</f>
        <v>2 кв. 2028</v>
      </c>
      <c r="AM237" s="479" t="str">
        <f>CHOOSE($D$2,Параметры!AM$53,Параметры!AM$54)</f>
        <v>3 кв. 2028</v>
      </c>
      <c r="AN237" s="479" t="str">
        <f>CHOOSE($D$2,Параметры!AN$53,Параметры!AN$54)</f>
        <v>4 кв. 2028</v>
      </c>
      <c r="AO237" s="479" t="str">
        <f>CHOOSE($D$2,Параметры!AO$53,Параметры!AO$54)</f>
        <v>1 кв. 2029</v>
      </c>
      <c r="AP237" s="479" t="str">
        <f>CHOOSE($D$2,Параметры!AP$53,Параметры!AP$54)</f>
        <v>2 кв. 2029</v>
      </c>
      <c r="AQ237" s="479" t="str">
        <f>CHOOSE($D$2,Параметры!AQ$53,Параметры!AQ$54)</f>
        <v>3 кв. 2029</v>
      </c>
      <c r="AR237" s="479" t="str">
        <f>CHOOSE($D$2,Параметры!AR$53,Параметры!AR$54)</f>
        <v>4 кв. 2029</v>
      </c>
      <c r="AS237" s="479"/>
      <c r="AT237" s="479" t="s">
        <v>0</v>
      </c>
    </row>
    <row r="239" spans="1:46" x14ac:dyDescent="0.2">
      <c r="AS239" s="1"/>
    </row>
    <row r="240" spans="1:46" x14ac:dyDescent="0.2">
      <c r="A240" s="133" t="s">
        <v>58</v>
      </c>
      <c r="B240" s="46"/>
      <c r="C240" s="46"/>
      <c r="D240" s="47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73"/>
      <c r="AT240" s="91"/>
    </row>
    <row r="241" spans="1:46" x14ac:dyDescent="0.2">
      <c r="AS241" s="1"/>
    </row>
    <row r="242" spans="1:46" x14ac:dyDescent="0.2">
      <c r="A242" s="354" t="s">
        <v>646</v>
      </c>
      <c r="B242" s="223" t="s">
        <v>390</v>
      </c>
      <c r="C242" s="286">
        <v>1</v>
      </c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</row>
    <row r="243" spans="1:46" collapsed="1" x14ac:dyDescent="0.2">
      <c r="A243" s="106" t="s">
        <v>1096</v>
      </c>
      <c r="B243" s="350"/>
      <c r="C243" s="3" t="str">
        <f>CHOOSE(C242,Параметры!$B$64,Параметры!$B$108,Параметры!$B$117)</f>
        <v>тыс. руб.</v>
      </c>
      <c r="E243" s="363">
        <f>(ИД!$C$31*Резиденты!E$17+Резиденты!E19)*(ИД!$C$114*ИД!$C$126*3/1000/1.2+ИД!$C$116/4/1.2)</f>
        <v>0</v>
      </c>
      <c r="F243" s="363">
        <f>(ИД!$C$31*Резиденты!F$17+Резиденты!F19)*(ИД!$C$114*ИД!$C$126*3/1000/1.2+ИД!$C$116/4/1.2)</f>
        <v>0</v>
      </c>
      <c r="G243" s="363">
        <f>(ИД!$C$31*Резиденты!G$17+Резиденты!G19)*(ИД!$C$114*ИД!$C$126*3/1000/1.2+ИД!$C$116/4/1.2)</f>
        <v>856.91064894101123</v>
      </c>
      <c r="H243" s="363">
        <f>(ИД!$C$31*Резиденты!H$17+Резиденты!H19)*(ИД!$C$114*ИД!$C$126*3/1000/1.2+ИД!$C$116/4/1.2)</f>
        <v>856.91064894101123</v>
      </c>
      <c r="I243" s="363">
        <f>(ИД!$C$31*Резиденты!I$17+Резиденты!I19)*(ИД!$C$114*ИД!$C$126*3/1000/1.2+ИД!$C$116/4/1.2)</f>
        <v>856.91064894101123</v>
      </c>
      <c r="J243" s="363">
        <f>(ИД!$C$31*Резиденты!J$17+Резиденты!J19)*(ИД!$C$114*ИД!$C$126*3/1000/1.2+ИД!$C$116/4/1.2)</f>
        <v>856.91064894101123</v>
      </c>
      <c r="K243" s="363">
        <f>(ИД!$C$31*Резиденты!K$17+Резиденты!K19)*(ИД!$C$114*ИД!$C$126*3/1000/1.2+ИД!$C$116/4/1.2)</f>
        <v>856.91064894101123</v>
      </c>
      <c r="L243" s="363">
        <f>(ИД!$C$31*Резиденты!L$17+Резиденты!L19)*(ИД!$C$114*ИД!$C$126*3/1000/1.2+ИД!$C$116/4/1.2)</f>
        <v>856.91064894101123</v>
      </c>
      <c r="M243" s="363">
        <f>(ИД!$C$31*Резиденты!M$17+Резиденты!M19)*(ИД!$C$114*ИД!$C$126*3/1000/1.2+ИД!$C$116/4/1.2)</f>
        <v>1283.5930548275007</v>
      </c>
      <c r="N243" s="363">
        <f>(ИД!$C$31*Резиденты!N$17+Резиденты!N19)*(ИД!$C$114*ИД!$C$126*3/1000/1.2+ИД!$C$116/4/1.2)</f>
        <v>1283.5930548275007</v>
      </c>
      <c r="O243" s="363">
        <f>(ИД!$C$31*Резиденты!O$17+Резиденты!O19)*(ИД!$C$114*ИД!$C$126*3/1000/1.2+ИД!$C$116/4/1.2)</f>
        <v>1283.5930548275007</v>
      </c>
      <c r="P243" s="363">
        <f>(ИД!$C$31*Резиденты!P$17+Резиденты!P19)*(ИД!$C$114*ИД!$C$126*3/1000/1.2+ИД!$C$116/4/1.2)</f>
        <v>1283.5930548275007</v>
      </c>
      <c r="Q243" s="363">
        <f>(ИД!$C$31*Резиденты!Q$17+Резиденты!Q19)*(ИД!$C$114*ИД!$C$126*3/1000/1.2+ИД!$C$116/4/1.2)</f>
        <v>1496.9342577707455</v>
      </c>
      <c r="R243" s="363">
        <f>(ИД!$C$31*Резиденты!R$17+Резиденты!R19)*(ИД!$C$114*ИД!$C$126*3/1000/1.2+ИД!$C$116/4/1.2)</f>
        <v>1496.9342577707455</v>
      </c>
      <c r="S243" s="363">
        <f>(ИД!$C$31*Резиденты!S$17+Резиденты!S19)*(ИД!$C$114*ИД!$C$126*3/1000/1.2+ИД!$C$116/4/1.2)</f>
        <v>1496.9342577707455</v>
      </c>
      <c r="T243" s="363">
        <f>(ИД!$C$31*Резиденты!T$17+Резиденты!T19)*(ИД!$C$114*ИД!$C$126*3/1000/1.2+ИД!$C$116/4/1.2)</f>
        <v>1496.9342577707455</v>
      </c>
      <c r="U243" s="363">
        <f>(ИД!$C$31*Резиденты!U$17+Резиденты!U19)*(ИД!$C$114*ИД!$C$126*3/1000/1.2+ИД!$C$116/4/1.2)</f>
        <v>4762.0593166666677</v>
      </c>
      <c r="V243" s="363">
        <f>(ИД!$C$31*Резиденты!V$17+Резиденты!V19)*(ИД!$C$114*ИД!$C$126*3/1000/1.2+ИД!$C$116/4/1.2)</f>
        <v>4762.0593166666677</v>
      </c>
      <c r="W243" s="363">
        <f>(ИД!$C$31*Резиденты!W$17+Резиденты!W19)*(ИД!$C$114*ИД!$C$126*3/1000/1.2+ИД!$C$116/4/1.2)</f>
        <v>4762.0593166666677</v>
      </c>
      <c r="X243" s="363">
        <f>(ИД!$C$31*Резиденты!X$17+Резиденты!X19)*(ИД!$C$114*ИД!$C$126*3/1000/1.2+ИД!$C$116/4/1.2)</f>
        <v>4762.0593166666677</v>
      </c>
      <c r="Y243" s="363">
        <f>(ИД!$C$31*Резиденты!Y$17+Резиденты!Y19)*(ИД!$C$114*ИД!$C$126*3/1000/1.2+ИД!$C$116/4/1.2)</f>
        <v>4762.0593166666677</v>
      </c>
      <c r="Z243" s="363">
        <f>(ИД!$C$31*Резиденты!Z$17+Резиденты!Z19)*(ИД!$C$114*ИД!$C$126*3/1000/1.2+ИД!$C$116/4/1.2)</f>
        <v>4762.0593166666677</v>
      </c>
      <c r="AA243" s="363">
        <f>(ИД!$C$31*Резиденты!AA$17+Резиденты!AA19)*(ИД!$C$114*ИД!$C$126*3/1000/1.2+ИД!$C$116/4/1.2)</f>
        <v>4762.0593166666677</v>
      </c>
      <c r="AB243" s="363">
        <f>(ИД!$C$31*Резиденты!AB$17+Резиденты!AB19)*(ИД!$C$114*ИД!$C$126*3/1000/1.2+ИД!$C$116/4/1.2)</f>
        <v>4762.0593166666677</v>
      </c>
      <c r="AC243" s="363">
        <f>(ИД!$C$31*Резиденты!AC$17+Резиденты!AC19)*(ИД!$C$114*ИД!$C$126*3/1000/1.2+ИД!$C$116/4/1.2)</f>
        <v>4762.0593166666677</v>
      </c>
      <c r="AD243" s="363">
        <f>(ИД!$C$31*Резиденты!AD$17+Резиденты!AD19)*(ИД!$C$114*ИД!$C$126*3/1000/1.2+ИД!$C$116/4/1.2)</f>
        <v>4762.0593166666677</v>
      </c>
      <c r="AE243" s="363">
        <f>(ИД!$C$31*Резиденты!AE$17+Резиденты!AE19)*(ИД!$C$114*ИД!$C$126*3/1000/1.2+ИД!$C$116/4/1.2)</f>
        <v>4762.0593166666677</v>
      </c>
      <c r="AF243" s="363">
        <f>(ИД!$C$31*Резиденты!AF$17+Резиденты!AF19)*(ИД!$C$114*ИД!$C$126*3/1000/1.2+ИД!$C$116/4/1.2)</f>
        <v>4762.0593166666677</v>
      </c>
      <c r="AG243" s="363">
        <f>(ИД!$C$31*Резиденты!AG$17+Резиденты!AG19)*(ИД!$C$114*ИД!$C$126*3/1000/1.2+ИД!$C$116/4/1.2)</f>
        <v>4762.0593166666677</v>
      </c>
      <c r="AH243" s="363">
        <f>(ИД!$C$31*Резиденты!AH$17+Резиденты!AH19)*(ИД!$C$114*ИД!$C$126*3/1000/1.2+ИД!$C$116/4/1.2)</f>
        <v>4762.0593166666677</v>
      </c>
      <c r="AI243" s="363">
        <f>(ИД!$C$31*Резиденты!AI$17+Резиденты!AI19)*(ИД!$C$114*ИД!$C$126*3/1000/1.2+ИД!$C$116/4/1.2)</f>
        <v>4762.0593166666677</v>
      </c>
      <c r="AJ243" s="363">
        <f>(ИД!$C$31*Резиденты!AJ$17+Резиденты!AJ19)*(ИД!$C$114*ИД!$C$126*3/1000/1.2+ИД!$C$116/4/1.2)</f>
        <v>4762.0593166666677</v>
      </c>
      <c r="AK243" s="363">
        <f>(ИД!$C$31*Резиденты!AK$17+Резиденты!AK19)*(ИД!$C$114*ИД!$C$126*3/1000/1.2+ИД!$C$116/4/1.2)</f>
        <v>4762.0593166666677</v>
      </c>
      <c r="AL243" s="363">
        <f>(ИД!$C$31*Резиденты!AL$17+Резиденты!AL19)*(ИД!$C$114*ИД!$C$126*3/1000/1.2+ИД!$C$116/4/1.2)</f>
        <v>4762.0593166666677</v>
      </c>
      <c r="AM243" s="363">
        <f>(ИД!$C$31*Резиденты!AM$17+Резиденты!AM19)*(ИД!$C$114*ИД!$C$126*3/1000/1.2+ИД!$C$116/4/1.2)</f>
        <v>4762.0593166666677</v>
      </c>
      <c r="AN243" s="363">
        <f>(ИД!$C$31*Резиденты!AN$17+Резиденты!AN19)*(ИД!$C$114*ИД!$C$126*3/1000/1.2+ИД!$C$116/4/1.2)</f>
        <v>4762.0593166666677</v>
      </c>
      <c r="AO243" s="363">
        <f>(ИД!$C$31*Резиденты!AO$17+Резиденты!AO19)*(ИД!$C$114*ИД!$C$126*3/1000/1.2+ИД!$C$116/4/1.2)</f>
        <v>4762.0593166666677</v>
      </c>
      <c r="AP243" s="363">
        <f>(ИД!$C$31*Резиденты!AP$17+Резиденты!AP19)*(ИД!$C$114*ИД!$C$126*3/1000/1.2+ИД!$C$116/4/1.2)</f>
        <v>4762.0593166666677</v>
      </c>
      <c r="AQ243" s="363">
        <f>(ИД!$C$31*Резиденты!AQ$17+Резиденты!AQ19)*(ИД!$C$114*ИД!$C$126*3/1000/1.2+ИД!$C$116/4/1.2)</f>
        <v>4762.0593166666677</v>
      </c>
      <c r="AR243" s="363">
        <f>(ИД!$C$31*Резиденты!AR$17+Резиденты!AR19)*(ИД!$C$114*ИД!$C$126*3/1000/1.2+ИД!$C$116/4/1.2)</f>
        <v>4762.0593166666677</v>
      </c>
      <c r="AS243" s="90"/>
      <c r="AT243" s="30">
        <f>SUM(E243:AS243)</f>
        <v>130552.99674403903</v>
      </c>
    </row>
    <row r="244" spans="1:46" outlineLevel="1" x14ac:dyDescent="0.2">
      <c r="A244" s="101" t="s">
        <v>52</v>
      </c>
      <c r="B244" s="25"/>
      <c r="C244" s="21" t="s">
        <v>1</v>
      </c>
      <c r="E244" s="361">
        <f>Параметры!E$136</f>
        <v>0.2</v>
      </c>
      <c r="F244" s="361">
        <f>Параметры!F$136</f>
        <v>0.2</v>
      </c>
      <c r="G244" s="361">
        <f>Параметры!G$136</f>
        <v>0.2</v>
      </c>
      <c r="H244" s="361">
        <f>Параметры!H$136</f>
        <v>0.2</v>
      </c>
      <c r="I244" s="361">
        <f>Параметры!I$136</f>
        <v>0.2</v>
      </c>
      <c r="J244" s="361">
        <f>Параметры!J$136</f>
        <v>0.2</v>
      </c>
      <c r="K244" s="361">
        <f>Параметры!K$136</f>
        <v>0.2</v>
      </c>
      <c r="L244" s="361">
        <f>Параметры!L$136</f>
        <v>0.2</v>
      </c>
      <c r="M244" s="361">
        <f>Параметры!M$136</f>
        <v>0.2</v>
      </c>
      <c r="N244" s="361">
        <f>Параметры!N$136</f>
        <v>0.2</v>
      </c>
      <c r="O244" s="361">
        <f>Параметры!O$136</f>
        <v>0.2</v>
      </c>
      <c r="P244" s="361">
        <f>Параметры!P$136</f>
        <v>0.2</v>
      </c>
      <c r="Q244" s="361">
        <f>Параметры!Q$136</f>
        <v>0.2</v>
      </c>
      <c r="R244" s="361">
        <f>Параметры!R$136</f>
        <v>0.2</v>
      </c>
      <c r="S244" s="361">
        <f>Параметры!S$136</f>
        <v>0.2</v>
      </c>
      <c r="T244" s="361">
        <f>Параметры!T$136</f>
        <v>0.2</v>
      </c>
      <c r="U244" s="361">
        <f>Параметры!U$136</f>
        <v>0.2</v>
      </c>
      <c r="V244" s="361">
        <f>Параметры!V$136</f>
        <v>0.2</v>
      </c>
      <c r="W244" s="361">
        <f>Параметры!W$136</f>
        <v>0.2</v>
      </c>
      <c r="X244" s="361">
        <f>Параметры!X$136</f>
        <v>0.2</v>
      </c>
      <c r="Y244" s="361">
        <f>Параметры!Y$136</f>
        <v>0.2</v>
      </c>
      <c r="Z244" s="361">
        <f>Параметры!Z$136</f>
        <v>0.2</v>
      </c>
      <c r="AA244" s="361">
        <f>Параметры!AA$136</f>
        <v>0.2</v>
      </c>
      <c r="AB244" s="361">
        <f>Параметры!AB$136</f>
        <v>0.2</v>
      </c>
      <c r="AC244" s="361">
        <f>Параметры!AC$136</f>
        <v>0.2</v>
      </c>
      <c r="AD244" s="361">
        <f>Параметры!AD$136</f>
        <v>0.2</v>
      </c>
      <c r="AE244" s="361">
        <f>Параметры!AE$136</f>
        <v>0.2</v>
      </c>
      <c r="AF244" s="361">
        <f>Параметры!AF$136</f>
        <v>0.2</v>
      </c>
      <c r="AG244" s="361">
        <f>Параметры!AG$136</f>
        <v>0.2</v>
      </c>
      <c r="AH244" s="361">
        <f>Параметры!AH$136</f>
        <v>0.2</v>
      </c>
      <c r="AI244" s="361">
        <f>Параметры!AI$136</f>
        <v>0.2</v>
      </c>
      <c r="AJ244" s="361">
        <f>Параметры!AJ$136</f>
        <v>0.2</v>
      </c>
      <c r="AK244" s="361">
        <f>Параметры!AK$136</f>
        <v>0.2</v>
      </c>
      <c r="AL244" s="361">
        <f>Параметры!AL$136</f>
        <v>0.2</v>
      </c>
      <c r="AM244" s="361">
        <f>Параметры!AM$136</f>
        <v>0.2</v>
      </c>
      <c r="AN244" s="361">
        <f>Параметры!AN$136</f>
        <v>0.2</v>
      </c>
      <c r="AO244" s="361">
        <f>Параметры!AO$136</f>
        <v>0.2</v>
      </c>
      <c r="AP244" s="361">
        <f>Параметры!AP$136</f>
        <v>0.2</v>
      </c>
      <c r="AQ244" s="361">
        <f>Параметры!AQ$136</f>
        <v>0.2</v>
      </c>
      <c r="AR244" s="361">
        <f>Параметры!AR$136</f>
        <v>0.2</v>
      </c>
      <c r="AS244" s="127"/>
      <c r="AT244" s="117"/>
    </row>
    <row r="245" spans="1:46" outlineLevel="1" x14ac:dyDescent="0.2">
      <c r="A245" s="101" t="s">
        <v>64</v>
      </c>
      <c r="B245" s="8"/>
      <c r="C245" s="21" t="str">
        <f>CHOOSE(C242,Параметры!$B$64,Параметры!$B$108,Параметры!$B$117)</f>
        <v>тыс. руб.</v>
      </c>
      <c r="E245" s="129">
        <f t="shared" ref="E245:AR245" si="92">E246*E244</f>
        <v>0</v>
      </c>
      <c r="F245" s="129">
        <f t="shared" ca="1" si="92"/>
        <v>0</v>
      </c>
      <c r="G245" s="129">
        <f t="shared" ca="1" si="92"/>
        <v>171.38212978820226</v>
      </c>
      <c r="H245" s="129">
        <f t="shared" ca="1" si="92"/>
        <v>171.38212978820226</v>
      </c>
      <c r="I245" s="129">
        <f t="shared" ca="1" si="92"/>
        <v>171.38212978820226</v>
      </c>
      <c r="J245" s="129">
        <f t="shared" ca="1" si="92"/>
        <v>173.07549235546111</v>
      </c>
      <c r="K245" s="129">
        <f t="shared" ca="1" si="92"/>
        <v>174.78558640334595</v>
      </c>
      <c r="L245" s="129">
        <f t="shared" ca="1" si="92"/>
        <v>176.51257724934362</v>
      </c>
      <c r="M245" s="129">
        <f t="shared" ca="1" si="92"/>
        <v>267.01614094206604</v>
      </c>
      <c r="N245" s="129">
        <f t="shared" ca="1" si="92"/>
        <v>269.64400613119869</v>
      </c>
      <c r="O245" s="129">
        <f t="shared" ca="1" si="92"/>
        <v>272.29773370987795</v>
      </c>
      <c r="P245" s="129">
        <f t="shared" ca="1" si="92"/>
        <v>274.97757820531297</v>
      </c>
      <c r="Q245" s="129">
        <f t="shared" ca="1" si="92"/>
        <v>323.83658237274744</v>
      </c>
      <c r="R245" s="129">
        <f t="shared" ca="1" si="92"/>
        <v>327.01169521213882</v>
      </c>
      <c r="S245" s="129">
        <f t="shared" ca="1" si="92"/>
        <v>330.21793900489257</v>
      </c>
      <c r="T245" s="129">
        <f t="shared" ca="1" si="92"/>
        <v>333.45561897992695</v>
      </c>
      <c r="U245" s="129">
        <f t="shared" ca="1" si="92"/>
        <v>1071.1924198126569</v>
      </c>
      <c r="V245" s="129">
        <f t="shared" ca="1" si="92"/>
        <v>1081.7186210508914</v>
      </c>
      <c r="W245" s="129">
        <f t="shared" ca="1" si="92"/>
        <v>1092.3482592724902</v>
      </c>
      <c r="X245" s="129">
        <f t="shared" ca="1" si="92"/>
        <v>1103.0823509134188</v>
      </c>
      <c r="Y245" s="129">
        <f t="shared" ca="1" si="92"/>
        <v>1113.921922397775</v>
      </c>
      <c r="Z245" s="129">
        <f t="shared" ca="1" si="92"/>
        <v>1124.8762146879999</v>
      </c>
      <c r="AA245" s="129">
        <f t="shared" ca="1" si="92"/>
        <v>1135.9382313322994</v>
      </c>
      <c r="AB245" s="129">
        <f t="shared" ca="1" si="92"/>
        <v>1147.1090316904344</v>
      </c>
      <c r="AC245" s="129">
        <f t="shared" ca="1" si="92"/>
        <v>1158.3896855398943</v>
      </c>
      <c r="AD245" s="129">
        <f t="shared" ca="1" si="92"/>
        <v>1169.7672119721324</v>
      </c>
      <c r="AE245" s="129">
        <f t="shared" ca="1" si="92"/>
        <v>1181.2564867299398</v>
      </c>
      <c r="AF245" s="129">
        <f t="shared" ca="1" si="92"/>
        <v>1192.85860738829</v>
      </c>
      <c r="AG245" s="129">
        <f t="shared" ca="1" si="92"/>
        <v>1204.5746823023699</v>
      </c>
      <c r="AH245" s="129">
        <f t="shared" ca="1" si="92"/>
        <v>1216.370736178362</v>
      </c>
      <c r="AI245" s="129">
        <f t="shared" ca="1" si="92"/>
        <v>1228.2823054218024</v>
      </c>
      <c r="AJ245" s="129">
        <f t="shared" ca="1" si="92"/>
        <v>1240.3105212415057</v>
      </c>
      <c r="AK245" s="129">
        <f t="shared" ca="1" si="92"/>
        <v>1252.4565259238889</v>
      </c>
      <c r="AL245" s="129">
        <f t="shared" ca="1" si="92"/>
        <v>1264.6849802399374</v>
      </c>
      <c r="AM245" s="129">
        <f t="shared" ca="1" si="92"/>
        <v>1277.0328279974865</v>
      </c>
      <c r="AN245" s="129">
        <f t="shared" ca="1" si="92"/>
        <v>1289.5012349034607</v>
      </c>
      <c r="AO245" s="129">
        <f t="shared" ca="1" si="92"/>
        <v>1302.0913780462524</v>
      </c>
      <c r="AP245" s="129">
        <f t="shared" ca="1" si="92"/>
        <v>1314.7791515773229</v>
      </c>
      <c r="AQ245" s="129">
        <f t="shared" ca="1" si="92"/>
        <v>1327.5905566751865</v>
      </c>
      <c r="AR245" s="129">
        <f t="shared" ca="1" si="92"/>
        <v>1340.5267980243589</v>
      </c>
      <c r="AS245" s="129"/>
      <c r="AT245" s="125">
        <f ca="1">SUM(E245:AS245)</f>
        <v>32267.638081251076</v>
      </c>
    </row>
    <row r="246" spans="1:46" outlineLevel="1" x14ac:dyDescent="0.2">
      <c r="A246" s="114" t="s">
        <v>477</v>
      </c>
      <c r="B246" s="16"/>
      <c r="C246" s="2" t="str">
        <f>CHOOSE(C242,Параметры!$B$64,Параметры!$B$108,Параметры!$B$117)</f>
        <v>тыс. руб.</v>
      </c>
      <c r="E246" s="129">
        <f t="shared" ref="E246:AR246" si="93">E243*E249</f>
        <v>0</v>
      </c>
      <c r="F246" s="129">
        <f t="shared" ca="1" si="93"/>
        <v>0</v>
      </c>
      <c r="G246" s="129">
        <f t="shared" ca="1" si="93"/>
        <v>856.91064894101123</v>
      </c>
      <c r="H246" s="129">
        <f t="shared" ca="1" si="93"/>
        <v>856.91064894101123</v>
      </c>
      <c r="I246" s="129">
        <f t="shared" ca="1" si="93"/>
        <v>856.91064894101123</v>
      </c>
      <c r="J246" s="129">
        <f t="shared" ca="1" si="93"/>
        <v>865.37746177730548</v>
      </c>
      <c r="K246" s="129">
        <f t="shared" ca="1" si="93"/>
        <v>873.92793201672964</v>
      </c>
      <c r="L246" s="129">
        <f t="shared" ca="1" si="93"/>
        <v>882.56288624671811</v>
      </c>
      <c r="M246" s="129">
        <f t="shared" ca="1" si="93"/>
        <v>1335.0807047103301</v>
      </c>
      <c r="N246" s="129">
        <f t="shared" ca="1" si="93"/>
        <v>1348.2200306559935</v>
      </c>
      <c r="O246" s="129">
        <f t="shared" ca="1" si="93"/>
        <v>1361.4886685493896</v>
      </c>
      <c r="P246" s="129">
        <f t="shared" ca="1" si="93"/>
        <v>1374.8878910265648</v>
      </c>
      <c r="Q246" s="129">
        <f t="shared" ca="1" si="93"/>
        <v>1619.182911863737</v>
      </c>
      <c r="R246" s="129">
        <f t="shared" ca="1" si="93"/>
        <v>1635.0584760606939</v>
      </c>
      <c r="S246" s="129">
        <f t="shared" ca="1" si="93"/>
        <v>1651.0896950244628</v>
      </c>
      <c r="T246" s="129">
        <f t="shared" ca="1" si="93"/>
        <v>1667.2780948996347</v>
      </c>
      <c r="U246" s="129">
        <f t="shared" ca="1" si="93"/>
        <v>5355.9620990632839</v>
      </c>
      <c r="V246" s="129">
        <f t="shared" ca="1" si="93"/>
        <v>5408.5931052544565</v>
      </c>
      <c r="W246" s="129">
        <f t="shared" ca="1" si="93"/>
        <v>5461.7412963624502</v>
      </c>
      <c r="X246" s="129">
        <f t="shared" ca="1" si="93"/>
        <v>5515.4117545670942</v>
      </c>
      <c r="Y246" s="129">
        <f t="shared" ca="1" si="93"/>
        <v>5569.6096119888743</v>
      </c>
      <c r="Z246" s="129">
        <f t="shared" ca="1" si="93"/>
        <v>5624.3810734399995</v>
      </c>
      <c r="AA246" s="129">
        <f t="shared" ca="1" si="93"/>
        <v>5679.6911566614972</v>
      </c>
      <c r="AB246" s="129">
        <f t="shared" ca="1" si="93"/>
        <v>5735.5451584521725</v>
      </c>
      <c r="AC246" s="129">
        <f t="shared" ca="1" si="93"/>
        <v>5791.9484276994717</v>
      </c>
      <c r="AD246" s="129">
        <f t="shared" ca="1" si="93"/>
        <v>5848.8360598606614</v>
      </c>
      <c r="AE246" s="129">
        <f t="shared" ca="1" si="93"/>
        <v>5906.2824336496988</v>
      </c>
      <c r="AF246" s="129">
        <f t="shared" ca="1" si="93"/>
        <v>5964.2930369414498</v>
      </c>
      <c r="AG246" s="129">
        <f t="shared" ca="1" si="93"/>
        <v>6022.8734115118486</v>
      </c>
      <c r="AH246" s="129">
        <f t="shared" ca="1" si="93"/>
        <v>6081.8536808918097</v>
      </c>
      <c r="AI246" s="129">
        <f t="shared" ca="1" si="93"/>
        <v>6141.4115271090122</v>
      </c>
      <c r="AJ246" s="129">
        <f t="shared" ca="1" si="93"/>
        <v>6201.5526062075287</v>
      </c>
      <c r="AK246" s="129">
        <f t="shared" ca="1" si="93"/>
        <v>6262.2826296194435</v>
      </c>
      <c r="AL246" s="129">
        <f t="shared" ca="1" si="93"/>
        <v>6323.4249011996872</v>
      </c>
      <c r="AM246" s="129">
        <f t="shared" ca="1" si="93"/>
        <v>6385.1641399874325</v>
      </c>
      <c r="AN246" s="129">
        <f t="shared" ca="1" si="93"/>
        <v>6447.5061745173034</v>
      </c>
      <c r="AO246" s="129">
        <f t="shared" ca="1" si="93"/>
        <v>6510.4568902312612</v>
      </c>
      <c r="AP246" s="129">
        <f t="shared" ca="1" si="93"/>
        <v>6573.8957578866139</v>
      </c>
      <c r="AQ246" s="129">
        <f t="shared" ca="1" si="93"/>
        <v>6637.9527833759321</v>
      </c>
      <c r="AR246" s="129">
        <f t="shared" ca="1" si="93"/>
        <v>6702.6339901217943</v>
      </c>
      <c r="AS246" s="115"/>
      <c r="AT246" s="125">
        <f ca="1">SUM(E246:AS246)</f>
        <v>161338.19040625537</v>
      </c>
    </row>
    <row r="247" spans="1:46" outlineLevel="1" x14ac:dyDescent="0.2">
      <c r="A247" s="420" t="str">
        <f>Параметры!$A$65</f>
        <v>Инфляция</v>
      </c>
      <c r="B247" s="263" t="s">
        <v>391</v>
      </c>
      <c r="C247" s="21" t="s">
        <v>14</v>
      </c>
      <c r="E247" s="362">
        <f>CHOOSE($C242,Параметры!E$65,Параметры!E$113,Параметры!E$122)</f>
        <v>0</v>
      </c>
      <c r="F247" s="362">
        <f>CHOOSE($C242,Параметры!F$65,Параметры!F$113,Параметры!F$122)</f>
        <v>0</v>
      </c>
      <c r="G247" s="362">
        <f>CHOOSE($C242,Параметры!G$65,Параметры!G$113,Параметры!G$122)</f>
        <v>0</v>
      </c>
      <c r="H247" s="362">
        <f>CHOOSE($C242,Параметры!H$65,Параметры!H$113,Параметры!H$122)</f>
        <v>0</v>
      </c>
      <c r="I247" s="362">
        <f>CHOOSE($C242,Параметры!I$65,Параметры!I$113,Параметры!I$122)</f>
        <v>4.011212875388237E-2</v>
      </c>
      <c r="J247" s="362">
        <f>CHOOSE($C242,Параметры!J$65,Параметры!J$113,Параметры!J$122)</f>
        <v>4.011212875388237E-2</v>
      </c>
      <c r="K247" s="362">
        <f>CHOOSE($C242,Параметры!K$65,Параметры!K$113,Параметры!K$122)</f>
        <v>4.011212875388237E-2</v>
      </c>
      <c r="L247" s="362">
        <f>CHOOSE($C242,Параметры!L$65,Параметры!L$113,Параметры!L$122)</f>
        <v>4.011212875388237E-2</v>
      </c>
      <c r="M247" s="362">
        <f>CHOOSE($C242,Параметры!M$65,Параметры!M$113,Параметры!M$122)</f>
        <v>3.9951351517419909E-2</v>
      </c>
      <c r="N247" s="362">
        <f>CHOOSE($C242,Параметры!N$65,Параметры!N$113,Параметры!N$122)</f>
        <v>3.9951351517419909E-2</v>
      </c>
      <c r="O247" s="362">
        <f>CHOOSE($C242,Параметры!O$65,Параметры!O$113,Параметры!O$122)</f>
        <v>3.9951351517419909E-2</v>
      </c>
      <c r="P247" s="362">
        <f>CHOOSE($C242,Параметры!P$65,Параметры!P$113,Параметры!P$122)</f>
        <v>3.9951351517419909E-2</v>
      </c>
      <c r="Q247" s="362">
        <f>CHOOSE($C242,Параметры!Q$65,Параметры!Q$113,Параметры!Q$122)</f>
        <v>3.9799274348962799E-2</v>
      </c>
      <c r="R247" s="362">
        <f>CHOOSE($C242,Параметры!R$65,Параметры!R$113,Параметры!R$122)</f>
        <v>3.9799274348962799E-2</v>
      </c>
      <c r="S247" s="362">
        <f>CHOOSE($C242,Параметры!S$65,Параметры!S$113,Параметры!S$122)</f>
        <v>3.9799274348962799E-2</v>
      </c>
      <c r="T247" s="362">
        <f>CHOOSE($C242,Параметры!T$65,Параметры!T$113,Параметры!T$122)</f>
        <v>3.9799274348962799E-2</v>
      </c>
      <c r="U247" s="362">
        <f>CHOOSE($C242,Параметры!U$65,Параметры!U$113,Параметры!U$122)</f>
        <v>3.9889661086839556E-2</v>
      </c>
      <c r="V247" s="362">
        <f>CHOOSE($C242,Параметры!V$65,Параметры!V$113,Параметры!V$122)</f>
        <v>3.9889661086839556E-2</v>
      </c>
      <c r="W247" s="362">
        <f>CHOOSE($C242,Параметры!W$65,Параметры!W$113,Параметры!W$122)</f>
        <v>3.9889661086839556E-2</v>
      </c>
      <c r="X247" s="362">
        <f>CHOOSE($C242,Параметры!X$65,Параметры!X$113,Параметры!X$122)</f>
        <v>3.9889661086839556E-2</v>
      </c>
      <c r="Y247" s="362">
        <f>CHOOSE($C242,Параметры!Y$65,Параметры!Y$113,Параметры!Y$122)</f>
        <v>3.9919999999999956E-2</v>
      </c>
      <c r="Z247" s="362">
        <f>CHOOSE($C242,Параметры!Z$65,Параметры!Z$113,Параметры!Z$122)</f>
        <v>3.9919999999999956E-2</v>
      </c>
      <c r="AA247" s="362">
        <f>CHOOSE($C242,Параметры!AA$65,Параметры!AA$113,Параметры!AA$122)</f>
        <v>3.9919999999999956E-2</v>
      </c>
      <c r="AB247" s="362">
        <f>CHOOSE($C242,Параметры!AB$65,Параметры!AB$113,Параметры!AB$122)</f>
        <v>3.9919999999999956E-2</v>
      </c>
      <c r="AC247" s="362">
        <f>CHOOSE($C242,Параметры!AC$65,Параметры!AC$113,Параметры!AC$122)</f>
        <v>3.986999999999985E-2</v>
      </c>
      <c r="AD247" s="362">
        <f>CHOOSE($C242,Параметры!AD$65,Параметры!AD$113,Параметры!AD$122)</f>
        <v>3.986999999999985E-2</v>
      </c>
      <c r="AE247" s="362">
        <f>CHOOSE($C242,Параметры!AE$65,Параметры!AE$113,Параметры!AE$122)</f>
        <v>3.986999999999985E-2</v>
      </c>
      <c r="AF247" s="362">
        <f>CHOOSE($C242,Параметры!AF$65,Параметры!AF$113,Параметры!AF$122)</f>
        <v>3.986999999999985E-2</v>
      </c>
      <c r="AG247" s="362">
        <f>CHOOSE($C242,Параметры!AG$65,Параметры!AG$113,Параметры!AG$122)</f>
        <v>3.9749999999999952E-2</v>
      </c>
      <c r="AH247" s="362">
        <f>CHOOSE($C242,Параметры!AH$65,Параметры!AH$113,Параметры!AH$122)</f>
        <v>3.9749999999999952E-2</v>
      </c>
      <c r="AI247" s="362">
        <f>CHOOSE($C242,Параметры!AI$65,Параметры!AI$113,Параметры!AI$122)</f>
        <v>3.9749999999999952E-2</v>
      </c>
      <c r="AJ247" s="362">
        <f>CHOOSE($C242,Параметры!AJ$65,Параметры!AJ$113,Параметры!AJ$122)</f>
        <v>3.9749999999999952E-2</v>
      </c>
      <c r="AK247" s="362">
        <f>CHOOSE($C242,Параметры!AK$65,Параметры!AK$113,Параметры!AK$122)</f>
        <v>3.9629999999999832E-2</v>
      </c>
      <c r="AL247" s="362">
        <f>CHOOSE($C242,Параметры!AL$65,Параметры!AL$113,Параметры!AL$122)</f>
        <v>3.9629999999999832E-2</v>
      </c>
      <c r="AM247" s="362">
        <f>CHOOSE($C242,Параметры!AM$65,Параметры!AM$113,Параметры!AM$122)</f>
        <v>3.9629999999999832E-2</v>
      </c>
      <c r="AN247" s="362">
        <f>CHOOSE($C242,Параметры!AN$65,Параметры!AN$113,Параметры!AN$122)</f>
        <v>3.9629999999999832E-2</v>
      </c>
      <c r="AO247" s="362">
        <f>CHOOSE($C242,Параметры!AO$65,Параметры!AO$113,Параметры!AO$122)</f>
        <v>3.9549999999999974E-2</v>
      </c>
      <c r="AP247" s="362">
        <f>CHOOSE($C242,Параметры!AP$65,Параметры!AP$113,Параметры!AP$122)</f>
        <v>3.9549999999999974E-2</v>
      </c>
      <c r="AQ247" s="362">
        <f>CHOOSE($C242,Параметры!AQ$65,Параметры!AQ$113,Параметры!AQ$122)</f>
        <v>3.9549999999999974E-2</v>
      </c>
      <c r="AR247" s="362">
        <f>CHOOSE($C242,Параметры!AR$65,Параметры!AR$113,Параметры!AR$122)</f>
        <v>3.9549999999999974E-2</v>
      </c>
      <c r="AS247" s="127"/>
      <c r="AT247" s="119"/>
    </row>
    <row r="248" spans="1:46" outlineLevel="1" x14ac:dyDescent="0.2">
      <c r="A248" s="302" t="s">
        <v>392</v>
      </c>
      <c r="B248" s="25"/>
      <c r="C248" s="21" t="s">
        <v>133</v>
      </c>
      <c r="E248" s="416">
        <f ca="1">IF(E$2=1,1,IF(Параметры!$B$62=1,POWER(1+OFFSET(E247,0,-1),Параметры!E$39/360),1) * IF(E$2&gt;1,D248, 1))</f>
        <v>1</v>
      </c>
      <c r="F248" s="416">
        <f ca="1">IF(F$2=1,1,IF(Параметры!$B$62=1,POWER(1+OFFSET(F247,0,-1),Параметры!F$39/360),1) * IF(F$2&gt;1,E248, 1))</f>
        <v>1</v>
      </c>
      <c r="G248" s="416">
        <f ca="1">IF(G$2=1,1,IF(Параметры!$B$62=1,POWER(1+OFFSET(G247,0,-1),Параметры!G$39/360),1) * IF(G$2&gt;1,F248, 1))</f>
        <v>1</v>
      </c>
      <c r="H248" s="416">
        <f ca="1">IF(H$2=1,1,IF(Параметры!$B$62=1,POWER(1+OFFSET(H247,0,-1),Параметры!H$39/360),1) * IF(H$2&gt;1,G248, 1))</f>
        <v>1</v>
      </c>
      <c r="I248" s="416">
        <f ca="1">IF(I$2=1,1,IF(Параметры!$B$62=1,POWER(1+OFFSET(I247,0,-1),Параметры!I$39/360),1) * IF(I$2&gt;1,H248, 1))</f>
        <v>1</v>
      </c>
      <c r="J248" s="416">
        <f ca="1">IF(J$2=1,1,IF(Параметры!$B$62=1,POWER(1+OFFSET(J247,0,-1),Параметры!J$39/360),1) * IF(J$2&gt;1,I248, 1))</f>
        <v>1.009880625064886</v>
      </c>
      <c r="K248" s="416">
        <f ca="1">IF(K$2=1,1,IF(Параметры!$B$62=1,POWER(1+OFFSET(K247,0,-1),Параметры!K$39/360),1) * IF(K$2&gt;1,J248, 1))</f>
        <v>1.0198588768814447</v>
      </c>
      <c r="L248" s="416">
        <f ca="1">IF(L$2=1,1,IF(Параметры!$B$62=1,POWER(1+OFFSET(L247,0,-1),Параметры!L$39/360),1) * IF(L$2&gt;1,K248, 1))</f>
        <v>1.0299357200630059</v>
      </c>
      <c r="M248" s="416">
        <f ca="1">IF(M$2=1,1,IF(Параметры!$B$62=1,POWER(1+OFFSET(M247,0,-1),Параметры!M$39/360),1) * IF(M$2&gt;1,L248, 1))</f>
        <v>1.0401121287538819</v>
      </c>
      <c r="N248" s="416">
        <f ca="1">IF(N$2=1,1,IF(Параметры!$B$62=1,POWER(1+OFFSET(N247,0,-1),Параметры!N$39/360),1) * IF(N$2&gt;1,M248, 1))</f>
        <v>1.0503484929163767</v>
      </c>
      <c r="O248" s="416">
        <f ca="1">IF(O$2=1,1,IF(Параметры!$B$62=1,POWER(1+OFFSET(O247,0,-1),Параметры!O$39/360),1) * IF(O$2&gt;1,N248, 1))</f>
        <v>1.0606855992473074</v>
      </c>
      <c r="P248" s="416">
        <f ca="1">IF(P$2=1,1,IF(Параметры!$B$62=1,POWER(1+OFFSET(P247,0,-1),Параметры!P$39/360),1) * IF(P$2&gt;1,O248, 1))</f>
        <v>1.0711244392104731</v>
      </c>
      <c r="Q248" s="416">
        <f ca="1">IF(Q$2=1,1,IF(Параметры!$B$62=1,POWER(1+OFFSET(Q247,0,-1),Параметры!Q$39/360),1) * IF(Q$2&gt;1,P248, 1))</f>
        <v>1.0816660140272598</v>
      </c>
      <c r="R248" s="416">
        <f ca="1">IF(R$2=1,1,IF(Параметры!$B$62=1,POWER(1+OFFSET(R247,0,-1),Параметры!R$39/360),1) * IF(R$2&gt;1,Q248, 1))</f>
        <v>1.092271399076433</v>
      </c>
      <c r="S248" s="416">
        <f ca="1">IF(S$2=1,1,IF(Параметры!$B$62=1,POWER(1+OFFSET(S247,0,-1),Параметры!S$39/360),1) * IF(S$2&gt;1,R248, 1))</f>
        <v>1.1029807664922358</v>
      </c>
      <c r="T248" s="416">
        <f ca="1">IF(T$2=1,1,IF(Параметры!$B$62=1,POWER(1+OFFSET(T247,0,-1),Параметры!T$39/360),1) * IF(T$2&gt;1,S248, 1))</f>
        <v>1.1137951357881057</v>
      </c>
      <c r="U248" s="416">
        <f ca="1">IF(U$2=1,1,IF(Параметры!$B$62=1,POWER(1+OFFSET(U247,0,-1),Параметры!U$39/360),1) * IF(U$2&gt;1,T248, 1))</f>
        <v>1.1247155364734798</v>
      </c>
      <c r="V248" s="416">
        <f ca="1">IF(V$2=1,1,IF(Параметры!$B$62=1,POWER(1+OFFSET(V247,0,-1),Параметры!V$39/360),1) * IF(V$2&gt;1,U248, 1))</f>
        <v>1.1357676890594357</v>
      </c>
      <c r="W248" s="416">
        <f ca="1">IF(W$2=1,1,IF(Параметры!$B$62=1,POWER(1+OFFSET(W247,0,-1),Параметры!W$39/360),1) * IF(W$2&gt;1,V248, 1))</f>
        <v>1.1469284469529757</v>
      </c>
      <c r="X248" s="416">
        <f ca="1">IF(X$2=1,1,IF(Параметры!$B$62=1,POWER(1+OFFSET(X247,0,-1),Параметры!X$39/360),1) * IF(X$2&gt;1,W248, 1))</f>
        <v>1.158198877377226</v>
      </c>
      <c r="Y248" s="416">
        <f ca="1">IF(Y$2=1,1,IF(Параметры!$B$62=1,POWER(1+OFFSET(Y247,0,-1),Параметры!Y$39/360),1) * IF(Y$2&gt;1,X248, 1))</f>
        <v>1.1695800580425095</v>
      </c>
      <c r="Z248" s="416">
        <f ca="1">IF(Z$2=1,1,IF(Параметры!$B$62=1,POWER(1+OFFSET(Z247,0,-1),Параметры!Z$39/360),1) * IF(Z$2&gt;1,Y248, 1))</f>
        <v>1.1810816916444749</v>
      </c>
      <c r="AA248" s="416">
        <f ca="1">IF(AA$2=1,1,IF(Параметры!$B$62=1,POWER(1+OFFSET(AA247,0,-1),Параметры!AA$39/360),1) * IF(AA$2&gt;1,Z248, 1))</f>
        <v>1.1926964321471643</v>
      </c>
      <c r="AB248" s="416">
        <f ca="1">IF(AB$2=1,1,IF(Параметры!$B$62=1,POWER(1+OFFSET(AB247,0,-1),Параметры!AB$39/360),1) * IF(AB$2&gt;1,AA248, 1))</f>
        <v>1.2044253918422256</v>
      </c>
      <c r="AC248" s="416">
        <f ca="1">IF(AC$2=1,1,IF(Параметры!$B$62=1,POWER(1+OFFSET(AC247,0,-1),Параметры!AC$39/360),1) * IF(AC$2&gt;1,AB248, 1))</f>
        <v>1.2162696939595667</v>
      </c>
      <c r="AD248" s="416">
        <f ca="1">IF(AD$2=1,1,IF(Параметры!$B$62=1,POWER(1+OFFSET(AD247,0,-1),Параметры!AD$39/360),1) * IF(AD$2&gt;1,AC248, 1))</f>
        <v>1.2282157089875798</v>
      </c>
      <c r="AE248" s="416">
        <f ca="1">IF(AE$2=1,1,IF(Параметры!$B$62=1,POWER(1+OFFSET(AE247,0,-1),Параметры!AE$39/360),1) * IF(AE$2&gt;1,AD248, 1))</f>
        <v>1.2402790559492571</v>
      </c>
      <c r="AF248" s="416">
        <f ca="1">IF(AF$2=1,1,IF(Параметры!$B$62=1,POWER(1+OFFSET(AF247,0,-1),Параметры!AF$39/360),1) * IF(AF$2&gt;1,AE248, 1))</f>
        <v>1.2524608872609169</v>
      </c>
      <c r="AG248" s="416">
        <f ca="1">IF(AG$2=1,1,IF(Параметры!$B$62=1,POWER(1+OFFSET(AG247,0,-1),Параметры!AG$39/360),1) * IF(AG$2&gt;1,AF248, 1))</f>
        <v>1.2647623666577346</v>
      </c>
      <c r="AH248" s="416">
        <f ca="1">IF(AH$2=1,1,IF(Параметры!$B$62=1,POWER(1+OFFSET(AH247,0,-1),Параметры!AH$39/360),1) * IF(AH$2&gt;1,AG248, 1))</f>
        <v>1.2771478212390197</v>
      </c>
      <c r="AI248" s="416">
        <f ca="1">IF(AI$2=1,1,IF(Параметры!$B$62=1,POWER(1+OFFSET(AI247,0,-1),Параметры!AI$39/360),1) * IF(AI$2&gt;1,AH248, 1))</f>
        <v>1.2896545630195677</v>
      </c>
      <c r="AJ248" s="416">
        <f ca="1">IF(AJ$2=1,1,IF(Параметры!$B$62=1,POWER(1+OFFSET(AJ247,0,-1),Параметры!AJ$39/360),1) * IF(AJ$2&gt;1,AI248, 1))</f>
        <v>1.3022837797300839</v>
      </c>
      <c r="AK248" s="416">
        <f ca="1">IF(AK$2=1,1,IF(Параметры!$B$62=1,POWER(1+OFFSET(AK247,0,-1),Параметры!AK$39/360),1) * IF(AK$2&gt;1,AJ248, 1))</f>
        <v>1.3150366707323793</v>
      </c>
      <c r="AL248" s="416">
        <f ca="1">IF(AL$2=1,1,IF(Параметры!$B$62=1,POWER(1+OFFSET(AL247,0,-1),Параметры!AL$39/360),1) * IF(AL$2&gt;1,AK248, 1))</f>
        <v>1.3278761310402869</v>
      </c>
      <c r="AM248" s="416">
        <f ca="1">IF(AM$2=1,1,IF(Параметры!$B$62=1,POWER(1+OFFSET(AM247,0,-1),Параметры!AM$39/360),1) * IF(AM$2&gt;1,AL248, 1))</f>
        <v>1.3408409503930541</v>
      </c>
      <c r="AN248" s="416">
        <f ca="1">IF(AN$2=1,1,IF(Параметры!$B$62=1,POWER(1+OFFSET(AN247,0,-1),Параметры!AN$39/360),1) * IF(AN$2&gt;1,AM248, 1))</f>
        <v>1.3539323527432265</v>
      </c>
      <c r="AO248" s="416">
        <f ca="1">IF(AO$2=1,1,IF(Параметры!$B$62=1,POWER(1+OFFSET(AO247,0,-1),Параметры!AO$39/360),1) * IF(AO$2&gt;1,AN248, 1))</f>
        <v>1.3671515739935032</v>
      </c>
      <c r="AP248" s="416">
        <f ca="1">IF(AP$2=1,1,IF(Параметры!$B$62=1,POWER(1+OFFSET(AP247,0,-1),Параметры!AP$39/360),1) * IF(AP$2&gt;1,AO248, 1))</f>
        <v>1.380473303824403</v>
      </c>
      <c r="AQ248" s="416">
        <f ca="1">IF(AQ$2=1,1,IF(Параметры!$B$62=1,POWER(1+OFFSET(AQ247,0,-1),Параметры!AQ$39/360),1) * IF(AQ$2&gt;1,AP248, 1))</f>
        <v>1.3939248425872921</v>
      </c>
      <c r="AR248" s="416">
        <f ca="1">IF(AR$2=1,1,IF(Параметры!$B$62=1,POWER(1+OFFSET(AR247,0,-1),Параметры!AR$39/360),1) * IF(AR$2&gt;1,AQ248, 1))</f>
        <v>1.4075074551598581</v>
      </c>
      <c r="AS248" s="128"/>
      <c r="AT248" s="117"/>
    </row>
    <row r="249" spans="1:46" outlineLevel="1" x14ac:dyDescent="0.2">
      <c r="A249" s="319" t="s">
        <v>491</v>
      </c>
      <c r="B249" s="24"/>
      <c r="C249" s="2" t="s">
        <v>133</v>
      </c>
      <c r="D249" s="310"/>
      <c r="E249" s="417">
        <f>IF(E$2=1,1,CHOOSE($B$8,E248,IF(Параметры!E$43=1,E248,D249),IF(Параметры!E$48=1,E248,D249),IF(Параметры!E$45&lt;&gt;Параметры!D$45,E248,D249),IF(Параметры!E$50&lt;&gt;Параметры!D$50,E248,D249)))</f>
        <v>1</v>
      </c>
      <c r="F249" s="417">
        <f ca="1">IF(F$2=1,1,CHOOSE($B$8,F248,IF(Параметры!F$43=1,F248,E249),IF(Параметры!F$48=1,F248,E249),IF(Параметры!F$45&lt;&gt;Параметры!E$45,F248,E249),IF(Параметры!F$50&lt;&gt;Параметры!E$50,F248,E249)))</f>
        <v>1</v>
      </c>
      <c r="G249" s="417">
        <f ca="1">IF(G$2=1,1,CHOOSE($B$8,G248,IF(Параметры!G$43=1,G248,F249),IF(Параметры!G$48=1,G248,F249),IF(Параметры!G$45&lt;&gt;Параметры!F$45,G248,F249),IF(Параметры!G$50&lt;&gt;Параметры!F$50,G248,F249)))</f>
        <v>1</v>
      </c>
      <c r="H249" s="417">
        <f ca="1">IF(H$2=1,1,CHOOSE($B$8,H248,IF(Параметры!H$43=1,H248,G249),IF(Параметры!H$48=1,H248,G249),IF(Параметры!H$45&lt;&gt;Параметры!G$45,H248,G249),IF(Параметры!H$50&lt;&gt;Параметры!G$50,H248,G249)))</f>
        <v>1</v>
      </c>
      <c r="I249" s="417">
        <f ca="1">IF(I$2=1,1,CHOOSE($B$8,I248,IF(Параметры!I$43=1,I248,H249),IF(Параметры!I$48=1,I248,H249),IF(Параметры!I$45&lt;&gt;Параметры!H$45,I248,H249),IF(Параметры!I$50&lt;&gt;Параметры!H$50,I248,H249)))</f>
        <v>1</v>
      </c>
      <c r="J249" s="417">
        <f ca="1">IF(J$2=1,1,CHOOSE($B$8,J248,IF(Параметры!J$43=1,J248,I249),IF(Параметры!J$48=1,J248,I249),IF(Параметры!J$45&lt;&gt;Параметры!I$45,J248,I249),IF(Параметры!J$50&lt;&gt;Параметры!I$50,J248,I249)))</f>
        <v>1.009880625064886</v>
      </c>
      <c r="K249" s="417">
        <f ca="1">IF(K$2=1,1,CHOOSE($B$8,K248,IF(Параметры!K$43=1,K248,J249),IF(Параметры!K$48=1,K248,J249),IF(Параметры!K$45&lt;&gt;Параметры!J$45,K248,J249),IF(Параметры!K$50&lt;&gt;Параметры!J$50,K248,J249)))</f>
        <v>1.0198588768814447</v>
      </c>
      <c r="L249" s="417">
        <f ca="1">IF(L$2=1,1,CHOOSE($B$8,L248,IF(Параметры!L$43=1,L248,K249),IF(Параметры!L$48=1,L248,K249),IF(Параметры!L$45&lt;&gt;Параметры!K$45,L248,K249),IF(Параметры!L$50&lt;&gt;Параметры!K$50,L248,K249)))</f>
        <v>1.0299357200630059</v>
      </c>
      <c r="M249" s="417">
        <f ca="1">IF(M$2=1,1,CHOOSE($B$8,M248,IF(Параметры!M$43=1,M248,L249),IF(Параметры!M$48=1,M248,L249),IF(Параметры!M$45&lt;&gt;Параметры!L$45,M248,L249),IF(Параметры!M$50&lt;&gt;Параметры!L$50,M248,L249)))</f>
        <v>1.0401121287538819</v>
      </c>
      <c r="N249" s="417">
        <f ca="1">IF(N$2=1,1,CHOOSE($B$8,N248,IF(Параметры!N$43=1,N248,M249),IF(Параметры!N$48=1,N248,M249),IF(Параметры!N$45&lt;&gt;Параметры!M$45,N248,M249),IF(Параметры!N$50&lt;&gt;Параметры!M$50,N248,M249)))</f>
        <v>1.0503484929163767</v>
      </c>
      <c r="O249" s="417">
        <f ca="1">IF(O$2=1,1,CHOOSE($B$8,O248,IF(Параметры!O$43=1,O248,N249),IF(Параметры!O$48=1,O248,N249),IF(Параметры!O$45&lt;&gt;Параметры!N$45,O248,N249),IF(Параметры!O$50&lt;&gt;Параметры!N$50,O248,N249)))</f>
        <v>1.0606855992473074</v>
      </c>
      <c r="P249" s="417">
        <f ca="1">IF(P$2=1,1,CHOOSE($B$8,P248,IF(Параметры!P$43=1,P248,O249),IF(Параметры!P$48=1,P248,O249),IF(Параметры!P$45&lt;&gt;Параметры!O$45,P248,O249),IF(Параметры!P$50&lt;&gt;Параметры!O$50,P248,O249)))</f>
        <v>1.0711244392104731</v>
      </c>
      <c r="Q249" s="417">
        <f ca="1">IF(Q$2=1,1,CHOOSE($B$8,Q248,IF(Параметры!Q$43=1,Q248,P249),IF(Параметры!Q$48=1,Q248,P249),IF(Параметры!Q$45&lt;&gt;Параметры!P$45,Q248,P249),IF(Параметры!Q$50&lt;&gt;Параметры!P$50,Q248,P249)))</f>
        <v>1.0816660140272598</v>
      </c>
      <c r="R249" s="417">
        <f ca="1">IF(R$2=1,1,CHOOSE($B$8,R248,IF(Параметры!R$43=1,R248,Q249),IF(Параметры!R$48=1,R248,Q249),IF(Параметры!R$45&lt;&gt;Параметры!Q$45,R248,Q249),IF(Параметры!R$50&lt;&gt;Параметры!Q$50,R248,Q249)))</f>
        <v>1.092271399076433</v>
      </c>
      <c r="S249" s="417">
        <f ca="1">IF(S$2=1,1,CHOOSE($B$8,S248,IF(Параметры!S$43=1,S248,R249),IF(Параметры!S$48=1,S248,R249),IF(Параметры!S$45&lt;&gt;Параметры!R$45,S248,R249),IF(Параметры!S$50&lt;&gt;Параметры!R$50,S248,R249)))</f>
        <v>1.1029807664922358</v>
      </c>
      <c r="T249" s="417">
        <f ca="1">IF(T$2=1,1,CHOOSE($B$8,T248,IF(Параметры!T$43=1,T248,S249),IF(Параметры!T$48=1,T248,S249),IF(Параметры!T$45&lt;&gt;Параметры!S$45,T248,S249),IF(Параметры!T$50&lt;&gt;Параметры!S$50,T248,S249)))</f>
        <v>1.1137951357881057</v>
      </c>
      <c r="U249" s="417">
        <f ca="1">IF(U$2=1,1,CHOOSE($B$8,U248,IF(Параметры!U$43=1,U248,T249),IF(Параметры!U$48=1,U248,T249),IF(Параметры!U$45&lt;&gt;Параметры!T$45,U248,T249),IF(Параметры!U$50&lt;&gt;Параметры!T$50,U248,T249)))</f>
        <v>1.1247155364734798</v>
      </c>
      <c r="V249" s="417">
        <f ca="1">IF(V$2=1,1,CHOOSE($B$8,V248,IF(Параметры!V$43=1,V248,U249),IF(Параметры!V$48=1,V248,U249),IF(Параметры!V$45&lt;&gt;Параметры!U$45,V248,U249),IF(Параметры!V$50&lt;&gt;Параметры!U$50,V248,U249)))</f>
        <v>1.1357676890594357</v>
      </c>
      <c r="W249" s="417">
        <f ca="1">IF(W$2=1,1,CHOOSE($B$8,W248,IF(Параметры!W$43=1,W248,V249),IF(Параметры!W$48=1,W248,V249),IF(Параметры!W$45&lt;&gt;Параметры!V$45,W248,V249),IF(Параметры!W$50&lt;&gt;Параметры!V$50,W248,V249)))</f>
        <v>1.1469284469529757</v>
      </c>
      <c r="X249" s="417">
        <f ca="1">IF(X$2=1,1,CHOOSE($B$8,X248,IF(Параметры!X$43=1,X248,W249),IF(Параметры!X$48=1,X248,W249),IF(Параметры!X$45&lt;&gt;Параметры!W$45,X248,W249),IF(Параметры!X$50&lt;&gt;Параметры!W$50,X248,W249)))</f>
        <v>1.158198877377226</v>
      </c>
      <c r="Y249" s="417">
        <f ca="1">IF(Y$2=1,1,CHOOSE($B$8,Y248,IF(Параметры!Y$43=1,Y248,X249),IF(Параметры!Y$48=1,Y248,X249),IF(Параметры!Y$45&lt;&gt;Параметры!X$45,Y248,X249),IF(Параметры!Y$50&lt;&gt;Параметры!X$50,Y248,X249)))</f>
        <v>1.1695800580425095</v>
      </c>
      <c r="Z249" s="417">
        <f ca="1">IF(Z$2=1,1,CHOOSE($B$8,Z248,IF(Параметры!Z$43=1,Z248,Y249),IF(Параметры!Z$48=1,Z248,Y249),IF(Параметры!Z$45&lt;&gt;Параметры!Y$45,Z248,Y249),IF(Параметры!Z$50&lt;&gt;Параметры!Y$50,Z248,Y249)))</f>
        <v>1.1810816916444749</v>
      </c>
      <c r="AA249" s="417">
        <f ca="1">IF(AA$2=1,1,CHOOSE($B$8,AA248,IF(Параметры!AA$43=1,AA248,Z249),IF(Параметры!AA$48=1,AA248,Z249),IF(Параметры!AA$45&lt;&gt;Параметры!Z$45,AA248,Z249),IF(Параметры!AA$50&lt;&gt;Параметры!Z$50,AA248,Z249)))</f>
        <v>1.1926964321471643</v>
      </c>
      <c r="AB249" s="417">
        <f ca="1">IF(AB$2=1,1,CHOOSE($B$8,AB248,IF(Параметры!AB$43=1,AB248,AA249),IF(Параметры!AB$48=1,AB248,AA249),IF(Параметры!AB$45&lt;&gt;Параметры!AA$45,AB248,AA249),IF(Параметры!AB$50&lt;&gt;Параметры!AA$50,AB248,AA249)))</f>
        <v>1.2044253918422256</v>
      </c>
      <c r="AC249" s="417">
        <f ca="1">IF(AC$2=1,1,CHOOSE($B$8,AC248,IF(Параметры!AC$43=1,AC248,AB249),IF(Параметры!AC$48=1,AC248,AB249),IF(Параметры!AC$45&lt;&gt;Параметры!AB$45,AC248,AB249),IF(Параметры!AC$50&lt;&gt;Параметры!AB$50,AC248,AB249)))</f>
        <v>1.2162696939595667</v>
      </c>
      <c r="AD249" s="417">
        <f ca="1">IF(AD$2=1,1,CHOOSE($B$8,AD248,IF(Параметры!AD$43=1,AD248,AC249),IF(Параметры!AD$48=1,AD248,AC249),IF(Параметры!AD$45&lt;&gt;Параметры!AC$45,AD248,AC249),IF(Параметры!AD$50&lt;&gt;Параметры!AC$50,AD248,AC249)))</f>
        <v>1.2282157089875798</v>
      </c>
      <c r="AE249" s="417">
        <f ca="1">IF(AE$2=1,1,CHOOSE($B$8,AE248,IF(Параметры!AE$43=1,AE248,AD249),IF(Параметры!AE$48=1,AE248,AD249),IF(Параметры!AE$45&lt;&gt;Параметры!AD$45,AE248,AD249),IF(Параметры!AE$50&lt;&gt;Параметры!AD$50,AE248,AD249)))</f>
        <v>1.2402790559492571</v>
      </c>
      <c r="AF249" s="417">
        <f ca="1">IF(AF$2=1,1,CHOOSE($B$8,AF248,IF(Параметры!AF$43=1,AF248,AE249),IF(Параметры!AF$48=1,AF248,AE249),IF(Параметры!AF$45&lt;&gt;Параметры!AE$45,AF248,AE249),IF(Параметры!AF$50&lt;&gt;Параметры!AE$50,AF248,AE249)))</f>
        <v>1.2524608872609169</v>
      </c>
      <c r="AG249" s="417">
        <f ca="1">IF(AG$2=1,1,CHOOSE($B$8,AG248,IF(Параметры!AG$43=1,AG248,AF249),IF(Параметры!AG$48=1,AG248,AF249),IF(Параметры!AG$45&lt;&gt;Параметры!AF$45,AG248,AF249),IF(Параметры!AG$50&lt;&gt;Параметры!AF$50,AG248,AF249)))</f>
        <v>1.2647623666577346</v>
      </c>
      <c r="AH249" s="417">
        <f ca="1">IF(AH$2=1,1,CHOOSE($B$8,AH248,IF(Параметры!AH$43=1,AH248,AG249),IF(Параметры!AH$48=1,AH248,AG249),IF(Параметры!AH$45&lt;&gt;Параметры!AG$45,AH248,AG249),IF(Параметры!AH$50&lt;&gt;Параметры!AG$50,AH248,AG249)))</f>
        <v>1.2771478212390197</v>
      </c>
      <c r="AI249" s="417">
        <f ca="1">IF(AI$2=1,1,CHOOSE($B$8,AI248,IF(Параметры!AI$43=1,AI248,AH249),IF(Параметры!AI$48=1,AI248,AH249),IF(Параметры!AI$45&lt;&gt;Параметры!AH$45,AI248,AH249),IF(Параметры!AI$50&lt;&gt;Параметры!AH$50,AI248,AH249)))</f>
        <v>1.2896545630195677</v>
      </c>
      <c r="AJ249" s="417">
        <f ca="1">IF(AJ$2=1,1,CHOOSE($B$8,AJ248,IF(Параметры!AJ$43=1,AJ248,AI249),IF(Параметры!AJ$48=1,AJ248,AI249),IF(Параметры!AJ$45&lt;&gt;Параметры!AI$45,AJ248,AI249),IF(Параметры!AJ$50&lt;&gt;Параметры!AI$50,AJ248,AI249)))</f>
        <v>1.3022837797300839</v>
      </c>
      <c r="AK249" s="417">
        <f ca="1">IF(AK$2=1,1,CHOOSE($B$8,AK248,IF(Параметры!AK$43=1,AK248,AJ249),IF(Параметры!AK$48=1,AK248,AJ249),IF(Параметры!AK$45&lt;&gt;Параметры!AJ$45,AK248,AJ249),IF(Параметры!AK$50&lt;&gt;Параметры!AJ$50,AK248,AJ249)))</f>
        <v>1.3150366707323793</v>
      </c>
      <c r="AL249" s="417">
        <f ca="1">IF(AL$2=1,1,CHOOSE($B$8,AL248,IF(Параметры!AL$43=1,AL248,AK249),IF(Параметры!AL$48=1,AL248,AK249),IF(Параметры!AL$45&lt;&gt;Параметры!AK$45,AL248,AK249),IF(Параметры!AL$50&lt;&gt;Параметры!AK$50,AL248,AK249)))</f>
        <v>1.3278761310402869</v>
      </c>
      <c r="AM249" s="417">
        <f ca="1">IF(AM$2=1,1,CHOOSE($B$8,AM248,IF(Параметры!AM$43=1,AM248,AL249),IF(Параметры!AM$48=1,AM248,AL249),IF(Параметры!AM$45&lt;&gt;Параметры!AL$45,AM248,AL249),IF(Параметры!AM$50&lt;&gt;Параметры!AL$50,AM248,AL249)))</f>
        <v>1.3408409503930541</v>
      </c>
      <c r="AN249" s="417">
        <f ca="1">IF(AN$2=1,1,CHOOSE($B$8,AN248,IF(Параметры!AN$43=1,AN248,AM249),IF(Параметры!AN$48=1,AN248,AM249),IF(Параметры!AN$45&lt;&gt;Параметры!AM$45,AN248,AM249),IF(Параметры!AN$50&lt;&gt;Параметры!AM$50,AN248,AM249)))</f>
        <v>1.3539323527432265</v>
      </c>
      <c r="AO249" s="417">
        <f ca="1">IF(AO$2=1,1,CHOOSE($B$8,AO248,IF(Параметры!AO$43=1,AO248,AN249),IF(Параметры!AO$48=1,AO248,AN249),IF(Параметры!AO$45&lt;&gt;Параметры!AN$45,AO248,AN249),IF(Параметры!AO$50&lt;&gt;Параметры!AN$50,AO248,AN249)))</f>
        <v>1.3671515739935032</v>
      </c>
      <c r="AP249" s="417">
        <f ca="1">IF(AP$2=1,1,CHOOSE($B$8,AP248,IF(Параметры!AP$43=1,AP248,AO249),IF(Параметры!AP$48=1,AP248,AO249),IF(Параметры!AP$45&lt;&gt;Параметры!AO$45,AP248,AO249),IF(Параметры!AP$50&lt;&gt;Параметры!AO$50,AP248,AO249)))</f>
        <v>1.380473303824403</v>
      </c>
      <c r="AQ249" s="417">
        <f ca="1">IF(AQ$2=1,1,CHOOSE($B$8,AQ248,IF(Параметры!AQ$43=1,AQ248,AP249),IF(Параметры!AQ$48=1,AQ248,AP249),IF(Параметры!AQ$45&lt;&gt;Параметры!AP$45,AQ248,AP249),IF(Параметры!AQ$50&lt;&gt;Параметры!AP$50,AQ248,AP249)))</f>
        <v>1.3939248425872921</v>
      </c>
      <c r="AR249" s="417">
        <f ca="1">IF(AR$2=1,1,CHOOSE($B$8,AR248,IF(Параметры!AR$43=1,AR248,AQ249),IF(Параметры!AR$48=1,AR248,AQ249),IF(Параметры!AR$45&lt;&gt;Параметры!AQ$45,AR248,AQ249),IF(Параметры!AR$50&lt;&gt;Параметры!AQ$50,AR248,AQ249)))</f>
        <v>1.4075074551598581</v>
      </c>
      <c r="AS249" s="120"/>
      <c r="AT249" s="116"/>
    </row>
    <row r="250" spans="1:46" ht="22.5" x14ac:dyDescent="0.2">
      <c r="A250" s="788" t="s">
        <v>849</v>
      </c>
      <c r="B250" s="223" t="s">
        <v>390</v>
      </c>
      <c r="C250" s="286">
        <v>1</v>
      </c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  <c r="AA250" s="130"/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/>
      <c r="AN250" s="130"/>
      <c r="AO250" s="130"/>
      <c r="AP250" s="130"/>
      <c r="AQ250" s="130"/>
      <c r="AR250" s="130"/>
      <c r="AS250" s="130"/>
    </row>
    <row r="251" spans="1:46" collapsed="1" x14ac:dyDescent="0.2">
      <c r="A251" s="106" t="s">
        <v>1096</v>
      </c>
      <c r="B251" s="350"/>
      <c r="C251" s="3" t="str">
        <f>CHOOSE(C250,Параметры!$B$64,Параметры!$B$108,Параметры!$B$117)</f>
        <v>тыс. руб.</v>
      </c>
      <c r="E251" s="363">
        <f ca="1">(SUM($E460:E460)+E446+SUM($E445:E445))*ИД!$C$118/4</f>
        <v>0</v>
      </c>
      <c r="F251" s="363">
        <f ca="1">(SUM($E460:F460)+F446+SUM($E445:F445))*ИД!$C$118/4</f>
        <v>0</v>
      </c>
      <c r="G251" s="363">
        <f ca="1">(SUM($E460:G460)+G446+SUM($E445:G445))*ИД!$C$118/4</f>
        <v>600.6953125</v>
      </c>
      <c r="H251" s="363">
        <f ca="1">(SUM($E460:H460)+H446+SUM($E445:H445))*ИД!$C$118/4</f>
        <v>600.6953125</v>
      </c>
      <c r="I251" s="363">
        <f ca="1">(SUM($E460:I460)+I446+SUM($E445:I445))*ИД!$C$118/4</f>
        <v>600.6953125</v>
      </c>
      <c r="J251" s="363">
        <f ca="1">(SUM($E460:J460)+J446+SUM($E445:J445))*ИД!$C$118/4</f>
        <v>600.6953125</v>
      </c>
      <c r="K251" s="363">
        <f ca="1">(SUM($E460:K460)+K446+SUM($E445:K445))*ИД!$C$118/4</f>
        <v>600.6953125</v>
      </c>
      <c r="L251" s="363">
        <f ca="1">(SUM($E460:L460)+L446+SUM($E445:L445))*ИД!$C$118/4</f>
        <v>755.96076688528058</v>
      </c>
      <c r="M251" s="363">
        <f ca="1">(SUM($E460:M460)+M446+SUM($E445:M445))*ИД!$C$118/4</f>
        <v>1043.2694878488244</v>
      </c>
      <c r="N251" s="363">
        <f ca="1">(SUM($E460:N460)+N446+SUM($E445:N445))*ИД!$C$118/4</f>
        <v>1043.2694878488244</v>
      </c>
      <c r="O251" s="363">
        <f ca="1">(SUM($E460:O460)+O446+SUM($E445:O445))*ИД!$C$118/4</f>
        <v>1043.2694878488246</v>
      </c>
      <c r="P251" s="363">
        <f ca="1">(SUM($E460:P460)+P446+SUM($E445:P445))*ИД!$C$118/4</f>
        <v>1238.2440890049945</v>
      </c>
      <c r="Q251" s="363">
        <f ca="1">(SUM($E460:Q460)+Q446+SUM($E445:Q445))*ИД!$C$118/4</f>
        <v>1417.1643199667906</v>
      </c>
      <c r="R251" s="363">
        <f ca="1">(SUM($E460:R460)+R446+SUM($E445:R445))*ИД!$C$118/4</f>
        <v>1417.1643199667906</v>
      </c>
      <c r="S251" s="363">
        <f ca="1">(SUM($E460:S460)+S446+SUM($E445:S445))*ИД!$C$118/4</f>
        <v>1417.1643199667906</v>
      </c>
      <c r="T251" s="363">
        <f ca="1">(SUM($E460:T460)+T446+SUM($E445:T445))*ИД!$C$118/4</f>
        <v>1417.1643199667906</v>
      </c>
      <c r="U251" s="363">
        <f ca="1">(SUM($E460:U460)+U446+SUM($E445:U445))*ИД!$C$118/4</f>
        <v>3567.9824828884812</v>
      </c>
      <c r="V251" s="363">
        <f ca="1">(SUM($E460:V460)+V446+SUM($E445:V445))*ИД!$C$118/4</f>
        <v>3567.9824828884812</v>
      </c>
      <c r="W251" s="363">
        <f ca="1">(SUM($E460:W460)+W446+SUM($E445:W445))*ИД!$C$118/4</f>
        <v>3567.9824828884803</v>
      </c>
      <c r="X251" s="363">
        <f ca="1">(SUM($E460:X460)+X446+SUM($E445:X445))*ИД!$C$118/4</f>
        <v>3567.9824828884803</v>
      </c>
      <c r="Y251" s="363">
        <f ca="1">(SUM($E460:Y460)+Y446+SUM($E445:Y445))*ИД!$C$118/4</f>
        <v>3567.9824828884803</v>
      </c>
      <c r="Z251" s="363">
        <f ca="1">(SUM($E460:Z460)+Z446+SUM($E445:Z445))*ИД!$C$118/4</f>
        <v>3567.9824828884803</v>
      </c>
      <c r="AA251" s="363">
        <f ca="1">(SUM($E460:AA460)+AA446+SUM($E445:AA445))*ИД!$C$118/4</f>
        <v>3567.9824828884798</v>
      </c>
      <c r="AB251" s="363">
        <f ca="1">(SUM($E460:AB460)+AB446+SUM($E445:AB445))*ИД!$C$118/4</f>
        <v>3567.9824828884798</v>
      </c>
      <c r="AC251" s="363">
        <f ca="1">(SUM($E460:AC460)+AC446+SUM($E445:AC445))*ИД!$C$118/4</f>
        <v>3567.9824828884798</v>
      </c>
      <c r="AD251" s="363">
        <f ca="1">(SUM($E460:AD460)+AD446+SUM($E445:AD445))*ИД!$C$118/4</f>
        <v>3567.9824828884798</v>
      </c>
      <c r="AE251" s="363">
        <f ca="1">(SUM($E460:AE460)+AE446+SUM($E445:AE445))*ИД!$C$118/4</f>
        <v>3567.9824828884794</v>
      </c>
      <c r="AF251" s="363">
        <f ca="1">(SUM($E460:AF460)+AF446+SUM($E445:AF445))*ИД!$C$118/4</f>
        <v>3567.9824828884794</v>
      </c>
      <c r="AG251" s="363">
        <f ca="1">(SUM($E460:AG460)+AG446+SUM($E445:AG445))*ИД!$C$118/4</f>
        <v>3567.9824828884794</v>
      </c>
      <c r="AH251" s="363">
        <f ca="1">(SUM($E460:AH460)+AH446+SUM($E445:AH445))*ИД!$C$118/4</f>
        <v>3567.9824828884794</v>
      </c>
      <c r="AI251" s="363">
        <f ca="1">(SUM($E460:AI460)+AI446+SUM($E445:AI445))*ИД!$C$118/4</f>
        <v>3567.9824828884784</v>
      </c>
      <c r="AJ251" s="363">
        <f ca="1">(SUM($E460:AJ460)+AJ446+SUM($E445:AJ445))*ИД!$C$118/4</f>
        <v>3567.9824828884784</v>
      </c>
      <c r="AK251" s="363">
        <f ca="1">(SUM($E460:AK460)+AK446+SUM($E445:AK445))*ИД!$C$118/4</f>
        <v>3432.7865085334065</v>
      </c>
      <c r="AL251" s="363">
        <f ca="1">(SUM($E460:AL460)+AL446+SUM($E445:AL445))*ИД!$C$118/4</f>
        <v>3432.7865085334065</v>
      </c>
      <c r="AM251" s="363">
        <f ca="1">(SUM($E460:AM460)+AM446+SUM($E445:AM445))*ИД!$C$118/4</f>
        <v>3432.7865085334065</v>
      </c>
      <c r="AN251" s="363">
        <f ca="1">(SUM($E460:AN460)+AN446+SUM($E445:AN445))*ИД!$C$118/4</f>
        <v>3432.7865085334056</v>
      </c>
      <c r="AO251" s="363">
        <f ca="1">(SUM($E460:AO460)+AO446+SUM($E445:AO445))*ИД!$C$118/4</f>
        <v>1999.5115371330978</v>
      </c>
      <c r="AP251" s="363">
        <f ca="1">(SUM($E460:AP460)+AP446+SUM($E445:AP445))*ИД!$C$118/4</f>
        <v>1999.5115371330978</v>
      </c>
      <c r="AQ251" s="363">
        <f ca="1">(SUM($E460:AQ460)+AQ446+SUM($E445:AQ445))*ИД!$C$118/4</f>
        <v>1999.5115371330978</v>
      </c>
      <c r="AR251" s="363">
        <f ca="1">(SUM($E460:AR460)+AR446+SUM($E445:AR445))*ИД!$C$118/4</f>
        <v>1999.5115371330978</v>
      </c>
      <c r="AS251" s="90"/>
      <c r="AT251" s="30">
        <f ca="1">SUM(E251:AS251)</f>
        <v>92613.059070685646</v>
      </c>
    </row>
    <row r="252" spans="1:46" outlineLevel="1" x14ac:dyDescent="0.2">
      <c r="A252" s="101" t="s">
        <v>52</v>
      </c>
      <c r="B252" s="25"/>
      <c r="C252" s="21" t="s">
        <v>1</v>
      </c>
      <c r="E252" s="361">
        <f>Параметры!E$136</f>
        <v>0.2</v>
      </c>
      <c r="F252" s="361">
        <f>Параметры!F$136</f>
        <v>0.2</v>
      </c>
      <c r="G252" s="361">
        <f>Параметры!G$136</f>
        <v>0.2</v>
      </c>
      <c r="H252" s="361">
        <f>Параметры!H$136</f>
        <v>0.2</v>
      </c>
      <c r="I252" s="361">
        <f>Параметры!I$136</f>
        <v>0.2</v>
      </c>
      <c r="J252" s="361">
        <f>Параметры!J$136</f>
        <v>0.2</v>
      </c>
      <c r="K252" s="361">
        <f>Параметры!K$136</f>
        <v>0.2</v>
      </c>
      <c r="L252" s="361">
        <f>Параметры!L$136</f>
        <v>0.2</v>
      </c>
      <c r="M252" s="361">
        <f>Параметры!M$136</f>
        <v>0.2</v>
      </c>
      <c r="N252" s="361">
        <f>Параметры!N$136</f>
        <v>0.2</v>
      </c>
      <c r="O252" s="361">
        <f>Параметры!O$136</f>
        <v>0.2</v>
      </c>
      <c r="P252" s="361">
        <f>Параметры!P$136</f>
        <v>0.2</v>
      </c>
      <c r="Q252" s="361">
        <f>Параметры!Q$136</f>
        <v>0.2</v>
      </c>
      <c r="R252" s="361">
        <f>Параметры!R$136</f>
        <v>0.2</v>
      </c>
      <c r="S252" s="361">
        <f>Параметры!S$136</f>
        <v>0.2</v>
      </c>
      <c r="T252" s="361">
        <f>Параметры!T$136</f>
        <v>0.2</v>
      </c>
      <c r="U252" s="361">
        <f>Параметры!U$136</f>
        <v>0.2</v>
      </c>
      <c r="V252" s="361">
        <f>Параметры!V$136</f>
        <v>0.2</v>
      </c>
      <c r="W252" s="361">
        <f>Параметры!W$136</f>
        <v>0.2</v>
      </c>
      <c r="X252" s="361">
        <f>Параметры!X$136</f>
        <v>0.2</v>
      </c>
      <c r="Y252" s="361">
        <f>Параметры!Y$136</f>
        <v>0.2</v>
      </c>
      <c r="Z252" s="361">
        <f>Параметры!Z$136</f>
        <v>0.2</v>
      </c>
      <c r="AA252" s="361">
        <f>Параметры!AA$136</f>
        <v>0.2</v>
      </c>
      <c r="AB252" s="361">
        <f>Параметры!AB$136</f>
        <v>0.2</v>
      </c>
      <c r="AC252" s="361">
        <f>Параметры!AC$136</f>
        <v>0.2</v>
      </c>
      <c r="AD252" s="361">
        <f>Параметры!AD$136</f>
        <v>0.2</v>
      </c>
      <c r="AE252" s="361">
        <f>Параметры!AE$136</f>
        <v>0.2</v>
      </c>
      <c r="AF252" s="361">
        <f>Параметры!AF$136</f>
        <v>0.2</v>
      </c>
      <c r="AG252" s="361">
        <f>Параметры!AG$136</f>
        <v>0.2</v>
      </c>
      <c r="AH252" s="361">
        <f>Параметры!AH$136</f>
        <v>0.2</v>
      </c>
      <c r="AI252" s="361">
        <f>Параметры!AI$136</f>
        <v>0.2</v>
      </c>
      <c r="AJ252" s="361">
        <f>Параметры!AJ$136</f>
        <v>0.2</v>
      </c>
      <c r="AK252" s="361">
        <f>Параметры!AK$136</f>
        <v>0.2</v>
      </c>
      <c r="AL252" s="361">
        <f>Параметры!AL$136</f>
        <v>0.2</v>
      </c>
      <c r="AM252" s="361">
        <f>Параметры!AM$136</f>
        <v>0.2</v>
      </c>
      <c r="AN252" s="361">
        <f>Параметры!AN$136</f>
        <v>0.2</v>
      </c>
      <c r="AO252" s="361">
        <f>Параметры!AO$136</f>
        <v>0.2</v>
      </c>
      <c r="AP252" s="361">
        <f>Параметры!AP$136</f>
        <v>0.2</v>
      </c>
      <c r="AQ252" s="361">
        <f>Параметры!AQ$136</f>
        <v>0.2</v>
      </c>
      <c r="AR252" s="361">
        <f>Параметры!AR$136</f>
        <v>0.2</v>
      </c>
      <c r="AS252" s="127"/>
      <c r="AT252" s="117"/>
    </row>
    <row r="253" spans="1:46" outlineLevel="1" x14ac:dyDescent="0.2">
      <c r="A253" s="101" t="s">
        <v>64</v>
      </c>
      <c r="B253" s="8"/>
      <c r="C253" s="21" t="str">
        <f>CHOOSE(C250,Параметры!$B$64,Параметры!$B$108,Параметры!$B$117)</f>
        <v>тыс. руб.</v>
      </c>
      <c r="E253" s="129">
        <f t="shared" ref="E253:AR253" ca="1" si="94">E254*E252</f>
        <v>0</v>
      </c>
      <c r="F253" s="129">
        <f t="shared" ca="1" si="94"/>
        <v>0</v>
      </c>
      <c r="G253" s="129">
        <f t="shared" ca="1" si="94"/>
        <v>120.13906250000001</v>
      </c>
      <c r="H253" s="129">
        <f t="shared" ca="1" si="94"/>
        <v>120.13906250000001</v>
      </c>
      <c r="I253" s="129">
        <f t="shared" ca="1" si="94"/>
        <v>120.13906250000001</v>
      </c>
      <c r="J253" s="129">
        <f t="shared" ca="1" si="94"/>
        <v>121.3261115322094</v>
      </c>
      <c r="K253" s="129">
        <f t="shared" ca="1" si="94"/>
        <v>122.52488935083971</v>
      </c>
      <c r="L253" s="129">
        <f t="shared" ca="1" si="94"/>
        <v>155.71819935627474</v>
      </c>
      <c r="M253" s="129">
        <f t="shared" ca="1" si="94"/>
        <v>217.0234495740826</v>
      </c>
      <c r="N253" s="129">
        <f t="shared" ca="1" si="94"/>
        <v>219.15930685353055</v>
      </c>
      <c r="O253" s="129">
        <f t="shared" ca="1" si="94"/>
        <v>221.31618437907241</v>
      </c>
      <c r="P253" s="129">
        <f t="shared" ca="1" si="94"/>
        <v>265.26270108823155</v>
      </c>
      <c r="Q253" s="129">
        <f t="shared" ca="1" si="94"/>
        <v>306.57969624002612</v>
      </c>
      <c r="R253" s="129">
        <f t="shared" ca="1" si="94"/>
        <v>309.58561089826566</v>
      </c>
      <c r="S253" s="129">
        <f t="shared" ca="1" si="94"/>
        <v>312.62099757648377</v>
      </c>
      <c r="T253" s="129">
        <f t="shared" ca="1" si="94"/>
        <v>315.68614523829405</v>
      </c>
      <c r="U253" s="129">
        <f t="shared" ca="1" si="94"/>
        <v>802.59306647397932</v>
      </c>
      <c r="V253" s="129">
        <f t="shared" ca="1" si="94"/>
        <v>810.4798438389596</v>
      </c>
      <c r="W253" s="129">
        <f t="shared" ca="1" si="94"/>
        <v>818.44412157094143</v>
      </c>
      <c r="X253" s="129">
        <f t="shared" ca="1" si="94"/>
        <v>826.48666123660917</v>
      </c>
      <c r="Y253" s="129">
        <f t="shared" ca="1" si="94"/>
        <v>834.6082318862733</v>
      </c>
      <c r="Z253" s="129">
        <f t="shared" ca="1" si="94"/>
        <v>842.81575732955594</v>
      </c>
      <c r="AA253" s="129">
        <f t="shared" ca="1" si="94"/>
        <v>851.10399546093413</v>
      </c>
      <c r="AB253" s="129">
        <f t="shared" ca="1" si="94"/>
        <v>859.473740007831</v>
      </c>
      <c r="AC253" s="129">
        <f t="shared" ca="1" si="94"/>
        <v>867.92579250317328</v>
      </c>
      <c r="AD253" s="129">
        <f t="shared" ca="1" si="94"/>
        <v>876.45042697522786</v>
      </c>
      <c r="AE253" s="129">
        <f t="shared" ca="1" si="94"/>
        <v>885.05878910408194</v>
      </c>
      <c r="AF253" s="129">
        <f t="shared" ca="1" si="94"/>
        <v>893.75170124998283</v>
      </c>
      <c r="AG253" s="129">
        <f t="shared" ca="1" si="94"/>
        <v>902.52999385027476</v>
      </c>
      <c r="AH253" s="129">
        <f t="shared" ca="1" si="94"/>
        <v>911.36821084800204</v>
      </c>
      <c r="AI253" s="129">
        <f t="shared" ca="1" si="94"/>
        <v>920.29297796620267</v>
      </c>
      <c r="AJ253" s="129">
        <f t="shared" ca="1" si="94"/>
        <v>929.30514276534745</v>
      </c>
      <c r="AK253" s="129">
        <f t="shared" ca="1" si="94"/>
        <v>902.8480283033598</v>
      </c>
      <c r="AL253" s="129">
        <f t="shared" ca="1" si="94"/>
        <v>911.6630535277269</v>
      </c>
      <c r="AM253" s="129">
        <f t="shared" ca="1" si="94"/>
        <v>920.56414491967735</v>
      </c>
      <c r="AN253" s="129">
        <f t="shared" ca="1" si="94"/>
        <v>929.55214279276811</v>
      </c>
      <c r="AO253" s="129">
        <f t="shared" ca="1" si="94"/>
        <v>546.72706904193672</v>
      </c>
      <c r="AP253" s="129">
        <f t="shared" ca="1" si="94"/>
        <v>552.05445954022764</v>
      </c>
      <c r="AQ253" s="129">
        <f t="shared" ca="1" si="94"/>
        <v>557.43376092994561</v>
      </c>
      <c r="AR253" s="129">
        <f t="shared" ca="1" si="94"/>
        <v>562.86547903859662</v>
      </c>
      <c r="AS253" s="129"/>
      <c r="AT253" s="125">
        <f ca="1">SUM(E253:AS253)</f>
        <v>22643.617070748918</v>
      </c>
    </row>
    <row r="254" spans="1:46" outlineLevel="1" x14ac:dyDescent="0.2">
      <c r="A254" s="114" t="s">
        <v>477</v>
      </c>
      <c r="B254" s="16"/>
      <c r="C254" s="2" t="str">
        <f>CHOOSE(C250,Параметры!$B$64,Параметры!$B$108,Параметры!$B$117)</f>
        <v>тыс. руб.</v>
      </c>
      <c r="E254" s="129">
        <f t="shared" ref="E254:AR254" ca="1" si="95">E251*E257</f>
        <v>0</v>
      </c>
      <c r="F254" s="129">
        <f t="shared" ca="1" si="95"/>
        <v>0</v>
      </c>
      <c r="G254" s="129">
        <f t="shared" ca="1" si="95"/>
        <v>600.6953125</v>
      </c>
      <c r="H254" s="129">
        <f t="shared" ca="1" si="95"/>
        <v>600.6953125</v>
      </c>
      <c r="I254" s="129">
        <f t="shared" ca="1" si="95"/>
        <v>600.6953125</v>
      </c>
      <c r="J254" s="129">
        <f t="shared" ca="1" si="95"/>
        <v>606.63055766104696</v>
      </c>
      <c r="K254" s="129">
        <f t="shared" ca="1" si="95"/>
        <v>612.62444675419852</v>
      </c>
      <c r="L254" s="129">
        <f t="shared" ca="1" si="95"/>
        <v>778.59099678137363</v>
      </c>
      <c r="M254" s="129">
        <f t="shared" ca="1" si="95"/>
        <v>1085.1172478704129</v>
      </c>
      <c r="N254" s="129">
        <f t="shared" ca="1" si="95"/>
        <v>1095.7965342676528</v>
      </c>
      <c r="O254" s="129">
        <f t="shared" ca="1" si="95"/>
        <v>1106.5809218953621</v>
      </c>
      <c r="P254" s="129">
        <f t="shared" ca="1" si="95"/>
        <v>1326.3135054411578</v>
      </c>
      <c r="Q254" s="129">
        <f t="shared" ca="1" si="95"/>
        <v>1532.8984812001306</v>
      </c>
      <c r="R254" s="129">
        <f t="shared" ca="1" si="95"/>
        <v>1547.9280544913281</v>
      </c>
      <c r="S254" s="129">
        <f t="shared" ca="1" si="95"/>
        <v>1563.1049878824188</v>
      </c>
      <c r="T254" s="129">
        <f t="shared" ca="1" si="95"/>
        <v>1578.4307261914701</v>
      </c>
      <c r="U254" s="129">
        <f t="shared" ca="1" si="95"/>
        <v>4012.9653323698963</v>
      </c>
      <c r="V254" s="129">
        <f t="shared" ca="1" si="95"/>
        <v>4052.3992191947978</v>
      </c>
      <c r="W254" s="129">
        <f t="shared" ca="1" si="95"/>
        <v>4092.2206078547069</v>
      </c>
      <c r="X254" s="129">
        <f t="shared" ca="1" si="95"/>
        <v>4132.4333061830457</v>
      </c>
      <c r="Y254" s="129">
        <f t="shared" ca="1" si="95"/>
        <v>4173.0411594313664</v>
      </c>
      <c r="Z254" s="129">
        <f t="shared" ca="1" si="95"/>
        <v>4214.0787866477795</v>
      </c>
      <c r="AA254" s="129">
        <f t="shared" ca="1" si="95"/>
        <v>4255.5199773046706</v>
      </c>
      <c r="AB254" s="129">
        <f t="shared" ca="1" si="95"/>
        <v>4297.3687000391546</v>
      </c>
      <c r="AC254" s="129">
        <f t="shared" ca="1" si="95"/>
        <v>4339.6289625158661</v>
      </c>
      <c r="AD254" s="129">
        <f t="shared" ca="1" si="95"/>
        <v>4382.2521348761393</v>
      </c>
      <c r="AE254" s="129">
        <f t="shared" ca="1" si="95"/>
        <v>4425.2939455204096</v>
      </c>
      <c r="AF254" s="129">
        <f t="shared" ca="1" si="95"/>
        <v>4468.7585062499138</v>
      </c>
      <c r="AG254" s="129">
        <f t="shared" ca="1" si="95"/>
        <v>4512.6499692513735</v>
      </c>
      <c r="AH254" s="129">
        <f t="shared" ca="1" si="95"/>
        <v>4556.8410542400097</v>
      </c>
      <c r="AI254" s="129">
        <f t="shared" ca="1" si="95"/>
        <v>4601.4648898310134</v>
      </c>
      <c r="AJ254" s="129">
        <f t="shared" ca="1" si="95"/>
        <v>4646.525713826737</v>
      </c>
      <c r="AK254" s="129">
        <f t="shared" ca="1" si="95"/>
        <v>4514.2401415167988</v>
      </c>
      <c r="AL254" s="129">
        <f t="shared" ca="1" si="95"/>
        <v>4558.3152676386344</v>
      </c>
      <c r="AM254" s="129">
        <f t="shared" ca="1" si="95"/>
        <v>4602.8207245983867</v>
      </c>
      <c r="AN254" s="129">
        <f t="shared" ca="1" si="95"/>
        <v>4647.7607139638403</v>
      </c>
      <c r="AO254" s="129">
        <f t="shared" ca="1" si="95"/>
        <v>2733.6353452096837</v>
      </c>
      <c r="AP254" s="129">
        <f t="shared" ca="1" si="95"/>
        <v>2760.2722977011381</v>
      </c>
      <c r="AQ254" s="129">
        <f t="shared" ca="1" si="95"/>
        <v>2787.1688046497279</v>
      </c>
      <c r="AR254" s="129">
        <f t="shared" ca="1" si="95"/>
        <v>2814.3273951929827</v>
      </c>
      <c r="AS254" s="115"/>
      <c r="AT254" s="125">
        <f ca="1">SUM(E254:AS254)</f>
        <v>113218.08535374462</v>
      </c>
    </row>
    <row r="255" spans="1:46" outlineLevel="1" x14ac:dyDescent="0.2">
      <c r="A255" s="420" t="str">
        <f>Параметры!$A$65</f>
        <v>Инфляция</v>
      </c>
      <c r="B255" s="263" t="s">
        <v>391</v>
      </c>
      <c r="C255" s="21" t="s">
        <v>14</v>
      </c>
      <c r="E255" s="362">
        <f>CHOOSE($C250,Параметры!E$65,Параметры!E$113,Параметры!E$122)</f>
        <v>0</v>
      </c>
      <c r="F255" s="362">
        <f>CHOOSE($C250,Параметры!F$65,Параметры!F$113,Параметры!F$122)</f>
        <v>0</v>
      </c>
      <c r="G255" s="362">
        <f>CHOOSE($C250,Параметры!G$65,Параметры!G$113,Параметры!G$122)</f>
        <v>0</v>
      </c>
      <c r="H255" s="362">
        <f>CHOOSE($C250,Параметры!H$65,Параметры!H$113,Параметры!H$122)</f>
        <v>0</v>
      </c>
      <c r="I255" s="362">
        <f>CHOOSE($C250,Параметры!I$65,Параметры!I$113,Параметры!I$122)</f>
        <v>4.011212875388237E-2</v>
      </c>
      <c r="J255" s="362">
        <f>CHOOSE($C250,Параметры!J$65,Параметры!J$113,Параметры!J$122)</f>
        <v>4.011212875388237E-2</v>
      </c>
      <c r="K255" s="362">
        <f>CHOOSE($C250,Параметры!K$65,Параметры!K$113,Параметры!K$122)</f>
        <v>4.011212875388237E-2</v>
      </c>
      <c r="L255" s="362">
        <f>CHOOSE($C250,Параметры!L$65,Параметры!L$113,Параметры!L$122)</f>
        <v>4.011212875388237E-2</v>
      </c>
      <c r="M255" s="362">
        <f>CHOOSE($C250,Параметры!M$65,Параметры!M$113,Параметры!M$122)</f>
        <v>3.9951351517419909E-2</v>
      </c>
      <c r="N255" s="362">
        <f>CHOOSE($C250,Параметры!N$65,Параметры!N$113,Параметры!N$122)</f>
        <v>3.9951351517419909E-2</v>
      </c>
      <c r="O255" s="362">
        <f>CHOOSE($C250,Параметры!O$65,Параметры!O$113,Параметры!O$122)</f>
        <v>3.9951351517419909E-2</v>
      </c>
      <c r="P255" s="362">
        <f>CHOOSE($C250,Параметры!P$65,Параметры!P$113,Параметры!P$122)</f>
        <v>3.9951351517419909E-2</v>
      </c>
      <c r="Q255" s="362">
        <f>CHOOSE($C250,Параметры!Q$65,Параметры!Q$113,Параметры!Q$122)</f>
        <v>3.9799274348962799E-2</v>
      </c>
      <c r="R255" s="362">
        <f>CHOOSE($C250,Параметры!R$65,Параметры!R$113,Параметры!R$122)</f>
        <v>3.9799274348962799E-2</v>
      </c>
      <c r="S255" s="362">
        <f>CHOOSE($C250,Параметры!S$65,Параметры!S$113,Параметры!S$122)</f>
        <v>3.9799274348962799E-2</v>
      </c>
      <c r="T255" s="362">
        <f>CHOOSE($C250,Параметры!T$65,Параметры!T$113,Параметры!T$122)</f>
        <v>3.9799274348962799E-2</v>
      </c>
      <c r="U255" s="362">
        <f>CHOOSE($C250,Параметры!U$65,Параметры!U$113,Параметры!U$122)</f>
        <v>3.9889661086839556E-2</v>
      </c>
      <c r="V255" s="362">
        <f>CHOOSE($C250,Параметры!V$65,Параметры!V$113,Параметры!V$122)</f>
        <v>3.9889661086839556E-2</v>
      </c>
      <c r="W255" s="362">
        <f>CHOOSE($C250,Параметры!W$65,Параметры!W$113,Параметры!W$122)</f>
        <v>3.9889661086839556E-2</v>
      </c>
      <c r="X255" s="362">
        <f>CHOOSE($C250,Параметры!X$65,Параметры!X$113,Параметры!X$122)</f>
        <v>3.9889661086839556E-2</v>
      </c>
      <c r="Y255" s="362">
        <f>CHOOSE($C250,Параметры!Y$65,Параметры!Y$113,Параметры!Y$122)</f>
        <v>3.9919999999999956E-2</v>
      </c>
      <c r="Z255" s="362">
        <f>CHOOSE($C250,Параметры!Z$65,Параметры!Z$113,Параметры!Z$122)</f>
        <v>3.9919999999999956E-2</v>
      </c>
      <c r="AA255" s="362">
        <f>CHOOSE($C250,Параметры!AA$65,Параметры!AA$113,Параметры!AA$122)</f>
        <v>3.9919999999999956E-2</v>
      </c>
      <c r="AB255" s="362">
        <f>CHOOSE($C250,Параметры!AB$65,Параметры!AB$113,Параметры!AB$122)</f>
        <v>3.9919999999999956E-2</v>
      </c>
      <c r="AC255" s="362">
        <f>CHOOSE($C250,Параметры!AC$65,Параметры!AC$113,Параметры!AC$122)</f>
        <v>3.986999999999985E-2</v>
      </c>
      <c r="AD255" s="362">
        <f>CHOOSE($C250,Параметры!AD$65,Параметры!AD$113,Параметры!AD$122)</f>
        <v>3.986999999999985E-2</v>
      </c>
      <c r="AE255" s="362">
        <f>CHOOSE($C250,Параметры!AE$65,Параметры!AE$113,Параметры!AE$122)</f>
        <v>3.986999999999985E-2</v>
      </c>
      <c r="AF255" s="362">
        <f>CHOOSE($C250,Параметры!AF$65,Параметры!AF$113,Параметры!AF$122)</f>
        <v>3.986999999999985E-2</v>
      </c>
      <c r="AG255" s="362">
        <f>CHOOSE($C250,Параметры!AG$65,Параметры!AG$113,Параметры!AG$122)</f>
        <v>3.9749999999999952E-2</v>
      </c>
      <c r="AH255" s="362">
        <f>CHOOSE($C250,Параметры!AH$65,Параметры!AH$113,Параметры!AH$122)</f>
        <v>3.9749999999999952E-2</v>
      </c>
      <c r="AI255" s="362">
        <f>CHOOSE($C250,Параметры!AI$65,Параметры!AI$113,Параметры!AI$122)</f>
        <v>3.9749999999999952E-2</v>
      </c>
      <c r="AJ255" s="362">
        <f>CHOOSE($C250,Параметры!AJ$65,Параметры!AJ$113,Параметры!AJ$122)</f>
        <v>3.9749999999999952E-2</v>
      </c>
      <c r="AK255" s="362">
        <f>CHOOSE($C250,Параметры!AK$65,Параметры!AK$113,Параметры!AK$122)</f>
        <v>3.9629999999999832E-2</v>
      </c>
      <c r="AL255" s="362">
        <f>CHOOSE($C250,Параметры!AL$65,Параметры!AL$113,Параметры!AL$122)</f>
        <v>3.9629999999999832E-2</v>
      </c>
      <c r="AM255" s="362">
        <f>CHOOSE($C250,Параметры!AM$65,Параметры!AM$113,Параметры!AM$122)</f>
        <v>3.9629999999999832E-2</v>
      </c>
      <c r="AN255" s="362">
        <f>CHOOSE($C250,Параметры!AN$65,Параметры!AN$113,Параметры!AN$122)</f>
        <v>3.9629999999999832E-2</v>
      </c>
      <c r="AO255" s="362">
        <f>CHOOSE($C250,Параметры!AO$65,Параметры!AO$113,Параметры!AO$122)</f>
        <v>3.9549999999999974E-2</v>
      </c>
      <c r="AP255" s="362">
        <f>CHOOSE($C250,Параметры!AP$65,Параметры!AP$113,Параметры!AP$122)</f>
        <v>3.9549999999999974E-2</v>
      </c>
      <c r="AQ255" s="362">
        <f>CHOOSE($C250,Параметры!AQ$65,Параметры!AQ$113,Параметры!AQ$122)</f>
        <v>3.9549999999999974E-2</v>
      </c>
      <c r="AR255" s="362">
        <f>CHOOSE($C250,Параметры!AR$65,Параметры!AR$113,Параметры!AR$122)</f>
        <v>3.9549999999999974E-2</v>
      </c>
      <c r="AS255" s="127"/>
      <c r="AT255" s="119"/>
    </row>
    <row r="256" spans="1:46" outlineLevel="1" x14ac:dyDescent="0.2">
      <c r="A256" s="302" t="s">
        <v>392</v>
      </c>
      <c r="B256" s="25"/>
      <c r="C256" s="21" t="s">
        <v>133</v>
      </c>
      <c r="E256" s="416">
        <f ca="1">IF(E$2=1,1,IF(Параметры!$B$62=1,POWER(1+OFFSET(E255,0,-1),Параметры!E$39/360),1) * IF(E$2&gt;1,D256, 1))</f>
        <v>1</v>
      </c>
      <c r="F256" s="416">
        <f ca="1">IF(F$2=1,1,IF(Параметры!$B$62=1,POWER(1+OFFSET(F255,0,-1),Параметры!F$39/360),1) * IF(F$2&gt;1,E256, 1))</f>
        <v>1</v>
      </c>
      <c r="G256" s="416">
        <f ca="1">IF(G$2=1,1,IF(Параметры!$B$62=1,POWER(1+OFFSET(G255,0,-1),Параметры!G$39/360),1) * IF(G$2&gt;1,F256, 1))</f>
        <v>1</v>
      </c>
      <c r="H256" s="416">
        <f ca="1">IF(H$2=1,1,IF(Параметры!$B$62=1,POWER(1+OFFSET(H255,0,-1),Параметры!H$39/360),1) * IF(H$2&gt;1,G256, 1))</f>
        <v>1</v>
      </c>
      <c r="I256" s="416">
        <f ca="1">IF(I$2=1,1,IF(Параметры!$B$62=1,POWER(1+OFFSET(I255,0,-1),Параметры!I$39/360),1) * IF(I$2&gt;1,H256, 1))</f>
        <v>1</v>
      </c>
      <c r="J256" s="416">
        <f ca="1">IF(J$2=1,1,IF(Параметры!$B$62=1,POWER(1+OFFSET(J255,0,-1),Параметры!J$39/360),1) * IF(J$2&gt;1,I256, 1))</f>
        <v>1.009880625064886</v>
      </c>
      <c r="K256" s="416">
        <f ca="1">IF(K$2=1,1,IF(Параметры!$B$62=1,POWER(1+OFFSET(K255,0,-1),Параметры!K$39/360),1) * IF(K$2&gt;1,J256, 1))</f>
        <v>1.0198588768814447</v>
      </c>
      <c r="L256" s="416">
        <f ca="1">IF(L$2=1,1,IF(Параметры!$B$62=1,POWER(1+OFFSET(L255,0,-1),Параметры!L$39/360),1) * IF(L$2&gt;1,K256, 1))</f>
        <v>1.0299357200630059</v>
      </c>
      <c r="M256" s="416">
        <f ca="1">IF(M$2=1,1,IF(Параметры!$B$62=1,POWER(1+OFFSET(M255,0,-1),Параметры!M$39/360),1) * IF(M$2&gt;1,L256, 1))</f>
        <v>1.0401121287538819</v>
      </c>
      <c r="N256" s="416">
        <f ca="1">IF(N$2=1,1,IF(Параметры!$B$62=1,POWER(1+OFFSET(N255,0,-1),Параметры!N$39/360),1) * IF(N$2&gt;1,M256, 1))</f>
        <v>1.0503484929163767</v>
      </c>
      <c r="O256" s="416">
        <f ca="1">IF(O$2=1,1,IF(Параметры!$B$62=1,POWER(1+OFFSET(O255,0,-1),Параметры!O$39/360),1) * IF(O$2&gt;1,N256, 1))</f>
        <v>1.0606855992473074</v>
      </c>
      <c r="P256" s="416">
        <f ca="1">IF(P$2=1,1,IF(Параметры!$B$62=1,POWER(1+OFFSET(P255,0,-1),Параметры!P$39/360),1) * IF(P$2&gt;1,O256, 1))</f>
        <v>1.0711244392104731</v>
      </c>
      <c r="Q256" s="416">
        <f ca="1">IF(Q$2=1,1,IF(Параметры!$B$62=1,POWER(1+OFFSET(Q255,0,-1),Параметры!Q$39/360),1) * IF(Q$2&gt;1,P256, 1))</f>
        <v>1.0816660140272598</v>
      </c>
      <c r="R256" s="416">
        <f ca="1">IF(R$2=1,1,IF(Параметры!$B$62=1,POWER(1+OFFSET(R255,0,-1),Параметры!R$39/360),1) * IF(R$2&gt;1,Q256, 1))</f>
        <v>1.092271399076433</v>
      </c>
      <c r="S256" s="416">
        <f ca="1">IF(S$2=1,1,IF(Параметры!$B$62=1,POWER(1+OFFSET(S255,0,-1),Параметры!S$39/360),1) * IF(S$2&gt;1,R256, 1))</f>
        <v>1.1029807664922358</v>
      </c>
      <c r="T256" s="416">
        <f ca="1">IF(T$2=1,1,IF(Параметры!$B$62=1,POWER(1+OFFSET(T255,0,-1),Параметры!T$39/360),1) * IF(T$2&gt;1,S256, 1))</f>
        <v>1.1137951357881057</v>
      </c>
      <c r="U256" s="416">
        <f ca="1">IF(U$2=1,1,IF(Параметры!$B$62=1,POWER(1+OFFSET(U255,0,-1),Параметры!U$39/360),1) * IF(U$2&gt;1,T256, 1))</f>
        <v>1.1247155364734798</v>
      </c>
      <c r="V256" s="416">
        <f ca="1">IF(V$2=1,1,IF(Параметры!$B$62=1,POWER(1+OFFSET(V255,0,-1),Параметры!V$39/360),1) * IF(V$2&gt;1,U256, 1))</f>
        <v>1.1357676890594357</v>
      </c>
      <c r="W256" s="416">
        <f ca="1">IF(W$2=1,1,IF(Параметры!$B$62=1,POWER(1+OFFSET(W255,0,-1),Параметры!W$39/360),1) * IF(W$2&gt;1,V256, 1))</f>
        <v>1.1469284469529757</v>
      </c>
      <c r="X256" s="416">
        <f ca="1">IF(X$2=1,1,IF(Параметры!$B$62=1,POWER(1+OFFSET(X255,0,-1),Параметры!X$39/360),1) * IF(X$2&gt;1,W256, 1))</f>
        <v>1.158198877377226</v>
      </c>
      <c r="Y256" s="416">
        <f ca="1">IF(Y$2=1,1,IF(Параметры!$B$62=1,POWER(1+OFFSET(Y255,0,-1),Параметры!Y$39/360),1) * IF(Y$2&gt;1,X256, 1))</f>
        <v>1.1695800580425095</v>
      </c>
      <c r="Z256" s="416">
        <f ca="1">IF(Z$2=1,1,IF(Параметры!$B$62=1,POWER(1+OFFSET(Z255,0,-1),Параметры!Z$39/360),1) * IF(Z$2&gt;1,Y256, 1))</f>
        <v>1.1810816916444749</v>
      </c>
      <c r="AA256" s="416">
        <f ca="1">IF(AA$2=1,1,IF(Параметры!$B$62=1,POWER(1+OFFSET(AA255,0,-1),Параметры!AA$39/360),1) * IF(AA$2&gt;1,Z256, 1))</f>
        <v>1.1926964321471643</v>
      </c>
      <c r="AB256" s="416">
        <f ca="1">IF(AB$2=1,1,IF(Параметры!$B$62=1,POWER(1+OFFSET(AB255,0,-1),Параметры!AB$39/360),1) * IF(AB$2&gt;1,AA256, 1))</f>
        <v>1.2044253918422256</v>
      </c>
      <c r="AC256" s="416">
        <f ca="1">IF(AC$2=1,1,IF(Параметры!$B$62=1,POWER(1+OFFSET(AC255,0,-1),Параметры!AC$39/360),1) * IF(AC$2&gt;1,AB256, 1))</f>
        <v>1.2162696939595667</v>
      </c>
      <c r="AD256" s="416">
        <f ca="1">IF(AD$2=1,1,IF(Параметры!$B$62=1,POWER(1+OFFSET(AD255,0,-1),Параметры!AD$39/360),1) * IF(AD$2&gt;1,AC256, 1))</f>
        <v>1.2282157089875798</v>
      </c>
      <c r="AE256" s="416">
        <f ca="1">IF(AE$2=1,1,IF(Параметры!$B$62=1,POWER(1+OFFSET(AE255,0,-1),Параметры!AE$39/360),1) * IF(AE$2&gt;1,AD256, 1))</f>
        <v>1.2402790559492571</v>
      </c>
      <c r="AF256" s="416">
        <f ca="1">IF(AF$2=1,1,IF(Параметры!$B$62=1,POWER(1+OFFSET(AF255,0,-1),Параметры!AF$39/360),1) * IF(AF$2&gt;1,AE256, 1))</f>
        <v>1.2524608872609169</v>
      </c>
      <c r="AG256" s="416">
        <f ca="1">IF(AG$2=1,1,IF(Параметры!$B$62=1,POWER(1+OFFSET(AG255,0,-1),Параметры!AG$39/360),1) * IF(AG$2&gt;1,AF256, 1))</f>
        <v>1.2647623666577346</v>
      </c>
      <c r="AH256" s="416">
        <f ca="1">IF(AH$2=1,1,IF(Параметры!$B$62=1,POWER(1+OFFSET(AH255,0,-1),Параметры!AH$39/360),1) * IF(AH$2&gt;1,AG256, 1))</f>
        <v>1.2771478212390197</v>
      </c>
      <c r="AI256" s="416">
        <f ca="1">IF(AI$2=1,1,IF(Параметры!$B$62=1,POWER(1+OFFSET(AI255,0,-1),Параметры!AI$39/360),1) * IF(AI$2&gt;1,AH256, 1))</f>
        <v>1.2896545630195677</v>
      </c>
      <c r="AJ256" s="416">
        <f ca="1">IF(AJ$2=1,1,IF(Параметры!$B$62=1,POWER(1+OFFSET(AJ255,0,-1),Параметры!AJ$39/360),1) * IF(AJ$2&gt;1,AI256, 1))</f>
        <v>1.3022837797300839</v>
      </c>
      <c r="AK256" s="416">
        <f ca="1">IF(AK$2=1,1,IF(Параметры!$B$62=1,POWER(1+OFFSET(AK255,0,-1),Параметры!AK$39/360),1) * IF(AK$2&gt;1,AJ256, 1))</f>
        <v>1.3150366707323793</v>
      </c>
      <c r="AL256" s="416">
        <f ca="1">IF(AL$2=1,1,IF(Параметры!$B$62=1,POWER(1+OFFSET(AL255,0,-1),Параметры!AL$39/360),1) * IF(AL$2&gt;1,AK256, 1))</f>
        <v>1.3278761310402869</v>
      </c>
      <c r="AM256" s="416">
        <f ca="1">IF(AM$2=1,1,IF(Параметры!$B$62=1,POWER(1+OFFSET(AM255,0,-1),Параметры!AM$39/360),1) * IF(AM$2&gt;1,AL256, 1))</f>
        <v>1.3408409503930541</v>
      </c>
      <c r="AN256" s="416">
        <f ca="1">IF(AN$2=1,1,IF(Параметры!$B$62=1,POWER(1+OFFSET(AN255,0,-1),Параметры!AN$39/360),1) * IF(AN$2&gt;1,AM256, 1))</f>
        <v>1.3539323527432265</v>
      </c>
      <c r="AO256" s="416">
        <f ca="1">IF(AO$2=1,1,IF(Параметры!$B$62=1,POWER(1+OFFSET(AO255,0,-1),Параметры!AO$39/360),1) * IF(AO$2&gt;1,AN256, 1))</f>
        <v>1.3671515739935032</v>
      </c>
      <c r="AP256" s="416">
        <f ca="1">IF(AP$2=1,1,IF(Параметры!$B$62=1,POWER(1+OFFSET(AP255,0,-1),Параметры!AP$39/360),1) * IF(AP$2&gt;1,AO256, 1))</f>
        <v>1.380473303824403</v>
      </c>
      <c r="AQ256" s="416">
        <f ca="1">IF(AQ$2=1,1,IF(Параметры!$B$62=1,POWER(1+OFFSET(AQ255,0,-1),Параметры!AQ$39/360),1) * IF(AQ$2&gt;1,AP256, 1))</f>
        <v>1.3939248425872921</v>
      </c>
      <c r="AR256" s="416">
        <f ca="1">IF(AR$2=1,1,IF(Параметры!$B$62=1,POWER(1+OFFSET(AR255,0,-1),Параметры!AR$39/360),1) * IF(AR$2&gt;1,AQ256, 1))</f>
        <v>1.4075074551598581</v>
      </c>
      <c r="AS256" s="128"/>
      <c r="AT256" s="117"/>
    </row>
    <row r="257" spans="1:46" outlineLevel="1" x14ac:dyDescent="0.2">
      <c r="A257" s="319" t="s">
        <v>491</v>
      </c>
      <c r="B257" s="24"/>
      <c r="C257" s="2" t="s">
        <v>133</v>
      </c>
      <c r="D257" s="310"/>
      <c r="E257" s="417">
        <f>IF(E$2=1,1,CHOOSE($B$8,E256,IF(Параметры!E$43=1,E256,D257),IF(Параметры!E$48=1,E256,D257),IF(Параметры!E$45&lt;&gt;Параметры!D$45,E256,D257),IF(Параметры!E$50&lt;&gt;Параметры!D$50,E256,D257)))</f>
        <v>1</v>
      </c>
      <c r="F257" s="417">
        <f ca="1">IF(F$2=1,1,CHOOSE($B$8,F256,IF(Параметры!F$43=1,F256,E257),IF(Параметры!F$48=1,F256,E257),IF(Параметры!F$45&lt;&gt;Параметры!E$45,F256,E257),IF(Параметры!F$50&lt;&gt;Параметры!E$50,F256,E257)))</f>
        <v>1</v>
      </c>
      <c r="G257" s="417">
        <f ca="1">IF(G$2=1,1,CHOOSE($B$8,G256,IF(Параметры!G$43=1,G256,F257),IF(Параметры!G$48=1,G256,F257),IF(Параметры!G$45&lt;&gt;Параметры!F$45,G256,F257),IF(Параметры!G$50&lt;&gt;Параметры!F$50,G256,F257)))</f>
        <v>1</v>
      </c>
      <c r="H257" s="417">
        <f ca="1">IF(H$2=1,1,CHOOSE($B$8,H256,IF(Параметры!H$43=1,H256,G257),IF(Параметры!H$48=1,H256,G257),IF(Параметры!H$45&lt;&gt;Параметры!G$45,H256,G257),IF(Параметры!H$50&lt;&gt;Параметры!G$50,H256,G257)))</f>
        <v>1</v>
      </c>
      <c r="I257" s="417">
        <f ca="1">IF(I$2=1,1,CHOOSE($B$8,I256,IF(Параметры!I$43=1,I256,H257),IF(Параметры!I$48=1,I256,H257),IF(Параметры!I$45&lt;&gt;Параметры!H$45,I256,H257),IF(Параметры!I$50&lt;&gt;Параметры!H$50,I256,H257)))</f>
        <v>1</v>
      </c>
      <c r="J257" s="417">
        <f ca="1">IF(J$2=1,1,CHOOSE($B$8,J256,IF(Параметры!J$43=1,J256,I257),IF(Параметры!J$48=1,J256,I257),IF(Параметры!J$45&lt;&gt;Параметры!I$45,J256,I257),IF(Параметры!J$50&lt;&gt;Параметры!I$50,J256,I257)))</f>
        <v>1.009880625064886</v>
      </c>
      <c r="K257" s="417">
        <f ca="1">IF(K$2=1,1,CHOOSE($B$8,K256,IF(Параметры!K$43=1,K256,J257),IF(Параметры!K$48=1,K256,J257),IF(Параметры!K$45&lt;&gt;Параметры!J$45,K256,J257),IF(Параметры!K$50&lt;&gt;Параметры!J$50,K256,J257)))</f>
        <v>1.0198588768814447</v>
      </c>
      <c r="L257" s="417">
        <f ca="1">IF(L$2=1,1,CHOOSE($B$8,L256,IF(Параметры!L$43=1,L256,K257),IF(Параметры!L$48=1,L256,K257),IF(Параметры!L$45&lt;&gt;Параметры!K$45,L256,K257),IF(Параметры!L$50&lt;&gt;Параметры!K$50,L256,K257)))</f>
        <v>1.0299357200630059</v>
      </c>
      <c r="M257" s="417">
        <f ca="1">IF(M$2=1,1,CHOOSE($B$8,M256,IF(Параметры!M$43=1,M256,L257),IF(Параметры!M$48=1,M256,L257),IF(Параметры!M$45&lt;&gt;Параметры!L$45,M256,L257),IF(Параметры!M$50&lt;&gt;Параметры!L$50,M256,L257)))</f>
        <v>1.0401121287538819</v>
      </c>
      <c r="N257" s="417">
        <f ca="1">IF(N$2=1,1,CHOOSE($B$8,N256,IF(Параметры!N$43=1,N256,M257),IF(Параметры!N$48=1,N256,M257),IF(Параметры!N$45&lt;&gt;Параметры!M$45,N256,M257),IF(Параметры!N$50&lt;&gt;Параметры!M$50,N256,M257)))</f>
        <v>1.0503484929163767</v>
      </c>
      <c r="O257" s="417">
        <f ca="1">IF(O$2=1,1,CHOOSE($B$8,O256,IF(Параметры!O$43=1,O256,N257),IF(Параметры!O$48=1,O256,N257),IF(Параметры!O$45&lt;&gt;Параметры!N$45,O256,N257),IF(Параметры!O$50&lt;&gt;Параметры!N$50,O256,N257)))</f>
        <v>1.0606855992473074</v>
      </c>
      <c r="P257" s="417">
        <f ca="1">IF(P$2=1,1,CHOOSE($B$8,P256,IF(Параметры!P$43=1,P256,O257),IF(Параметры!P$48=1,P256,O257),IF(Параметры!P$45&lt;&gt;Параметры!O$45,P256,O257),IF(Параметры!P$50&lt;&gt;Параметры!O$50,P256,O257)))</f>
        <v>1.0711244392104731</v>
      </c>
      <c r="Q257" s="417">
        <f ca="1">IF(Q$2=1,1,CHOOSE($B$8,Q256,IF(Параметры!Q$43=1,Q256,P257),IF(Параметры!Q$48=1,Q256,P257),IF(Параметры!Q$45&lt;&gt;Параметры!P$45,Q256,P257),IF(Параметры!Q$50&lt;&gt;Параметры!P$50,Q256,P257)))</f>
        <v>1.0816660140272598</v>
      </c>
      <c r="R257" s="417">
        <f ca="1">IF(R$2=1,1,CHOOSE($B$8,R256,IF(Параметры!R$43=1,R256,Q257),IF(Параметры!R$48=1,R256,Q257),IF(Параметры!R$45&lt;&gt;Параметры!Q$45,R256,Q257),IF(Параметры!R$50&lt;&gt;Параметры!Q$50,R256,Q257)))</f>
        <v>1.092271399076433</v>
      </c>
      <c r="S257" s="417">
        <f ca="1">IF(S$2=1,1,CHOOSE($B$8,S256,IF(Параметры!S$43=1,S256,R257),IF(Параметры!S$48=1,S256,R257),IF(Параметры!S$45&lt;&gt;Параметры!R$45,S256,R257),IF(Параметры!S$50&lt;&gt;Параметры!R$50,S256,R257)))</f>
        <v>1.1029807664922358</v>
      </c>
      <c r="T257" s="417">
        <f ca="1">IF(T$2=1,1,CHOOSE($B$8,T256,IF(Параметры!T$43=1,T256,S257),IF(Параметры!T$48=1,T256,S257),IF(Параметры!T$45&lt;&gt;Параметры!S$45,T256,S257),IF(Параметры!T$50&lt;&gt;Параметры!S$50,T256,S257)))</f>
        <v>1.1137951357881057</v>
      </c>
      <c r="U257" s="417">
        <f ca="1">IF(U$2=1,1,CHOOSE($B$8,U256,IF(Параметры!U$43=1,U256,T257),IF(Параметры!U$48=1,U256,T257),IF(Параметры!U$45&lt;&gt;Параметры!T$45,U256,T257),IF(Параметры!U$50&lt;&gt;Параметры!T$50,U256,T257)))</f>
        <v>1.1247155364734798</v>
      </c>
      <c r="V257" s="417">
        <f ca="1">IF(V$2=1,1,CHOOSE($B$8,V256,IF(Параметры!V$43=1,V256,U257),IF(Параметры!V$48=1,V256,U257),IF(Параметры!V$45&lt;&gt;Параметры!U$45,V256,U257),IF(Параметры!V$50&lt;&gt;Параметры!U$50,V256,U257)))</f>
        <v>1.1357676890594357</v>
      </c>
      <c r="W257" s="417">
        <f ca="1">IF(W$2=1,1,CHOOSE($B$8,W256,IF(Параметры!W$43=1,W256,V257),IF(Параметры!W$48=1,W256,V257),IF(Параметры!W$45&lt;&gt;Параметры!V$45,W256,V257),IF(Параметры!W$50&lt;&gt;Параметры!V$50,W256,V257)))</f>
        <v>1.1469284469529757</v>
      </c>
      <c r="X257" s="417">
        <f ca="1">IF(X$2=1,1,CHOOSE($B$8,X256,IF(Параметры!X$43=1,X256,W257),IF(Параметры!X$48=1,X256,W257),IF(Параметры!X$45&lt;&gt;Параметры!W$45,X256,W257),IF(Параметры!X$50&lt;&gt;Параметры!W$50,X256,W257)))</f>
        <v>1.158198877377226</v>
      </c>
      <c r="Y257" s="417">
        <f ca="1">IF(Y$2=1,1,CHOOSE($B$8,Y256,IF(Параметры!Y$43=1,Y256,X257),IF(Параметры!Y$48=1,Y256,X257),IF(Параметры!Y$45&lt;&gt;Параметры!X$45,Y256,X257),IF(Параметры!Y$50&lt;&gt;Параметры!X$50,Y256,X257)))</f>
        <v>1.1695800580425095</v>
      </c>
      <c r="Z257" s="417">
        <f ca="1">IF(Z$2=1,1,CHOOSE($B$8,Z256,IF(Параметры!Z$43=1,Z256,Y257),IF(Параметры!Z$48=1,Z256,Y257),IF(Параметры!Z$45&lt;&gt;Параметры!Y$45,Z256,Y257),IF(Параметры!Z$50&lt;&gt;Параметры!Y$50,Z256,Y257)))</f>
        <v>1.1810816916444749</v>
      </c>
      <c r="AA257" s="417">
        <f ca="1">IF(AA$2=1,1,CHOOSE($B$8,AA256,IF(Параметры!AA$43=1,AA256,Z257),IF(Параметры!AA$48=1,AA256,Z257),IF(Параметры!AA$45&lt;&gt;Параметры!Z$45,AA256,Z257),IF(Параметры!AA$50&lt;&gt;Параметры!Z$50,AA256,Z257)))</f>
        <v>1.1926964321471643</v>
      </c>
      <c r="AB257" s="417">
        <f ca="1">IF(AB$2=1,1,CHOOSE($B$8,AB256,IF(Параметры!AB$43=1,AB256,AA257),IF(Параметры!AB$48=1,AB256,AA257),IF(Параметры!AB$45&lt;&gt;Параметры!AA$45,AB256,AA257),IF(Параметры!AB$50&lt;&gt;Параметры!AA$50,AB256,AA257)))</f>
        <v>1.2044253918422256</v>
      </c>
      <c r="AC257" s="417">
        <f ca="1">IF(AC$2=1,1,CHOOSE($B$8,AC256,IF(Параметры!AC$43=1,AC256,AB257),IF(Параметры!AC$48=1,AC256,AB257),IF(Параметры!AC$45&lt;&gt;Параметры!AB$45,AC256,AB257),IF(Параметры!AC$50&lt;&gt;Параметры!AB$50,AC256,AB257)))</f>
        <v>1.2162696939595667</v>
      </c>
      <c r="AD257" s="417">
        <f ca="1">IF(AD$2=1,1,CHOOSE($B$8,AD256,IF(Параметры!AD$43=1,AD256,AC257),IF(Параметры!AD$48=1,AD256,AC257),IF(Параметры!AD$45&lt;&gt;Параметры!AC$45,AD256,AC257),IF(Параметры!AD$50&lt;&gt;Параметры!AC$50,AD256,AC257)))</f>
        <v>1.2282157089875798</v>
      </c>
      <c r="AE257" s="417">
        <f ca="1">IF(AE$2=1,1,CHOOSE($B$8,AE256,IF(Параметры!AE$43=1,AE256,AD257),IF(Параметры!AE$48=1,AE256,AD257),IF(Параметры!AE$45&lt;&gt;Параметры!AD$45,AE256,AD257),IF(Параметры!AE$50&lt;&gt;Параметры!AD$50,AE256,AD257)))</f>
        <v>1.2402790559492571</v>
      </c>
      <c r="AF257" s="417">
        <f ca="1">IF(AF$2=1,1,CHOOSE($B$8,AF256,IF(Параметры!AF$43=1,AF256,AE257),IF(Параметры!AF$48=1,AF256,AE257),IF(Параметры!AF$45&lt;&gt;Параметры!AE$45,AF256,AE257),IF(Параметры!AF$50&lt;&gt;Параметры!AE$50,AF256,AE257)))</f>
        <v>1.2524608872609169</v>
      </c>
      <c r="AG257" s="417">
        <f ca="1">IF(AG$2=1,1,CHOOSE($B$8,AG256,IF(Параметры!AG$43=1,AG256,AF257),IF(Параметры!AG$48=1,AG256,AF257),IF(Параметры!AG$45&lt;&gt;Параметры!AF$45,AG256,AF257),IF(Параметры!AG$50&lt;&gt;Параметры!AF$50,AG256,AF257)))</f>
        <v>1.2647623666577346</v>
      </c>
      <c r="AH257" s="417">
        <f ca="1">IF(AH$2=1,1,CHOOSE($B$8,AH256,IF(Параметры!AH$43=1,AH256,AG257),IF(Параметры!AH$48=1,AH256,AG257),IF(Параметры!AH$45&lt;&gt;Параметры!AG$45,AH256,AG257),IF(Параметры!AH$50&lt;&gt;Параметры!AG$50,AH256,AG257)))</f>
        <v>1.2771478212390197</v>
      </c>
      <c r="AI257" s="417">
        <f ca="1">IF(AI$2=1,1,CHOOSE($B$8,AI256,IF(Параметры!AI$43=1,AI256,AH257),IF(Параметры!AI$48=1,AI256,AH257),IF(Параметры!AI$45&lt;&gt;Параметры!AH$45,AI256,AH257),IF(Параметры!AI$50&lt;&gt;Параметры!AH$50,AI256,AH257)))</f>
        <v>1.2896545630195677</v>
      </c>
      <c r="AJ257" s="417">
        <f ca="1">IF(AJ$2=1,1,CHOOSE($B$8,AJ256,IF(Параметры!AJ$43=1,AJ256,AI257),IF(Параметры!AJ$48=1,AJ256,AI257),IF(Параметры!AJ$45&lt;&gt;Параметры!AI$45,AJ256,AI257),IF(Параметры!AJ$50&lt;&gt;Параметры!AI$50,AJ256,AI257)))</f>
        <v>1.3022837797300839</v>
      </c>
      <c r="AK257" s="417">
        <f ca="1">IF(AK$2=1,1,CHOOSE($B$8,AK256,IF(Параметры!AK$43=1,AK256,AJ257),IF(Параметры!AK$48=1,AK256,AJ257),IF(Параметры!AK$45&lt;&gt;Параметры!AJ$45,AK256,AJ257),IF(Параметры!AK$50&lt;&gt;Параметры!AJ$50,AK256,AJ257)))</f>
        <v>1.3150366707323793</v>
      </c>
      <c r="AL257" s="417">
        <f ca="1">IF(AL$2=1,1,CHOOSE($B$8,AL256,IF(Параметры!AL$43=1,AL256,AK257),IF(Параметры!AL$48=1,AL256,AK257),IF(Параметры!AL$45&lt;&gt;Параметры!AK$45,AL256,AK257),IF(Параметры!AL$50&lt;&gt;Параметры!AK$50,AL256,AK257)))</f>
        <v>1.3278761310402869</v>
      </c>
      <c r="AM257" s="417">
        <f ca="1">IF(AM$2=1,1,CHOOSE($B$8,AM256,IF(Параметры!AM$43=1,AM256,AL257),IF(Параметры!AM$48=1,AM256,AL257),IF(Параметры!AM$45&lt;&gt;Параметры!AL$45,AM256,AL257),IF(Параметры!AM$50&lt;&gt;Параметры!AL$50,AM256,AL257)))</f>
        <v>1.3408409503930541</v>
      </c>
      <c r="AN257" s="417">
        <f ca="1">IF(AN$2=1,1,CHOOSE($B$8,AN256,IF(Параметры!AN$43=1,AN256,AM257),IF(Параметры!AN$48=1,AN256,AM257),IF(Параметры!AN$45&lt;&gt;Параметры!AM$45,AN256,AM257),IF(Параметры!AN$50&lt;&gt;Параметры!AM$50,AN256,AM257)))</f>
        <v>1.3539323527432265</v>
      </c>
      <c r="AO257" s="417">
        <f ca="1">IF(AO$2=1,1,CHOOSE($B$8,AO256,IF(Параметры!AO$43=1,AO256,AN257),IF(Параметры!AO$48=1,AO256,AN257),IF(Параметры!AO$45&lt;&gt;Параметры!AN$45,AO256,AN257),IF(Параметры!AO$50&lt;&gt;Параметры!AN$50,AO256,AN257)))</f>
        <v>1.3671515739935032</v>
      </c>
      <c r="AP257" s="417">
        <f ca="1">IF(AP$2=1,1,CHOOSE($B$8,AP256,IF(Параметры!AP$43=1,AP256,AO257),IF(Параметры!AP$48=1,AP256,AO257),IF(Параметры!AP$45&lt;&gt;Параметры!AO$45,AP256,AO257),IF(Параметры!AP$50&lt;&gt;Параметры!AO$50,AP256,AO257)))</f>
        <v>1.380473303824403</v>
      </c>
      <c r="AQ257" s="417">
        <f ca="1">IF(AQ$2=1,1,CHOOSE($B$8,AQ256,IF(Параметры!AQ$43=1,AQ256,AP257),IF(Параметры!AQ$48=1,AQ256,AP257),IF(Параметры!AQ$45&lt;&gt;Параметры!AP$45,AQ256,AP257),IF(Параметры!AQ$50&lt;&gt;Параметры!AP$50,AQ256,AP257)))</f>
        <v>1.3939248425872921</v>
      </c>
      <c r="AR257" s="417">
        <f ca="1">IF(AR$2=1,1,CHOOSE($B$8,AR256,IF(Параметры!AR$43=1,AR256,AQ257),IF(Параметры!AR$48=1,AR256,AQ257),IF(Параметры!AR$45&lt;&gt;Параметры!AQ$45,AR256,AQ257),IF(Параметры!AR$50&lt;&gt;Параметры!AQ$50,AR256,AQ257)))</f>
        <v>1.4075074551598581</v>
      </c>
      <c r="AS257" s="120"/>
      <c r="AT257" s="116"/>
    </row>
    <row r="258" spans="1:46" x14ac:dyDescent="0.2">
      <c r="A258" s="354" t="s">
        <v>588</v>
      </c>
      <c r="B258" s="223" t="s">
        <v>390</v>
      </c>
      <c r="C258" s="286">
        <v>1</v>
      </c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</row>
    <row r="259" spans="1:46" x14ac:dyDescent="0.2">
      <c r="A259" s="106" t="s">
        <v>63</v>
      </c>
      <c r="B259" s="350">
        <f>Деятельность_УК!$B$6+1</f>
        <v>1</v>
      </c>
      <c r="C259" s="3" t="s">
        <v>3</v>
      </c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123"/>
    </row>
    <row r="260" spans="1:46" collapsed="1" x14ac:dyDescent="0.2">
      <c r="A260" s="106" t="s">
        <v>1096</v>
      </c>
      <c r="B260" s="350">
        <f>ИД!C120/4/1.2</f>
        <v>1000</v>
      </c>
      <c r="C260" s="3" t="str">
        <f>CHOOSE(C258,Параметры!$B$64,Параметры!$B$108,Параметры!$B$117)</f>
        <v>тыс. руб.</v>
      </c>
      <c r="E260" s="363">
        <f>IF(E$2&gt;=$B259,$B260,0)*Параметры!E$41</f>
        <v>1000</v>
      </c>
      <c r="F260" s="363">
        <f>IF(F$2&gt;=$B259,$B260,0)*Параметры!F$41</f>
        <v>1000</v>
      </c>
      <c r="G260" s="363">
        <f>IF(G$2&gt;=$B259,$B260,0)*Параметры!G$41</f>
        <v>1000</v>
      </c>
      <c r="H260" s="363">
        <f>IF(H$2&gt;=$B259,$B260,0)*Параметры!H$41</f>
        <v>1000</v>
      </c>
      <c r="I260" s="363">
        <f>IF(I$2&gt;=$B259,$B260,0)*Параметры!I$41</f>
        <v>1000</v>
      </c>
      <c r="J260" s="363">
        <f>IF(J$2&gt;=$B259,$B260,0)*Параметры!J$41</f>
        <v>1000</v>
      </c>
      <c r="K260" s="363">
        <f>IF(K$2&gt;=$B259,$B260,0)*Параметры!K$41</f>
        <v>1000</v>
      </c>
      <c r="L260" s="363">
        <f>IF(L$2&gt;=$B259,$B260,0)*Параметры!L$41</f>
        <v>1000</v>
      </c>
      <c r="M260" s="363">
        <f>IF(M$2&gt;=$B259,$B260,0)*Параметры!M$41</f>
        <v>1000</v>
      </c>
      <c r="N260" s="363">
        <f>IF(N$2&gt;=$B259,$B260,0)*Параметры!N$41</f>
        <v>1000</v>
      </c>
      <c r="O260" s="363">
        <f>IF(O$2&gt;=$B259,$B260,0)*Параметры!O$41</f>
        <v>1000</v>
      </c>
      <c r="P260" s="363">
        <f>IF(P$2&gt;=$B259,$B260,0)*Параметры!P$41</f>
        <v>1000</v>
      </c>
      <c r="Q260" s="363">
        <f>IF(Q$2&gt;=$B259,$B260,0)*Параметры!Q$41</f>
        <v>1000</v>
      </c>
      <c r="R260" s="363">
        <f>IF(R$2&gt;=$B259,$B260,0)*Параметры!R$41</f>
        <v>1000</v>
      </c>
      <c r="S260" s="363">
        <f>IF(S$2&gt;=$B259,$B260,0)*Параметры!S$41</f>
        <v>1000</v>
      </c>
      <c r="T260" s="363">
        <f>IF(T$2&gt;=$B259,$B260,0)*Параметры!T$41</f>
        <v>1000</v>
      </c>
      <c r="U260" s="363">
        <f>IF(U$2&gt;=$B259,$B260,0)*Параметры!U$41</f>
        <v>1000</v>
      </c>
      <c r="V260" s="363">
        <f>IF(V$2&gt;=$B259,$B260,0)*Параметры!V$41</f>
        <v>1000</v>
      </c>
      <c r="W260" s="363">
        <f>IF(W$2&gt;=$B259,$B260,0)*Параметры!W$41</f>
        <v>1000</v>
      </c>
      <c r="X260" s="363">
        <f>IF(X$2&gt;=$B259,$B260,0)*Параметры!X$41</f>
        <v>1000</v>
      </c>
      <c r="Y260" s="363">
        <f>IF(Y$2&gt;=$B259,$B260,0)*Параметры!Y$41</f>
        <v>1000</v>
      </c>
      <c r="Z260" s="363">
        <f>IF(Z$2&gt;=$B259,$B260,0)*Параметры!Z$41</f>
        <v>1000</v>
      </c>
      <c r="AA260" s="363">
        <f>IF(AA$2&gt;=$B259,$B260,0)*Параметры!AA$41</f>
        <v>1000</v>
      </c>
      <c r="AB260" s="363">
        <f>IF(AB$2&gt;=$B259,$B260,0)*Параметры!AB$41</f>
        <v>1000</v>
      </c>
      <c r="AC260" s="363">
        <f>IF(AC$2&gt;=$B259,$B260,0)*Параметры!AC$41</f>
        <v>1000</v>
      </c>
      <c r="AD260" s="363">
        <f>IF(AD$2&gt;=$B259,$B260,0)*Параметры!AD$41</f>
        <v>1000</v>
      </c>
      <c r="AE260" s="363">
        <f>IF(AE$2&gt;=$B259,$B260,0)*Параметры!AE$41</f>
        <v>1000</v>
      </c>
      <c r="AF260" s="363">
        <f>IF(AF$2&gt;=$B259,$B260,0)*Параметры!AF$41</f>
        <v>1000</v>
      </c>
      <c r="AG260" s="363">
        <f>IF(AG$2&gt;=$B259,$B260,0)*Параметры!AG$41</f>
        <v>1000</v>
      </c>
      <c r="AH260" s="363">
        <f>IF(AH$2&gt;=$B259,$B260,0)*Параметры!AH$41</f>
        <v>1000</v>
      </c>
      <c r="AI260" s="363">
        <f>IF(AI$2&gt;=$B259,$B260,0)*Параметры!AI$41</f>
        <v>1000</v>
      </c>
      <c r="AJ260" s="363">
        <f>IF(AJ$2&gt;=$B259,$B260,0)*Параметры!AJ$41</f>
        <v>1000</v>
      </c>
      <c r="AK260" s="363">
        <f>IF(AK$2&gt;=$B259,$B260,0)*Параметры!AK$41</f>
        <v>1000</v>
      </c>
      <c r="AL260" s="363">
        <f>IF(AL$2&gt;=$B259,$B260,0)*Параметры!AL$41</f>
        <v>1000</v>
      </c>
      <c r="AM260" s="363">
        <f>IF(AM$2&gt;=$B259,$B260,0)*Параметры!AM$41</f>
        <v>1000</v>
      </c>
      <c r="AN260" s="363">
        <f>IF(AN$2&gt;=$B259,$B260,0)*Параметры!AN$41</f>
        <v>1000</v>
      </c>
      <c r="AO260" s="363">
        <f>IF(AO$2&gt;=$B259,$B260,0)*Параметры!AO$41</f>
        <v>1000</v>
      </c>
      <c r="AP260" s="363">
        <f>IF(AP$2&gt;=$B259,$B260,0)*Параметры!AP$41</f>
        <v>1000</v>
      </c>
      <c r="AQ260" s="363">
        <f>IF(AQ$2&gt;=$B259,$B260,0)*Параметры!AQ$41</f>
        <v>1000</v>
      </c>
      <c r="AR260" s="363">
        <f>IF(AR$2&gt;=$B259,$B260,0)*Параметры!AR$41</f>
        <v>1000</v>
      </c>
      <c r="AS260" s="90"/>
      <c r="AT260" s="30">
        <f>SUM(E260:AS260)</f>
        <v>40000</v>
      </c>
    </row>
    <row r="261" spans="1:46" outlineLevel="1" x14ac:dyDescent="0.2">
      <c r="A261" s="101" t="s">
        <v>52</v>
      </c>
      <c r="B261" s="25"/>
      <c r="C261" s="21" t="s">
        <v>1</v>
      </c>
      <c r="E261" s="361">
        <f>Параметры!E$136</f>
        <v>0.2</v>
      </c>
      <c r="F261" s="361">
        <f>Параметры!F$136</f>
        <v>0.2</v>
      </c>
      <c r="G261" s="361">
        <f>Параметры!G$136</f>
        <v>0.2</v>
      </c>
      <c r="H261" s="361">
        <f>Параметры!H$136</f>
        <v>0.2</v>
      </c>
      <c r="I261" s="361">
        <f>Параметры!I$136</f>
        <v>0.2</v>
      </c>
      <c r="J261" s="361">
        <f>Параметры!J$136</f>
        <v>0.2</v>
      </c>
      <c r="K261" s="361">
        <f>Параметры!K$136</f>
        <v>0.2</v>
      </c>
      <c r="L261" s="361">
        <f>Параметры!L$136</f>
        <v>0.2</v>
      </c>
      <c r="M261" s="361">
        <f>Параметры!M$136</f>
        <v>0.2</v>
      </c>
      <c r="N261" s="361">
        <f>Параметры!N$136</f>
        <v>0.2</v>
      </c>
      <c r="O261" s="361">
        <f>Параметры!O$136</f>
        <v>0.2</v>
      </c>
      <c r="P261" s="361">
        <f>Параметры!P$136</f>
        <v>0.2</v>
      </c>
      <c r="Q261" s="361">
        <f>Параметры!Q$136</f>
        <v>0.2</v>
      </c>
      <c r="R261" s="361">
        <f>Параметры!R$136</f>
        <v>0.2</v>
      </c>
      <c r="S261" s="361">
        <f>Параметры!S$136</f>
        <v>0.2</v>
      </c>
      <c r="T261" s="361">
        <f>Параметры!T$136</f>
        <v>0.2</v>
      </c>
      <c r="U261" s="361">
        <f>Параметры!U$136</f>
        <v>0.2</v>
      </c>
      <c r="V261" s="361">
        <f>Параметры!V$136</f>
        <v>0.2</v>
      </c>
      <c r="W261" s="361">
        <f>Параметры!W$136</f>
        <v>0.2</v>
      </c>
      <c r="X261" s="361">
        <f>Параметры!X$136</f>
        <v>0.2</v>
      </c>
      <c r="Y261" s="361">
        <f>Параметры!Y$136</f>
        <v>0.2</v>
      </c>
      <c r="Z261" s="361">
        <f>Параметры!Z$136</f>
        <v>0.2</v>
      </c>
      <c r="AA261" s="361">
        <f>Параметры!AA$136</f>
        <v>0.2</v>
      </c>
      <c r="AB261" s="361">
        <f>Параметры!AB$136</f>
        <v>0.2</v>
      </c>
      <c r="AC261" s="361">
        <f>Параметры!AC$136</f>
        <v>0.2</v>
      </c>
      <c r="AD261" s="361">
        <f>Параметры!AD$136</f>
        <v>0.2</v>
      </c>
      <c r="AE261" s="361">
        <f>Параметры!AE$136</f>
        <v>0.2</v>
      </c>
      <c r="AF261" s="361">
        <f>Параметры!AF$136</f>
        <v>0.2</v>
      </c>
      <c r="AG261" s="361">
        <f>Параметры!AG$136</f>
        <v>0.2</v>
      </c>
      <c r="AH261" s="361">
        <f>Параметры!AH$136</f>
        <v>0.2</v>
      </c>
      <c r="AI261" s="361">
        <f>Параметры!AI$136</f>
        <v>0.2</v>
      </c>
      <c r="AJ261" s="361">
        <f>Параметры!AJ$136</f>
        <v>0.2</v>
      </c>
      <c r="AK261" s="361">
        <f>Параметры!AK$136</f>
        <v>0.2</v>
      </c>
      <c r="AL261" s="361">
        <f>Параметры!AL$136</f>
        <v>0.2</v>
      </c>
      <c r="AM261" s="361">
        <f>Параметры!AM$136</f>
        <v>0.2</v>
      </c>
      <c r="AN261" s="361">
        <f>Параметры!AN$136</f>
        <v>0.2</v>
      </c>
      <c r="AO261" s="361">
        <f>Параметры!AO$136</f>
        <v>0.2</v>
      </c>
      <c r="AP261" s="361">
        <f>Параметры!AP$136</f>
        <v>0.2</v>
      </c>
      <c r="AQ261" s="361">
        <f>Параметры!AQ$136</f>
        <v>0.2</v>
      </c>
      <c r="AR261" s="361">
        <f>Параметры!AR$136</f>
        <v>0.2</v>
      </c>
      <c r="AS261" s="127"/>
      <c r="AT261" s="117"/>
    </row>
    <row r="262" spans="1:46" outlineLevel="1" x14ac:dyDescent="0.2">
      <c r="A262" s="101" t="s">
        <v>64</v>
      </c>
      <c r="B262" s="8"/>
      <c r="C262" s="21" t="str">
        <f>CHOOSE(C258,Параметры!$B$64,Параметры!$B$108,Параметры!$B$117)</f>
        <v>тыс. руб.</v>
      </c>
      <c r="E262" s="129">
        <f t="shared" ref="E262:AR262" si="96">E263*E261</f>
        <v>200</v>
      </c>
      <c r="F262" s="129">
        <f t="shared" ca="1" si="96"/>
        <v>200</v>
      </c>
      <c r="G262" s="129">
        <f t="shared" ca="1" si="96"/>
        <v>200</v>
      </c>
      <c r="H262" s="129">
        <f t="shared" ca="1" si="96"/>
        <v>200</v>
      </c>
      <c r="I262" s="129">
        <f t="shared" ca="1" si="96"/>
        <v>200</v>
      </c>
      <c r="J262" s="129">
        <f t="shared" ca="1" si="96"/>
        <v>201.97612501297721</v>
      </c>
      <c r="K262" s="129">
        <f t="shared" ca="1" si="96"/>
        <v>203.97177537628897</v>
      </c>
      <c r="L262" s="129">
        <f t="shared" ca="1" si="96"/>
        <v>205.98714401260119</v>
      </c>
      <c r="M262" s="129">
        <f t="shared" ca="1" si="96"/>
        <v>208.02242575077639</v>
      </c>
      <c r="N262" s="129">
        <f t="shared" ca="1" si="96"/>
        <v>210.06969858327534</v>
      </c>
      <c r="O262" s="129">
        <f t="shared" ca="1" si="96"/>
        <v>212.1371198494615</v>
      </c>
      <c r="P262" s="129">
        <f t="shared" ca="1" si="96"/>
        <v>214.22488784209463</v>
      </c>
      <c r="Q262" s="129">
        <f t="shared" ca="1" si="96"/>
        <v>216.33320280545195</v>
      </c>
      <c r="R262" s="129">
        <f t="shared" ca="1" si="96"/>
        <v>218.45427981528661</v>
      </c>
      <c r="S262" s="129">
        <f t="shared" ca="1" si="96"/>
        <v>220.59615329844715</v>
      </c>
      <c r="T262" s="129">
        <f t="shared" ca="1" si="96"/>
        <v>222.75902715762115</v>
      </c>
      <c r="U262" s="129">
        <f t="shared" ca="1" si="96"/>
        <v>224.94310729469595</v>
      </c>
      <c r="V262" s="129">
        <f t="shared" ca="1" si="96"/>
        <v>227.15353781188716</v>
      </c>
      <c r="W262" s="129">
        <f t="shared" ca="1" si="96"/>
        <v>229.38568939059516</v>
      </c>
      <c r="X262" s="129">
        <f t="shared" ca="1" si="96"/>
        <v>231.63977547544525</v>
      </c>
      <c r="Y262" s="129">
        <f t="shared" ca="1" si="96"/>
        <v>233.91601160850192</v>
      </c>
      <c r="Z262" s="129">
        <f t="shared" ca="1" si="96"/>
        <v>236.21633832889498</v>
      </c>
      <c r="AA262" s="129">
        <f t="shared" ca="1" si="96"/>
        <v>238.53928642943285</v>
      </c>
      <c r="AB262" s="129">
        <f t="shared" ca="1" si="96"/>
        <v>240.88507836844516</v>
      </c>
      <c r="AC262" s="129">
        <f t="shared" ca="1" si="96"/>
        <v>243.25393879191336</v>
      </c>
      <c r="AD262" s="129">
        <f t="shared" ca="1" si="96"/>
        <v>245.64314179751597</v>
      </c>
      <c r="AE262" s="129">
        <f t="shared" ca="1" si="96"/>
        <v>248.05581118985143</v>
      </c>
      <c r="AF262" s="129">
        <f t="shared" ca="1" si="96"/>
        <v>250.4921774521834</v>
      </c>
      <c r="AG262" s="129">
        <f t="shared" ca="1" si="96"/>
        <v>252.95247333154694</v>
      </c>
      <c r="AH262" s="129">
        <f t="shared" ca="1" si="96"/>
        <v>255.42956424780397</v>
      </c>
      <c r="AI262" s="129">
        <f t="shared" ca="1" si="96"/>
        <v>257.93091260391355</v>
      </c>
      <c r="AJ262" s="129">
        <f t="shared" ca="1" si="96"/>
        <v>260.45675594601681</v>
      </c>
      <c r="AK262" s="129">
        <f t="shared" ca="1" si="96"/>
        <v>263.00733414647584</v>
      </c>
      <c r="AL262" s="129">
        <f t="shared" ca="1" si="96"/>
        <v>265.57522620805742</v>
      </c>
      <c r="AM262" s="129">
        <f t="shared" ca="1" si="96"/>
        <v>268.16819007861085</v>
      </c>
      <c r="AN262" s="129">
        <f t="shared" ca="1" si="96"/>
        <v>270.78647054864535</v>
      </c>
      <c r="AO262" s="129">
        <f t="shared" ca="1" si="96"/>
        <v>273.43031479870064</v>
      </c>
      <c r="AP262" s="129">
        <f t="shared" ca="1" si="96"/>
        <v>276.09466076488064</v>
      </c>
      <c r="AQ262" s="129">
        <f t="shared" ca="1" si="96"/>
        <v>278.78496851745842</v>
      </c>
      <c r="AR262" s="129">
        <f t="shared" ca="1" si="96"/>
        <v>281.50149103197163</v>
      </c>
      <c r="AS262" s="129"/>
      <c r="AT262" s="125">
        <f ca="1">SUM(E262:AS262)</f>
        <v>9388.7740956677262</v>
      </c>
    </row>
    <row r="263" spans="1:46" outlineLevel="1" x14ac:dyDescent="0.2">
      <c r="A263" s="114" t="s">
        <v>477</v>
      </c>
      <c r="B263" s="16"/>
      <c r="C263" s="2" t="str">
        <f>CHOOSE(C258,Параметры!$B$64,Параметры!$B$108,Параметры!$B$117)</f>
        <v>тыс. руб.</v>
      </c>
      <c r="E263" s="129">
        <f t="shared" ref="E263:AR263" si="97">E260*E266</f>
        <v>1000</v>
      </c>
      <c r="F263" s="129">
        <f t="shared" ca="1" si="97"/>
        <v>1000</v>
      </c>
      <c r="G263" s="129">
        <f t="shared" ca="1" si="97"/>
        <v>1000</v>
      </c>
      <c r="H263" s="129">
        <f t="shared" ca="1" si="97"/>
        <v>1000</v>
      </c>
      <c r="I263" s="129">
        <f t="shared" ca="1" si="97"/>
        <v>1000</v>
      </c>
      <c r="J263" s="129">
        <f t="shared" ca="1" si="97"/>
        <v>1009.880625064886</v>
      </c>
      <c r="K263" s="129">
        <f t="shared" ca="1" si="97"/>
        <v>1019.8588768814448</v>
      </c>
      <c r="L263" s="129">
        <f t="shared" ca="1" si="97"/>
        <v>1029.9357200630059</v>
      </c>
      <c r="M263" s="129">
        <f t="shared" ca="1" si="97"/>
        <v>1040.112128753882</v>
      </c>
      <c r="N263" s="129">
        <f t="shared" ca="1" si="97"/>
        <v>1050.3484929163767</v>
      </c>
      <c r="O263" s="129">
        <f t="shared" ca="1" si="97"/>
        <v>1060.6855992473074</v>
      </c>
      <c r="P263" s="129">
        <f t="shared" ca="1" si="97"/>
        <v>1071.1244392104732</v>
      </c>
      <c r="Q263" s="129">
        <f t="shared" ca="1" si="97"/>
        <v>1081.6660140272597</v>
      </c>
      <c r="R263" s="129">
        <f t="shared" ca="1" si="97"/>
        <v>1092.271399076433</v>
      </c>
      <c r="S263" s="129">
        <f t="shared" ca="1" si="97"/>
        <v>1102.9807664922357</v>
      </c>
      <c r="T263" s="129">
        <f t="shared" ca="1" si="97"/>
        <v>1113.7951357881057</v>
      </c>
      <c r="U263" s="129">
        <f t="shared" ca="1" si="97"/>
        <v>1124.7155364734797</v>
      </c>
      <c r="V263" s="129">
        <f t="shared" ca="1" si="97"/>
        <v>1135.7676890594357</v>
      </c>
      <c r="W263" s="129">
        <f t="shared" ca="1" si="97"/>
        <v>1146.9284469529757</v>
      </c>
      <c r="X263" s="129">
        <f t="shared" ca="1" si="97"/>
        <v>1158.1988773772262</v>
      </c>
      <c r="Y263" s="129">
        <f t="shared" ca="1" si="97"/>
        <v>1169.5800580425096</v>
      </c>
      <c r="Z263" s="129">
        <f t="shared" ca="1" si="97"/>
        <v>1181.0816916444749</v>
      </c>
      <c r="AA263" s="129">
        <f t="shared" ca="1" si="97"/>
        <v>1192.6964321471642</v>
      </c>
      <c r="AB263" s="129">
        <f t="shared" ca="1" si="97"/>
        <v>1204.4253918422257</v>
      </c>
      <c r="AC263" s="129">
        <f t="shared" ca="1" si="97"/>
        <v>1216.2696939595667</v>
      </c>
      <c r="AD263" s="129">
        <f t="shared" ca="1" si="97"/>
        <v>1228.2157089875798</v>
      </c>
      <c r="AE263" s="129">
        <f t="shared" ca="1" si="97"/>
        <v>1240.2790559492571</v>
      </c>
      <c r="AF263" s="129">
        <f t="shared" ca="1" si="97"/>
        <v>1252.4608872609169</v>
      </c>
      <c r="AG263" s="129">
        <f t="shared" ca="1" si="97"/>
        <v>1264.7623666577347</v>
      </c>
      <c r="AH263" s="129">
        <f t="shared" ca="1" si="97"/>
        <v>1277.1478212390198</v>
      </c>
      <c r="AI263" s="129">
        <f t="shared" ca="1" si="97"/>
        <v>1289.6545630195676</v>
      </c>
      <c r="AJ263" s="129">
        <f t="shared" ca="1" si="97"/>
        <v>1302.283779730084</v>
      </c>
      <c r="AK263" s="129">
        <f t="shared" ca="1" si="97"/>
        <v>1315.0366707323792</v>
      </c>
      <c r="AL263" s="129">
        <f t="shared" ca="1" si="97"/>
        <v>1327.876131040287</v>
      </c>
      <c r="AM263" s="129">
        <f t="shared" ca="1" si="97"/>
        <v>1340.8409503930541</v>
      </c>
      <c r="AN263" s="129">
        <f t="shared" ca="1" si="97"/>
        <v>1353.9323527432266</v>
      </c>
      <c r="AO263" s="129">
        <f t="shared" ca="1" si="97"/>
        <v>1367.1515739935032</v>
      </c>
      <c r="AP263" s="129">
        <f t="shared" ca="1" si="97"/>
        <v>1380.473303824403</v>
      </c>
      <c r="AQ263" s="129">
        <f t="shared" ca="1" si="97"/>
        <v>1393.924842587292</v>
      </c>
      <c r="AR263" s="129">
        <f t="shared" ca="1" si="97"/>
        <v>1407.5074551598582</v>
      </c>
      <c r="AS263" s="115"/>
      <c r="AT263" s="125">
        <f ca="1">SUM(E263:AS263)</f>
        <v>46943.870478338627</v>
      </c>
    </row>
    <row r="264" spans="1:46" outlineLevel="1" x14ac:dyDescent="0.2">
      <c r="A264" s="420" t="str">
        <f>Параметры!$A$65</f>
        <v>Инфляция</v>
      </c>
      <c r="B264" s="263" t="s">
        <v>391</v>
      </c>
      <c r="C264" s="21" t="s">
        <v>14</v>
      </c>
      <c r="E264" s="362">
        <f>CHOOSE($C258,Параметры!E$65,Параметры!E$113,Параметры!E$122)</f>
        <v>0</v>
      </c>
      <c r="F264" s="362">
        <f>CHOOSE($C258,Параметры!F$65,Параметры!F$113,Параметры!F$122)</f>
        <v>0</v>
      </c>
      <c r="G264" s="362">
        <f>CHOOSE($C258,Параметры!G$65,Параметры!G$113,Параметры!G$122)</f>
        <v>0</v>
      </c>
      <c r="H264" s="362">
        <f>CHOOSE($C258,Параметры!H$65,Параметры!H$113,Параметры!H$122)</f>
        <v>0</v>
      </c>
      <c r="I264" s="362">
        <f>CHOOSE($C258,Параметры!I$65,Параметры!I$113,Параметры!I$122)</f>
        <v>4.011212875388237E-2</v>
      </c>
      <c r="J264" s="362">
        <f>CHOOSE($C258,Параметры!J$65,Параметры!J$113,Параметры!J$122)</f>
        <v>4.011212875388237E-2</v>
      </c>
      <c r="K264" s="362">
        <f>CHOOSE($C258,Параметры!K$65,Параметры!K$113,Параметры!K$122)</f>
        <v>4.011212875388237E-2</v>
      </c>
      <c r="L264" s="362">
        <f>CHOOSE($C258,Параметры!L$65,Параметры!L$113,Параметры!L$122)</f>
        <v>4.011212875388237E-2</v>
      </c>
      <c r="M264" s="362">
        <f>CHOOSE($C258,Параметры!M$65,Параметры!M$113,Параметры!M$122)</f>
        <v>3.9951351517419909E-2</v>
      </c>
      <c r="N264" s="362">
        <f>CHOOSE($C258,Параметры!N$65,Параметры!N$113,Параметры!N$122)</f>
        <v>3.9951351517419909E-2</v>
      </c>
      <c r="O264" s="362">
        <f>CHOOSE($C258,Параметры!O$65,Параметры!O$113,Параметры!O$122)</f>
        <v>3.9951351517419909E-2</v>
      </c>
      <c r="P264" s="362">
        <f>CHOOSE($C258,Параметры!P$65,Параметры!P$113,Параметры!P$122)</f>
        <v>3.9951351517419909E-2</v>
      </c>
      <c r="Q264" s="362">
        <f>CHOOSE($C258,Параметры!Q$65,Параметры!Q$113,Параметры!Q$122)</f>
        <v>3.9799274348962799E-2</v>
      </c>
      <c r="R264" s="362">
        <f>CHOOSE($C258,Параметры!R$65,Параметры!R$113,Параметры!R$122)</f>
        <v>3.9799274348962799E-2</v>
      </c>
      <c r="S264" s="362">
        <f>CHOOSE($C258,Параметры!S$65,Параметры!S$113,Параметры!S$122)</f>
        <v>3.9799274348962799E-2</v>
      </c>
      <c r="T264" s="362">
        <f>CHOOSE($C258,Параметры!T$65,Параметры!T$113,Параметры!T$122)</f>
        <v>3.9799274348962799E-2</v>
      </c>
      <c r="U264" s="362">
        <f>CHOOSE($C258,Параметры!U$65,Параметры!U$113,Параметры!U$122)</f>
        <v>3.9889661086839556E-2</v>
      </c>
      <c r="V264" s="362">
        <f>CHOOSE($C258,Параметры!V$65,Параметры!V$113,Параметры!V$122)</f>
        <v>3.9889661086839556E-2</v>
      </c>
      <c r="W264" s="362">
        <f>CHOOSE($C258,Параметры!W$65,Параметры!W$113,Параметры!W$122)</f>
        <v>3.9889661086839556E-2</v>
      </c>
      <c r="X264" s="362">
        <f>CHOOSE($C258,Параметры!X$65,Параметры!X$113,Параметры!X$122)</f>
        <v>3.9889661086839556E-2</v>
      </c>
      <c r="Y264" s="362">
        <f>CHOOSE($C258,Параметры!Y$65,Параметры!Y$113,Параметры!Y$122)</f>
        <v>3.9919999999999956E-2</v>
      </c>
      <c r="Z264" s="362">
        <f>CHOOSE($C258,Параметры!Z$65,Параметры!Z$113,Параметры!Z$122)</f>
        <v>3.9919999999999956E-2</v>
      </c>
      <c r="AA264" s="362">
        <f>CHOOSE($C258,Параметры!AA$65,Параметры!AA$113,Параметры!AA$122)</f>
        <v>3.9919999999999956E-2</v>
      </c>
      <c r="AB264" s="362">
        <f>CHOOSE($C258,Параметры!AB$65,Параметры!AB$113,Параметры!AB$122)</f>
        <v>3.9919999999999956E-2</v>
      </c>
      <c r="AC264" s="362">
        <f>CHOOSE($C258,Параметры!AC$65,Параметры!AC$113,Параметры!AC$122)</f>
        <v>3.986999999999985E-2</v>
      </c>
      <c r="AD264" s="362">
        <f>CHOOSE($C258,Параметры!AD$65,Параметры!AD$113,Параметры!AD$122)</f>
        <v>3.986999999999985E-2</v>
      </c>
      <c r="AE264" s="362">
        <f>CHOOSE($C258,Параметры!AE$65,Параметры!AE$113,Параметры!AE$122)</f>
        <v>3.986999999999985E-2</v>
      </c>
      <c r="AF264" s="362">
        <f>CHOOSE($C258,Параметры!AF$65,Параметры!AF$113,Параметры!AF$122)</f>
        <v>3.986999999999985E-2</v>
      </c>
      <c r="AG264" s="362">
        <f>CHOOSE($C258,Параметры!AG$65,Параметры!AG$113,Параметры!AG$122)</f>
        <v>3.9749999999999952E-2</v>
      </c>
      <c r="AH264" s="362">
        <f>CHOOSE($C258,Параметры!AH$65,Параметры!AH$113,Параметры!AH$122)</f>
        <v>3.9749999999999952E-2</v>
      </c>
      <c r="AI264" s="362">
        <f>CHOOSE($C258,Параметры!AI$65,Параметры!AI$113,Параметры!AI$122)</f>
        <v>3.9749999999999952E-2</v>
      </c>
      <c r="AJ264" s="362">
        <f>CHOOSE($C258,Параметры!AJ$65,Параметры!AJ$113,Параметры!AJ$122)</f>
        <v>3.9749999999999952E-2</v>
      </c>
      <c r="AK264" s="362">
        <f>CHOOSE($C258,Параметры!AK$65,Параметры!AK$113,Параметры!AK$122)</f>
        <v>3.9629999999999832E-2</v>
      </c>
      <c r="AL264" s="362">
        <f>CHOOSE($C258,Параметры!AL$65,Параметры!AL$113,Параметры!AL$122)</f>
        <v>3.9629999999999832E-2</v>
      </c>
      <c r="AM264" s="362">
        <f>CHOOSE($C258,Параметры!AM$65,Параметры!AM$113,Параметры!AM$122)</f>
        <v>3.9629999999999832E-2</v>
      </c>
      <c r="AN264" s="362">
        <f>CHOOSE($C258,Параметры!AN$65,Параметры!AN$113,Параметры!AN$122)</f>
        <v>3.9629999999999832E-2</v>
      </c>
      <c r="AO264" s="362">
        <f>CHOOSE($C258,Параметры!AO$65,Параметры!AO$113,Параметры!AO$122)</f>
        <v>3.9549999999999974E-2</v>
      </c>
      <c r="AP264" s="362">
        <f>CHOOSE($C258,Параметры!AP$65,Параметры!AP$113,Параметры!AP$122)</f>
        <v>3.9549999999999974E-2</v>
      </c>
      <c r="AQ264" s="362">
        <f>CHOOSE($C258,Параметры!AQ$65,Параметры!AQ$113,Параметры!AQ$122)</f>
        <v>3.9549999999999974E-2</v>
      </c>
      <c r="AR264" s="362">
        <f>CHOOSE($C258,Параметры!AR$65,Параметры!AR$113,Параметры!AR$122)</f>
        <v>3.9549999999999974E-2</v>
      </c>
      <c r="AS264" s="127"/>
      <c r="AT264" s="119"/>
    </row>
    <row r="265" spans="1:46" outlineLevel="1" x14ac:dyDescent="0.2">
      <c r="A265" s="302" t="s">
        <v>392</v>
      </c>
      <c r="B265" s="25"/>
      <c r="C265" s="21" t="s">
        <v>133</v>
      </c>
      <c r="E265" s="416">
        <f ca="1">IF(E$2=1,1,IF(Параметры!$B$62=1,POWER(1+OFFSET(E264,0,-1),Параметры!E$39/360),1) * IF(E$2&gt;1,D265, 1))</f>
        <v>1</v>
      </c>
      <c r="F265" s="416">
        <f ca="1">IF(F$2=1,1,IF(Параметры!$B$62=1,POWER(1+OFFSET(F264,0,-1),Параметры!F$39/360),1) * IF(F$2&gt;1,E265, 1))</f>
        <v>1</v>
      </c>
      <c r="G265" s="416">
        <f ca="1">IF(G$2=1,1,IF(Параметры!$B$62=1,POWER(1+OFFSET(G264,0,-1),Параметры!G$39/360),1) * IF(G$2&gt;1,F265, 1))</f>
        <v>1</v>
      </c>
      <c r="H265" s="416">
        <f ca="1">IF(H$2=1,1,IF(Параметры!$B$62=1,POWER(1+OFFSET(H264,0,-1),Параметры!H$39/360),1) * IF(H$2&gt;1,G265, 1))</f>
        <v>1</v>
      </c>
      <c r="I265" s="416">
        <f ca="1">IF(I$2=1,1,IF(Параметры!$B$62=1,POWER(1+OFFSET(I264,0,-1),Параметры!I$39/360),1) * IF(I$2&gt;1,H265, 1))</f>
        <v>1</v>
      </c>
      <c r="J265" s="416">
        <f ca="1">IF(J$2=1,1,IF(Параметры!$B$62=1,POWER(1+OFFSET(J264,0,-1),Параметры!J$39/360),1) * IF(J$2&gt;1,I265, 1))</f>
        <v>1.009880625064886</v>
      </c>
      <c r="K265" s="416">
        <f ca="1">IF(K$2=1,1,IF(Параметры!$B$62=1,POWER(1+OFFSET(K264,0,-1),Параметры!K$39/360),1) * IF(K$2&gt;1,J265, 1))</f>
        <v>1.0198588768814447</v>
      </c>
      <c r="L265" s="416">
        <f ca="1">IF(L$2=1,1,IF(Параметры!$B$62=1,POWER(1+OFFSET(L264,0,-1),Параметры!L$39/360),1) * IF(L$2&gt;1,K265, 1))</f>
        <v>1.0299357200630059</v>
      </c>
      <c r="M265" s="416">
        <f ca="1">IF(M$2=1,1,IF(Параметры!$B$62=1,POWER(1+OFFSET(M264,0,-1),Параметры!M$39/360),1) * IF(M$2&gt;1,L265, 1))</f>
        <v>1.0401121287538819</v>
      </c>
      <c r="N265" s="416">
        <f ca="1">IF(N$2=1,1,IF(Параметры!$B$62=1,POWER(1+OFFSET(N264,0,-1),Параметры!N$39/360),1) * IF(N$2&gt;1,M265, 1))</f>
        <v>1.0503484929163767</v>
      </c>
      <c r="O265" s="416">
        <f ca="1">IF(O$2=1,1,IF(Параметры!$B$62=1,POWER(1+OFFSET(O264,0,-1),Параметры!O$39/360),1) * IF(O$2&gt;1,N265, 1))</f>
        <v>1.0606855992473074</v>
      </c>
      <c r="P265" s="416">
        <f ca="1">IF(P$2=1,1,IF(Параметры!$B$62=1,POWER(1+OFFSET(P264,0,-1),Параметры!P$39/360),1) * IF(P$2&gt;1,O265, 1))</f>
        <v>1.0711244392104731</v>
      </c>
      <c r="Q265" s="416">
        <f ca="1">IF(Q$2=1,1,IF(Параметры!$B$62=1,POWER(1+OFFSET(Q264,0,-1),Параметры!Q$39/360),1) * IF(Q$2&gt;1,P265, 1))</f>
        <v>1.0816660140272598</v>
      </c>
      <c r="R265" s="416">
        <f ca="1">IF(R$2=1,1,IF(Параметры!$B$62=1,POWER(1+OFFSET(R264,0,-1),Параметры!R$39/360),1) * IF(R$2&gt;1,Q265, 1))</f>
        <v>1.092271399076433</v>
      </c>
      <c r="S265" s="416">
        <f ca="1">IF(S$2=1,1,IF(Параметры!$B$62=1,POWER(1+OFFSET(S264,0,-1),Параметры!S$39/360),1) * IF(S$2&gt;1,R265, 1))</f>
        <v>1.1029807664922358</v>
      </c>
      <c r="T265" s="416">
        <f ca="1">IF(T$2=1,1,IF(Параметры!$B$62=1,POWER(1+OFFSET(T264,0,-1),Параметры!T$39/360),1) * IF(T$2&gt;1,S265, 1))</f>
        <v>1.1137951357881057</v>
      </c>
      <c r="U265" s="416">
        <f ca="1">IF(U$2=1,1,IF(Параметры!$B$62=1,POWER(1+OFFSET(U264,0,-1),Параметры!U$39/360),1) * IF(U$2&gt;1,T265, 1))</f>
        <v>1.1247155364734798</v>
      </c>
      <c r="V265" s="416">
        <f ca="1">IF(V$2=1,1,IF(Параметры!$B$62=1,POWER(1+OFFSET(V264,0,-1),Параметры!V$39/360),1) * IF(V$2&gt;1,U265, 1))</f>
        <v>1.1357676890594357</v>
      </c>
      <c r="W265" s="416">
        <f ca="1">IF(W$2=1,1,IF(Параметры!$B$62=1,POWER(1+OFFSET(W264,0,-1),Параметры!W$39/360),1) * IF(W$2&gt;1,V265, 1))</f>
        <v>1.1469284469529757</v>
      </c>
      <c r="X265" s="416">
        <f ca="1">IF(X$2=1,1,IF(Параметры!$B$62=1,POWER(1+OFFSET(X264,0,-1),Параметры!X$39/360),1) * IF(X$2&gt;1,W265, 1))</f>
        <v>1.158198877377226</v>
      </c>
      <c r="Y265" s="416">
        <f ca="1">IF(Y$2=1,1,IF(Параметры!$B$62=1,POWER(1+OFFSET(Y264,0,-1),Параметры!Y$39/360),1) * IF(Y$2&gt;1,X265, 1))</f>
        <v>1.1695800580425095</v>
      </c>
      <c r="Z265" s="416">
        <f ca="1">IF(Z$2=1,1,IF(Параметры!$B$62=1,POWER(1+OFFSET(Z264,0,-1),Параметры!Z$39/360),1) * IF(Z$2&gt;1,Y265, 1))</f>
        <v>1.1810816916444749</v>
      </c>
      <c r="AA265" s="416">
        <f ca="1">IF(AA$2=1,1,IF(Параметры!$B$62=1,POWER(1+OFFSET(AA264,0,-1),Параметры!AA$39/360),1) * IF(AA$2&gt;1,Z265, 1))</f>
        <v>1.1926964321471643</v>
      </c>
      <c r="AB265" s="416">
        <f ca="1">IF(AB$2=1,1,IF(Параметры!$B$62=1,POWER(1+OFFSET(AB264,0,-1),Параметры!AB$39/360),1) * IF(AB$2&gt;1,AA265, 1))</f>
        <v>1.2044253918422256</v>
      </c>
      <c r="AC265" s="416">
        <f ca="1">IF(AC$2=1,1,IF(Параметры!$B$62=1,POWER(1+OFFSET(AC264,0,-1),Параметры!AC$39/360),1) * IF(AC$2&gt;1,AB265, 1))</f>
        <v>1.2162696939595667</v>
      </c>
      <c r="AD265" s="416">
        <f ca="1">IF(AD$2=1,1,IF(Параметры!$B$62=1,POWER(1+OFFSET(AD264,0,-1),Параметры!AD$39/360),1) * IF(AD$2&gt;1,AC265, 1))</f>
        <v>1.2282157089875798</v>
      </c>
      <c r="AE265" s="416">
        <f ca="1">IF(AE$2=1,1,IF(Параметры!$B$62=1,POWER(1+OFFSET(AE264,0,-1),Параметры!AE$39/360),1) * IF(AE$2&gt;1,AD265, 1))</f>
        <v>1.2402790559492571</v>
      </c>
      <c r="AF265" s="416">
        <f ca="1">IF(AF$2=1,1,IF(Параметры!$B$62=1,POWER(1+OFFSET(AF264,0,-1),Параметры!AF$39/360),1) * IF(AF$2&gt;1,AE265, 1))</f>
        <v>1.2524608872609169</v>
      </c>
      <c r="AG265" s="416">
        <f ca="1">IF(AG$2=1,1,IF(Параметры!$B$62=1,POWER(1+OFFSET(AG264,0,-1),Параметры!AG$39/360),1) * IF(AG$2&gt;1,AF265, 1))</f>
        <v>1.2647623666577346</v>
      </c>
      <c r="AH265" s="416">
        <f ca="1">IF(AH$2=1,1,IF(Параметры!$B$62=1,POWER(1+OFFSET(AH264,0,-1),Параметры!AH$39/360),1) * IF(AH$2&gt;1,AG265, 1))</f>
        <v>1.2771478212390197</v>
      </c>
      <c r="AI265" s="416">
        <f ca="1">IF(AI$2=1,1,IF(Параметры!$B$62=1,POWER(1+OFFSET(AI264,0,-1),Параметры!AI$39/360),1) * IF(AI$2&gt;1,AH265, 1))</f>
        <v>1.2896545630195677</v>
      </c>
      <c r="AJ265" s="416">
        <f ca="1">IF(AJ$2=1,1,IF(Параметры!$B$62=1,POWER(1+OFFSET(AJ264,0,-1),Параметры!AJ$39/360),1) * IF(AJ$2&gt;1,AI265, 1))</f>
        <v>1.3022837797300839</v>
      </c>
      <c r="AK265" s="416">
        <f ca="1">IF(AK$2=1,1,IF(Параметры!$B$62=1,POWER(1+OFFSET(AK264,0,-1),Параметры!AK$39/360),1) * IF(AK$2&gt;1,AJ265, 1))</f>
        <v>1.3150366707323793</v>
      </c>
      <c r="AL265" s="416">
        <f ca="1">IF(AL$2=1,1,IF(Параметры!$B$62=1,POWER(1+OFFSET(AL264,0,-1),Параметры!AL$39/360),1) * IF(AL$2&gt;1,AK265, 1))</f>
        <v>1.3278761310402869</v>
      </c>
      <c r="AM265" s="416">
        <f ca="1">IF(AM$2=1,1,IF(Параметры!$B$62=1,POWER(1+OFFSET(AM264,0,-1),Параметры!AM$39/360),1) * IF(AM$2&gt;1,AL265, 1))</f>
        <v>1.3408409503930541</v>
      </c>
      <c r="AN265" s="416">
        <f ca="1">IF(AN$2=1,1,IF(Параметры!$B$62=1,POWER(1+OFFSET(AN264,0,-1),Параметры!AN$39/360),1) * IF(AN$2&gt;1,AM265, 1))</f>
        <v>1.3539323527432265</v>
      </c>
      <c r="AO265" s="416">
        <f ca="1">IF(AO$2=1,1,IF(Параметры!$B$62=1,POWER(1+OFFSET(AO264,0,-1),Параметры!AO$39/360),1) * IF(AO$2&gt;1,AN265, 1))</f>
        <v>1.3671515739935032</v>
      </c>
      <c r="AP265" s="416">
        <f ca="1">IF(AP$2=1,1,IF(Параметры!$B$62=1,POWER(1+OFFSET(AP264,0,-1),Параметры!AP$39/360),1) * IF(AP$2&gt;1,AO265, 1))</f>
        <v>1.380473303824403</v>
      </c>
      <c r="AQ265" s="416">
        <f ca="1">IF(AQ$2=1,1,IF(Параметры!$B$62=1,POWER(1+OFFSET(AQ264,0,-1),Параметры!AQ$39/360),1) * IF(AQ$2&gt;1,AP265, 1))</f>
        <v>1.3939248425872921</v>
      </c>
      <c r="AR265" s="416">
        <f ca="1">IF(AR$2=1,1,IF(Параметры!$B$62=1,POWER(1+OFFSET(AR264,0,-1),Параметры!AR$39/360),1) * IF(AR$2&gt;1,AQ265, 1))</f>
        <v>1.4075074551598581</v>
      </c>
      <c r="AS265" s="128"/>
      <c r="AT265" s="117"/>
    </row>
    <row r="266" spans="1:46" outlineLevel="1" x14ac:dyDescent="0.2">
      <c r="A266" s="319" t="s">
        <v>491</v>
      </c>
      <c r="B266" s="24"/>
      <c r="C266" s="2" t="s">
        <v>133</v>
      </c>
      <c r="D266" s="310"/>
      <c r="E266" s="417">
        <f>IF(E$2=1,1,CHOOSE($B$8,E265,IF(Параметры!E$43=1,E265,D266),IF(Параметры!E$48=1,E265,D266),IF(Параметры!E$45&lt;&gt;Параметры!D$45,E265,D266),IF(Параметры!E$50&lt;&gt;Параметры!D$50,E265,D266)))</f>
        <v>1</v>
      </c>
      <c r="F266" s="417">
        <f ca="1">IF(F$2=1,1,CHOOSE($B$8,F265,IF(Параметры!F$43=1,F265,E266),IF(Параметры!F$48=1,F265,E266),IF(Параметры!F$45&lt;&gt;Параметры!E$45,F265,E266),IF(Параметры!F$50&lt;&gt;Параметры!E$50,F265,E266)))</f>
        <v>1</v>
      </c>
      <c r="G266" s="417">
        <f ca="1">IF(G$2=1,1,CHOOSE($B$8,G265,IF(Параметры!G$43=1,G265,F266),IF(Параметры!G$48=1,G265,F266),IF(Параметры!G$45&lt;&gt;Параметры!F$45,G265,F266),IF(Параметры!G$50&lt;&gt;Параметры!F$50,G265,F266)))</f>
        <v>1</v>
      </c>
      <c r="H266" s="417">
        <f ca="1">IF(H$2=1,1,CHOOSE($B$8,H265,IF(Параметры!H$43=1,H265,G266),IF(Параметры!H$48=1,H265,G266),IF(Параметры!H$45&lt;&gt;Параметры!G$45,H265,G266),IF(Параметры!H$50&lt;&gt;Параметры!G$50,H265,G266)))</f>
        <v>1</v>
      </c>
      <c r="I266" s="417">
        <f ca="1">IF(I$2=1,1,CHOOSE($B$8,I265,IF(Параметры!I$43=1,I265,H266),IF(Параметры!I$48=1,I265,H266),IF(Параметры!I$45&lt;&gt;Параметры!H$45,I265,H266),IF(Параметры!I$50&lt;&gt;Параметры!H$50,I265,H266)))</f>
        <v>1</v>
      </c>
      <c r="J266" s="417">
        <f ca="1">IF(J$2=1,1,CHOOSE($B$8,J265,IF(Параметры!J$43=1,J265,I266),IF(Параметры!J$48=1,J265,I266),IF(Параметры!J$45&lt;&gt;Параметры!I$45,J265,I266),IF(Параметры!J$50&lt;&gt;Параметры!I$50,J265,I266)))</f>
        <v>1.009880625064886</v>
      </c>
      <c r="K266" s="417">
        <f ca="1">IF(K$2=1,1,CHOOSE($B$8,K265,IF(Параметры!K$43=1,K265,J266),IF(Параметры!K$48=1,K265,J266),IF(Параметры!K$45&lt;&gt;Параметры!J$45,K265,J266),IF(Параметры!K$50&lt;&gt;Параметры!J$50,K265,J266)))</f>
        <v>1.0198588768814447</v>
      </c>
      <c r="L266" s="417">
        <f ca="1">IF(L$2=1,1,CHOOSE($B$8,L265,IF(Параметры!L$43=1,L265,K266),IF(Параметры!L$48=1,L265,K266),IF(Параметры!L$45&lt;&gt;Параметры!K$45,L265,K266),IF(Параметры!L$50&lt;&gt;Параметры!K$50,L265,K266)))</f>
        <v>1.0299357200630059</v>
      </c>
      <c r="M266" s="417">
        <f ca="1">IF(M$2=1,1,CHOOSE($B$8,M265,IF(Параметры!M$43=1,M265,L266),IF(Параметры!M$48=1,M265,L266),IF(Параметры!M$45&lt;&gt;Параметры!L$45,M265,L266),IF(Параметры!M$50&lt;&gt;Параметры!L$50,M265,L266)))</f>
        <v>1.0401121287538819</v>
      </c>
      <c r="N266" s="417">
        <f ca="1">IF(N$2=1,1,CHOOSE($B$8,N265,IF(Параметры!N$43=1,N265,M266),IF(Параметры!N$48=1,N265,M266),IF(Параметры!N$45&lt;&gt;Параметры!M$45,N265,M266),IF(Параметры!N$50&lt;&gt;Параметры!M$50,N265,M266)))</f>
        <v>1.0503484929163767</v>
      </c>
      <c r="O266" s="417">
        <f ca="1">IF(O$2=1,1,CHOOSE($B$8,O265,IF(Параметры!O$43=1,O265,N266),IF(Параметры!O$48=1,O265,N266),IF(Параметры!O$45&lt;&gt;Параметры!N$45,O265,N266),IF(Параметры!O$50&lt;&gt;Параметры!N$50,O265,N266)))</f>
        <v>1.0606855992473074</v>
      </c>
      <c r="P266" s="417">
        <f ca="1">IF(P$2=1,1,CHOOSE($B$8,P265,IF(Параметры!P$43=1,P265,O266),IF(Параметры!P$48=1,P265,O266),IF(Параметры!P$45&lt;&gt;Параметры!O$45,P265,O266),IF(Параметры!P$50&lt;&gt;Параметры!O$50,P265,O266)))</f>
        <v>1.0711244392104731</v>
      </c>
      <c r="Q266" s="417">
        <f ca="1">IF(Q$2=1,1,CHOOSE($B$8,Q265,IF(Параметры!Q$43=1,Q265,P266),IF(Параметры!Q$48=1,Q265,P266),IF(Параметры!Q$45&lt;&gt;Параметры!P$45,Q265,P266),IF(Параметры!Q$50&lt;&gt;Параметры!P$50,Q265,P266)))</f>
        <v>1.0816660140272598</v>
      </c>
      <c r="R266" s="417">
        <f ca="1">IF(R$2=1,1,CHOOSE($B$8,R265,IF(Параметры!R$43=1,R265,Q266),IF(Параметры!R$48=1,R265,Q266),IF(Параметры!R$45&lt;&gt;Параметры!Q$45,R265,Q266),IF(Параметры!R$50&lt;&gt;Параметры!Q$50,R265,Q266)))</f>
        <v>1.092271399076433</v>
      </c>
      <c r="S266" s="417">
        <f ca="1">IF(S$2=1,1,CHOOSE($B$8,S265,IF(Параметры!S$43=1,S265,R266),IF(Параметры!S$48=1,S265,R266),IF(Параметры!S$45&lt;&gt;Параметры!R$45,S265,R266),IF(Параметры!S$50&lt;&gt;Параметры!R$50,S265,R266)))</f>
        <v>1.1029807664922358</v>
      </c>
      <c r="T266" s="417">
        <f ca="1">IF(T$2=1,1,CHOOSE($B$8,T265,IF(Параметры!T$43=1,T265,S266),IF(Параметры!T$48=1,T265,S266),IF(Параметры!T$45&lt;&gt;Параметры!S$45,T265,S266),IF(Параметры!T$50&lt;&gt;Параметры!S$50,T265,S266)))</f>
        <v>1.1137951357881057</v>
      </c>
      <c r="U266" s="417">
        <f ca="1">IF(U$2=1,1,CHOOSE($B$8,U265,IF(Параметры!U$43=1,U265,T266),IF(Параметры!U$48=1,U265,T266),IF(Параметры!U$45&lt;&gt;Параметры!T$45,U265,T266),IF(Параметры!U$50&lt;&gt;Параметры!T$50,U265,T266)))</f>
        <v>1.1247155364734798</v>
      </c>
      <c r="V266" s="417">
        <f ca="1">IF(V$2=1,1,CHOOSE($B$8,V265,IF(Параметры!V$43=1,V265,U266),IF(Параметры!V$48=1,V265,U266),IF(Параметры!V$45&lt;&gt;Параметры!U$45,V265,U266),IF(Параметры!V$50&lt;&gt;Параметры!U$50,V265,U266)))</f>
        <v>1.1357676890594357</v>
      </c>
      <c r="W266" s="417">
        <f ca="1">IF(W$2=1,1,CHOOSE($B$8,W265,IF(Параметры!W$43=1,W265,V266),IF(Параметры!W$48=1,W265,V266),IF(Параметры!W$45&lt;&gt;Параметры!V$45,W265,V266),IF(Параметры!W$50&lt;&gt;Параметры!V$50,W265,V266)))</f>
        <v>1.1469284469529757</v>
      </c>
      <c r="X266" s="417">
        <f ca="1">IF(X$2=1,1,CHOOSE($B$8,X265,IF(Параметры!X$43=1,X265,W266),IF(Параметры!X$48=1,X265,W266),IF(Параметры!X$45&lt;&gt;Параметры!W$45,X265,W266),IF(Параметры!X$50&lt;&gt;Параметры!W$50,X265,W266)))</f>
        <v>1.158198877377226</v>
      </c>
      <c r="Y266" s="417">
        <f ca="1">IF(Y$2=1,1,CHOOSE($B$8,Y265,IF(Параметры!Y$43=1,Y265,X266),IF(Параметры!Y$48=1,Y265,X266),IF(Параметры!Y$45&lt;&gt;Параметры!X$45,Y265,X266),IF(Параметры!Y$50&lt;&gt;Параметры!X$50,Y265,X266)))</f>
        <v>1.1695800580425095</v>
      </c>
      <c r="Z266" s="417">
        <f ca="1">IF(Z$2=1,1,CHOOSE($B$8,Z265,IF(Параметры!Z$43=1,Z265,Y266),IF(Параметры!Z$48=1,Z265,Y266),IF(Параметры!Z$45&lt;&gt;Параметры!Y$45,Z265,Y266),IF(Параметры!Z$50&lt;&gt;Параметры!Y$50,Z265,Y266)))</f>
        <v>1.1810816916444749</v>
      </c>
      <c r="AA266" s="417">
        <f ca="1">IF(AA$2=1,1,CHOOSE($B$8,AA265,IF(Параметры!AA$43=1,AA265,Z266),IF(Параметры!AA$48=1,AA265,Z266),IF(Параметры!AA$45&lt;&gt;Параметры!Z$45,AA265,Z266),IF(Параметры!AA$50&lt;&gt;Параметры!Z$50,AA265,Z266)))</f>
        <v>1.1926964321471643</v>
      </c>
      <c r="AB266" s="417">
        <f ca="1">IF(AB$2=1,1,CHOOSE($B$8,AB265,IF(Параметры!AB$43=1,AB265,AA266),IF(Параметры!AB$48=1,AB265,AA266),IF(Параметры!AB$45&lt;&gt;Параметры!AA$45,AB265,AA266),IF(Параметры!AB$50&lt;&gt;Параметры!AA$50,AB265,AA266)))</f>
        <v>1.2044253918422256</v>
      </c>
      <c r="AC266" s="417">
        <f ca="1">IF(AC$2=1,1,CHOOSE($B$8,AC265,IF(Параметры!AC$43=1,AC265,AB266),IF(Параметры!AC$48=1,AC265,AB266),IF(Параметры!AC$45&lt;&gt;Параметры!AB$45,AC265,AB266),IF(Параметры!AC$50&lt;&gt;Параметры!AB$50,AC265,AB266)))</f>
        <v>1.2162696939595667</v>
      </c>
      <c r="AD266" s="417">
        <f ca="1">IF(AD$2=1,1,CHOOSE($B$8,AD265,IF(Параметры!AD$43=1,AD265,AC266),IF(Параметры!AD$48=1,AD265,AC266),IF(Параметры!AD$45&lt;&gt;Параметры!AC$45,AD265,AC266),IF(Параметры!AD$50&lt;&gt;Параметры!AC$50,AD265,AC266)))</f>
        <v>1.2282157089875798</v>
      </c>
      <c r="AE266" s="417">
        <f ca="1">IF(AE$2=1,1,CHOOSE($B$8,AE265,IF(Параметры!AE$43=1,AE265,AD266),IF(Параметры!AE$48=1,AE265,AD266),IF(Параметры!AE$45&lt;&gt;Параметры!AD$45,AE265,AD266),IF(Параметры!AE$50&lt;&gt;Параметры!AD$50,AE265,AD266)))</f>
        <v>1.2402790559492571</v>
      </c>
      <c r="AF266" s="417">
        <f ca="1">IF(AF$2=1,1,CHOOSE($B$8,AF265,IF(Параметры!AF$43=1,AF265,AE266),IF(Параметры!AF$48=1,AF265,AE266),IF(Параметры!AF$45&lt;&gt;Параметры!AE$45,AF265,AE266),IF(Параметры!AF$50&lt;&gt;Параметры!AE$50,AF265,AE266)))</f>
        <v>1.2524608872609169</v>
      </c>
      <c r="AG266" s="417">
        <f ca="1">IF(AG$2=1,1,CHOOSE($B$8,AG265,IF(Параметры!AG$43=1,AG265,AF266),IF(Параметры!AG$48=1,AG265,AF266),IF(Параметры!AG$45&lt;&gt;Параметры!AF$45,AG265,AF266),IF(Параметры!AG$50&lt;&gt;Параметры!AF$50,AG265,AF266)))</f>
        <v>1.2647623666577346</v>
      </c>
      <c r="AH266" s="417">
        <f ca="1">IF(AH$2=1,1,CHOOSE($B$8,AH265,IF(Параметры!AH$43=1,AH265,AG266),IF(Параметры!AH$48=1,AH265,AG266),IF(Параметры!AH$45&lt;&gt;Параметры!AG$45,AH265,AG266),IF(Параметры!AH$50&lt;&gt;Параметры!AG$50,AH265,AG266)))</f>
        <v>1.2771478212390197</v>
      </c>
      <c r="AI266" s="417">
        <f ca="1">IF(AI$2=1,1,CHOOSE($B$8,AI265,IF(Параметры!AI$43=1,AI265,AH266),IF(Параметры!AI$48=1,AI265,AH266),IF(Параметры!AI$45&lt;&gt;Параметры!AH$45,AI265,AH266),IF(Параметры!AI$50&lt;&gt;Параметры!AH$50,AI265,AH266)))</f>
        <v>1.2896545630195677</v>
      </c>
      <c r="AJ266" s="417">
        <f ca="1">IF(AJ$2=1,1,CHOOSE($B$8,AJ265,IF(Параметры!AJ$43=1,AJ265,AI266),IF(Параметры!AJ$48=1,AJ265,AI266),IF(Параметры!AJ$45&lt;&gt;Параметры!AI$45,AJ265,AI266),IF(Параметры!AJ$50&lt;&gt;Параметры!AI$50,AJ265,AI266)))</f>
        <v>1.3022837797300839</v>
      </c>
      <c r="AK266" s="417">
        <f ca="1">IF(AK$2=1,1,CHOOSE($B$8,AK265,IF(Параметры!AK$43=1,AK265,AJ266),IF(Параметры!AK$48=1,AK265,AJ266),IF(Параметры!AK$45&lt;&gt;Параметры!AJ$45,AK265,AJ266),IF(Параметры!AK$50&lt;&gt;Параметры!AJ$50,AK265,AJ266)))</f>
        <v>1.3150366707323793</v>
      </c>
      <c r="AL266" s="417">
        <f ca="1">IF(AL$2=1,1,CHOOSE($B$8,AL265,IF(Параметры!AL$43=1,AL265,AK266),IF(Параметры!AL$48=1,AL265,AK266),IF(Параметры!AL$45&lt;&gt;Параметры!AK$45,AL265,AK266),IF(Параметры!AL$50&lt;&gt;Параметры!AK$50,AL265,AK266)))</f>
        <v>1.3278761310402869</v>
      </c>
      <c r="AM266" s="417">
        <f ca="1">IF(AM$2=1,1,CHOOSE($B$8,AM265,IF(Параметры!AM$43=1,AM265,AL266),IF(Параметры!AM$48=1,AM265,AL266),IF(Параметры!AM$45&lt;&gt;Параметры!AL$45,AM265,AL266),IF(Параметры!AM$50&lt;&gt;Параметры!AL$50,AM265,AL266)))</f>
        <v>1.3408409503930541</v>
      </c>
      <c r="AN266" s="417">
        <f ca="1">IF(AN$2=1,1,CHOOSE($B$8,AN265,IF(Параметры!AN$43=1,AN265,AM266),IF(Параметры!AN$48=1,AN265,AM266),IF(Параметры!AN$45&lt;&gt;Параметры!AM$45,AN265,AM266),IF(Параметры!AN$50&lt;&gt;Параметры!AM$50,AN265,AM266)))</f>
        <v>1.3539323527432265</v>
      </c>
      <c r="AO266" s="417">
        <f ca="1">IF(AO$2=1,1,CHOOSE($B$8,AO265,IF(Параметры!AO$43=1,AO265,AN266),IF(Параметры!AO$48=1,AO265,AN266),IF(Параметры!AO$45&lt;&gt;Параметры!AN$45,AO265,AN266),IF(Параметры!AO$50&lt;&gt;Параметры!AN$50,AO265,AN266)))</f>
        <v>1.3671515739935032</v>
      </c>
      <c r="AP266" s="417">
        <f ca="1">IF(AP$2=1,1,CHOOSE($B$8,AP265,IF(Параметры!AP$43=1,AP265,AO266),IF(Параметры!AP$48=1,AP265,AO266),IF(Параметры!AP$45&lt;&gt;Параметры!AO$45,AP265,AO266),IF(Параметры!AP$50&lt;&gt;Параметры!AO$50,AP265,AO266)))</f>
        <v>1.380473303824403</v>
      </c>
      <c r="AQ266" s="417">
        <f ca="1">IF(AQ$2=1,1,CHOOSE($B$8,AQ265,IF(Параметры!AQ$43=1,AQ265,AP266),IF(Параметры!AQ$48=1,AQ265,AP266),IF(Параметры!AQ$45&lt;&gt;Параметры!AP$45,AQ265,AP266),IF(Параметры!AQ$50&lt;&gt;Параметры!AP$50,AQ265,AP266)))</f>
        <v>1.3939248425872921</v>
      </c>
      <c r="AR266" s="417">
        <f ca="1">IF(AR$2=1,1,CHOOSE($B$8,AR265,IF(Параметры!AR$43=1,AR265,AQ266),IF(Параметры!AR$48=1,AR265,AQ266),IF(Параметры!AR$45&lt;&gt;Параметры!AQ$45,AR265,AQ266),IF(Параметры!AR$50&lt;&gt;Параметры!AQ$50,AR265,AQ266)))</f>
        <v>1.4075074551598581</v>
      </c>
      <c r="AS266" s="120"/>
      <c r="AT266" s="116"/>
    </row>
    <row r="267" spans="1:46" ht="22.5" x14ac:dyDescent="0.2">
      <c r="A267" s="543" t="s">
        <v>647</v>
      </c>
      <c r="B267" s="223" t="s">
        <v>390</v>
      </c>
      <c r="C267" s="286">
        <v>1</v>
      </c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  <c r="AA267" s="130"/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</row>
    <row r="268" spans="1:46" x14ac:dyDescent="0.2">
      <c r="A268" s="106" t="s">
        <v>63</v>
      </c>
      <c r="B268" s="350">
        <f>Деятельность_УК!$B$6+1</f>
        <v>1</v>
      </c>
      <c r="C268" s="3" t="s">
        <v>3</v>
      </c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123"/>
    </row>
    <row r="269" spans="1:46" collapsed="1" x14ac:dyDescent="0.2">
      <c r="A269" s="106" t="s">
        <v>1096</v>
      </c>
      <c r="B269" s="350">
        <f>ИД!C122/4/1.2</f>
        <v>100</v>
      </c>
      <c r="C269" s="3" t="str">
        <f>CHOOSE(C267,Параметры!$B$64,Параметры!$B$108,Параметры!$B$117)</f>
        <v>тыс. руб.</v>
      </c>
      <c r="E269" s="363">
        <f>IF(E$2&gt;=$B268,$B269,0)*Параметры!E$41</f>
        <v>100</v>
      </c>
      <c r="F269" s="363">
        <f>IF(F$2&gt;=$B268,$B269,0)*Параметры!F$41</f>
        <v>100</v>
      </c>
      <c r="G269" s="363">
        <f>IF(G$2&gt;=$B268,$B269,0)*Параметры!G$41</f>
        <v>100</v>
      </c>
      <c r="H269" s="363">
        <f>IF(H$2&gt;=$B268,$B269,0)*Параметры!H$41</f>
        <v>100</v>
      </c>
      <c r="I269" s="363">
        <f>IF(I$2&gt;=$B268,$B269,0)*Параметры!I$41</f>
        <v>100</v>
      </c>
      <c r="J269" s="363">
        <f>IF(J$2&gt;=$B268,$B269,0)*Параметры!J$41</f>
        <v>100</v>
      </c>
      <c r="K269" s="363">
        <f>IF(K$2&gt;=$B268,$B269,0)*Параметры!K$41</f>
        <v>100</v>
      </c>
      <c r="L269" s="363">
        <f>IF(L$2&gt;=$B268,$B269,0)*Параметры!L$41</f>
        <v>100</v>
      </c>
      <c r="M269" s="363">
        <f>IF(M$2&gt;=$B268,$B269,0)*Параметры!M$41</f>
        <v>100</v>
      </c>
      <c r="N269" s="363">
        <f>IF(N$2&gt;=$B268,$B269,0)*Параметры!N$41</f>
        <v>100</v>
      </c>
      <c r="O269" s="363">
        <f>IF(O$2&gt;=$B268,$B269,0)*Параметры!O$41</f>
        <v>100</v>
      </c>
      <c r="P269" s="363">
        <f>IF(P$2&gt;=$B268,$B269,0)*Параметры!P$41</f>
        <v>100</v>
      </c>
      <c r="Q269" s="363">
        <f>IF(Q$2&gt;=$B268,$B269,0)*Параметры!Q$41</f>
        <v>100</v>
      </c>
      <c r="R269" s="363">
        <f>IF(R$2&gt;=$B268,$B269,0)*Параметры!R$41</f>
        <v>100</v>
      </c>
      <c r="S269" s="363">
        <f>IF(S$2&gt;=$B268,$B269,0)*Параметры!S$41</f>
        <v>100</v>
      </c>
      <c r="T269" s="363">
        <f>IF(T$2&gt;=$B268,$B269,0)*Параметры!T$41</f>
        <v>100</v>
      </c>
      <c r="U269" s="363">
        <f>IF(U$2&gt;=$B268,$B269,0)*Параметры!U$41</f>
        <v>100</v>
      </c>
      <c r="V269" s="363">
        <f>IF(V$2&gt;=$B268,$B269,0)*Параметры!V$41</f>
        <v>100</v>
      </c>
      <c r="W269" s="363">
        <f>IF(W$2&gt;=$B268,$B269,0)*Параметры!W$41</f>
        <v>100</v>
      </c>
      <c r="X269" s="363">
        <f>IF(X$2&gt;=$B268,$B269,0)*Параметры!X$41</f>
        <v>100</v>
      </c>
      <c r="Y269" s="363">
        <f>IF(Y$2&gt;=$B268,$B269,0)*Параметры!Y$41</f>
        <v>100</v>
      </c>
      <c r="Z269" s="363">
        <f>IF(Z$2&gt;=$B268,$B269,0)*Параметры!Z$41</f>
        <v>100</v>
      </c>
      <c r="AA269" s="363">
        <f>IF(AA$2&gt;=$B268,$B269,0)*Параметры!AA$41</f>
        <v>100</v>
      </c>
      <c r="AB269" s="363">
        <f>IF(AB$2&gt;=$B268,$B269,0)*Параметры!AB$41</f>
        <v>100</v>
      </c>
      <c r="AC269" s="363">
        <f>IF(AC$2&gt;=$B268,$B269,0)*Параметры!AC$41</f>
        <v>100</v>
      </c>
      <c r="AD269" s="363">
        <f>IF(AD$2&gt;=$B268,$B269,0)*Параметры!AD$41</f>
        <v>100</v>
      </c>
      <c r="AE269" s="363">
        <f>IF(AE$2&gt;=$B268,$B269,0)*Параметры!AE$41</f>
        <v>100</v>
      </c>
      <c r="AF269" s="363">
        <f>IF(AF$2&gt;=$B268,$B269,0)*Параметры!AF$41</f>
        <v>100</v>
      </c>
      <c r="AG269" s="363">
        <f>IF(AG$2&gt;=$B268,$B269,0)*Параметры!AG$41</f>
        <v>100</v>
      </c>
      <c r="AH269" s="363">
        <f>IF(AH$2&gt;=$B268,$B269,0)*Параметры!AH$41</f>
        <v>100</v>
      </c>
      <c r="AI269" s="363">
        <f>IF(AI$2&gt;=$B268,$B269,0)*Параметры!AI$41</f>
        <v>100</v>
      </c>
      <c r="AJ269" s="363">
        <f>IF(AJ$2&gt;=$B268,$B269,0)*Параметры!AJ$41</f>
        <v>100</v>
      </c>
      <c r="AK269" s="363">
        <f>IF(AK$2&gt;=$B268,$B269,0)*Параметры!AK$41</f>
        <v>100</v>
      </c>
      <c r="AL269" s="363">
        <f>IF(AL$2&gt;=$B268,$B269,0)*Параметры!AL$41</f>
        <v>100</v>
      </c>
      <c r="AM269" s="363">
        <f>IF(AM$2&gt;=$B268,$B269,0)*Параметры!AM$41</f>
        <v>100</v>
      </c>
      <c r="AN269" s="363">
        <f>IF(AN$2&gt;=$B268,$B269,0)*Параметры!AN$41</f>
        <v>100</v>
      </c>
      <c r="AO269" s="363">
        <f>IF(AO$2&gt;=$B268,$B269,0)*Параметры!AO$41</f>
        <v>100</v>
      </c>
      <c r="AP269" s="363">
        <f>IF(AP$2&gt;=$B268,$B269,0)*Параметры!AP$41</f>
        <v>100</v>
      </c>
      <c r="AQ269" s="363">
        <f>IF(AQ$2&gt;=$B268,$B269,0)*Параметры!AQ$41</f>
        <v>100</v>
      </c>
      <c r="AR269" s="363">
        <f>IF(AR$2&gt;=$B268,$B269,0)*Параметры!AR$41</f>
        <v>100</v>
      </c>
      <c r="AS269" s="90"/>
      <c r="AT269" s="30">
        <f>SUM(E269:AS269)</f>
        <v>4000</v>
      </c>
    </row>
    <row r="270" spans="1:46" outlineLevel="1" x14ac:dyDescent="0.2">
      <c r="A270" s="101" t="s">
        <v>52</v>
      </c>
      <c r="B270" s="25"/>
      <c r="C270" s="21" t="s">
        <v>1</v>
      </c>
      <c r="E270" s="361">
        <f>Параметры!E$136</f>
        <v>0.2</v>
      </c>
      <c r="F270" s="361">
        <f>Параметры!F$136</f>
        <v>0.2</v>
      </c>
      <c r="G270" s="361">
        <f>Параметры!G$136</f>
        <v>0.2</v>
      </c>
      <c r="H270" s="361">
        <f>Параметры!H$136</f>
        <v>0.2</v>
      </c>
      <c r="I270" s="361">
        <f>Параметры!I$136</f>
        <v>0.2</v>
      </c>
      <c r="J270" s="361">
        <f>Параметры!J$136</f>
        <v>0.2</v>
      </c>
      <c r="K270" s="361">
        <f>Параметры!K$136</f>
        <v>0.2</v>
      </c>
      <c r="L270" s="361">
        <f>Параметры!L$136</f>
        <v>0.2</v>
      </c>
      <c r="M270" s="361">
        <f>Параметры!M$136</f>
        <v>0.2</v>
      </c>
      <c r="N270" s="361">
        <f>Параметры!N$136</f>
        <v>0.2</v>
      </c>
      <c r="O270" s="361">
        <f>Параметры!O$136</f>
        <v>0.2</v>
      </c>
      <c r="P270" s="361">
        <f>Параметры!P$136</f>
        <v>0.2</v>
      </c>
      <c r="Q270" s="361">
        <f>Параметры!Q$136</f>
        <v>0.2</v>
      </c>
      <c r="R270" s="361">
        <f>Параметры!R$136</f>
        <v>0.2</v>
      </c>
      <c r="S270" s="361">
        <f>Параметры!S$136</f>
        <v>0.2</v>
      </c>
      <c r="T270" s="361">
        <f>Параметры!T$136</f>
        <v>0.2</v>
      </c>
      <c r="U270" s="361">
        <f>Параметры!U$136</f>
        <v>0.2</v>
      </c>
      <c r="V270" s="361">
        <f>Параметры!V$136</f>
        <v>0.2</v>
      </c>
      <c r="W270" s="361">
        <f>Параметры!W$136</f>
        <v>0.2</v>
      </c>
      <c r="X270" s="361">
        <f>Параметры!X$136</f>
        <v>0.2</v>
      </c>
      <c r="Y270" s="361">
        <f>Параметры!Y$136</f>
        <v>0.2</v>
      </c>
      <c r="Z270" s="361">
        <f>Параметры!Z$136</f>
        <v>0.2</v>
      </c>
      <c r="AA270" s="361">
        <f>Параметры!AA$136</f>
        <v>0.2</v>
      </c>
      <c r="AB270" s="361">
        <f>Параметры!AB$136</f>
        <v>0.2</v>
      </c>
      <c r="AC270" s="361">
        <f>Параметры!AC$136</f>
        <v>0.2</v>
      </c>
      <c r="AD270" s="361">
        <f>Параметры!AD$136</f>
        <v>0.2</v>
      </c>
      <c r="AE270" s="361">
        <f>Параметры!AE$136</f>
        <v>0.2</v>
      </c>
      <c r="AF270" s="361">
        <f>Параметры!AF$136</f>
        <v>0.2</v>
      </c>
      <c r="AG270" s="361">
        <f>Параметры!AG$136</f>
        <v>0.2</v>
      </c>
      <c r="AH270" s="361">
        <f>Параметры!AH$136</f>
        <v>0.2</v>
      </c>
      <c r="AI270" s="361">
        <f>Параметры!AI$136</f>
        <v>0.2</v>
      </c>
      <c r="AJ270" s="361">
        <f>Параметры!AJ$136</f>
        <v>0.2</v>
      </c>
      <c r="AK270" s="361">
        <f>Параметры!AK$136</f>
        <v>0.2</v>
      </c>
      <c r="AL270" s="361">
        <f>Параметры!AL$136</f>
        <v>0.2</v>
      </c>
      <c r="AM270" s="361">
        <f>Параметры!AM$136</f>
        <v>0.2</v>
      </c>
      <c r="AN270" s="361">
        <f>Параметры!AN$136</f>
        <v>0.2</v>
      </c>
      <c r="AO270" s="361">
        <f>Параметры!AO$136</f>
        <v>0.2</v>
      </c>
      <c r="AP270" s="361">
        <f>Параметры!AP$136</f>
        <v>0.2</v>
      </c>
      <c r="AQ270" s="361">
        <f>Параметры!AQ$136</f>
        <v>0.2</v>
      </c>
      <c r="AR270" s="361">
        <f>Параметры!AR$136</f>
        <v>0.2</v>
      </c>
      <c r="AS270" s="127"/>
      <c r="AT270" s="117"/>
    </row>
    <row r="271" spans="1:46" outlineLevel="1" x14ac:dyDescent="0.2">
      <c r="A271" s="101" t="s">
        <v>64</v>
      </c>
      <c r="B271" s="8"/>
      <c r="C271" s="21" t="str">
        <f>CHOOSE(C267,Параметры!$B$64,Параметры!$B$108,Параметры!$B$117)</f>
        <v>тыс. руб.</v>
      </c>
      <c r="E271" s="129">
        <f t="shared" ref="E271:AR271" si="98">E272*E270</f>
        <v>20</v>
      </c>
      <c r="F271" s="129">
        <f t="shared" ca="1" si="98"/>
        <v>20</v>
      </c>
      <c r="G271" s="129">
        <f t="shared" ca="1" si="98"/>
        <v>20</v>
      </c>
      <c r="H271" s="129">
        <f t="shared" ca="1" si="98"/>
        <v>20</v>
      </c>
      <c r="I271" s="129">
        <f t="shared" ca="1" si="98"/>
        <v>20</v>
      </c>
      <c r="J271" s="129">
        <f t="shared" ca="1" si="98"/>
        <v>20.198703397757182</v>
      </c>
      <c r="K271" s="129">
        <f t="shared" ca="1" si="98"/>
        <v>20.399380947528371</v>
      </c>
      <c r="L271" s="129">
        <f t="shared" ca="1" si="98"/>
        <v>20.60205226284922</v>
      </c>
      <c r="M271" s="129">
        <f t="shared" ca="1" si="98"/>
        <v>20.806737152119172</v>
      </c>
      <c r="N271" s="129">
        <f t="shared" ca="1" si="98"/>
        <v>21.013432169359657</v>
      </c>
      <c r="O271" s="129">
        <f t="shared" ca="1" si="98"/>
        <v>21.222180503746394</v>
      </c>
      <c r="P271" s="129">
        <f t="shared" ca="1" si="98"/>
        <v>21.433002553019783</v>
      </c>
      <c r="Q271" s="129">
        <f t="shared" ca="1" si="98"/>
        <v>21.645918917552248</v>
      </c>
      <c r="R271" s="129">
        <f t="shared" ca="1" si="98"/>
        <v>21.855601082122568</v>
      </c>
      <c r="S271" s="129">
        <f t="shared" ca="1" si="98"/>
        <v>22.067314419881072</v>
      </c>
      <c r="T271" s="129">
        <f t="shared" ca="1" si="98"/>
        <v>22.281078606628647</v>
      </c>
      <c r="U271" s="129">
        <f t="shared" ca="1" si="98"/>
        <v>22.496913508763985</v>
      </c>
      <c r="V271" s="129">
        <f t="shared" ca="1" si="98"/>
        <v>22.715635057485002</v>
      </c>
      <c r="W271" s="129">
        <f t="shared" ca="1" si="98"/>
        <v>22.936483080838027</v>
      </c>
      <c r="X271" s="129">
        <f t="shared" ca="1" si="98"/>
        <v>23.159478253029089</v>
      </c>
      <c r="Y271" s="129">
        <f t="shared" ca="1" si="98"/>
        <v>23.384641449264866</v>
      </c>
      <c r="Z271" s="129">
        <f t="shared" ca="1" si="98"/>
        <v>23.612221826701823</v>
      </c>
      <c r="AA271" s="129">
        <f t="shared" ca="1" si="98"/>
        <v>23.842017026560015</v>
      </c>
      <c r="AB271" s="129">
        <f t="shared" ca="1" si="98"/>
        <v>24.074048603590398</v>
      </c>
      <c r="AC271" s="129">
        <f t="shared" ca="1" si="98"/>
        <v>24.30833832231572</v>
      </c>
      <c r="AD271" s="129">
        <f t="shared" ca="1" si="98"/>
        <v>24.54504135714491</v>
      </c>
      <c r="AE271" s="129">
        <f t="shared" ca="1" si="98"/>
        <v>24.784049293524937</v>
      </c>
      <c r="AF271" s="129">
        <f t="shared" ca="1" si="98"/>
        <v>25.025384575490634</v>
      </c>
      <c r="AG271" s="129">
        <f t="shared" ca="1" si="98"/>
        <v>25.269069865626165</v>
      </c>
      <c r="AH271" s="129">
        <f t="shared" ca="1" si="98"/>
        <v>25.514917085345637</v>
      </c>
      <c r="AI271" s="129">
        <f t="shared" ca="1" si="98"/>
        <v>25.763156195853533</v>
      </c>
      <c r="AJ271" s="129">
        <f t="shared" ca="1" si="98"/>
        <v>26.013810468275523</v>
      </c>
      <c r="AK271" s="129">
        <f t="shared" ca="1" si="98"/>
        <v>26.266903400146141</v>
      </c>
      <c r="AL271" s="129">
        <f t="shared" ca="1" si="98"/>
        <v>26.521954655638638</v>
      </c>
      <c r="AM271" s="129">
        <f t="shared" ca="1" si="98"/>
        <v>26.779482455165933</v>
      </c>
      <c r="AN271" s="129">
        <f t="shared" ca="1" si="98"/>
        <v>27.039510845935105</v>
      </c>
      <c r="AO271" s="129">
        <f t="shared" ca="1" si="98"/>
        <v>27.302064108651269</v>
      </c>
      <c r="AP271" s="129">
        <f t="shared" ca="1" si="98"/>
        <v>27.566642389248869</v>
      </c>
      <c r="AQ271" s="129">
        <f t="shared" ca="1" si="98"/>
        <v>27.833784639599294</v>
      </c>
      <c r="AR271" s="129">
        <f t="shared" ca="1" si="98"/>
        <v>28.103515706567805</v>
      </c>
      <c r="AS271" s="129"/>
      <c r="AT271" s="125">
        <f ca="1">SUM(E271:AS271)</f>
        <v>938.38446618332773</v>
      </c>
    </row>
    <row r="272" spans="1:46" outlineLevel="1" x14ac:dyDescent="0.2">
      <c r="A272" s="114" t="s">
        <v>477</v>
      </c>
      <c r="B272" s="16"/>
      <c r="C272" s="2" t="str">
        <f>CHOOSE(C267,Параметры!$B$64,Параметры!$B$108,Параметры!$B$117)</f>
        <v>тыс. руб.</v>
      </c>
      <c r="E272" s="129">
        <f t="shared" ref="E272:AR272" si="99">E269*E275</f>
        <v>100</v>
      </c>
      <c r="F272" s="129">
        <f t="shared" ca="1" si="99"/>
        <v>100</v>
      </c>
      <c r="G272" s="129">
        <f t="shared" ca="1" si="99"/>
        <v>100</v>
      </c>
      <c r="H272" s="129">
        <f t="shared" ca="1" si="99"/>
        <v>100</v>
      </c>
      <c r="I272" s="129">
        <f t="shared" ca="1" si="99"/>
        <v>100</v>
      </c>
      <c r="J272" s="129">
        <f t="shared" ca="1" si="99"/>
        <v>100.9935169887859</v>
      </c>
      <c r="K272" s="129">
        <f t="shared" ca="1" si="99"/>
        <v>101.99690473764184</v>
      </c>
      <c r="L272" s="129">
        <f t="shared" ca="1" si="99"/>
        <v>103.01026131424609</v>
      </c>
      <c r="M272" s="129">
        <f t="shared" ca="1" si="99"/>
        <v>104.03368576059586</v>
      </c>
      <c r="N272" s="129">
        <f t="shared" ca="1" si="99"/>
        <v>105.06716084679827</v>
      </c>
      <c r="O272" s="129">
        <f t="shared" ca="1" si="99"/>
        <v>106.11090251873196</v>
      </c>
      <c r="P272" s="129">
        <f t="shared" ca="1" si="99"/>
        <v>107.16501276509891</v>
      </c>
      <c r="Q272" s="129">
        <f t="shared" ca="1" si="99"/>
        <v>108.22959458776123</v>
      </c>
      <c r="R272" s="129">
        <f t="shared" ca="1" si="99"/>
        <v>109.27800541061283</v>
      </c>
      <c r="S272" s="129">
        <f t="shared" ca="1" si="99"/>
        <v>110.33657209940534</v>
      </c>
      <c r="T272" s="129">
        <f t="shared" ca="1" si="99"/>
        <v>111.40539303314323</v>
      </c>
      <c r="U272" s="129">
        <f t="shared" ca="1" si="99"/>
        <v>112.48456754381992</v>
      </c>
      <c r="V272" s="129">
        <f t="shared" ca="1" si="99"/>
        <v>113.578175287425</v>
      </c>
      <c r="W272" s="129">
        <f t="shared" ca="1" si="99"/>
        <v>114.68241540419012</v>
      </c>
      <c r="X272" s="129">
        <f t="shared" ca="1" si="99"/>
        <v>115.79739126514544</v>
      </c>
      <c r="Y272" s="129">
        <f t="shared" ca="1" si="99"/>
        <v>116.92320724632432</v>
      </c>
      <c r="Z272" s="129">
        <f t="shared" ca="1" si="99"/>
        <v>118.06110913350911</v>
      </c>
      <c r="AA272" s="129">
        <f t="shared" ca="1" si="99"/>
        <v>119.21008513280007</v>
      </c>
      <c r="AB272" s="129">
        <f t="shared" ca="1" si="99"/>
        <v>120.37024301795198</v>
      </c>
      <c r="AC272" s="129">
        <f t="shared" ca="1" si="99"/>
        <v>121.5416916115786</v>
      </c>
      <c r="AD272" s="129">
        <f t="shared" ca="1" si="99"/>
        <v>122.72520678572454</v>
      </c>
      <c r="AE272" s="129">
        <f t="shared" ca="1" si="99"/>
        <v>123.92024646762468</v>
      </c>
      <c r="AF272" s="129">
        <f t="shared" ca="1" si="99"/>
        <v>125.12692287745315</v>
      </c>
      <c r="AG272" s="129">
        <f t="shared" ca="1" si="99"/>
        <v>126.34534932813082</v>
      </c>
      <c r="AH272" s="129">
        <f t="shared" ca="1" si="99"/>
        <v>127.57458542672818</v>
      </c>
      <c r="AI272" s="129">
        <f t="shared" ca="1" si="99"/>
        <v>128.81578097926766</v>
      </c>
      <c r="AJ272" s="129">
        <f t="shared" ca="1" si="99"/>
        <v>130.06905234137761</v>
      </c>
      <c r="AK272" s="129">
        <f t="shared" ca="1" si="99"/>
        <v>131.3345170007307</v>
      </c>
      <c r="AL272" s="129">
        <f t="shared" ca="1" si="99"/>
        <v>132.60977327819319</v>
      </c>
      <c r="AM272" s="129">
        <f t="shared" ca="1" si="99"/>
        <v>133.89741227582965</v>
      </c>
      <c r="AN272" s="129">
        <f t="shared" ca="1" si="99"/>
        <v>135.19755422967552</v>
      </c>
      <c r="AO272" s="129">
        <f t="shared" ca="1" si="99"/>
        <v>136.51032054325634</v>
      </c>
      <c r="AP272" s="129">
        <f t="shared" ca="1" si="99"/>
        <v>137.83321194624435</v>
      </c>
      <c r="AQ272" s="129">
        <f t="shared" ca="1" si="99"/>
        <v>139.16892319799646</v>
      </c>
      <c r="AR272" s="129">
        <f t="shared" ca="1" si="99"/>
        <v>140.51757853283902</v>
      </c>
      <c r="AS272" s="115"/>
      <c r="AT272" s="125">
        <f ca="1">SUM(E272:AS272)</f>
        <v>4691.9223309166382</v>
      </c>
    </row>
    <row r="273" spans="1:46" outlineLevel="1" x14ac:dyDescent="0.2">
      <c r="A273" s="544" t="str">
        <f>Параметры!$A$81</f>
        <v>Изменение тарифов на электроэнергию, газ</v>
      </c>
      <c r="B273" s="263" t="s">
        <v>391</v>
      </c>
      <c r="C273" s="21" t="s">
        <v>14</v>
      </c>
      <c r="E273" s="362">
        <f>CHOOSE($C$267,Параметры!E$81,Параметры!E$113,Параметры!E$122)</f>
        <v>0</v>
      </c>
      <c r="F273" s="362">
        <f>CHOOSE($C$267,Параметры!F$81,Параметры!F$113,Параметры!F$122)</f>
        <v>0</v>
      </c>
      <c r="G273" s="362">
        <f>CHOOSE($C$267,Параметры!G$81,Параметры!G$113,Параметры!G$122)</f>
        <v>0</v>
      </c>
      <c r="H273" s="362">
        <f>CHOOSE($C$267,Параметры!H$81,Параметры!H$113,Параметры!H$122)</f>
        <v>0</v>
      </c>
      <c r="I273" s="362">
        <f>CHOOSE($C$267,Параметры!I$81,Параметры!I$113,Параметры!I$122)</f>
        <v>4.0336857605958398E-2</v>
      </c>
      <c r="J273" s="362">
        <f>CHOOSE($C$267,Параметры!J$81,Параметры!J$113,Параметры!J$122)</f>
        <v>4.0336857605958398E-2</v>
      </c>
      <c r="K273" s="362">
        <f>CHOOSE($C$267,Параметры!K$81,Параметры!K$113,Параметры!K$122)</f>
        <v>4.0336857605958398E-2</v>
      </c>
      <c r="L273" s="362">
        <f>CHOOSE($C$267,Параметры!L$81,Параметры!L$113,Параметры!L$122)</f>
        <v>4.0336857605958398E-2</v>
      </c>
      <c r="M273" s="362">
        <f>CHOOSE($C$267,Параметры!M$81,Параметры!M$113,Параметры!M$122)</f>
        <v>4.0332213518043059E-2</v>
      </c>
      <c r="N273" s="362">
        <f>CHOOSE($C$267,Параметры!N$81,Параметры!N$113,Параметры!N$122)</f>
        <v>4.0332213518043059E-2</v>
      </c>
      <c r="O273" s="362">
        <f>CHOOSE($C$267,Параметры!O$81,Параметры!O$113,Параметры!O$122)</f>
        <v>4.0332213518043059E-2</v>
      </c>
      <c r="P273" s="362">
        <f>CHOOSE($C$267,Параметры!P$81,Параметры!P$113,Параметры!P$122)</f>
        <v>4.0332213518043059E-2</v>
      </c>
      <c r="Q273" s="362">
        <f>CHOOSE($C$267,Параметры!Q$81,Параметры!Q$113,Параметры!Q$122)</f>
        <v>3.9314320378502465E-2</v>
      </c>
      <c r="R273" s="362">
        <f>CHOOSE($C$267,Параметры!R$81,Параметры!R$113,Параметры!R$122)</f>
        <v>3.9314320378502465E-2</v>
      </c>
      <c r="S273" s="362">
        <f>CHOOSE($C$267,Параметры!S$81,Параметры!S$113,Параметры!S$122)</f>
        <v>3.9314320378502465E-2</v>
      </c>
      <c r="T273" s="362">
        <f>CHOOSE($C$267,Параметры!T$81,Параметры!T$113,Параметры!T$122)</f>
        <v>3.9314320378502465E-2</v>
      </c>
      <c r="U273" s="362">
        <f>CHOOSE($C$267,Параметры!U$81,Параметры!U$113,Параметры!U$122)</f>
        <v>3.9459988151488323E-2</v>
      </c>
      <c r="V273" s="362">
        <f>CHOOSE($C$267,Параметры!V$81,Параметры!V$113,Параметры!V$122)</f>
        <v>3.9459988151488323E-2</v>
      </c>
      <c r="W273" s="362">
        <f>CHOOSE($C$267,Параметры!W$81,Параметры!W$113,Параметры!W$122)</f>
        <v>3.9459988151488323E-2</v>
      </c>
      <c r="X273" s="362">
        <f>CHOOSE($C$267,Параметры!X$81,Параметры!X$113,Параметры!X$122)</f>
        <v>3.9459988151488323E-2</v>
      </c>
      <c r="Y273" s="362">
        <f>CHOOSE($C$267,Параметры!Y$81,Параметры!Y$113,Параметры!Y$122)</f>
        <v>3.9500151202014777E-2</v>
      </c>
      <c r="Z273" s="362">
        <f>CHOOSE($C$267,Параметры!Z$81,Параметры!Z$113,Параметры!Z$122)</f>
        <v>3.9500151202014777E-2</v>
      </c>
      <c r="AA273" s="362">
        <f>CHOOSE($C$267,Параметры!AA$81,Параметры!AA$113,Параметры!AA$122)</f>
        <v>3.9500151202014777E-2</v>
      </c>
      <c r="AB273" s="362">
        <f>CHOOSE($C$267,Параметры!AB$81,Параметры!AB$113,Параметры!AB$122)</f>
        <v>3.9500151202014777E-2</v>
      </c>
      <c r="AC273" s="362">
        <f>CHOOSE($C$267,Параметры!AC$81,Параметры!AC$113,Параметры!AC$122)</f>
        <v>3.9522715644798811E-2</v>
      </c>
      <c r="AD273" s="362">
        <f>CHOOSE($C$267,Параметры!AD$81,Параметры!AD$113,Параметры!AD$122)</f>
        <v>3.9522715644798811E-2</v>
      </c>
      <c r="AE273" s="362">
        <f>CHOOSE($C$267,Параметры!AE$81,Параметры!AE$113,Параметры!AE$122)</f>
        <v>3.9522715644798811E-2</v>
      </c>
      <c r="AF273" s="362">
        <f>CHOOSE($C$267,Параметры!AF$81,Параметры!AF$113,Параметры!AF$122)</f>
        <v>3.9522715644798811E-2</v>
      </c>
      <c r="AG273" s="362">
        <f>CHOOSE($C$267,Параметры!AG$81,Параметры!AG$113,Параметры!AG$122)</f>
        <v>3.9488336524699408E-2</v>
      </c>
      <c r="AH273" s="362">
        <f>CHOOSE($C$267,Параметры!AH$81,Параметры!AH$113,Параметры!AH$122)</f>
        <v>3.9488336524699408E-2</v>
      </c>
      <c r="AI273" s="362">
        <f>CHOOSE($C$267,Параметры!AI$81,Параметры!AI$113,Параметры!AI$122)</f>
        <v>3.9488336524699408E-2</v>
      </c>
      <c r="AJ273" s="362">
        <f>CHOOSE($C$267,Параметры!AJ$81,Параметры!AJ$113,Параметры!AJ$122)</f>
        <v>3.9488336524699408E-2</v>
      </c>
      <c r="AK273" s="362">
        <f>CHOOSE($C$267,Параметры!AK$81,Параметры!AK$113,Параметры!AK$122)</f>
        <v>3.9409316459410704E-2</v>
      </c>
      <c r="AL273" s="362">
        <f>CHOOSE($C$267,Параметры!AL$81,Параметры!AL$113,Параметры!AL$122)</f>
        <v>3.9409316459410704E-2</v>
      </c>
      <c r="AM273" s="362">
        <f>CHOOSE($C$267,Параметры!AM$81,Параметры!AM$113,Параметры!AM$122)</f>
        <v>3.9409316459410704E-2</v>
      </c>
      <c r="AN273" s="362">
        <f>CHOOSE($C$267,Параметры!AN$81,Параметры!AN$113,Параметры!AN$122)</f>
        <v>3.9409316459410704E-2</v>
      </c>
      <c r="AO273" s="362">
        <f>CHOOSE($C$267,Параметры!AO$81,Параметры!AO$113,Параметры!AO$122)</f>
        <v>3.9330233966217154E-2</v>
      </c>
      <c r="AP273" s="362">
        <f>CHOOSE($C$267,Параметры!AP$81,Параметры!AP$113,Параметры!AP$122)</f>
        <v>3.9330233966217154E-2</v>
      </c>
      <c r="AQ273" s="362">
        <f>CHOOSE($C$267,Параметры!AQ$81,Параметры!AQ$113,Параметры!AQ$122)</f>
        <v>3.9330233966217154E-2</v>
      </c>
      <c r="AR273" s="362">
        <f>CHOOSE($C$267,Параметры!AR$81,Параметры!AR$113,Параметры!AR$122)</f>
        <v>3.9330233966217154E-2</v>
      </c>
      <c r="AS273" s="127"/>
      <c r="AT273" s="119"/>
    </row>
    <row r="274" spans="1:46" outlineLevel="1" x14ac:dyDescent="0.2">
      <c r="A274" s="302" t="s">
        <v>392</v>
      </c>
      <c r="B274" s="25"/>
      <c r="C274" s="21" t="s">
        <v>133</v>
      </c>
      <c r="E274" s="416">
        <f ca="1">IF(E$2=1,1,IF(Параметры!$B$62=1,POWER(1+OFFSET(E273,0,-1),Параметры!E$39/360),1) * IF(E$2&gt;1,D274, 1))</f>
        <v>1</v>
      </c>
      <c r="F274" s="416">
        <f ca="1">IF(F$2=1,1,IF(Параметры!$B$62=1,POWER(1+OFFSET(F273,0,-1),Параметры!F$39/360),1) * IF(F$2&gt;1,E274, 1))</f>
        <v>1</v>
      </c>
      <c r="G274" s="416">
        <f ca="1">IF(G$2=1,1,IF(Параметры!$B$62=1,POWER(1+OFFSET(G273,0,-1),Параметры!G$39/360),1) * IF(G$2&gt;1,F274, 1))</f>
        <v>1</v>
      </c>
      <c r="H274" s="416">
        <f ca="1">IF(H$2=1,1,IF(Параметры!$B$62=1,POWER(1+OFFSET(H273,0,-1),Параметры!H$39/360),1) * IF(H$2&gt;1,G274, 1))</f>
        <v>1</v>
      </c>
      <c r="I274" s="416">
        <f ca="1">IF(I$2=1,1,IF(Параметры!$B$62=1,POWER(1+OFFSET(I273,0,-1),Параметры!I$39/360),1) * IF(I$2&gt;1,H274, 1))</f>
        <v>1</v>
      </c>
      <c r="J274" s="416">
        <f ca="1">IF(J$2=1,1,IF(Параметры!$B$62=1,POWER(1+OFFSET(J273,0,-1),Параметры!J$39/360),1) * IF(J$2&gt;1,I274, 1))</f>
        <v>1.0099351698878589</v>
      </c>
      <c r="K274" s="416">
        <f ca="1">IF(K$2=1,1,IF(Параметры!$B$62=1,POWER(1+OFFSET(K273,0,-1),Параметры!K$39/360),1) * IF(K$2&gt;1,J274, 1))</f>
        <v>1.0199690473764185</v>
      </c>
      <c r="L274" s="416">
        <f ca="1">IF(L$2=1,1,IF(Параметры!$B$62=1,POWER(1+OFFSET(L273,0,-1),Параметры!L$39/360),1) * IF(L$2&gt;1,K274, 1))</f>
        <v>1.0301026131424609</v>
      </c>
      <c r="M274" s="416">
        <f ca="1">IF(M$2=1,1,IF(Параметры!$B$62=1,POWER(1+OFFSET(M273,0,-1),Параметры!M$39/360),1) * IF(M$2&gt;1,L274, 1))</f>
        <v>1.0403368576059586</v>
      </c>
      <c r="N274" s="416">
        <f ca="1">IF(N$2=1,1,IF(Параметры!$B$62=1,POWER(1+OFFSET(N273,0,-1),Параметры!N$39/360),1) * IF(N$2&gt;1,M274, 1))</f>
        <v>1.0506716084679828</v>
      </c>
      <c r="O274" s="416">
        <f ca="1">IF(O$2=1,1,IF(Параметры!$B$62=1,POWER(1+OFFSET(O273,0,-1),Параметры!O$39/360),1) * IF(O$2&gt;1,N274, 1))</f>
        <v>1.0611090251873196</v>
      </c>
      <c r="P274" s="416">
        <f ca="1">IF(P$2=1,1,IF(Параметры!$B$62=1,POWER(1+OFFSET(P273,0,-1),Параметры!P$39/360),1) * IF(P$2&gt;1,O274, 1))</f>
        <v>1.0716501276509891</v>
      </c>
      <c r="Q274" s="416">
        <f ca="1">IF(Q$2=1,1,IF(Параметры!$B$62=1,POWER(1+OFFSET(Q273,0,-1),Параметры!Q$39/360),1) * IF(Q$2&gt;1,P274, 1))</f>
        <v>1.0822959458776122</v>
      </c>
      <c r="R274" s="416">
        <f ca="1">IF(R$2=1,1,IF(Параметры!$B$62=1,POWER(1+OFFSET(R273,0,-1),Параметры!R$39/360),1) * IF(R$2&gt;1,Q274, 1))</f>
        <v>1.0927800541061283</v>
      </c>
      <c r="S274" s="416">
        <f ca="1">IF(S$2=1,1,IF(Параметры!$B$62=1,POWER(1+OFFSET(S273,0,-1),Параметры!S$39/360),1) * IF(S$2&gt;1,R274, 1))</f>
        <v>1.1033657209940535</v>
      </c>
      <c r="T274" s="416">
        <f ca="1">IF(T$2=1,1,IF(Параметры!$B$62=1,POWER(1+OFFSET(T273,0,-1),Параметры!T$39/360),1) * IF(T$2&gt;1,S274, 1))</f>
        <v>1.1140539303314323</v>
      </c>
      <c r="U274" s="416">
        <f ca="1">IF(U$2=1,1,IF(Параметры!$B$62=1,POWER(1+OFFSET(U273,0,-1),Параметры!U$39/360),1) * IF(U$2&gt;1,T274, 1))</f>
        <v>1.1248456754381992</v>
      </c>
      <c r="V274" s="416">
        <f ca="1">IF(V$2=1,1,IF(Параметры!$B$62=1,POWER(1+OFFSET(V273,0,-1),Параметры!V$39/360),1) * IF(V$2&gt;1,U274, 1))</f>
        <v>1.13578175287425</v>
      </c>
      <c r="W274" s="416">
        <f ca="1">IF(W$2=1,1,IF(Параметры!$B$62=1,POWER(1+OFFSET(W273,0,-1),Параметры!W$39/360),1) * IF(W$2&gt;1,V274, 1))</f>
        <v>1.1468241540419013</v>
      </c>
      <c r="X274" s="416">
        <f ca="1">IF(X$2=1,1,IF(Параметры!$B$62=1,POWER(1+OFFSET(X273,0,-1),Параметры!X$39/360),1) * IF(X$2&gt;1,W274, 1))</f>
        <v>1.1579739126514543</v>
      </c>
      <c r="Y274" s="416">
        <f ca="1">IF(Y$2=1,1,IF(Параметры!$B$62=1,POWER(1+OFFSET(Y273,0,-1),Параметры!Y$39/360),1) * IF(Y$2&gt;1,X274, 1))</f>
        <v>1.1692320724632432</v>
      </c>
      <c r="Z274" s="416">
        <f ca="1">IF(Z$2=1,1,IF(Параметры!$B$62=1,POWER(1+OFFSET(Z273,0,-1),Параметры!Z$39/360),1) * IF(Z$2&gt;1,Y274, 1))</f>
        <v>1.1806110913350911</v>
      </c>
      <c r="AA274" s="416">
        <f ca="1">IF(AA$2=1,1,IF(Параметры!$B$62=1,POWER(1+OFFSET(AA273,0,-1),Параметры!AA$39/360),1) * IF(AA$2&gt;1,Z274, 1))</f>
        <v>1.1921008513280007</v>
      </c>
      <c r="AB274" s="416">
        <f ca="1">IF(AB$2=1,1,IF(Параметры!$B$62=1,POWER(1+OFFSET(AB273,0,-1),Параметры!AB$39/360),1) * IF(AB$2&gt;1,AA274, 1))</f>
        <v>1.2037024301795198</v>
      </c>
      <c r="AC274" s="416">
        <f ca="1">IF(AC$2=1,1,IF(Параметры!$B$62=1,POWER(1+OFFSET(AC273,0,-1),Параметры!AC$39/360),1) * IF(AC$2&gt;1,AB274, 1))</f>
        <v>1.215416916115786</v>
      </c>
      <c r="AD274" s="416">
        <f ca="1">IF(AD$2=1,1,IF(Параметры!$B$62=1,POWER(1+OFFSET(AD273,0,-1),Параметры!AD$39/360),1) * IF(AD$2&gt;1,AC274, 1))</f>
        <v>1.2272520678572454</v>
      </c>
      <c r="AE274" s="416">
        <f ca="1">IF(AE$2=1,1,IF(Параметры!$B$62=1,POWER(1+OFFSET(AE273,0,-1),Параметры!AE$39/360),1) * IF(AE$2&gt;1,AD274, 1))</f>
        <v>1.2392024646762467</v>
      </c>
      <c r="AF274" s="416">
        <f ca="1">IF(AF$2=1,1,IF(Параметры!$B$62=1,POWER(1+OFFSET(AF273,0,-1),Параметры!AF$39/360),1) * IF(AF$2&gt;1,AE274, 1))</f>
        <v>1.2512692287745315</v>
      </c>
      <c r="AG274" s="416">
        <f ca="1">IF(AG$2=1,1,IF(Параметры!$B$62=1,POWER(1+OFFSET(AG273,0,-1),Параметры!AG$39/360),1) * IF(AG$2&gt;1,AF274, 1))</f>
        <v>1.2634534932813082</v>
      </c>
      <c r="AH274" s="416">
        <f ca="1">IF(AH$2=1,1,IF(Параметры!$B$62=1,POWER(1+OFFSET(AH273,0,-1),Параметры!AH$39/360),1) * IF(AH$2&gt;1,AG274, 1))</f>
        <v>1.2757458542672817</v>
      </c>
      <c r="AI274" s="416">
        <f ca="1">IF(AI$2=1,1,IF(Параметры!$B$62=1,POWER(1+OFFSET(AI273,0,-1),Параметры!AI$39/360),1) * IF(AI$2&gt;1,AH274, 1))</f>
        <v>1.2881578097926767</v>
      </c>
      <c r="AJ274" s="416">
        <f ca="1">IF(AJ$2=1,1,IF(Параметры!$B$62=1,POWER(1+OFFSET(AJ273,0,-1),Параметры!AJ$39/360),1) * IF(AJ$2&gt;1,AI274, 1))</f>
        <v>1.3006905234137762</v>
      </c>
      <c r="AK274" s="416">
        <f ca="1">IF(AK$2=1,1,IF(Параметры!$B$62=1,POWER(1+OFFSET(AK273,0,-1),Параметры!AK$39/360),1) * IF(AK$2&gt;1,AJ274, 1))</f>
        <v>1.3133451700073071</v>
      </c>
      <c r="AL274" s="416">
        <f ca="1">IF(AL$2=1,1,IF(Параметры!$B$62=1,POWER(1+OFFSET(AL273,0,-1),Параметры!AL$39/360),1) * IF(AL$2&gt;1,AK274, 1))</f>
        <v>1.3260977327819319</v>
      </c>
      <c r="AM274" s="416">
        <f ca="1">IF(AM$2=1,1,IF(Параметры!$B$62=1,POWER(1+OFFSET(AM273,0,-1),Параметры!AM$39/360),1) * IF(AM$2&gt;1,AL274, 1))</f>
        <v>1.3389741227582965</v>
      </c>
      <c r="AN274" s="416">
        <f ca="1">IF(AN$2=1,1,IF(Параметры!$B$62=1,POWER(1+OFFSET(AN273,0,-1),Параметры!AN$39/360),1) * IF(AN$2&gt;1,AM274, 1))</f>
        <v>1.3519755422967552</v>
      </c>
      <c r="AO274" s="416">
        <f ca="1">IF(AO$2=1,1,IF(Параметры!$B$62=1,POWER(1+OFFSET(AO273,0,-1),Параметры!AO$39/360),1) * IF(AO$2&gt;1,AN274, 1))</f>
        <v>1.3651032054325634</v>
      </c>
      <c r="AP274" s="416">
        <f ca="1">IF(AP$2=1,1,IF(Параметры!$B$62=1,POWER(1+OFFSET(AP273,0,-1),Параметры!AP$39/360),1) * IF(AP$2&gt;1,AO274, 1))</f>
        <v>1.3783321194624436</v>
      </c>
      <c r="AQ274" s="416">
        <f ca="1">IF(AQ$2=1,1,IF(Параметры!$B$62=1,POWER(1+OFFSET(AQ273,0,-1),Параметры!AQ$39/360),1) * IF(AQ$2&gt;1,AP274, 1))</f>
        <v>1.3916892319799645</v>
      </c>
      <c r="AR274" s="416">
        <f ca="1">IF(AR$2=1,1,IF(Параметры!$B$62=1,POWER(1+OFFSET(AR273,0,-1),Параметры!AR$39/360),1) * IF(AR$2&gt;1,AQ274, 1))</f>
        <v>1.4051757853283902</v>
      </c>
      <c r="AS274" s="128"/>
      <c r="AT274" s="117"/>
    </row>
    <row r="275" spans="1:46" outlineLevel="1" x14ac:dyDescent="0.2">
      <c r="A275" s="319" t="s">
        <v>491</v>
      </c>
      <c r="B275" s="24"/>
      <c r="C275" s="2" t="s">
        <v>133</v>
      </c>
      <c r="D275" s="310"/>
      <c r="E275" s="417">
        <f>IF(E$2=1,1,CHOOSE($B$8,E274,IF(Параметры!E$43=1,E274,D275),IF(Параметры!E$48=1,E274,D275),IF(Параметры!E$45&lt;&gt;Параметры!D$45,E274,D275),IF(Параметры!E$50&lt;&gt;Параметры!D$50,E274,D275)))</f>
        <v>1</v>
      </c>
      <c r="F275" s="417">
        <f ca="1">IF(F$2=1,1,CHOOSE($B$8,F274,IF(Параметры!F$43=1,F274,E275),IF(Параметры!F$48=1,F274,E275),IF(Параметры!F$45&lt;&gt;Параметры!E$45,F274,E275),IF(Параметры!F$50&lt;&gt;Параметры!E$50,F274,E275)))</f>
        <v>1</v>
      </c>
      <c r="G275" s="417">
        <f ca="1">IF(G$2=1,1,CHOOSE($B$8,G274,IF(Параметры!G$43=1,G274,F275),IF(Параметры!G$48=1,G274,F275),IF(Параметры!G$45&lt;&gt;Параметры!F$45,G274,F275),IF(Параметры!G$50&lt;&gt;Параметры!F$50,G274,F275)))</f>
        <v>1</v>
      </c>
      <c r="H275" s="417">
        <f ca="1">IF(H$2=1,1,CHOOSE($B$8,H274,IF(Параметры!H$43=1,H274,G275),IF(Параметры!H$48=1,H274,G275),IF(Параметры!H$45&lt;&gt;Параметры!G$45,H274,G275),IF(Параметры!H$50&lt;&gt;Параметры!G$50,H274,G275)))</f>
        <v>1</v>
      </c>
      <c r="I275" s="417">
        <f ca="1">IF(I$2=1,1,CHOOSE($B$8,I274,IF(Параметры!I$43=1,I274,H275),IF(Параметры!I$48=1,I274,H275),IF(Параметры!I$45&lt;&gt;Параметры!H$45,I274,H275),IF(Параметры!I$50&lt;&gt;Параметры!H$50,I274,H275)))</f>
        <v>1</v>
      </c>
      <c r="J275" s="417">
        <f ca="1">IF(J$2=1,1,CHOOSE($B$8,J274,IF(Параметры!J$43=1,J274,I275),IF(Параметры!J$48=1,J274,I275),IF(Параметры!J$45&lt;&gt;Параметры!I$45,J274,I275),IF(Параметры!J$50&lt;&gt;Параметры!I$50,J274,I275)))</f>
        <v>1.0099351698878589</v>
      </c>
      <c r="K275" s="417">
        <f ca="1">IF(K$2=1,1,CHOOSE($B$8,K274,IF(Параметры!K$43=1,K274,J275),IF(Параметры!K$48=1,K274,J275),IF(Параметры!K$45&lt;&gt;Параметры!J$45,K274,J275),IF(Параметры!K$50&lt;&gt;Параметры!J$50,K274,J275)))</f>
        <v>1.0199690473764185</v>
      </c>
      <c r="L275" s="417">
        <f ca="1">IF(L$2=1,1,CHOOSE($B$8,L274,IF(Параметры!L$43=1,L274,K275),IF(Параметры!L$48=1,L274,K275),IF(Параметры!L$45&lt;&gt;Параметры!K$45,L274,K275),IF(Параметры!L$50&lt;&gt;Параметры!K$50,L274,K275)))</f>
        <v>1.0301026131424609</v>
      </c>
      <c r="M275" s="417">
        <f ca="1">IF(M$2=1,1,CHOOSE($B$8,M274,IF(Параметры!M$43=1,M274,L275),IF(Параметры!M$48=1,M274,L275),IF(Параметры!M$45&lt;&gt;Параметры!L$45,M274,L275),IF(Параметры!M$50&lt;&gt;Параметры!L$50,M274,L275)))</f>
        <v>1.0403368576059586</v>
      </c>
      <c r="N275" s="417">
        <f ca="1">IF(N$2=1,1,CHOOSE($B$8,N274,IF(Параметры!N$43=1,N274,M275),IF(Параметры!N$48=1,N274,M275),IF(Параметры!N$45&lt;&gt;Параметры!M$45,N274,M275),IF(Параметры!N$50&lt;&gt;Параметры!M$50,N274,M275)))</f>
        <v>1.0506716084679828</v>
      </c>
      <c r="O275" s="417">
        <f ca="1">IF(O$2=1,1,CHOOSE($B$8,O274,IF(Параметры!O$43=1,O274,N275),IF(Параметры!O$48=1,O274,N275),IF(Параметры!O$45&lt;&gt;Параметры!N$45,O274,N275),IF(Параметры!O$50&lt;&gt;Параметры!N$50,O274,N275)))</f>
        <v>1.0611090251873196</v>
      </c>
      <c r="P275" s="417">
        <f ca="1">IF(P$2=1,1,CHOOSE($B$8,P274,IF(Параметры!P$43=1,P274,O275),IF(Параметры!P$48=1,P274,O275),IF(Параметры!P$45&lt;&gt;Параметры!O$45,P274,O275),IF(Параметры!P$50&lt;&gt;Параметры!O$50,P274,O275)))</f>
        <v>1.0716501276509891</v>
      </c>
      <c r="Q275" s="417">
        <f ca="1">IF(Q$2=1,1,CHOOSE($B$8,Q274,IF(Параметры!Q$43=1,Q274,P275),IF(Параметры!Q$48=1,Q274,P275),IF(Параметры!Q$45&lt;&gt;Параметры!P$45,Q274,P275),IF(Параметры!Q$50&lt;&gt;Параметры!P$50,Q274,P275)))</f>
        <v>1.0822959458776122</v>
      </c>
      <c r="R275" s="417">
        <f ca="1">IF(R$2=1,1,CHOOSE($B$8,R274,IF(Параметры!R$43=1,R274,Q275),IF(Параметры!R$48=1,R274,Q275),IF(Параметры!R$45&lt;&gt;Параметры!Q$45,R274,Q275),IF(Параметры!R$50&lt;&gt;Параметры!Q$50,R274,Q275)))</f>
        <v>1.0927800541061283</v>
      </c>
      <c r="S275" s="417">
        <f ca="1">IF(S$2=1,1,CHOOSE($B$8,S274,IF(Параметры!S$43=1,S274,R275),IF(Параметры!S$48=1,S274,R275),IF(Параметры!S$45&lt;&gt;Параметры!R$45,S274,R275),IF(Параметры!S$50&lt;&gt;Параметры!R$50,S274,R275)))</f>
        <v>1.1033657209940535</v>
      </c>
      <c r="T275" s="417">
        <f ca="1">IF(T$2=1,1,CHOOSE($B$8,T274,IF(Параметры!T$43=1,T274,S275),IF(Параметры!T$48=1,T274,S275),IF(Параметры!T$45&lt;&gt;Параметры!S$45,T274,S275),IF(Параметры!T$50&lt;&gt;Параметры!S$50,T274,S275)))</f>
        <v>1.1140539303314323</v>
      </c>
      <c r="U275" s="417">
        <f ca="1">IF(U$2=1,1,CHOOSE($B$8,U274,IF(Параметры!U$43=1,U274,T275),IF(Параметры!U$48=1,U274,T275),IF(Параметры!U$45&lt;&gt;Параметры!T$45,U274,T275),IF(Параметры!U$50&lt;&gt;Параметры!T$50,U274,T275)))</f>
        <v>1.1248456754381992</v>
      </c>
      <c r="V275" s="417">
        <f ca="1">IF(V$2=1,1,CHOOSE($B$8,V274,IF(Параметры!V$43=1,V274,U275),IF(Параметры!V$48=1,V274,U275),IF(Параметры!V$45&lt;&gt;Параметры!U$45,V274,U275),IF(Параметры!V$50&lt;&gt;Параметры!U$50,V274,U275)))</f>
        <v>1.13578175287425</v>
      </c>
      <c r="W275" s="417">
        <f ca="1">IF(W$2=1,1,CHOOSE($B$8,W274,IF(Параметры!W$43=1,W274,V275),IF(Параметры!W$48=1,W274,V275),IF(Параметры!W$45&lt;&gt;Параметры!V$45,W274,V275),IF(Параметры!W$50&lt;&gt;Параметры!V$50,W274,V275)))</f>
        <v>1.1468241540419013</v>
      </c>
      <c r="X275" s="417">
        <f ca="1">IF(X$2=1,1,CHOOSE($B$8,X274,IF(Параметры!X$43=1,X274,W275),IF(Параметры!X$48=1,X274,W275),IF(Параметры!X$45&lt;&gt;Параметры!W$45,X274,W275),IF(Параметры!X$50&lt;&gt;Параметры!W$50,X274,W275)))</f>
        <v>1.1579739126514543</v>
      </c>
      <c r="Y275" s="417">
        <f ca="1">IF(Y$2=1,1,CHOOSE($B$8,Y274,IF(Параметры!Y$43=1,Y274,X275),IF(Параметры!Y$48=1,Y274,X275),IF(Параметры!Y$45&lt;&gt;Параметры!X$45,Y274,X275),IF(Параметры!Y$50&lt;&gt;Параметры!X$50,Y274,X275)))</f>
        <v>1.1692320724632432</v>
      </c>
      <c r="Z275" s="417">
        <f ca="1">IF(Z$2=1,1,CHOOSE($B$8,Z274,IF(Параметры!Z$43=1,Z274,Y275),IF(Параметры!Z$48=1,Z274,Y275),IF(Параметры!Z$45&lt;&gt;Параметры!Y$45,Z274,Y275),IF(Параметры!Z$50&lt;&gt;Параметры!Y$50,Z274,Y275)))</f>
        <v>1.1806110913350911</v>
      </c>
      <c r="AA275" s="417">
        <f ca="1">IF(AA$2=1,1,CHOOSE($B$8,AA274,IF(Параметры!AA$43=1,AA274,Z275),IF(Параметры!AA$48=1,AA274,Z275),IF(Параметры!AA$45&lt;&gt;Параметры!Z$45,AA274,Z275),IF(Параметры!AA$50&lt;&gt;Параметры!Z$50,AA274,Z275)))</f>
        <v>1.1921008513280007</v>
      </c>
      <c r="AB275" s="417">
        <f ca="1">IF(AB$2=1,1,CHOOSE($B$8,AB274,IF(Параметры!AB$43=1,AB274,AA275),IF(Параметры!AB$48=1,AB274,AA275),IF(Параметры!AB$45&lt;&gt;Параметры!AA$45,AB274,AA275),IF(Параметры!AB$50&lt;&gt;Параметры!AA$50,AB274,AA275)))</f>
        <v>1.2037024301795198</v>
      </c>
      <c r="AC275" s="417">
        <f ca="1">IF(AC$2=1,1,CHOOSE($B$8,AC274,IF(Параметры!AC$43=1,AC274,AB275),IF(Параметры!AC$48=1,AC274,AB275),IF(Параметры!AC$45&lt;&gt;Параметры!AB$45,AC274,AB275),IF(Параметры!AC$50&lt;&gt;Параметры!AB$50,AC274,AB275)))</f>
        <v>1.215416916115786</v>
      </c>
      <c r="AD275" s="417">
        <f ca="1">IF(AD$2=1,1,CHOOSE($B$8,AD274,IF(Параметры!AD$43=1,AD274,AC275),IF(Параметры!AD$48=1,AD274,AC275),IF(Параметры!AD$45&lt;&gt;Параметры!AC$45,AD274,AC275),IF(Параметры!AD$50&lt;&gt;Параметры!AC$50,AD274,AC275)))</f>
        <v>1.2272520678572454</v>
      </c>
      <c r="AE275" s="417">
        <f ca="1">IF(AE$2=1,1,CHOOSE($B$8,AE274,IF(Параметры!AE$43=1,AE274,AD275),IF(Параметры!AE$48=1,AE274,AD275),IF(Параметры!AE$45&lt;&gt;Параметры!AD$45,AE274,AD275),IF(Параметры!AE$50&lt;&gt;Параметры!AD$50,AE274,AD275)))</f>
        <v>1.2392024646762467</v>
      </c>
      <c r="AF275" s="417">
        <f ca="1">IF(AF$2=1,1,CHOOSE($B$8,AF274,IF(Параметры!AF$43=1,AF274,AE275),IF(Параметры!AF$48=1,AF274,AE275),IF(Параметры!AF$45&lt;&gt;Параметры!AE$45,AF274,AE275),IF(Параметры!AF$50&lt;&gt;Параметры!AE$50,AF274,AE275)))</f>
        <v>1.2512692287745315</v>
      </c>
      <c r="AG275" s="417">
        <f ca="1">IF(AG$2=1,1,CHOOSE($B$8,AG274,IF(Параметры!AG$43=1,AG274,AF275),IF(Параметры!AG$48=1,AG274,AF275),IF(Параметры!AG$45&lt;&gt;Параметры!AF$45,AG274,AF275),IF(Параметры!AG$50&lt;&gt;Параметры!AF$50,AG274,AF275)))</f>
        <v>1.2634534932813082</v>
      </c>
      <c r="AH275" s="417">
        <f ca="1">IF(AH$2=1,1,CHOOSE($B$8,AH274,IF(Параметры!AH$43=1,AH274,AG275),IF(Параметры!AH$48=1,AH274,AG275),IF(Параметры!AH$45&lt;&gt;Параметры!AG$45,AH274,AG275),IF(Параметры!AH$50&lt;&gt;Параметры!AG$50,AH274,AG275)))</f>
        <v>1.2757458542672817</v>
      </c>
      <c r="AI275" s="417">
        <f ca="1">IF(AI$2=1,1,CHOOSE($B$8,AI274,IF(Параметры!AI$43=1,AI274,AH275),IF(Параметры!AI$48=1,AI274,AH275),IF(Параметры!AI$45&lt;&gt;Параметры!AH$45,AI274,AH275),IF(Параметры!AI$50&lt;&gt;Параметры!AH$50,AI274,AH275)))</f>
        <v>1.2881578097926767</v>
      </c>
      <c r="AJ275" s="417">
        <f ca="1">IF(AJ$2=1,1,CHOOSE($B$8,AJ274,IF(Параметры!AJ$43=1,AJ274,AI275),IF(Параметры!AJ$48=1,AJ274,AI275),IF(Параметры!AJ$45&lt;&gt;Параметры!AI$45,AJ274,AI275),IF(Параметры!AJ$50&lt;&gt;Параметры!AI$50,AJ274,AI275)))</f>
        <v>1.3006905234137762</v>
      </c>
      <c r="AK275" s="417">
        <f ca="1">IF(AK$2=1,1,CHOOSE($B$8,AK274,IF(Параметры!AK$43=1,AK274,AJ275),IF(Параметры!AK$48=1,AK274,AJ275),IF(Параметры!AK$45&lt;&gt;Параметры!AJ$45,AK274,AJ275),IF(Параметры!AK$50&lt;&gt;Параметры!AJ$50,AK274,AJ275)))</f>
        <v>1.3133451700073071</v>
      </c>
      <c r="AL275" s="417">
        <f ca="1">IF(AL$2=1,1,CHOOSE($B$8,AL274,IF(Параметры!AL$43=1,AL274,AK275),IF(Параметры!AL$48=1,AL274,AK275),IF(Параметры!AL$45&lt;&gt;Параметры!AK$45,AL274,AK275),IF(Параметры!AL$50&lt;&gt;Параметры!AK$50,AL274,AK275)))</f>
        <v>1.3260977327819319</v>
      </c>
      <c r="AM275" s="417">
        <f ca="1">IF(AM$2=1,1,CHOOSE($B$8,AM274,IF(Параметры!AM$43=1,AM274,AL275),IF(Параметры!AM$48=1,AM274,AL275),IF(Параметры!AM$45&lt;&gt;Параметры!AL$45,AM274,AL275),IF(Параметры!AM$50&lt;&gt;Параметры!AL$50,AM274,AL275)))</f>
        <v>1.3389741227582965</v>
      </c>
      <c r="AN275" s="417">
        <f ca="1">IF(AN$2=1,1,CHOOSE($B$8,AN274,IF(Параметры!AN$43=1,AN274,AM275),IF(Параметры!AN$48=1,AN274,AM275),IF(Параметры!AN$45&lt;&gt;Параметры!AM$45,AN274,AM275),IF(Параметры!AN$50&lt;&gt;Параметры!AM$50,AN274,AM275)))</f>
        <v>1.3519755422967552</v>
      </c>
      <c r="AO275" s="417">
        <f ca="1">IF(AO$2=1,1,CHOOSE($B$8,AO274,IF(Параметры!AO$43=1,AO274,AN275),IF(Параметры!AO$48=1,AO274,AN275),IF(Параметры!AO$45&lt;&gt;Параметры!AN$45,AO274,AN275),IF(Параметры!AO$50&lt;&gt;Параметры!AN$50,AO274,AN275)))</f>
        <v>1.3651032054325634</v>
      </c>
      <c r="AP275" s="417">
        <f ca="1">IF(AP$2=1,1,CHOOSE($B$8,AP274,IF(Параметры!AP$43=1,AP274,AO275),IF(Параметры!AP$48=1,AP274,AO275),IF(Параметры!AP$45&lt;&gt;Параметры!AO$45,AP274,AO275),IF(Параметры!AP$50&lt;&gt;Параметры!AO$50,AP274,AO275)))</f>
        <v>1.3783321194624436</v>
      </c>
      <c r="AQ275" s="417">
        <f ca="1">IF(AQ$2=1,1,CHOOSE($B$8,AQ274,IF(Параметры!AQ$43=1,AQ274,AP275),IF(Параметры!AQ$48=1,AQ274,AP275),IF(Параметры!AQ$45&lt;&gt;Параметры!AP$45,AQ274,AP275),IF(Параметры!AQ$50&lt;&gt;Параметры!AP$50,AQ274,AP275)))</f>
        <v>1.3916892319799645</v>
      </c>
      <c r="AR275" s="417">
        <f ca="1">IF(AR$2=1,1,CHOOSE($B$8,AR274,IF(Параметры!AR$43=1,AR274,AQ275),IF(Параметры!AR$48=1,AR274,AQ275),IF(Параметры!AR$45&lt;&gt;Параметры!AQ$45,AR274,AQ275),IF(Параметры!AR$50&lt;&gt;Параметры!AQ$50,AR274,AQ275)))</f>
        <v>1.4051757853283902</v>
      </c>
      <c r="AS275" s="120"/>
      <c r="AT275" s="116"/>
    </row>
    <row r="276" spans="1:46" ht="22.5" x14ac:dyDescent="0.2">
      <c r="A276" s="543" t="str">
        <f>ИД!B131</f>
        <v xml:space="preserve">Коммунальные услуги за счет УК в корпусах, арендованных резидентами </v>
      </c>
      <c r="B276" s="223" t="s">
        <v>390</v>
      </c>
      <c r="C276" s="286">
        <v>1</v>
      </c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  <c r="AA276" s="130"/>
      <c r="AB276" s="130"/>
      <c r="AC276" s="130"/>
      <c r="AD276" s="130"/>
      <c r="AE276" s="130"/>
      <c r="AF276" s="130"/>
      <c r="AG276" s="130"/>
      <c r="AH276" s="130"/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</row>
    <row r="277" spans="1:46" collapsed="1" x14ac:dyDescent="0.2">
      <c r="A277" s="106" t="s">
        <v>1096</v>
      </c>
      <c r="B277" s="350">
        <v>0</v>
      </c>
      <c r="C277" s="3" t="str">
        <f>CHOOSE(C276,Параметры!$B$64,Параметры!$B$108,Параметры!$B$117)</f>
        <v>тыс. руб.</v>
      </c>
      <c r="E277" s="363">
        <f ca="1">(Резиденты!E9*ИД!$F$132/ИД!$D$35+Резиденты!E10*ИД!$F$135/ИД!$D$38+
(E412-E420)*ИД!$F$133/ИД!$D$36+
(E413-E421)*ИД!$F$134/ИД!$D$37+
(E415-E423)*ИД!$F$136/ИД!$D$39+
(E416-E424)*ИД!$F$137/ИД!$D$40)/4/1.2</f>
        <v>0</v>
      </c>
      <c r="F277" s="363">
        <f ca="1">(Резиденты!F9*ИД!$F$132/ИД!$D$35+Резиденты!F10*ИД!$F$135/ИД!$D$38+
(F412-F420)*ИД!$F$133/ИД!$D$36+
(F413-F421)*ИД!$F$134/ИД!$D$37+
(F415-F423)*ИД!$F$136/ИД!$D$39+
(F416-F424)*ИД!$F$137/ИД!$D$40)/4/1.2</f>
        <v>0</v>
      </c>
      <c r="G277" s="363">
        <f ca="1">(Резиденты!G9*ИД!$F$132/ИД!$D$35+Резиденты!G10*ИД!$F$135/ИД!$D$38+
(G412-G420)*ИД!$F$133/ИД!$D$36+
(G413-G421)*ИД!$F$134/ИД!$D$37+
(G415-G423)*ИД!$F$136/ИД!$D$39+
(G416-G424)*ИД!$F$137/ИД!$D$40)/4/1.2</f>
        <v>1760.50695</v>
      </c>
      <c r="H277" s="363">
        <f ca="1">(Резиденты!H9*ИД!$F$132/ИД!$D$35+Резиденты!H10*ИД!$F$135/ИД!$D$38+
(H412-H420)*ИД!$F$133/ИД!$D$36+
(H413-H421)*ИД!$F$134/ИД!$D$37+
(H415-H423)*ИД!$F$136/ИД!$D$39+
(H416-H424)*ИД!$F$137/ИД!$D$40)/4/1.2</f>
        <v>1760.50695</v>
      </c>
      <c r="I277" s="363">
        <f ca="1">(Резиденты!I9*ИД!$F$132/ИД!$D$35+Резиденты!I10*ИД!$F$135/ИД!$D$38+
(I412-I420)*ИД!$F$133/ИД!$D$36+
(I413-I421)*ИД!$F$134/ИД!$D$37+
(I415-I423)*ИД!$F$136/ИД!$D$39+
(I416-I424)*ИД!$F$137/ИД!$D$40)/4/1.2</f>
        <v>1760.50695</v>
      </c>
      <c r="J277" s="363">
        <f ca="1">(Резиденты!J9*ИД!$F$132/ИД!$D$35+Резиденты!J10*ИД!$F$135/ИД!$D$38+
(J412-J420)*ИД!$F$133/ИД!$D$36+
(J413-J421)*ИД!$F$134/ИД!$D$37+
(J415-J423)*ИД!$F$136/ИД!$D$39+
(J416-J424)*ИД!$F$137/ИД!$D$40)/4/1.2</f>
        <v>1760.50695</v>
      </c>
      <c r="K277" s="363">
        <f ca="1">(Резиденты!K9*ИД!$F$132/ИД!$D$35+Резиденты!K10*ИД!$F$135/ИД!$D$38+
(K412-K420)*ИД!$F$133/ИД!$D$36+
(K413-K421)*ИД!$F$134/ИД!$D$37+
(K415-K423)*ИД!$F$136/ИД!$D$39+
(K416-K424)*ИД!$F$137/ИД!$D$40)/4/1.2</f>
        <v>1760.50695</v>
      </c>
      <c r="L277" s="363">
        <f ca="1">(Резиденты!L9*ИД!$F$132/ИД!$D$35+Резиденты!L10*ИД!$F$135/ИД!$D$38+
(L412-L420)*ИД!$F$133/ИД!$D$36+
(L413-L421)*ИД!$F$134/ИД!$D$37+
(L415-L423)*ИД!$F$136/ИД!$D$39+
(L416-L424)*ИД!$F$137/ИД!$D$40)/4/1.2</f>
        <v>1760.50695</v>
      </c>
      <c r="M277" s="363">
        <f ca="1">(Резиденты!M9*ИД!$F$132/ИД!$D$35+Резиденты!M10*ИД!$F$135/ИД!$D$38+
(M412-M420)*ИД!$F$133/ИД!$D$36+
(M413-M421)*ИД!$F$134/ИД!$D$37+
(M415-M423)*ИД!$F$136/ИД!$D$39+
(M416-M424)*ИД!$F$137/ИД!$D$40)/4/1.2</f>
        <v>2534.7992609296552</v>
      </c>
      <c r="N277" s="363">
        <f ca="1">(Резиденты!N9*ИД!$F$132/ИД!$D$35+Резиденты!N10*ИД!$F$135/ИД!$D$38+
(N412-N420)*ИД!$F$133/ИД!$D$36+
(N413-N421)*ИД!$F$134/ИД!$D$37+
(N415-N423)*ИД!$F$136/ИД!$D$39+
(N416-N424)*ИД!$F$137/ИД!$D$40)/4/1.2</f>
        <v>2534.7992609296552</v>
      </c>
      <c r="O277" s="363">
        <f ca="1">(Резиденты!O9*ИД!$F$132/ИД!$D$35+Резиденты!O10*ИД!$F$135/ИД!$D$38+
(O412-O420)*ИД!$F$133/ИД!$D$36+
(O413-O421)*ИД!$F$134/ИД!$D$37+
(O415-O423)*ИД!$F$136/ИД!$D$39+
(O416-O424)*ИД!$F$137/ИД!$D$40)/4/1.2</f>
        <v>2534.7992609296552</v>
      </c>
      <c r="P277" s="363">
        <f ca="1">(Резиденты!P9*ИД!$F$132/ИД!$D$35+Резиденты!P10*ИД!$F$135/ИД!$D$38+
(P412-P420)*ИД!$F$133/ИД!$D$36+
(P413-P421)*ИД!$F$134/ИД!$D$37+
(P415-P423)*ИД!$F$136/ИД!$D$39+
(P416-P424)*ИД!$F$137/ИД!$D$40)/4/1.2</f>
        <v>2534.7992609296552</v>
      </c>
      <c r="Q277" s="363">
        <f ca="1">(Резиденты!Q9*ИД!$F$132/ИД!$D$35+Резиденты!Q10*ИД!$F$135/ИД!$D$38+
(Q412-Q420)*ИД!$F$133/ИД!$D$36+
(Q413-Q421)*ИД!$F$134/ИД!$D$37+
(Q415-Q423)*ИД!$F$136/ИД!$D$39+
(Q416-Q424)*ИД!$F$137/ИД!$D$40)/4/1.2</f>
        <v>2921.9454163944824</v>
      </c>
      <c r="R277" s="363">
        <f ca="1">(Резиденты!R9*ИД!$F$132/ИД!$D$35+Резиденты!R10*ИД!$F$135/ИД!$D$38+
(R412-R420)*ИД!$F$133/ИД!$D$36+
(R413-R421)*ИД!$F$134/ИД!$D$37+
(R415-R423)*ИД!$F$136/ИД!$D$39+
(R416-R424)*ИД!$F$137/ИД!$D$40)/4/1.2</f>
        <v>2921.9454163944824</v>
      </c>
      <c r="S277" s="363">
        <f ca="1">(Резиденты!S9*ИД!$F$132/ИД!$D$35+Резиденты!S10*ИД!$F$135/ИД!$D$38+
(S412-S420)*ИД!$F$133/ИД!$D$36+
(S413-S421)*ИД!$F$134/ИД!$D$37+
(S415-S423)*ИД!$F$136/ИД!$D$39+
(S416-S424)*ИД!$F$137/ИД!$D$40)/4/1.2</f>
        <v>2921.9454163944824</v>
      </c>
      <c r="T277" s="363">
        <f ca="1">(Резиденты!T9*ИД!$F$132/ИД!$D$35+Резиденты!T10*ИД!$F$135/ИД!$D$38+
(T412-T420)*ИД!$F$133/ИД!$D$36+
(T413-T421)*ИД!$F$134/ИД!$D$37+
(T415-T423)*ИД!$F$136/ИД!$D$39+
(T416-T424)*ИД!$F$137/ИД!$D$40)/4/1.2</f>
        <v>2921.9454163944824</v>
      </c>
      <c r="U277" s="363">
        <f ca="1">(Резиденты!U9*ИД!$F$132/ИД!$D$35+Резиденты!U10*ИД!$F$135/ИД!$D$38+
(U412-U420)*ИД!$F$133/ИД!$D$36+
(U413-U421)*ИД!$F$134/ИД!$D$37+
(U415-U423)*ИД!$F$136/ИД!$D$39+
(U416-U424)*ИД!$F$137/ИД!$D$40)/4/1.2</f>
        <v>8847.1047209462067</v>
      </c>
      <c r="V277" s="363">
        <f ca="1">(Резиденты!V9*ИД!$F$132/ИД!$D$35+Резиденты!V10*ИД!$F$135/ИД!$D$38+
(V412-V420)*ИД!$F$133/ИД!$D$36+
(V413-V421)*ИД!$F$134/ИД!$D$37+
(V415-V423)*ИД!$F$136/ИД!$D$39+
(V416-V424)*ИД!$F$137/ИД!$D$40)/4/1.2</f>
        <v>8847.1047209462067</v>
      </c>
      <c r="W277" s="363">
        <f ca="1">(Резиденты!W9*ИД!$F$132/ИД!$D$35+Резиденты!W10*ИД!$F$135/ИД!$D$38+
(W412-W420)*ИД!$F$133/ИД!$D$36+
(W413-W421)*ИД!$F$134/ИД!$D$37+
(W415-W423)*ИД!$F$136/ИД!$D$39+
(W416-W424)*ИД!$F$137/ИД!$D$40)/4/1.2</f>
        <v>8847.1047209462067</v>
      </c>
      <c r="X277" s="363">
        <f ca="1">(Резиденты!X9*ИД!$F$132/ИД!$D$35+Резиденты!X10*ИД!$F$135/ИД!$D$38+
(X412-X420)*ИД!$F$133/ИД!$D$36+
(X413-X421)*ИД!$F$134/ИД!$D$37+
(X415-X423)*ИД!$F$136/ИД!$D$39+
(X416-X424)*ИД!$F$137/ИД!$D$40)/4/1.2</f>
        <v>8847.1047209462067</v>
      </c>
      <c r="Y277" s="363">
        <f ca="1">(Резиденты!Y9*ИД!$F$132/ИД!$D$35+Резиденты!Y10*ИД!$F$135/ИД!$D$38+
(Y412-Y420)*ИД!$F$133/ИД!$D$36+
(Y413-Y421)*ИД!$F$134/ИД!$D$37+
(Y415-Y423)*ИД!$F$136/ИД!$D$39+
(Y416-Y424)*ИД!$F$137/ИД!$D$40)/4/1.2</f>
        <v>8847.1047209462067</v>
      </c>
      <c r="Z277" s="363">
        <f ca="1">(Резиденты!Z9*ИД!$F$132/ИД!$D$35+Резиденты!Z10*ИД!$F$135/ИД!$D$38+
(Z412-Z420)*ИД!$F$133/ИД!$D$36+
(Z413-Z421)*ИД!$F$134/ИД!$D$37+
(Z415-Z423)*ИД!$F$136/ИД!$D$39+
(Z416-Z424)*ИД!$F$137/ИД!$D$40)/4/1.2</f>
        <v>8847.1047209462067</v>
      </c>
      <c r="AA277" s="363">
        <f ca="1">(Резиденты!AA9*ИД!$F$132/ИД!$D$35+Резиденты!AA10*ИД!$F$135/ИД!$D$38+
(AA412-AA420)*ИД!$F$133/ИД!$D$36+
(AA413-AA421)*ИД!$F$134/ИД!$D$37+
(AA415-AA423)*ИД!$F$136/ИД!$D$39+
(AA416-AA424)*ИД!$F$137/ИД!$D$40)/4/1.2</f>
        <v>8847.1047209462067</v>
      </c>
      <c r="AB277" s="363">
        <f ca="1">(Резиденты!AB9*ИД!$F$132/ИД!$D$35+Резиденты!AB10*ИД!$F$135/ИД!$D$38+
(AB412-AB420)*ИД!$F$133/ИД!$D$36+
(AB413-AB421)*ИД!$F$134/ИД!$D$37+
(AB415-AB423)*ИД!$F$136/ИД!$D$39+
(AB416-AB424)*ИД!$F$137/ИД!$D$40)/4/1.2</f>
        <v>8847.1047209462067</v>
      </c>
      <c r="AC277" s="363">
        <f ca="1">(Резиденты!AC9*ИД!$F$132/ИД!$D$35+Резиденты!AC10*ИД!$F$135/ИД!$D$38+
(AC412-AC420)*ИД!$F$133/ИД!$D$36+
(AC413-AC421)*ИД!$F$134/ИД!$D$37+
(AC415-AC423)*ИД!$F$136/ИД!$D$39+
(AC416-AC424)*ИД!$F$137/ИД!$D$40)/4/1.2</f>
        <v>8847.1047209462067</v>
      </c>
      <c r="AD277" s="363">
        <f ca="1">(Резиденты!AD9*ИД!$F$132/ИД!$D$35+Резиденты!AD10*ИД!$F$135/ИД!$D$38+
(AD412-AD420)*ИД!$F$133/ИД!$D$36+
(AD413-AD421)*ИД!$F$134/ИД!$D$37+
(AD415-AD423)*ИД!$F$136/ИД!$D$39+
(AD416-AD424)*ИД!$F$137/ИД!$D$40)/4/1.2</f>
        <v>8847.1047209462067</v>
      </c>
      <c r="AE277" s="363">
        <f ca="1">(Резиденты!AE9*ИД!$F$132/ИД!$D$35+Резиденты!AE10*ИД!$F$135/ИД!$D$38+
(AE412-AE420)*ИД!$F$133/ИД!$D$36+
(AE413-AE421)*ИД!$F$134/ИД!$D$37+
(AE415-AE423)*ИД!$F$136/ИД!$D$39+
(AE416-AE424)*ИД!$F$137/ИД!$D$40)/4/1.2</f>
        <v>8847.1047209462067</v>
      </c>
      <c r="AF277" s="363">
        <f ca="1">(Резиденты!AF9*ИД!$F$132/ИД!$D$35+Резиденты!AF10*ИД!$F$135/ИД!$D$38+
(AF412-AF420)*ИД!$F$133/ИД!$D$36+
(AF413-AF421)*ИД!$F$134/ИД!$D$37+
(AF415-AF423)*ИД!$F$136/ИД!$D$39+
(AF416-AF424)*ИД!$F$137/ИД!$D$40)/4/1.2</f>
        <v>8847.1047209462067</v>
      </c>
      <c r="AG277" s="363">
        <f ca="1">(Резиденты!AG9*ИД!$F$132/ИД!$D$35+Резиденты!AG10*ИД!$F$135/ИД!$D$38+
(AG412-AG420)*ИД!$F$133/ИД!$D$36+
(AG413-AG421)*ИД!$F$134/ИД!$D$37+
(AG415-AG423)*ИД!$F$136/ИД!$D$39+
(AG416-AG424)*ИД!$F$137/ИД!$D$40)/4/1.2</f>
        <v>8847.1047209462067</v>
      </c>
      <c r="AH277" s="363">
        <f ca="1">(Резиденты!AH9*ИД!$F$132/ИД!$D$35+Резиденты!AH10*ИД!$F$135/ИД!$D$38+
(AH412-AH420)*ИД!$F$133/ИД!$D$36+
(AH413-AH421)*ИД!$F$134/ИД!$D$37+
(AH415-AH423)*ИД!$F$136/ИД!$D$39+
(AH416-AH424)*ИД!$F$137/ИД!$D$40)/4/1.2</f>
        <v>8847.1047209462067</v>
      </c>
      <c r="AI277" s="363">
        <f ca="1">(Резиденты!AI9*ИД!$F$132/ИД!$D$35+Резиденты!AI10*ИД!$F$135/ИД!$D$38+
(AI412-AI420)*ИД!$F$133/ИД!$D$36+
(AI413-AI421)*ИД!$F$134/ИД!$D$37+
(AI415-AI423)*ИД!$F$136/ИД!$D$39+
(AI416-AI424)*ИД!$F$137/ИД!$D$40)/4/1.2</f>
        <v>8847.1047209462067</v>
      </c>
      <c r="AJ277" s="363">
        <f ca="1">(Резиденты!AJ9*ИД!$F$132/ИД!$D$35+Резиденты!AJ10*ИД!$F$135/ИД!$D$38+
(AJ412-AJ420)*ИД!$F$133/ИД!$D$36+
(AJ413-AJ421)*ИД!$F$134/ИД!$D$37+
(AJ415-AJ423)*ИД!$F$136/ИД!$D$39+
(AJ416-AJ424)*ИД!$F$137/ИД!$D$40)/4/1.2</f>
        <v>8847.1047209462067</v>
      </c>
      <c r="AK277" s="363">
        <f ca="1">(Резиденты!AK9*ИД!$F$132/ИД!$D$35+Резиденты!AK10*ИД!$F$135/ИД!$D$38+
(AK412-AK420)*ИД!$F$133/ИД!$D$36+
(AK413-AK421)*ИД!$F$134/ИД!$D$37+
(AK415-AK423)*ИД!$F$136/ИД!$D$39+
(AK416-AK424)*ИД!$F$137/ИД!$D$40)/4/1.2</f>
        <v>8459.95856548138</v>
      </c>
      <c r="AL277" s="363">
        <f ca="1">(Резиденты!AL9*ИД!$F$132/ИД!$D$35+Резиденты!AL10*ИД!$F$135/ИД!$D$38+
(AL412-AL420)*ИД!$F$133/ИД!$D$36+
(AL413-AL421)*ИД!$F$134/ИД!$D$37+
(AL415-AL423)*ИД!$F$136/ИД!$D$39+
(AL416-AL424)*ИД!$F$137/ИД!$D$40)/4/1.2</f>
        <v>8459.95856548138</v>
      </c>
      <c r="AM277" s="363">
        <f ca="1">(Резиденты!AM9*ИД!$F$132/ИД!$D$35+Резиденты!AM10*ИД!$F$135/ИД!$D$38+
(AM412-AM420)*ИД!$F$133/ИД!$D$36+
(AM413-AM421)*ИД!$F$134/ИД!$D$37+
(AM415-AM423)*ИД!$F$136/ИД!$D$39+
(AM416-AM424)*ИД!$F$137/ИД!$D$40)/4/1.2</f>
        <v>8459.95856548138</v>
      </c>
      <c r="AN277" s="363">
        <f ca="1">(Резиденты!AN9*ИД!$F$132/ИД!$D$35+Резиденты!AN10*ИД!$F$135/ИД!$D$38+
(AN412-AN420)*ИД!$F$133/ИД!$D$36+
(AN413-AN421)*ИД!$F$134/ИД!$D$37+
(AN415-AN423)*ИД!$F$136/ИД!$D$39+
(AN416-AN424)*ИД!$F$137/ИД!$D$40)/4/1.2</f>
        <v>8459.95856548138</v>
      </c>
      <c r="AO277" s="363">
        <f ca="1">(Резиденты!AO9*ИД!$F$132/ИД!$D$35+Резиденты!AO10*ИД!$F$135/ИД!$D$38+
(AO412-AO420)*ИД!$F$133/ИД!$D$36+
(AO413-AO421)*ИД!$F$134/ИД!$D$37+
(AO415-AO423)*ИД!$F$136/ИД!$D$39+
(AO416-AO424)*ИД!$F$137/ИД!$D$40)/4/1.2</f>
        <v>2534.7992609296552</v>
      </c>
      <c r="AP277" s="363">
        <f ca="1">(Резиденты!AP9*ИД!$F$132/ИД!$D$35+Резиденты!AP10*ИД!$F$135/ИД!$D$38+
(AP412-AP420)*ИД!$F$133/ИД!$D$36+
(AP413-AP421)*ИД!$F$134/ИД!$D$37+
(AP415-AP423)*ИД!$F$136/ИД!$D$39+
(AP416-AP424)*ИД!$F$137/ИД!$D$40)/4/1.2</f>
        <v>2534.7992609296552</v>
      </c>
      <c r="AQ277" s="363">
        <f ca="1">(Резиденты!AQ9*ИД!$F$132/ИД!$D$35+Резиденты!AQ10*ИД!$F$135/ИД!$D$38+
(AQ412-AQ420)*ИД!$F$133/ИД!$D$36+
(AQ413-AQ421)*ИД!$F$134/ИД!$D$37+
(AQ415-AQ423)*ИД!$F$136/ИД!$D$39+
(AQ416-AQ424)*ИД!$F$137/ИД!$D$40)/4/1.2</f>
        <v>2534.7992609296552</v>
      </c>
      <c r="AR277" s="363">
        <f ca="1">(Резиденты!AR9*ИД!$F$132/ИД!$D$35+Резиденты!AR10*ИД!$F$135/ИД!$D$38+
(AR412-AR420)*ИД!$F$133/ИД!$D$36+
(AR413-AR421)*ИД!$F$134/ИД!$D$37+
(AR415-AR423)*ИД!$F$136/ИД!$D$39+
(AR416-AR424)*ИД!$F$137/ИД!$D$40)/4/1.2</f>
        <v>2534.7992609296552</v>
      </c>
      <c r="AS277" s="90"/>
      <c r="AT277" s="30">
        <f ca="1">SUM(E277:AS277)</f>
        <v>217922.72725008006</v>
      </c>
    </row>
    <row r="278" spans="1:46" outlineLevel="1" x14ac:dyDescent="0.2">
      <c r="A278" s="101" t="s">
        <v>52</v>
      </c>
      <c r="B278" s="25"/>
      <c r="C278" s="21" t="s">
        <v>1</v>
      </c>
      <c r="E278" s="361">
        <f>Параметры!E$136</f>
        <v>0.2</v>
      </c>
      <c r="F278" s="361">
        <f>Параметры!F$136</f>
        <v>0.2</v>
      </c>
      <c r="G278" s="361">
        <f>Параметры!G$136</f>
        <v>0.2</v>
      </c>
      <c r="H278" s="361">
        <f>Параметры!H$136</f>
        <v>0.2</v>
      </c>
      <c r="I278" s="361">
        <f>Параметры!I$136</f>
        <v>0.2</v>
      </c>
      <c r="J278" s="361">
        <f>Параметры!J$136</f>
        <v>0.2</v>
      </c>
      <c r="K278" s="361">
        <f>Параметры!K$136</f>
        <v>0.2</v>
      </c>
      <c r="L278" s="361">
        <f>Параметры!L$136</f>
        <v>0.2</v>
      </c>
      <c r="M278" s="361">
        <f>Параметры!M$136</f>
        <v>0.2</v>
      </c>
      <c r="N278" s="361">
        <f>Параметры!N$136</f>
        <v>0.2</v>
      </c>
      <c r="O278" s="361">
        <f>Параметры!O$136</f>
        <v>0.2</v>
      </c>
      <c r="P278" s="361">
        <f>Параметры!P$136</f>
        <v>0.2</v>
      </c>
      <c r="Q278" s="361">
        <f>Параметры!Q$136</f>
        <v>0.2</v>
      </c>
      <c r="R278" s="361">
        <f>Параметры!R$136</f>
        <v>0.2</v>
      </c>
      <c r="S278" s="361">
        <f>Параметры!S$136</f>
        <v>0.2</v>
      </c>
      <c r="T278" s="361">
        <f>Параметры!T$136</f>
        <v>0.2</v>
      </c>
      <c r="U278" s="361">
        <f>Параметры!U$136</f>
        <v>0.2</v>
      </c>
      <c r="V278" s="361">
        <f>Параметры!V$136</f>
        <v>0.2</v>
      </c>
      <c r="W278" s="361">
        <f>Параметры!W$136</f>
        <v>0.2</v>
      </c>
      <c r="X278" s="361">
        <f>Параметры!X$136</f>
        <v>0.2</v>
      </c>
      <c r="Y278" s="361">
        <f>Параметры!Y$136</f>
        <v>0.2</v>
      </c>
      <c r="Z278" s="361">
        <f>Параметры!Z$136</f>
        <v>0.2</v>
      </c>
      <c r="AA278" s="361">
        <f>Параметры!AA$136</f>
        <v>0.2</v>
      </c>
      <c r="AB278" s="361">
        <f>Параметры!AB$136</f>
        <v>0.2</v>
      </c>
      <c r="AC278" s="361">
        <f>Параметры!AC$136</f>
        <v>0.2</v>
      </c>
      <c r="AD278" s="361">
        <f>Параметры!AD$136</f>
        <v>0.2</v>
      </c>
      <c r="AE278" s="361">
        <f>Параметры!AE$136</f>
        <v>0.2</v>
      </c>
      <c r="AF278" s="361">
        <f>Параметры!AF$136</f>
        <v>0.2</v>
      </c>
      <c r="AG278" s="361">
        <f>Параметры!AG$136</f>
        <v>0.2</v>
      </c>
      <c r="AH278" s="361">
        <f>Параметры!AH$136</f>
        <v>0.2</v>
      </c>
      <c r="AI278" s="361">
        <f>Параметры!AI$136</f>
        <v>0.2</v>
      </c>
      <c r="AJ278" s="361">
        <f>Параметры!AJ$136</f>
        <v>0.2</v>
      </c>
      <c r="AK278" s="361">
        <f>Параметры!AK$136</f>
        <v>0.2</v>
      </c>
      <c r="AL278" s="361">
        <f>Параметры!AL$136</f>
        <v>0.2</v>
      </c>
      <c r="AM278" s="361">
        <f>Параметры!AM$136</f>
        <v>0.2</v>
      </c>
      <c r="AN278" s="361">
        <f>Параметры!AN$136</f>
        <v>0.2</v>
      </c>
      <c r="AO278" s="361">
        <f>Параметры!AO$136</f>
        <v>0.2</v>
      </c>
      <c r="AP278" s="361">
        <f>Параметры!AP$136</f>
        <v>0.2</v>
      </c>
      <c r="AQ278" s="361">
        <f>Параметры!AQ$136</f>
        <v>0.2</v>
      </c>
      <c r="AR278" s="361">
        <f>Параметры!AR$136</f>
        <v>0.2</v>
      </c>
      <c r="AS278" s="127"/>
      <c r="AT278" s="117"/>
    </row>
    <row r="279" spans="1:46" outlineLevel="1" x14ac:dyDescent="0.2">
      <c r="A279" s="101" t="s">
        <v>64</v>
      </c>
      <c r="B279" s="8"/>
      <c r="C279" s="21" t="str">
        <f>CHOOSE(C276,Параметры!$B$64,Параметры!$B$108,Параметры!$B$117)</f>
        <v>тыс. руб.</v>
      </c>
      <c r="E279" s="129">
        <f t="shared" ref="E279:AR279" ca="1" si="100">E280*E278</f>
        <v>0</v>
      </c>
      <c r="F279" s="129">
        <f t="shared" ca="1" si="100"/>
        <v>0</v>
      </c>
      <c r="G279" s="129">
        <f t="shared" ca="1" si="100"/>
        <v>352.10139000000004</v>
      </c>
      <c r="H279" s="129">
        <f t="shared" ca="1" si="100"/>
        <v>352.10139000000004</v>
      </c>
      <c r="I279" s="129">
        <f t="shared" ca="1" si="100"/>
        <v>352.10139000000004</v>
      </c>
      <c r="J279" s="129">
        <f t="shared" ca="1" si="100"/>
        <v>355.60845921021973</v>
      </c>
      <c r="K279" s="129">
        <f t="shared" ca="1" si="100"/>
        <v>359.15046021791204</v>
      </c>
      <c r="L279" s="129">
        <f t="shared" ca="1" si="100"/>
        <v>362.7277409576061</v>
      </c>
      <c r="M279" s="129">
        <f t="shared" ca="1" si="100"/>
        <v>527.46171552486192</v>
      </c>
      <c r="N279" s="129">
        <f t="shared" ca="1" si="100"/>
        <v>532.71556950862453</v>
      </c>
      <c r="O279" s="129">
        <f t="shared" ca="1" si="100"/>
        <v>538.02175521783806</v>
      </c>
      <c r="P279" s="129">
        <f t="shared" ca="1" si="100"/>
        <v>543.38079390975406</v>
      </c>
      <c r="Q279" s="129">
        <f t="shared" ca="1" si="100"/>
        <v>632.61175556051751</v>
      </c>
      <c r="R279" s="129">
        <f t="shared" ca="1" si="100"/>
        <v>638.81319332029716</v>
      </c>
      <c r="S279" s="129">
        <f t="shared" ca="1" si="100"/>
        <v>645.07542323253108</v>
      </c>
      <c r="T279" s="129">
        <f t="shared" ca="1" si="100"/>
        <v>651.39904123737745</v>
      </c>
      <c r="U279" s="129">
        <f t="shared" ca="1" si="100"/>
        <v>1991.6490027214077</v>
      </c>
      <c r="V279" s="129">
        <f t="shared" ca="1" si="100"/>
        <v>2011.4995385783154</v>
      </c>
      <c r="W279" s="129">
        <f t="shared" ca="1" si="100"/>
        <v>2031.5479224361852</v>
      </c>
      <c r="X279" s="129">
        <f t="shared" ca="1" si="100"/>
        <v>2051.7961262232193</v>
      </c>
      <c r="Y279" s="129">
        <f t="shared" ca="1" si="100"/>
        <v>2072.2461415216003</v>
      </c>
      <c r="Z279" s="129">
        <f t="shared" ca="1" si="100"/>
        <v>2092.6265377949398</v>
      </c>
      <c r="AA279" s="129">
        <f t="shared" ca="1" si="100"/>
        <v>2113.2073738442004</v>
      </c>
      <c r="AB279" s="129">
        <f t="shared" ca="1" si="100"/>
        <v>2133.9906209805972</v>
      </c>
      <c r="AC279" s="129">
        <f t="shared" ca="1" si="100"/>
        <v>2154.9782699030561</v>
      </c>
      <c r="AD279" s="129">
        <f t="shared" ca="1" si="100"/>
        <v>2176.1450466669544</v>
      </c>
      <c r="AE279" s="129">
        <f t="shared" ca="1" si="100"/>
        <v>2197.5197292110774</v>
      </c>
      <c r="AF279" s="129">
        <f t="shared" ca="1" si="100"/>
        <v>2219.104359641975</v>
      </c>
      <c r="AG279" s="129">
        <f t="shared" ca="1" si="100"/>
        <v>2240.9010001243164</v>
      </c>
      <c r="AH279" s="129">
        <f t="shared" ca="1" si="100"/>
        <v>2262.8465160627889</v>
      </c>
      <c r="AI279" s="129">
        <f t="shared" ca="1" si="100"/>
        <v>2285.0069480862553</v>
      </c>
      <c r="AJ279" s="129">
        <f t="shared" ca="1" si="100"/>
        <v>2307.3844009036552</v>
      </c>
      <c r="AK279" s="129">
        <f t="shared" ca="1" si="100"/>
        <v>2228.021860112071</v>
      </c>
      <c r="AL279" s="129">
        <f t="shared" ca="1" si="100"/>
        <v>2249.77634945821</v>
      </c>
      <c r="AM279" s="129">
        <f t="shared" ca="1" si="100"/>
        <v>2271.7432504575659</v>
      </c>
      <c r="AN279" s="129">
        <f t="shared" ca="1" si="100"/>
        <v>2293.924637105521</v>
      </c>
      <c r="AO279" s="129">
        <f t="shared" ca="1" si="100"/>
        <v>694.02382746393278</v>
      </c>
      <c r="AP279" s="129">
        <f t="shared" ca="1" si="100"/>
        <v>700.78546521981752</v>
      </c>
      <c r="AQ279" s="129">
        <f t="shared" ca="1" si="100"/>
        <v>707.61297930924115</v>
      </c>
      <c r="AR279" s="129">
        <f t="shared" ca="1" si="100"/>
        <v>714.50701154288254</v>
      </c>
      <c r="AS279" s="129"/>
      <c r="AT279" s="125">
        <f ca="1">SUM(E279:AS279)</f>
        <v>53046.114993267322</v>
      </c>
    </row>
    <row r="280" spans="1:46" outlineLevel="1" x14ac:dyDescent="0.2">
      <c r="A280" s="114" t="s">
        <v>477</v>
      </c>
      <c r="B280" s="16"/>
      <c r="C280" s="2" t="str">
        <f>CHOOSE(C276,Параметры!$B$64,Параметры!$B$108,Параметры!$B$117)</f>
        <v>тыс. руб.</v>
      </c>
      <c r="E280" s="129">
        <f t="shared" ref="E280:AR280" ca="1" si="101">E277*E283</f>
        <v>0</v>
      </c>
      <c r="F280" s="129">
        <f t="shared" ca="1" si="101"/>
        <v>0</v>
      </c>
      <c r="G280" s="129">
        <f t="shared" ca="1" si="101"/>
        <v>1760.50695</v>
      </c>
      <c r="H280" s="129">
        <f t="shared" ca="1" si="101"/>
        <v>1760.50695</v>
      </c>
      <c r="I280" s="129">
        <f t="shared" ca="1" si="101"/>
        <v>1760.50695</v>
      </c>
      <c r="J280" s="129">
        <f t="shared" ca="1" si="101"/>
        <v>1778.0422960510987</v>
      </c>
      <c r="K280" s="129">
        <f t="shared" ca="1" si="101"/>
        <v>1795.75230108956</v>
      </c>
      <c r="L280" s="129">
        <f t="shared" ca="1" si="101"/>
        <v>1813.6387047880303</v>
      </c>
      <c r="M280" s="129">
        <f t="shared" ca="1" si="101"/>
        <v>2637.3085776243092</v>
      </c>
      <c r="N280" s="129">
        <f t="shared" ca="1" si="101"/>
        <v>2663.5778475431225</v>
      </c>
      <c r="O280" s="129">
        <f t="shared" ca="1" si="101"/>
        <v>2690.1087760891901</v>
      </c>
      <c r="P280" s="129">
        <f t="shared" ca="1" si="101"/>
        <v>2716.9039695487704</v>
      </c>
      <c r="Q280" s="129">
        <f t="shared" ca="1" si="101"/>
        <v>3163.0587778025874</v>
      </c>
      <c r="R280" s="129">
        <f t="shared" ca="1" si="101"/>
        <v>3194.0659666014853</v>
      </c>
      <c r="S280" s="129">
        <f t="shared" ca="1" si="101"/>
        <v>3225.3771161626551</v>
      </c>
      <c r="T280" s="129">
        <f t="shared" ca="1" si="101"/>
        <v>3256.9952061868871</v>
      </c>
      <c r="U280" s="129">
        <f t="shared" ca="1" si="101"/>
        <v>9958.2450136070383</v>
      </c>
      <c r="V280" s="129">
        <f t="shared" ca="1" si="101"/>
        <v>10057.497692891577</v>
      </c>
      <c r="W280" s="129">
        <f t="shared" ca="1" si="101"/>
        <v>10157.739612180925</v>
      </c>
      <c r="X280" s="129">
        <f t="shared" ca="1" si="101"/>
        <v>10258.980631116096</v>
      </c>
      <c r="Y280" s="129">
        <f t="shared" ca="1" si="101"/>
        <v>10361.230707608001</v>
      </c>
      <c r="Z280" s="129">
        <f t="shared" ca="1" si="101"/>
        <v>10463.1326889747</v>
      </c>
      <c r="AA280" s="129">
        <f t="shared" ca="1" si="101"/>
        <v>10566.036869221001</v>
      </c>
      <c r="AB280" s="129">
        <f t="shared" ca="1" si="101"/>
        <v>10669.953104902987</v>
      </c>
      <c r="AC280" s="129">
        <f t="shared" ca="1" si="101"/>
        <v>10774.891349515281</v>
      </c>
      <c r="AD280" s="129">
        <f t="shared" ca="1" si="101"/>
        <v>10880.725233334771</v>
      </c>
      <c r="AE280" s="129">
        <f t="shared" ca="1" si="101"/>
        <v>10987.598646055387</v>
      </c>
      <c r="AF280" s="129">
        <f t="shared" ca="1" si="101"/>
        <v>11095.521798209875</v>
      </c>
      <c r="AG280" s="129">
        <f t="shared" ca="1" si="101"/>
        <v>11204.505000621581</v>
      </c>
      <c r="AH280" s="129">
        <f t="shared" ca="1" si="101"/>
        <v>11314.232580313943</v>
      </c>
      <c r="AI280" s="129">
        <f t="shared" ca="1" si="101"/>
        <v>11425.034740431276</v>
      </c>
      <c r="AJ280" s="129">
        <f t="shared" ca="1" si="101"/>
        <v>11536.922004518276</v>
      </c>
      <c r="AK280" s="129">
        <f t="shared" ca="1" si="101"/>
        <v>11140.109300560354</v>
      </c>
      <c r="AL280" s="129">
        <f t="shared" ca="1" si="101"/>
        <v>11248.881747291049</v>
      </c>
      <c r="AM280" s="129">
        <f t="shared" ca="1" si="101"/>
        <v>11358.71625228783</v>
      </c>
      <c r="AN280" s="129">
        <f t="shared" ca="1" si="101"/>
        <v>11469.623185527606</v>
      </c>
      <c r="AO280" s="129">
        <f t="shared" ca="1" si="101"/>
        <v>3470.1191373196634</v>
      </c>
      <c r="AP280" s="129">
        <f t="shared" ca="1" si="101"/>
        <v>3503.9273260990876</v>
      </c>
      <c r="AQ280" s="129">
        <f t="shared" ca="1" si="101"/>
        <v>3538.0648965462055</v>
      </c>
      <c r="AR280" s="129">
        <f t="shared" ca="1" si="101"/>
        <v>3572.5350577144122</v>
      </c>
      <c r="AS280" s="115"/>
      <c r="AT280" s="125">
        <f ca="1">SUM(E280:AS280)</f>
        <v>265230.57496633654</v>
      </c>
    </row>
    <row r="281" spans="1:46" outlineLevel="1" x14ac:dyDescent="0.2">
      <c r="A281" s="420" t="str">
        <f>Параметры!$A$91</f>
        <v>Изменение тарифов водоснабжения/отведения, утилизации отходов и т.п.</v>
      </c>
      <c r="B281" s="263" t="s">
        <v>391</v>
      </c>
      <c r="C281" s="21" t="s">
        <v>14</v>
      </c>
      <c r="E281" s="362">
        <f>CHOOSE($C$276,Параметры!E$91,Параметры!E$113,Параметры!E$122)</f>
        <v>0</v>
      </c>
      <c r="F281" s="362">
        <f>CHOOSE($C$276,Параметры!F$91,Параметры!F$113,Параметры!F$122)</f>
        <v>0</v>
      </c>
      <c r="G281" s="362">
        <f>CHOOSE($C$276,Параметры!G$91,Параметры!G$113,Параметры!G$122)</f>
        <v>0</v>
      </c>
      <c r="H281" s="362">
        <f>CHOOSE($C$276,Параметры!H$91,Параметры!H$113,Параметры!H$122)</f>
        <v>0</v>
      </c>
      <c r="I281" s="362">
        <f>CHOOSE($C$276,Параметры!I$91,Параметры!I$113,Параметры!I$122)</f>
        <v>4.0440802660270059E-2</v>
      </c>
      <c r="J281" s="362">
        <f>CHOOSE($C$276,Параметры!J$91,Параметры!J$113,Параметры!J$122)</f>
        <v>4.0440802660270059E-2</v>
      </c>
      <c r="K281" s="362">
        <f>CHOOSE($C$276,Параметры!K$91,Параметры!K$113,Параметры!K$122)</f>
        <v>4.0440802660270059E-2</v>
      </c>
      <c r="L281" s="362">
        <f>CHOOSE($C$276,Параметры!L$91,Параметры!L$113,Параметры!L$122)</f>
        <v>4.0440802660270059E-2</v>
      </c>
      <c r="M281" s="362">
        <f>CHOOSE($C$276,Параметры!M$91,Параметры!M$113,Параметры!M$122)</f>
        <v>4.0441791093008828E-2</v>
      </c>
      <c r="N281" s="362">
        <f>CHOOSE($C$276,Параметры!N$91,Параметры!N$113,Параметры!N$122)</f>
        <v>4.0441791093008828E-2</v>
      </c>
      <c r="O281" s="362">
        <f>CHOOSE($C$276,Параметры!O$91,Параметры!O$113,Параметры!O$122)</f>
        <v>4.0441791093008828E-2</v>
      </c>
      <c r="P281" s="362">
        <f>CHOOSE($C$276,Параметры!P$91,Параметры!P$113,Параметры!P$122)</f>
        <v>4.0441791093008828E-2</v>
      </c>
      <c r="Q281" s="362">
        <f>CHOOSE($C$276,Параметры!Q$91,Параметры!Q$113,Параметры!Q$122)</f>
        <v>3.97920103999998E-2</v>
      </c>
      <c r="R281" s="362">
        <f>CHOOSE($C$276,Параметры!R$91,Параметры!R$113,Параметры!R$122)</f>
        <v>3.97920103999998E-2</v>
      </c>
      <c r="S281" s="362">
        <f>CHOOSE($C$276,Параметры!S$91,Параметры!S$113,Параметры!S$122)</f>
        <v>3.97920103999998E-2</v>
      </c>
      <c r="T281" s="362">
        <f>CHOOSE($C$276,Параметры!T$91,Параметры!T$113,Параметры!T$122)</f>
        <v>3.97920103999998E-2</v>
      </c>
      <c r="U281" s="362">
        <f>CHOOSE($C$276,Параметры!U$91,Параметры!U$113,Параметры!U$122)</f>
        <v>4.0467541564836118E-2</v>
      </c>
      <c r="V281" s="362">
        <f>CHOOSE($C$276,Параметры!V$91,Параметры!V$113,Параметры!V$122)</f>
        <v>4.0467541564836118E-2</v>
      </c>
      <c r="W281" s="362">
        <f>CHOOSE($C$276,Параметры!W$91,Параметры!W$113,Параметры!W$122)</f>
        <v>4.0467541564836118E-2</v>
      </c>
      <c r="X281" s="362">
        <f>CHOOSE($C$276,Параметры!X$91,Параметры!X$113,Параметры!X$122)</f>
        <v>4.0467541564836118E-2</v>
      </c>
      <c r="Y281" s="362">
        <f>CHOOSE($C$276,Параметры!Y$91,Параметры!Y$113,Параметры!Y$122)</f>
        <v>3.9923890663252637E-2</v>
      </c>
      <c r="Z281" s="362">
        <f>CHOOSE($C$276,Параметры!Z$91,Параметры!Z$113,Параметры!Z$122)</f>
        <v>3.9923890663252637E-2</v>
      </c>
      <c r="AA281" s="362">
        <f>CHOOSE($C$276,Параметры!AA$91,Параметры!AA$113,Параметры!AA$122)</f>
        <v>3.9923890663252637E-2</v>
      </c>
      <c r="AB281" s="362">
        <f>CHOOSE($C$276,Параметры!AB$91,Параметры!AB$113,Параметры!AB$122)</f>
        <v>3.9923890663252637E-2</v>
      </c>
      <c r="AC281" s="362">
        <f>CHOOSE($C$276,Параметры!AC$91,Параметры!AC$113,Параметры!AC$122)</f>
        <v>3.9871738579120741E-2</v>
      </c>
      <c r="AD281" s="362">
        <f>CHOOSE($C$276,Параметры!AD$91,Параметры!AD$113,Параметры!AD$122)</f>
        <v>3.9871738579120741E-2</v>
      </c>
      <c r="AE281" s="362">
        <f>CHOOSE($C$276,Параметры!AE$91,Параметры!AE$113,Параметры!AE$122)</f>
        <v>3.9871738579120741E-2</v>
      </c>
      <c r="AF281" s="362">
        <f>CHOOSE($C$276,Параметры!AF$91,Параметры!AF$113,Параметры!AF$122)</f>
        <v>3.9871738579120741E-2</v>
      </c>
      <c r="AG281" s="362">
        <f>CHOOSE($C$276,Параметры!AG$91,Параметры!AG$113,Параметры!AG$122)</f>
        <v>3.9751867532941132E-2</v>
      </c>
      <c r="AH281" s="362">
        <f>CHOOSE($C$276,Параметры!AH$91,Параметры!AH$113,Параметры!AH$122)</f>
        <v>3.9751867532941132E-2</v>
      </c>
      <c r="AI281" s="362">
        <f>CHOOSE($C$276,Параметры!AI$91,Параметры!AI$113,Параметры!AI$122)</f>
        <v>3.9751867532941132E-2</v>
      </c>
      <c r="AJ281" s="362">
        <f>CHOOSE($C$276,Параметры!AJ$91,Параметры!AJ$113,Параметры!AJ$122)</f>
        <v>3.9751867532941132E-2</v>
      </c>
      <c r="AK281" s="362">
        <f>CHOOSE($C$276,Параметры!AK$91,Параметры!AK$113,Параметры!AK$122)</f>
        <v>3.9631901785520673E-2</v>
      </c>
      <c r="AL281" s="362">
        <f>CHOOSE($C$276,Параметры!AL$91,Параметры!AL$113,Параметры!AL$122)</f>
        <v>3.9631901785520673E-2</v>
      </c>
      <c r="AM281" s="362">
        <f>CHOOSE($C$276,Параметры!AM$91,Параметры!AM$113,Параметры!AM$122)</f>
        <v>3.9631901785520673E-2</v>
      </c>
      <c r="AN281" s="362">
        <f>CHOOSE($C$276,Параметры!AN$91,Параметры!AN$113,Параметры!AN$122)</f>
        <v>3.9631901785520673E-2</v>
      </c>
      <c r="AO281" s="362">
        <f>CHOOSE($C$276,Параметры!AO$91,Параметры!AO$113,Параметры!AO$122)</f>
        <v>3.9543862090033466E-2</v>
      </c>
      <c r="AP281" s="362">
        <f>CHOOSE($C$276,Параметры!AP$91,Параметры!AP$113,Параметры!AP$122)</f>
        <v>3.9543862090033466E-2</v>
      </c>
      <c r="AQ281" s="362">
        <f>CHOOSE($C$276,Параметры!AQ$91,Параметры!AQ$113,Параметры!AQ$122)</f>
        <v>3.9543862090033466E-2</v>
      </c>
      <c r="AR281" s="362">
        <f>CHOOSE($C$276,Параметры!AR$91,Параметры!AR$113,Параметры!AR$122)</f>
        <v>3.9543862090033466E-2</v>
      </c>
      <c r="AS281" s="127"/>
      <c r="AT281" s="119"/>
    </row>
    <row r="282" spans="1:46" outlineLevel="1" x14ac:dyDescent="0.2">
      <c r="A282" s="302" t="s">
        <v>392</v>
      </c>
      <c r="B282" s="25"/>
      <c r="C282" s="21" t="s">
        <v>133</v>
      </c>
      <c r="E282" s="416">
        <f ca="1">IF(E$2=1,1,IF(Параметры!$B$62=1,POWER(1+OFFSET(E281,0,-1),Параметры!E$39/360),1) * IF(E$2&gt;1,D282, 1))</f>
        <v>1</v>
      </c>
      <c r="F282" s="416">
        <f ca="1">IF(F$2=1,1,IF(Параметры!$B$62=1,POWER(1+OFFSET(F281,0,-1),Параметры!F$39/360),1) * IF(F$2&gt;1,E282, 1))</f>
        <v>1</v>
      </c>
      <c r="G282" s="416">
        <f ca="1">IF(G$2=1,1,IF(Параметры!$B$62=1,POWER(1+OFFSET(G281,0,-1),Параметры!G$39/360),1) * IF(G$2&gt;1,F282, 1))</f>
        <v>1</v>
      </c>
      <c r="H282" s="416">
        <f ca="1">IF(H$2=1,1,IF(Параметры!$B$62=1,POWER(1+OFFSET(H281,0,-1),Параметры!H$39/360),1) * IF(H$2&gt;1,G282, 1))</f>
        <v>1</v>
      </c>
      <c r="I282" s="416">
        <f ca="1">IF(I$2=1,1,IF(Параметры!$B$62=1,POWER(1+OFFSET(I281,0,-1),Параметры!I$39/360),1) * IF(I$2&gt;1,H282, 1))</f>
        <v>1</v>
      </c>
      <c r="J282" s="416">
        <f ca="1">IF(J$2=1,1,IF(Параметры!$B$62=1,POWER(1+OFFSET(J281,0,-1),Параметры!J$39/360),1) * IF(J$2&gt;1,I282, 1))</f>
        <v>1.0099603958116148</v>
      </c>
      <c r="K282" s="416">
        <f ca="1">IF(K$2=1,1,IF(Параметры!$B$62=1,POWER(1+OFFSET(K281,0,-1),Параметры!K$39/360),1) * IF(K$2&gt;1,J282, 1))</f>
        <v>1.0200200011079537</v>
      </c>
      <c r="L282" s="416">
        <f ca="1">IF(L$2=1,1,IF(Параметры!$B$62=1,POWER(1+OFFSET(L281,0,-1),Параметры!L$39/360),1) * IF(L$2&gt;1,K282, 1))</f>
        <v>1.0301798040547527</v>
      </c>
      <c r="M282" s="416">
        <f ca="1">IF(M$2=1,1,IF(Параметры!$B$62=1,POWER(1+OFFSET(M281,0,-1),Параметры!M$39/360),1) * IF(M$2&gt;1,L282, 1))</f>
        <v>1.0404408026602698</v>
      </c>
      <c r="N282" s="416">
        <f ca="1">IF(N$2=1,1,IF(Параметры!$B$62=1,POWER(1+OFFSET(N281,0,-1),Параметры!N$39/360),1) * IF(N$2&gt;1,M282, 1))</f>
        <v>1.0508042544427114</v>
      </c>
      <c r="O282" s="416">
        <f ca="1">IF(O$2=1,1,IF(Параметры!$B$62=1,POWER(1+OFFSET(O281,0,-1),Параметры!O$39/360),1) * IF(O$2&gt;1,N282, 1))</f>
        <v>1.0612709327927505</v>
      </c>
      <c r="P282" s="416">
        <f ca="1">IF(P$2=1,1,IF(Параметры!$B$62=1,POWER(1+OFFSET(P281,0,-1),Параметры!P$39/360),1) * IF(P$2&gt;1,O282, 1))</f>
        <v>1.0718418659126194</v>
      </c>
      <c r="Q282" s="416">
        <f ca="1">IF(Q$2=1,1,IF(Параметры!$B$62=1,POWER(1+OFFSET(Q281,0,-1),Параметры!Q$39/360),1) * IF(Q$2&gt;1,P282, 1))</f>
        <v>1.0825180922460986</v>
      </c>
      <c r="R282" s="416">
        <f ca="1">IF(R$2=1,1,IF(Параметры!$B$62=1,POWER(1+OFFSET(R281,0,-1),Параметры!R$39/360),1) * IF(R$2&gt;1,Q282, 1))</f>
        <v>1.0931299225099094</v>
      </c>
      <c r="S282" s="416">
        <f ca="1">IF(S$2=1,1,IF(Параметры!$B$62=1,POWER(1+OFFSET(S281,0,-1),Параметры!S$39/360),1) * IF(S$2&gt;1,R282, 1))</f>
        <v>1.1038457796184948</v>
      </c>
      <c r="T282" s="416">
        <f ca="1">IF(T$2=1,1,IF(Параметры!$B$62=1,POWER(1+OFFSET(T281,0,-1),Параметры!T$39/360),1) * IF(T$2&gt;1,S282, 1))</f>
        <v>1.114666683337924</v>
      </c>
      <c r="U282" s="416">
        <f ca="1">IF(U$2=1,1,IF(Параметры!$B$62=1,POWER(1+OFFSET(U281,0,-1),Параметры!U$39/360),1) * IF(U$2&gt;1,T282, 1))</f>
        <v>1.1255936634309438</v>
      </c>
      <c r="V282" s="416">
        <f ca="1">IF(V$2=1,1,IF(Параметры!$B$62=1,POWER(1+OFFSET(V281,0,-1),Параметры!V$39/360),1) * IF(V$2&gt;1,U282, 1))</f>
        <v>1.1368123256278035</v>
      </c>
      <c r="W282" s="416">
        <f ca="1">IF(W$2=1,1,IF(Параметры!$B$62=1,POWER(1+OFFSET(W281,0,-1),Параметры!W$39/360),1) * IF(W$2&gt;1,V282, 1))</f>
        <v>1.1481428029366136</v>
      </c>
      <c r="X282" s="416">
        <f ca="1">IF(X$2=1,1,IF(Параметры!$B$62=1,POWER(1+OFFSET(X281,0,-1),Параметры!X$39/360),1) * IF(X$2&gt;1,W282, 1))</f>
        <v>1.1595862098056964</v>
      </c>
      <c r="Y282" s="416">
        <f ca="1">IF(Y$2=1,1,IF(Параметры!$B$62=1,POWER(1+OFFSET(Y281,0,-1),Параметры!Y$39/360),1) * IF(Y$2&gt;1,X282, 1))</f>
        <v>1.1711436717909514</v>
      </c>
      <c r="Z282" s="416">
        <f ca="1">IF(Z$2=1,1,IF(Параметры!$B$62=1,POWER(1+OFFSET(Z281,0,-1),Параметры!Z$39/360),1) * IF(Z$2&gt;1,Y282, 1))</f>
        <v>1.1826617881217594</v>
      </c>
      <c r="AA282" s="416">
        <f ca="1">IF(AA$2=1,1,IF(Параметры!$B$62=1,POWER(1+OFFSET(AA281,0,-1),Параметры!AA$39/360),1) * IF(AA$2&gt;1,Z282, 1))</f>
        <v>1.1942931843233515</v>
      </c>
      <c r="AB282" s="416">
        <f ca="1">IF(AB$2=1,1,IF(Параметры!$B$62=1,POWER(1+OFFSET(AB281,0,-1),Параметры!AB$39/360),1) * IF(AB$2&gt;1,AA282, 1))</f>
        <v>1.2060389744953561</v>
      </c>
      <c r="AC282" s="416">
        <f ca="1">IF(AC$2=1,1,IF(Параметры!$B$62=1,POWER(1+OFFSET(AC281,0,-1),Параметры!AC$39/360),1) * IF(AC$2&gt;1,AB282, 1))</f>
        <v>1.2179002836944939</v>
      </c>
      <c r="AD282" s="416">
        <f ca="1">IF(AD$2=1,1,IF(Параметры!$B$62=1,POWER(1+OFFSET(AD281,0,-1),Параметры!AD$39/360),1) * IF(AD$2&gt;1,AC282, 1))</f>
        <v>1.229862828183079</v>
      </c>
      <c r="AE282" s="416">
        <f ca="1">IF(AE$2=1,1,IF(Параметры!$B$62=1,POWER(1+OFFSET(AE281,0,-1),Параметры!AE$39/360),1) * IF(AE$2&gt;1,AD282, 1))</f>
        <v>1.2419428720043739</v>
      </c>
      <c r="AF282" s="416">
        <f ca="1">IF(AF$2=1,1,IF(Параметры!$B$62=1,POWER(1+OFFSET(AF281,0,-1),Параметры!AF$39/360),1) * IF(AF$2&gt;1,AE282, 1))</f>
        <v>1.2541415692684599</v>
      </c>
      <c r="AG282" s="416">
        <f ca="1">IF(AG$2=1,1,IF(Параметры!$B$62=1,POWER(1+OFFSET(AG281,0,-1),Параметры!AG$39/360),1) * IF(AG$2&gt;1,AF282, 1))</f>
        <v>1.2664600854213974</v>
      </c>
      <c r="AH282" s="416">
        <f ca="1">IF(AH$2=1,1,IF(Параметры!$B$62=1,POWER(1+OFFSET(AH281,0,-1),Параметры!AH$39/360),1) * IF(AH$2&gt;1,AG282, 1))</f>
        <v>1.2788627395272738</v>
      </c>
      <c r="AI282" s="416">
        <f ca="1">IF(AI$2=1,1,IF(Параметры!$B$62=1,POWER(1+OFFSET(AI281,0,-1),Параметры!AI$39/360),1) * IF(AI$2&gt;1,AH282, 1))</f>
        <v>1.2913868548861662</v>
      </c>
      <c r="AJ282" s="416">
        <f ca="1">IF(AJ$2=1,1,IF(Параметры!$B$62=1,POWER(1+OFFSET(AJ281,0,-1),Параметры!AJ$39/360),1) * IF(AJ$2&gt;1,AI282, 1))</f>
        <v>1.3040336209883125</v>
      </c>
      <c r="AK282" s="416">
        <f ca="1">IF(AK$2=1,1,IF(Параметры!$B$62=1,POWER(1+OFFSET(AK281,0,-1),Параметры!AK$39/360),1) * IF(AK$2&gt;1,AJ282, 1))</f>
        <v>1.3168042389728265</v>
      </c>
      <c r="AL282" s="416">
        <f ca="1">IF(AL$2=1,1,IF(Параметры!$B$62=1,POWER(1+OFFSET(AL281,0,-1),Параметры!AL$39/360),1) * IF(AL$2&gt;1,AK282, 1))</f>
        <v>1.3296615651510553</v>
      </c>
      <c r="AM282" s="416">
        <f ca="1">IF(AM$2=1,1,IF(Параметры!$B$62=1,POWER(1+OFFSET(AM281,0,-1),Параметры!AM$39/360),1) * IF(AM$2&gt;1,AL282, 1))</f>
        <v>1.3426444307462762</v>
      </c>
      <c r="AN282" s="416">
        <f ca="1">IF(AN$2=1,1,IF(Параметры!$B$62=1,POWER(1+OFFSET(AN281,0,-1),Параметры!AN$39/360),1) * IF(AN$2&gt;1,AM282, 1))</f>
        <v>1.3557540615300843</v>
      </c>
      <c r="AO282" s="416">
        <f ca="1">IF(AO$2=1,1,IF(Параметры!$B$62=1,POWER(1+OFFSET(AO281,0,-1),Параметры!AO$39/360),1) * IF(AO$2&gt;1,AN282, 1))</f>
        <v>1.3689916952425547</v>
      </c>
      <c r="AP282" s="416">
        <f ca="1">IF(AP$2=1,1,IF(Параметры!$B$62=1,POWER(1+OFFSET(AP281,0,-1),Параметры!AP$39/360),1) * IF(AP$2&gt;1,AO282, 1))</f>
        <v>1.3823293150298608</v>
      </c>
      <c r="AQ282" s="416">
        <f ca="1">IF(AQ$2=1,1,IF(Параметры!$B$62=1,POWER(1+OFFSET(AQ281,0,-1),Параметры!AQ$39/360),1) * IF(AQ$2&gt;1,AP282, 1))</f>
        <v>1.395796878703758</v>
      </c>
      <c r="AR282" s="416">
        <f ca="1">IF(AR$2=1,1,IF(Параметры!$B$62=1,POWER(1+OFFSET(AR281,0,-1),Параметры!AR$39/360),1) * IF(AR$2&gt;1,AQ282, 1))</f>
        <v>1.4093956522632725</v>
      </c>
      <c r="AS282" s="128"/>
      <c r="AT282" s="117"/>
    </row>
    <row r="283" spans="1:46" outlineLevel="1" x14ac:dyDescent="0.2">
      <c r="A283" s="319" t="s">
        <v>491</v>
      </c>
      <c r="B283" s="24"/>
      <c r="C283" s="2" t="s">
        <v>133</v>
      </c>
      <c r="D283" s="310"/>
      <c r="E283" s="417">
        <f>IF(E$2=1,1,CHOOSE($B$8,E282,IF(Параметры!E$43=1,E282,D283),IF(Параметры!E$48=1,E282,D283),IF(Параметры!E$45&lt;&gt;Параметры!D$45,E282,D283),IF(Параметры!E$50&lt;&gt;Параметры!D$50,E282,D283)))</f>
        <v>1</v>
      </c>
      <c r="F283" s="417">
        <f ca="1">IF(F$2=1,1,CHOOSE($B$8,F282,IF(Параметры!F$43=1,F282,E283),IF(Параметры!F$48=1,F282,E283),IF(Параметры!F$45&lt;&gt;Параметры!E$45,F282,E283),IF(Параметры!F$50&lt;&gt;Параметры!E$50,F282,E283)))</f>
        <v>1</v>
      </c>
      <c r="G283" s="417">
        <f ca="1">IF(G$2=1,1,CHOOSE($B$8,G282,IF(Параметры!G$43=1,G282,F283),IF(Параметры!G$48=1,G282,F283),IF(Параметры!G$45&lt;&gt;Параметры!F$45,G282,F283),IF(Параметры!G$50&lt;&gt;Параметры!F$50,G282,F283)))</f>
        <v>1</v>
      </c>
      <c r="H283" s="417">
        <f ca="1">IF(H$2=1,1,CHOOSE($B$8,H282,IF(Параметры!H$43=1,H282,G283),IF(Параметры!H$48=1,H282,G283),IF(Параметры!H$45&lt;&gt;Параметры!G$45,H282,G283),IF(Параметры!H$50&lt;&gt;Параметры!G$50,H282,G283)))</f>
        <v>1</v>
      </c>
      <c r="I283" s="417">
        <f ca="1">IF(I$2=1,1,CHOOSE($B$8,I282,IF(Параметры!I$43=1,I282,H283),IF(Параметры!I$48=1,I282,H283),IF(Параметры!I$45&lt;&gt;Параметры!H$45,I282,H283),IF(Параметры!I$50&lt;&gt;Параметры!H$50,I282,H283)))</f>
        <v>1</v>
      </c>
      <c r="J283" s="417">
        <f ca="1">IF(J$2=1,1,CHOOSE($B$8,J282,IF(Параметры!J$43=1,J282,I283),IF(Параметры!J$48=1,J282,I283),IF(Параметры!J$45&lt;&gt;Параметры!I$45,J282,I283),IF(Параметры!J$50&lt;&gt;Параметры!I$50,J282,I283)))</f>
        <v>1.0099603958116148</v>
      </c>
      <c r="K283" s="417">
        <f ca="1">IF(K$2=1,1,CHOOSE($B$8,K282,IF(Параметры!K$43=1,K282,J283),IF(Параметры!K$48=1,K282,J283),IF(Параметры!K$45&lt;&gt;Параметры!J$45,K282,J283),IF(Параметры!K$50&lt;&gt;Параметры!J$50,K282,J283)))</f>
        <v>1.0200200011079537</v>
      </c>
      <c r="L283" s="417">
        <f ca="1">IF(L$2=1,1,CHOOSE($B$8,L282,IF(Параметры!L$43=1,L282,K283),IF(Параметры!L$48=1,L282,K283),IF(Параметры!L$45&lt;&gt;Параметры!K$45,L282,K283),IF(Параметры!L$50&lt;&gt;Параметры!K$50,L282,K283)))</f>
        <v>1.0301798040547527</v>
      </c>
      <c r="M283" s="417">
        <f ca="1">IF(M$2=1,1,CHOOSE($B$8,M282,IF(Параметры!M$43=1,M282,L283),IF(Параметры!M$48=1,M282,L283),IF(Параметры!M$45&lt;&gt;Параметры!L$45,M282,L283),IF(Параметры!M$50&lt;&gt;Параметры!L$50,M282,L283)))</f>
        <v>1.0404408026602698</v>
      </c>
      <c r="N283" s="417">
        <f ca="1">IF(N$2=1,1,CHOOSE($B$8,N282,IF(Параметры!N$43=1,N282,M283),IF(Параметры!N$48=1,N282,M283),IF(Параметры!N$45&lt;&gt;Параметры!M$45,N282,M283),IF(Параметры!N$50&lt;&gt;Параметры!M$50,N282,M283)))</f>
        <v>1.0508042544427114</v>
      </c>
      <c r="O283" s="417">
        <f ca="1">IF(O$2=1,1,CHOOSE($B$8,O282,IF(Параметры!O$43=1,O282,N283),IF(Параметры!O$48=1,O282,N283),IF(Параметры!O$45&lt;&gt;Параметры!N$45,O282,N283),IF(Параметры!O$50&lt;&gt;Параметры!N$50,O282,N283)))</f>
        <v>1.0612709327927505</v>
      </c>
      <c r="P283" s="417">
        <f ca="1">IF(P$2=1,1,CHOOSE($B$8,P282,IF(Параметры!P$43=1,P282,O283),IF(Параметры!P$48=1,P282,O283),IF(Параметры!P$45&lt;&gt;Параметры!O$45,P282,O283),IF(Параметры!P$50&lt;&gt;Параметры!O$50,P282,O283)))</f>
        <v>1.0718418659126194</v>
      </c>
      <c r="Q283" s="417">
        <f ca="1">IF(Q$2=1,1,CHOOSE($B$8,Q282,IF(Параметры!Q$43=1,Q282,P283),IF(Параметры!Q$48=1,Q282,P283),IF(Параметры!Q$45&lt;&gt;Параметры!P$45,Q282,P283),IF(Параметры!Q$50&lt;&gt;Параметры!P$50,Q282,P283)))</f>
        <v>1.0825180922460986</v>
      </c>
      <c r="R283" s="417">
        <f ca="1">IF(R$2=1,1,CHOOSE($B$8,R282,IF(Параметры!R$43=1,R282,Q283),IF(Параметры!R$48=1,R282,Q283),IF(Параметры!R$45&lt;&gt;Параметры!Q$45,R282,Q283),IF(Параметры!R$50&lt;&gt;Параметры!Q$50,R282,Q283)))</f>
        <v>1.0931299225099094</v>
      </c>
      <c r="S283" s="417">
        <f ca="1">IF(S$2=1,1,CHOOSE($B$8,S282,IF(Параметры!S$43=1,S282,R283),IF(Параметры!S$48=1,S282,R283),IF(Параметры!S$45&lt;&gt;Параметры!R$45,S282,R283),IF(Параметры!S$50&lt;&gt;Параметры!R$50,S282,R283)))</f>
        <v>1.1038457796184948</v>
      </c>
      <c r="T283" s="417">
        <f ca="1">IF(T$2=1,1,CHOOSE($B$8,T282,IF(Параметры!T$43=1,T282,S283),IF(Параметры!T$48=1,T282,S283),IF(Параметры!T$45&lt;&gt;Параметры!S$45,T282,S283),IF(Параметры!T$50&lt;&gt;Параметры!S$50,T282,S283)))</f>
        <v>1.114666683337924</v>
      </c>
      <c r="U283" s="417">
        <f ca="1">IF(U$2=1,1,CHOOSE($B$8,U282,IF(Параметры!U$43=1,U282,T283),IF(Параметры!U$48=1,U282,T283),IF(Параметры!U$45&lt;&gt;Параметры!T$45,U282,T283),IF(Параметры!U$50&lt;&gt;Параметры!T$50,U282,T283)))</f>
        <v>1.1255936634309438</v>
      </c>
      <c r="V283" s="417">
        <f ca="1">IF(V$2=1,1,CHOOSE($B$8,V282,IF(Параметры!V$43=1,V282,U283),IF(Параметры!V$48=1,V282,U283),IF(Параметры!V$45&lt;&gt;Параметры!U$45,V282,U283),IF(Параметры!V$50&lt;&gt;Параметры!U$50,V282,U283)))</f>
        <v>1.1368123256278035</v>
      </c>
      <c r="W283" s="417">
        <f ca="1">IF(W$2=1,1,CHOOSE($B$8,W282,IF(Параметры!W$43=1,W282,V283),IF(Параметры!W$48=1,W282,V283),IF(Параметры!W$45&lt;&gt;Параметры!V$45,W282,V283),IF(Параметры!W$50&lt;&gt;Параметры!V$50,W282,V283)))</f>
        <v>1.1481428029366136</v>
      </c>
      <c r="X283" s="417">
        <f ca="1">IF(X$2=1,1,CHOOSE($B$8,X282,IF(Параметры!X$43=1,X282,W283),IF(Параметры!X$48=1,X282,W283),IF(Параметры!X$45&lt;&gt;Параметры!W$45,X282,W283),IF(Параметры!X$50&lt;&gt;Параметры!W$50,X282,W283)))</f>
        <v>1.1595862098056964</v>
      </c>
      <c r="Y283" s="417">
        <f ca="1">IF(Y$2=1,1,CHOOSE($B$8,Y282,IF(Параметры!Y$43=1,Y282,X283),IF(Параметры!Y$48=1,Y282,X283),IF(Параметры!Y$45&lt;&gt;Параметры!X$45,Y282,X283),IF(Параметры!Y$50&lt;&gt;Параметры!X$50,Y282,X283)))</f>
        <v>1.1711436717909514</v>
      </c>
      <c r="Z283" s="417">
        <f ca="1">IF(Z$2=1,1,CHOOSE($B$8,Z282,IF(Параметры!Z$43=1,Z282,Y283),IF(Параметры!Z$48=1,Z282,Y283),IF(Параметры!Z$45&lt;&gt;Параметры!Y$45,Z282,Y283),IF(Параметры!Z$50&lt;&gt;Параметры!Y$50,Z282,Y283)))</f>
        <v>1.1826617881217594</v>
      </c>
      <c r="AA283" s="417">
        <f ca="1">IF(AA$2=1,1,CHOOSE($B$8,AA282,IF(Параметры!AA$43=1,AA282,Z283),IF(Параметры!AA$48=1,AA282,Z283),IF(Параметры!AA$45&lt;&gt;Параметры!Z$45,AA282,Z283),IF(Параметры!AA$50&lt;&gt;Параметры!Z$50,AA282,Z283)))</f>
        <v>1.1942931843233515</v>
      </c>
      <c r="AB283" s="417">
        <f ca="1">IF(AB$2=1,1,CHOOSE($B$8,AB282,IF(Параметры!AB$43=1,AB282,AA283),IF(Параметры!AB$48=1,AB282,AA283),IF(Параметры!AB$45&lt;&gt;Параметры!AA$45,AB282,AA283),IF(Параметры!AB$50&lt;&gt;Параметры!AA$50,AB282,AA283)))</f>
        <v>1.2060389744953561</v>
      </c>
      <c r="AC283" s="417">
        <f ca="1">IF(AC$2=1,1,CHOOSE($B$8,AC282,IF(Параметры!AC$43=1,AC282,AB283),IF(Параметры!AC$48=1,AC282,AB283),IF(Параметры!AC$45&lt;&gt;Параметры!AB$45,AC282,AB283),IF(Параметры!AC$50&lt;&gt;Параметры!AB$50,AC282,AB283)))</f>
        <v>1.2179002836944939</v>
      </c>
      <c r="AD283" s="417">
        <f ca="1">IF(AD$2=1,1,CHOOSE($B$8,AD282,IF(Параметры!AD$43=1,AD282,AC283),IF(Параметры!AD$48=1,AD282,AC283),IF(Параметры!AD$45&lt;&gt;Параметры!AC$45,AD282,AC283),IF(Параметры!AD$50&lt;&gt;Параметры!AC$50,AD282,AC283)))</f>
        <v>1.229862828183079</v>
      </c>
      <c r="AE283" s="417">
        <f ca="1">IF(AE$2=1,1,CHOOSE($B$8,AE282,IF(Параметры!AE$43=1,AE282,AD283),IF(Параметры!AE$48=1,AE282,AD283),IF(Параметры!AE$45&lt;&gt;Параметры!AD$45,AE282,AD283),IF(Параметры!AE$50&lt;&gt;Параметры!AD$50,AE282,AD283)))</f>
        <v>1.2419428720043739</v>
      </c>
      <c r="AF283" s="417">
        <f ca="1">IF(AF$2=1,1,CHOOSE($B$8,AF282,IF(Параметры!AF$43=1,AF282,AE283),IF(Параметры!AF$48=1,AF282,AE283),IF(Параметры!AF$45&lt;&gt;Параметры!AE$45,AF282,AE283),IF(Параметры!AF$50&lt;&gt;Параметры!AE$50,AF282,AE283)))</f>
        <v>1.2541415692684599</v>
      </c>
      <c r="AG283" s="417">
        <f ca="1">IF(AG$2=1,1,CHOOSE($B$8,AG282,IF(Параметры!AG$43=1,AG282,AF283),IF(Параметры!AG$48=1,AG282,AF283),IF(Параметры!AG$45&lt;&gt;Параметры!AF$45,AG282,AF283),IF(Параметры!AG$50&lt;&gt;Параметры!AF$50,AG282,AF283)))</f>
        <v>1.2664600854213974</v>
      </c>
      <c r="AH283" s="417">
        <f ca="1">IF(AH$2=1,1,CHOOSE($B$8,AH282,IF(Параметры!AH$43=1,AH282,AG283),IF(Параметры!AH$48=1,AH282,AG283),IF(Параметры!AH$45&lt;&gt;Параметры!AG$45,AH282,AG283),IF(Параметры!AH$50&lt;&gt;Параметры!AG$50,AH282,AG283)))</f>
        <v>1.2788627395272738</v>
      </c>
      <c r="AI283" s="417">
        <f ca="1">IF(AI$2=1,1,CHOOSE($B$8,AI282,IF(Параметры!AI$43=1,AI282,AH283),IF(Параметры!AI$48=1,AI282,AH283),IF(Параметры!AI$45&lt;&gt;Параметры!AH$45,AI282,AH283),IF(Параметры!AI$50&lt;&gt;Параметры!AH$50,AI282,AH283)))</f>
        <v>1.2913868548861662</v>
      </c>
      <c r="AJ283" s="417">
        <f ca="1">IF(AJ$2=1,1,CHOOSE($B$8,AJ282,IF(Параметры!AJ$43=1,AJ282,AI283),IF(Параметры!AJ$48=1,AJ282,AI283),IF(Параметры!AJ$45&lt;&gt;Параметры!AI$45,AJ282,AI283),IF(Параметры!AJ$50&lt;&gt;Параметры!AI$50,AJ282,AI283)))</f>
        <v>1.3040336209883125</v>
      </c>
      <c r="AK283" s="417">
        <f ca="1">IF(AK$2=1,1,CHOOSE($B$8,AK282,IF(Параметры!AK$43=1,AK282,AJ283),IF(Параметры!AK$48=1,AK282,AJ283),IF(Параметры!AK$45&lt;&gt;Параметры!AJ$45,AK282,AJ283),IF(Параметры!AK$50&lt;&gt;Параметры!AJ$50,AK282,AJ283)))</f>
        <v>1.3168042389728265</v>
      </c>
      <c r="AL283" s="417">
        <f ca="1">IF(AL$2=1,1,CHOOSE($B$8,AL282,IF(Параметры!AL$43=1,AL282,AK283),IF(Параметры!AL$48=1,AL282,AK283),IF(Параметры!AL$45&lt;&gt;Параметры!AK$45,AL282,AK283),IF(Параметры!AL$50&lt;&gt;Параметры!AK$50,AL282,AK283)))</f>
        <v>1.3296615651510553</v>
      </c>
      <c r="AM283" s="417">
        <f ca="1">IF(AM$2=1,1,CHOOSE($B$8,AM282,IF(Параметры!AM$43=1,AM282,AL283),IF(Параметры!AM$48=1,AM282,AL283),IF(Параметры!AM$45&lt;&gt;Параметры!AL$45,AM282,AL283),IF(Параметры!AM$50&lt;&gt;Параметры!AL$50,AM282,AL283)))</f>
        <v>1.3426444307462762</v>
      </c>
      <c r="AN283" s="417">
        <f ca="1">IF(AN$2=1,1,CHOOSE($B$8,AN282,IF(Параметры!AN$43=1,AN282,AM283),IF(Параметры!AN$48=1,AN282,AM283),IF(Параметры!AN$45&lt;&gt;Параметры!AM$45,AN282,AM283),IF(Параметры!AN$50&lt;&gt;Параметры!AM$50,AN282,AM283)))</f>
        <v>1.3557540615300843</v>
      </c>
      <c r="AO283" s="417">
        <f ca="1">IF(AO$2=1,1,CHOOSE($B$8,AO282,IF(Параметры!AO$43=1,AO282,AN283),IF(Параметры!AO$48=1,AO282,AN283),IF(Параметры!AO$45&lt;&gt;Параметры!AN$45,AO282,AN283),IF(Параметры!AO$50&lt;&gt;Параметры!AN$50,AO282,AN283)))</f>
        <v>1.3689916952425547</v>
      </c>
      <c r="AP283" s="417">
        <f ca="1">IF(AP$2=1,1,CHOOSE($B$8,AP282,IF(Параметры!AP$43=1,AP282,AO283),IF(Параметры!AP$48=1,AP282,AO283),IF(Параметры!AP$45&lt;&gt;Параметры!AO$45,AP282,AO283),IF(Параметры!AP$50&lt;&gt;Параметры!AO$50,AP282,AO283)))</f>
        <v>1.3823293150298608</v>
      </c>
      <c r="AQ283" s="417">
        <f ca="1">IF(AQ$2=1,1,CHOOSE($B$8,AQ282,IF(Параметры!AQ$43=1,AQ282,AP283),IF(Параметры!AQ$48=1,AQ282,AP283),IF(Параметры!AQ$45&lt;&gt;Параметры!AP$45,AQ282,AP283),IF(Параметры!AQ$50&lt;&gt;Параметры!AP$50,AQ282,AP283)))</f>
        <v>1.395796878703758</v>
      </c>
      <c r="AR283" s="417">
        <f ca="1">IF(AR$2=1,1,CHOOSE($B$8,AR282,IF(Параметры!AR$43=1,AR282,AQ283),IF(Параметры!AR$48=1,AR282,AQ283),IF(Параметры!AR$45&lt;&gt;Параметры!AQ$45,AR282,AQ283),IF(Параметры!AR$50&lt;&gt;Параметры!AQ$50,AR282,AQ283)))</f>
        <v>1.4093956522632725</v>
      </c>
      <c r="AS283" s="120"/>
      <c r="AT283" s="116"/>
    </row>
    <row r="284" spans="1:46" x14ac:dyDescent="0.2">
      <c r="AS284" s="1"/>
    </row>
    <row r="285" spans="1:46" x14ac:dyDescent="0.2">
      <c r="A285" s="133" t="s">
        <v>59</v>
      </c>
      <c r="B285" s="46"/>
      <c r="C285" s="46"/>
      <c r="D285" s="47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73"/>
      <c r="AT285" s="91"/>
    </row>
    <row r="286" spans="1:46" x14ac:dyDescent="0.2">
      <c r="AS286" s="1"/>
    </row>
    <row r="287" spans="1:46" ht="22.5" x14ac:dyDescent="0.2">
      <c r="A287" s="543" t="str">
        <f>ИД!B146</f>
        <v>Мероприятия по привлечению резидентов и маркетинговому продвижению парка до 100% заполнения площадей</v>
      </c>
      <c r="B287" s="223" t="s">
        <v>390</v>
      </c>
      <c r="C287" s="286">
        <v>1</v>
      </c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</row>
    <row r="288" spans="1:46" x14ac:dyDescent="0.2">
      <c r="A288" s="106" t="s">
        <v>63</v>
      </c>
      <c r="B288" s="350">
        <f>Деятельность_УК!$B$6+1</f>
        <v>1</v>
      </c>
      <c r="C288" s="3" t="s">
        <v>3</v>
      </c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123"/>
    </row>
    <row r="289" spans="1:46" collapsed="1" x14ac:dyDescent="0.2">
      <c r="A289" s="106" t="s">
        <v>1096</v>
      </c>
      <c r="B289" s="350">
        <f>ИД!C146/4/1.2</f>
        <v>270.83333333333337</v>
      </c>
      <c r="C289" s="3" t="str">
        <f>CHOOSE(C287,Параметры!$B$64,Параметры!$B$108,Параметры!$B$117)</f>
        <v>тыс. руб.</v>
      </c>
      <c r="E289" s="363">
        <f>IF(E$2&gt;=$B288,$B289,0)*Параметры!E$41*IF(Резиденты!E17&lt;1,1,0)</f>
        <v>270.83333333333337</v>
      </c>
      <c r="F289" s="363">
        <f>IF(F$2&gt;=$B288,$B289,0)*Параметры!F$41*IF(Резиденты!F17&lt;1,1,0)</f>
        <v>270.83333333333337</v>
      </c>
      <c r="G289" s="363">
        <f>IF(G$2&gt;=$B288,$B289,0)*Параметры!G$41*IF(Резиденты!G17&lt;1,1,0)</f>
        <v>270.83333333333337</v>
      </c>
      <c r="H289" s="363">
        <f>IF(H$2&gt;=$B288,$B289,0)*Параметры!H$41*IF(Резиденты!H17&lt;1,1,0)</f>
        <v>270.83333333333337</v>
      </c>
      <c r="I289" s="363">
        <f>IF(I$2&gt;=$B288,$B289,0)*Параметры!I$41*IF(Резиденты!I17&lt;1,1,0)</f>
        <v>270.83333333333337</v>
      </c>
      <c r="J289" s="363">
        <f>IF(J$2&gt;=$B288,$B289,0)*Параметры!J$41*IF(Резиденты!J17&lt;1,1,0)</f>
        <v>270.83333333333337</v>
      </c>
      <c r="K289" s="363">
        <f>IF(K$2&gt;=$B288,$B289,0)*Параметры!K$41*IF(Резиденты!K17&lt;1,1,0)</f>
        <v>270.83333333333337</v>
      </c>
      <c r="L289" s="363">
        <f>IF(L$2&gt;=$B288,$B289,0)*Параметры!L$41*IF(Резиденты!L17&lt;1,1,0)</f>
        <v>270.83333333333337</v>
      </c>
      <c r="M289" s="363">
        <f>IF(M$2&gt;=$B288,$B289,0)*Параметры!M$41*IF(Резиденты!M17&lt;1,1,0)</f>
        <v>270.83333333333337</v>
      </c>
      <c r="N289" s="363">
        <f>IF(N$2&gt;=$B288,$B289,0)*Параметры!N$41*IF(Резиденты!N17&lt;1,1,0)</f>
        <v>270.83333333333337</v>
      </c>
      <c r="O289" s="363">
        <f>IF(O$2&gt;=$B288,$B289,0)*Параметры!O$41*IF(Резиденты!O17&lt;1,1,0)</f>
        <v>270.83333333333337</v>
      </c>
      <c r="P289" s="363">
        <f>IF(P$2&gt;=$B288,$B289,0)*Параметры!P$41*IF(Резиденты!P17&lt;1,1,0)</f>
        <v>270.83333333333337</v>
      </c>
      <c r="Q289" s="363">
        <f>IF(Q$2&gt;=$B288,$B289,0)*Параметры!Q$41*IF(Резиденты!Q17&lt;1,1,0)</f>
        <v>270.83333333333337</v>
      </c>
      <c r="R289" s="363">
        <f>IF(R$2&gt;=$B288,$B289,0)*Параметры!R$41*IF(Резиденты!R17&lt;1,1,0)</f>
        <v>270.83333333333337</v>
      </c>
      <c r="S289" s="363">
        <f>IF(S$2&gt;=$B288,$B289,0)*Параметры!S$41*IF(Резиденты!S17&lt;1,1,0)</f>
        <v>270.83333333333337</v>
      </c>
      <c r="T289" s="363">
        <f>IF(T$2&gt;=$B288,$B289,0)*Параметры!T$41*IF(Резиденты!T17&lt;1,1,0)</f>
        <v>270.83333333333337</v>
      </c>
      <c r="U289" s="363">
        <f>IF(U$2&gt;=$B288,$B289,0)*Параметры!U$41*IF(Резиденты!U17&lt;1,1,0)</f>
        <v>0</v>
      </c>
      <c r="V289" s="363">
        <f>IF(V$2&gt;=$B288,$B289,0)*Параметры!V$41*IF(Резиденты!V17&lt;1,1,0)</f>
        <v>0</v>
      </c>
      <c r="W289" s="363">
        <f>IF(W$2&gt;=$B288,$B289,0)*Параметры!W$41*IF(Резиденты!W17&lt;1,1,0)</f>
        <v>0</v>
      </c>
      <c r="X289" s="363">
        <f>IF(X$2&gt;=$B288,$B289,0)*Параметры!X$41*IF(Резиденты!X17&lt;1,1,0)</f>
        <v>0</v>
      </c>
      <c r="Y289" s="363">
        <f>IF(Y$2&gt;=$B288,$B289,0)*Параметры!Y$41*IF(Резиденты!Y17&lt;1,1,0)</f>
        <v>0</v>
      </c>
      <c r="Z289" s="363">
        <f>IF(Z$2&gt;=$B288,$B289,0)*Параметры!Z$41*IF(Резиденты!Z17&lt;1,1,0)</f>
        <v>0</v>
      </c>
      <c r="AA289" s="363">
        <f>IF(AA$2&gt;=$B288,$B289,0)*Параметры!AA$41*IF(Резиденты!AA17&lt;1,1,0)</f>
        <v>0</v>
      </c>
      <c r="AB289" s="363">
        <f>IF(AB$2&gt;=$B288,$B289,0)*Параметры!AB$41*IF(Резиденты!AB17&lt;1,1,0)</f>
        <v>0</v>
      </c>
      <c r="AC289" s="363">
        <f>IF(AC$2&gt;=$B288,$B289,0)*Параметры!AC$41*IF(Резиденты!AC17&lt;1,1,0)</f>
        <v>0</v>
      </c>
      <c r="AD289" s="363">
        <f>IF(AD$2&gt;=$B288,$B289,0)*Параметры!AD$41*IF(Резиденты!AD17&lt;1,1,0)</f>
        <v>0</v>
      </c>
      <c r="AE289" s="363">
        <f>IF(AE$2&gt;=$B288,$B289,0)*Параметры!AE$41*IF(Резиденты!AE17&lt;1,1,0)</f>
        <v>0</v>
      </c>
      <c r="AF289" s="363">
        <f>IF(AF$2&gt;=$B288,$B289,0)*Параметры!AF$41*IF(Резиденты!AF17&lt;1,1,0)</f>
        <v>0</v>
      </c>
      <c r="AG289" s="363">
        <f>IF(AG$2&gt;=$B288,$B289,0)*Параметры!AG$41*IF(Резиденты!AG17&lt;1,1,0)</f>
        <v>0</v>
      </c>
      <c r="AH289" s="363">
        <f>IF(AH$2&gt;=$B288,$B289,0)*Параметры!AH$41*IF(Резиденты!AH17&lt;1,1,0)</f>
        <v>0</v>
      </c>
      <c r="AI289" s="363">
        <f>IF(AI$2&gt;=$B288,$B289,0)*Параметры!AI$41*IF(Резиденты!AI17&lt;1,1,0)</f>
        <v>0</v>
      </c>
      <c r="AJ289" s="363">
        <f>IF(AJ$2&gt;=$B288,$B289,0)*Параметры!AJ$41*IF(Резиденты!AJ17&lt;1,1,0)</f>
        <v>0</v>
      </c>
      <c r="AK289" s="363">
        <f>IF(AK$2&gt;=$B288,$B289,0)*Параметры!AK$41*IF(Резиденты!AK17&lt;1,1,0)</f>
        <v>0</v>
      </c>
      <c r="AL289" s="363">
        <f>IF(AL$2&gt;=$B288,$B289,0)*Параметры!AL$41*IF(Резиденты!AL17&lt;1,1,0)</f>
        <v>0</v>
      </c>
      <c r="AM289" s="363">
        <f>IF(AM$2&gt;=$B288,$B289,0)*Параметры!AM$41*IF(Резиденты!AM17&lt;1,1,0)</f>
        <v>0</v>
      </c>
      <c r="AN289" s="363">
        <f>IF(AN$2&gt;=$B288,$B289,0)*Параметры!AN$41*IF(Резиденты!AN17&lt;1,1,0)</f>
        <v>0</v>
      </c>
      <c r="AO289" s="363">
        <f>IF(AO$2&gt;=$B288,$B289,0)*Параметры!AO$41*IF(Резиденты!AO17&lt;1,1,0)</f>
        <v>0</v>
      </c>
      <c r="AP289" s="363">
        <f>IF(AP$2&gt;=$B288,$B289,0)*Параметры!AP$41*IF(Резиденты!AP17&lt;1,1,0)</f>
        <v>0</v>
      </c>
      <c r="AQ289" s="363">
        <f>IF(AQ$2&gt;=$B288,$B289,0)*Параметры!AQ$41*IF(Резиденты!AQ17&lt;1,1,0)</f>
        <v>0</v>
      </c>
      <c r="AR289" s="363">
        <f>IF(AR$2&gt;=$B288,$B289,0)*Параметры!AR$41*IF(Резиденты!AR17&lt;1,1,0)</f>
        <v>0</v>
      </c>
      <c r="AS289" s="90"/>
      <c r="AT289" s="30">
        <f>SUM(E289:AS289)</f>
        <v>4333.3333333333348</v>
      </c>
    </row>
    <row r="290" spans="1:46" outlineLevel="1" x14ac:dyDescent="0.2">
      <c r="A290" s="101" t="s">
        <v>52</v>
      </c>
      <c r="B290" s="25"/>
      <c r="C290" s="21" t="s">
        <v>1</v>
      </c>
      <c r="E290" s="361">
        <f>Параметры!E$136</f>
        <v>0.2</v>
      </c>
      <c r="F290" s="361">
        <f>Параметры!F$136</f>
        <v>0.2</v>
      </c>
      <c r="G290" s="361">
        <f>Параметры!G$136</f>
        <v>0.2</v>
      </c>
      <c r="H290" s="361">
        <f>Параметры!H$136</f>
        <v>0.2</v>
      </c>
      <c r="I290" s="361">
        <f>Параметры!I$136</f>
        <v>0.2</v>
      </c>
      <c r="J290" s="361">
        <f>Параметры!J$136</f>
        <v>0.2</v>
      </c>
      <c r="K290" s="361">
        <f>Параметры!K$136</f>
        <v>0.2</v>
      </c>
      <c r="L290" s="361">
        <f>Параметры!L$136</f>
        <v>0.2</v>
      </c>
      <c r="M290" s="361">
        <f>Параметры!M$136</f>
        <v>0.2</v>
      </c>
      <c r="N290" s="361">
        <f>Параметры!N$136</f>
        <v>0.2</v>
      </c>
      <c r="O290" s="361">
        <f>Параметры!O$136</f>
        <v>0.2</v>
      </c>
      <c r="P290" s="361">
        <f>Параметры!P$136</f>
        <v>0.2</v>
      </c>
      <c r="Q290" s="361">
        <f>Параметры!Q$136</f>
        <v>0.2</v>
      </c>
      <c r="R290" s="361">
        <f>Параметры!R$136</f>
        <v>0.2</v>
      </c>
      <c r="S290" s="361">
        <f>Параметры!S$136</f>
        <v>0.2</v>
      </c>
      <c r="T290" s="361">
        <f>Параметры!T$136</f>
        <v>0.2</v>
      </c>
      <c r="U290" s="361">
        <f>Параметры!U$136</f>
        <v>0.2</v>
      </c>
      <c r="V290" s="361">
        <f>Параметры!V$136</f>
        <v>0.2</v>
      </c>
      <c r="W290" s="361">
        <f>Параметры!W$136</f>
        <v>0.2</v>
      </c>
      <c r="X290" s="361">
        <f>Параметры!X$136</f>
        <v>0.2</v>
      </c>
      <c r="Y290" s="361">
        <f>Параметры!Y$136</f>
        <v>0.2</v>
      </c>
      <c r="Z290" s="361">
        <f>Параметры!Z$136</f>
        <v>0.2</v>
      </c>
      <c r="AA290" s="361">
        <f>Параметры!AA$136</f>
        <v>0.2</v>
      </c>
      <c r="AB290" s="361">
        <f>Параметры!AB$136</f>
        <v>0.2</v>
      </c>
      <c r="AC290" s="361">
        <f>Параметры!AC$136</f>
        <v>0.2</v>
      </c>
      <c r="AD290" s="361">
        <f>Параметры!AD$136</f>
        <v>0.2</v>
      </c>
      <c r="AE290" s="361">
        <f>Параметры!AE$136</f>
        <v>0.2</v>
      </c>
      <c r="AF290" s="361">
        <f>Параметры!AF$136</f>
        <v>0.2</v>
      </c>
      <c r="AG290" s="361">
        <f>Параметры!AG$136</f>
        <v>0.2</v>
      </c>
      <c r="AH290" s="361">
        <f>Параметры!AH$136</f>
        <v>0.2</v>
      </c>
      <c r="AI290" s="361">
        <f>Параметры!AI$136</f>
        <v>0.2</v>
      </c>
      <c r="AJ290" s="361">
        <f>Параметры!AJ$136</f>
        <v>0.2</v>
      </c>
      <c r="AK290" s="361">
        <f>Параметры!AK$136</f>
        <v>0.2</v>
      </c>
      <c r="AL290" s="361">
        <f>Параметры!AL$136</f>
        <v>0.2</v>
      </c>
      <c r="AM290" s="361">
        <f>Параметры!AM$136</f>
        <v>0.2</v>
      </c>
      <c r="AN290" s="361">
        <f>Параметры!AN$136</f>
        <v>0.2</v>
      </c>
      <c r="AO290" s="361">
        <f>Параметры!AO$136</f>
        <v>0.2</v>
      </c>
      <c r="AP290" s="361">
        <f>Параметры!AP$136</f>
        <v>0.2</v>
      </c>
      <c r="AQ290" s="361">
        <f>Параметры!AQ$136</f>
        <v>0.2</v>
      </c>
      <c r="AR290" s="361">
        <f>Параметры!AR$136</f>
        <v>0.2</v>
      </c>
      <c r="AS290" s="127"/>
      <c r="AT290" s="117"/>
    </row>
    <row r="291" spans="1:46" outlineLevel="1" x14ac:dyDescent="0.2">
      <c r="A291" s="101" t="s">
        <v>64</v>
      </c>
      <c r="B291" s="8"/>
      <c r="C291" s="21" t="str">
        <f>CHOOSE(C287,Параметры!$B$64,Параметры!$B$108,Параметры!$B$117)</f>
        <v>тыс. руб.</v>
      </c>
      <c r="E291" s="129">
        <f t="shared" ref="E291:AR291" si="102">E292*E290</f>
        <v>54.166666666666679</v>
      </c>
      <c r="F291" s="129">
        <f t="shared" ca="1" si="102"/>
        <v>54.166666666666679</v>
      </c>
      <c r="G291" s="129">
        <f t="shared" ca="1" si="102"/>
        <v>54.166666666666679</v>
      </c>
      <c r="H291" s="129">
        <f t="shared" ca="1" si="102"/>
        <v>54.166666666666679</v>
      </c>
      <c r="I291" s="129">
        <f t="shared" ca="1" si="102"/>
        <v>54.166666666666679</v>
      </c>
      <c r="J291" s="129">
        <f t="shared" ca="1" si="102"/>
        <v>54.701867191014664</v>
      </c>
      <c r="K291" s="129">
        <f t="shared" ca="1" si="102"/>
        <v>55.242355831078264</v>
      </c>
      <c r="L291" s="129">
        <f t="shared" ca="1" si="102"/>
        <v>55.788184836746169</v>
      </c>
      <c r="M291" s="129">
        <f t="shared" ca="1" si="102"/>
        <v>56.339406974168618</v>
      </c>
      <c r="N291" s="129">
        <f t="shared" ca="1" si="102"/>
        <v>56.893876699637076</v>
      </c>
      <c r="O291" s="129">
        <f t="shared" ca="1" si="102"/>
        <v>57.453803292562498</v>
      </c>
      <c r="P291" s="129">
        <f t="shared" ca="1" si="102"/>
        <v>58.01924045723397</v>
      </c>
      <c r="Q291" s="129">
        <f t="shared" ca="1" si="102"/>
        <v>58.590242426476586</v>
      </c>
      <c r="R291" s="129">
        <f t="shared" ca="1" si="102"/>
        <v>59.164700783306799</v>
      </c>
      <c r="S291" s="129">
        <f t="shared" ca="1" si="102"/>
        <v>59.744791518329443</v>
      </c>
      <c r="T291" s="129">
        <f t="shared" ca="1" si="102"/>
        <v>60.330569855189076</v>
      </c>
      <c r="U291" s="129">
        <f t="shared" ca="1" si="102"/>
        <v>0</v>
      </c>
      <c r="V291" s="129">
        <f t="shared" ca="1" si="102"/>
        <v>0</v>
      </c>
      <c r="W291" s="129">
        <f t="shared" ca="1" si="102"/>
        <v>0</v>
      </c>
      <c r="X291" s="129">
        <f t="shared" ca="1" si="102"/>
        <v>0</v>
      </c>
      <c r="Y291" s="129">
        <f t="shared" ca="1" si="102"/>
        <v>0</v>
      </c>
      <c r="Z291" s="129">
        <f t="shared" ca="1" si="102"/>
        <v>0</v>
      </c>
      <c r="AA291" s="129">
        <f t="shared" ca="1" si="102"/>
        <v>0</v>
      </c>
      <c r="AB291" s="129">
        <f t="shared" ca="1" si="102"/>
        <v>0</v>
      </c>
      <c r="AC291" s="129">
        <f t="shared" ca="1" si="102"/>
        <v>0</v>
      </c>
      <c r="AD291" s="129">
        <f t="shared" ca="1" si="102"/>
        <v>0</v>
      </c>
      <c r="AE291" s="129">
        <f t="shared" ca="1" si="102"/>
        <v>0</v>
      </c>
      <c r="AF291" s="129">
        <f t="shared" ca="1" si="102"/>
        <v>0</v>
      </c>
      <c r="AG291" s="129">
        <f t="shared" ca="1" si="102"/>
        <v>0</v>
      </c>
      <c r="AH291" s="129">
        <f t="shared" ca="1" si="102"/>
        <v>0</v>
      </c>
      <c r="AI291" s="129">
        <f t="shared" ca="1" si="102"/>
        <v>0</v>
      </c>
      <c r="AJ291" s="129">
        <f t="shared" ca="1" si="102"/>
        <v>0</v>
      </c>
      <c r="AK291" s="129">
        <f t="shared" ca="1" si="102"/>
        <v>0</v>
      </c>
      <c r="AL291" s="129">
        <f t="shared" ca="1" si="102"/>
        <v>0</v>
      </c>
      <c r="AM291" s="129">
        <f t="shared" ca="1" si="102"/>
        <v>0</v>
      </c>
      <c r="AN291" s="129">
        <f t="shared" ca="1" si="102"/>
        <v>0</v>
      </c>
      <c r="AO291" s="129">
        <f t="shared" ca="1" si="102"/>
        <v>0</v>
      </c>
      <c r="AP291" s="129">
        <f t="shared" ca="1" si="102"/>
        <v>0</v>
      </c>
      <c r="AQ291" s="129">
        <f t="shared" ca="1" si="102"/>
        <v>0</v>
      </c>
      <c r="AR291" s="129">
        <f t="shared" ca="1" si="102"/>
        <v>0</v>
      </c>
      <c r="AS291" s="129"/>
      <c r="AT291" s="125">
        <f ca="1">SUM(E291:AS291)</f>
        <v>903.10237319907662</v>
      </c>
    </row>
    <row r="292" spans="1:46" outlineLevel="1" x14ac:dyDescent="0.2">
      <c r="A292" s="114" t="s">
        <v>477</v>
      </c>
      <c r="B292" s="16"/>
      <c r="C292" s="2" t="str">
        <f>CHOOSE(C287,Параметры!$B$64,Параметры!$B$108,Параметры!$B$117)</f>
        <v>тыс. руб.</v>
      </c>
      <c r="E292" s="129">
        <f t="shared" ref="E292:AR292" si="103">E289*E295</f>
        <v>270.83333333333337</v>
      </c>
      <c r="F292" s="129">
        <f t="shared" ca="1" si="103"/>
        <v>270.83333333333337</v>
      </c>
      <c r="G292" s="129">
        <f t="shared" ca="1" si="103"/>
        <v>270.83333333333337</v>
      </c>
      <c r="H292" s="129">
        <f t="shared" ca="1" si="103"/>
        <v>270.83333333333337</v>
      </c>
      <c r="I292" s="129">
        <f t="shared" ca="1" si="103"/>
        <v>270.83333333333337</v>
      </c>
      <c r="J292" s="129">
        <f t="shared" ca="1" si="103"/>
        <v>273.50933595507331</v>
      </c>
      <c r="K292" s="129">
        <f t="shared" ca="1" si="103"/>
        <v>276.2117791553913</v>
      </c>
      <c r="L292" s="129">
        <f t="shared" ca="1" si="103"/>
        <v>278.94092418373083</v>
      </c>
      <c r="M292" s="129">
        <f t="shared" ca="1" si="103"/>
        <v>281.69703487084308</v>
      </c>
      <c r="N292" s="129">
        <f t="shared" ca="1" si="103"/>
        <v>284.46938349818538</v>
      </c>
      <c r="O292" s="129">
        <f t="shared" ca="1" si="103"/>
        <v>287.26901646281249</v>
      </c>
      <c r="P292" s="129">
        <f t="shared" ca="1" si="103"/>
        <v>290.09620228616984</v>
      </c>
      <c r="Q292" s="129">
        <f t="shared" ca="1" si="103"/>
        <v>292.95121213238292</v>
      </c>
      <c r="R292" s="129">
        <f t="shared" ca="1" si="103"/>
        <v>295.82350391653398</v>
      </c>
      <c r="S292" s="129">
        <f t="shared" ca="1" si="103"/>
        <v>298.72395759164721</v>
      </c>
      <c r="T292" s="129">
        <f t="shared" ca="1" si="103"/>
        <v>301.65284927594536</v>
      </c>
      <c r="U292" s="129">
        <f t="shared" ca="1" si="103"/>
        <v>0</v>
      </c>
      <c r="V292" s="129">
        <f t="shared" ca="1" si="103"/>
        <v>0</v>
      </c>
      <c r="W292" s="129">
        <f t="shared" ca="1" si="103"/>
        <v>0</v>
      </c>
      <c r="X292" s="129">
        <f t="shared" ca="1" si="103"/>
        <v>0</v>
      </c>
      <c r="Y292" s="129">
        <f t="shared" ca="1" si="103"/>
        <v>0</v>
      </c>
      <c r="Z292" s="129">
        <f t="shared" ca="1" si="103"/>
        <v>0</v>
      </c>
      <c r="AA292" s="129">
        <f t="shared" ca="1" si="103"/>
        <v>0</v>
      </c>
      <c r="AB292" s="129">
        <f t="shared" ca="1" si="103"/>
        <v>0</v>
      </c>
      <c r="AC292" s="129">
        <f t="shared" ca="1" si="103"/>
        <v>0</v>
      </c>
      <c r="AD292" s="129">
        <f t="shared" ca="1" si="103"/>
        <v>0</v>
      </c>
      <c r="AE292" s="129">
        <f t="shared" ca="1" si="103"/>
        <v>0</v>
      </c>
      <c r="AF292" s="129">
        <f t="shared" ca="1" si="103"/>
        <v>0</v>
      </c>
      <c r="AG292" s="129">
        <f t="shared" ca="1" si="103"/>
        <v>0</v>
      </c>
      <c r="AH292" s="129">
        <f t="shared" ca="1" si="103"/>
        <v>0</v>
      </c>
      <c r="AI292" s="129">
        <f t="shared" ca="1" si="103"/>
        <v>0</v>
      </c>
      <c r="AJ292" s="129">
        <f t="shared" ca="1" si="103"/>
        <v>0</v>
      </c>
      <c r="AK292" s="129">
        <f t="shared" ca="1" si="103"/>
        <v>0</v>
      </c>
      <c r="AL292" s="129">
        <f t="shared" ca="1" si="103"/>
        <v>0</v>
      </c>
      <c r="AM292" s="129">
        <f t="shared" ca="1" si="103"/>
        <v>0</v>
      </c>
      <c r="AN292" s="129">
        <f t="shared" ca="1" si="103"/>
        <v>0</v>
      </c>
      <c r="AO292" s="129">
        <f t="shared" ca="1" si="103"/>
        <v>0</v>
      </c>
      <c r="AP292" s="129">
        <f t="shared" ca="1" si="103"/>
        <v>0</v>
      </c>
      <c r="AQ292" s="129">
        <f t="shared" ca="1" si="103"/>
        <v>0</v>
      </c>
      <c r="AR292" s="129">
        <f t="shared" ca="1" si="103"/>
        <v>0</v>
      </c>
      <c r="AS292" s="115"/>
      <c r="AT292" s="125">
        <f ca="1">SUM(E292:AS292)</f>
        <v>4515.5118659953823</v>
      </c>
    </row>
    <row r="293" spans="1:46" outlineLevel="1" x14ac:dyDescent="0.2">
      <c r="A293" s="420" t="str">
        <f>Параметры!$A$65</f>
        <v>Инфляция</v>
      </c>
      <c r="B293" s="263" t="s">
        <v>391</v>
      </c>
      <c r="C293" s="21" t="s">
        <v>14</v>
      </c>
      <c r="E293" s="362">
        <f>CHOOSE($C287,Параметры!E$65,Параметры!E$113,Параметры!E$122)</f>
        <v>0</v>
      </c>
      <c r="F293" s="362">
        <f>CHOOSE($C287,Параметры!F$65,Параметры!F$113,Параметры!F$122)</f>
        <v>0</v>
      </c>
      <c r="G293" s="362">
        <f>CHOOSE($C287,Параметры!G$65,Параметры!G$113,Параметры!G$122)</f>
        <v>0</v>
      </c>
      <c r="H293" s="362">
        <f>CHOOSE($C287,Параметры!H$65,Параметры!H$113,Параметры!H$122)</f>
        <v>0</v>
      </c>
      <c r="I293" s="362">
        <f>CHOOSE($C287,Параметры!I$65,Параметры!I$113,Параметры!I$122)</f>
        <v>4.011212875388237E-2</v>
      </c>
      <c r="J293" s="362">
        <f>CHOOSE($C287,Параметры!J$65,Параметры!J$113,Параметры!J$122)</f>
        <v>4.011212875388237E-2</v>
      </c>
      <c r="K293" s="362">
        <f>CHOOSE($C287,Параметры!K$65,Параметры!K$113,Параметры!K$122)</f>
        <v>4.011212875388237E-2</v>
      </c>
      <c r="L293" s="362">
        <f>CHOOSE($C287,Параметры!L$65,Параметры!L$113,Параметры!L$122)</f>
        <v>4.011212875388237E-2</v>
      </c>
      <c r="M293" s="362">
        <f>CHOOSE($C287,Параметры!M$65,Параметры!M$113,Параметры!M$122)</f>
        <v>3.9951351517419909E-2</v>
      </c>
      <c r="N293" s="362">
        <f>CHOOSE($C287,Параметры!N$65,Параметры!N$113,Параметры!N$122)</f>
        <v>3.9951351517419909E-2</v>
      </c>
      <c r="O293" s="362">
        <f>CHOOSE($C287,Параметры!O$65,Параметры!O$113,Параметры!O$122)</f>
        <v>3.9951351517419909E-2</v>
      </c>
      <c r="P293" s="362">
        <f>CHOOSE($C287,Параметры!P$65,Параметры!P$113,Параметры!P$122)</f>
        <v>3.9951351517419909E-2</v>
      </c>
      <c r="Q293" s="362">
        <f>CHOOSE($C287,Параметры!Q$65,Параметры!Q$113,Параметры!Q$122)</f>
        <v>3.9799274348962799E-2</v>
      </c>
      <c r="R293" s="362">
        <f>CHOOSE($C287,Параметры!R$65,Параметры!R$113,Параметры!R$122)</f>
        <v>3.9799274348962799E-2</v>
      </c>
      <c r="S293" s="362">
        <f>CHOOSE($C287,Параметры!S$65,Параметры!S$113,Параметры!S$122)</f>
        <v>3.9799274348962799E-2</v>
      </c>
      <c r="T293" s="362">
        <f>CHOOSE($C287,Параметры!T$65,Параметры!T$113,Параметры!T$122)</f>
        <v>3.9799274348962799E-2</v>
      </c>
      <c r="U293" s="362">
        <f>CHOOSE($C287,Параметры!U$65,Параметры!U$113,Параметры!U$122)</f>
        <v>3.9889661086839556E-2</v>
      </c>
      <c r="V293" s="362">
        <f>CHOOSE($C287,Параметры!V$65,Параметры!V$113,Параметры!V$122)</f>
        <v>3.9889661086839556E-2</v>
      </c>
      <c r="W293" s="362">
        <f>CHOOSE($C287,Параметры!W$65,Параметры!W$113,Параметры!W$122)</f>
        <v>3.9889661086839556E-2</v>
      </c>
      <c r="X293" s="362">
        <f>CHOOSE($C287,Параметры!X$65,Параметры!X$113,Параметры!X$122)</f>
        <v>3.9889661086839556E-2</v>
      </c>
      <c r="Y293" s="362">
        <f>CHOOSE($C287,Параметры!Y$65,Параметры!Y$113,Параметры!Y$122)</f>
        <v>3.9919999999999956E-2</v>
      </c>
      <c r="Z293" s="362">
        <f>CHOOSE($C287,Параметры!Z$65,Параметры!Z$113,Параметры!Z$122)</f>
        <v>3.9919999999999956E-2</v>
      </c>
      <c r="AA293" s="362">
        <f>CHOOSE($C287,Параметры!AA$65,Параметры!AA$113,Параметры!AA$122)</f>
        <v>3.9919999999999956E-2</v>
      </c>
      <c r="AB293" s="362">
        <f>CHOOSE($C287,Параметры!AB$65,Параметры!AB$113,Параметры!AB$122)</f>
        <v>3.9919999999999956E-2</v>
      </c>
      <c r="AC293" s="362">
        <f>CHOOSE($C287,Параметры!AC$65,Параметры!AC$113,Параметры!AC$122)</f>
        <v>3.986999999999985E-2</v>
      </c>
      <c r="AD293" s="362">
        <f>CHOOSE($C287,Параметры!AD$65,Параметры!AD$113,Параметры!AD$122)</f>
        <v>3.986999999999985E-2</v>
      </c>
      <c r="AE293" s="362">
        <f>CHOOSE($C287,Параметры!AE$65,Параметры!AE$113,Параметры!AE$122)</f>
        <v>3.986999999999985E-2</v>
      </c>
      <c r="AF293" s="362">
        <f>CHOOSE($C287,Параметры!AF$65,Параметры!AF$113,Параметры!AF$122)</f>
        <v>3.986999999999985E-2</v>
      </c>
      <c r="AG293" s="362">
        <f>CHOOSE($C287,Параметры!AG$65,Параметры!AG$113,Параметры!AG$122)</f>
        <v>3.9749999999999952E-2</v>
      </c>
      <c r="AH293" s="362">
        <f>CHOOSE($C287,Параметры!AH$65,Параметры!AH$113,Параметры!AH$122)</f>
        <v>3.9749999999999952E-2</v>
      </c>
      <c r="AI293" s="362">
        <f>CHOOSE($C287,Параметры!AI$65,Параметры!AI$113,Параметры!AI$122)</f>
        <v>3.9749999999999952E-2</v>
      </c>
      <c r="AJ293" s="362">
        <f>CHOOSE($C287,Параметры!AJ$65,Параметры!AJ$113,Параметры!AJ$122)</f>
        <v>3.9749999999999952E-2</v>
      </c>
      <c r="AK293" s="362">
        <f>CHOOSE($C287,Параметры!AK$65,Параметры!AK$113,Параметры!AK$122)</f>
        <v>3.9629999999999832E-2</v>
      </c>
      <c r="AL293" s="362">
        <f>CHOOSE($C287,Параметры!AL$65,Параметры!AL$113,Параметры!AL$122)</f>
        <v>3.9629999999999832E-2</v>
      </c>
      <c r="AM293" s="362">
        <f>CHOOSE($C287,Параметры!AM$65,Параметры!AM$113,Параметры!AM$122)</f>
        <v>3.9629999999999832E-2</v>
      </c>
      <c r="AN293" s="362">
        <f>CHOOSE($C287,Параметры!AN$65,Параметры!AN$113,Параметры!AN$122)</f>
        <v>3.9629999999999832E-2</v>
      </c>
      <c r="AO293" s="362">
        <f>CHOOSE($C287,Параметры!AO$65,Параметры!AO$113,Параметры!AO$122)</f>
        <v>3.9549999999999974E-2</v>
      </c>
      <c r="AP293" s="362">
        <f>CHOOSE($C287,Параметры!AP$65,Параметры!AP$113,Параметры!AP$122)</f>
        <v>3.9549999999999974E-2</v>
      </c>
      <c r="AQ293" s="362">
        <f>CHOOSE($C287,Параметры!AQ$65,Параметры!AQ$113,Параметры!AQ$122)</f>
        <v>3.9549999999999974E-2</v>
      </c>
      <c r="AR293" s="362">
        <f>CHOOSE($C287,Параметры!AR$65,Параметры!AR$113,Параметры!AR$122)</f>
        <v>3.9549999999999974E-2</v>
      </c>
      <c r="AS293" s="127"/>
      <c r="AT293" s="119"/>
    </row>
    <row r="294" spans="1:46" outlineLevel="1" x14ac:dyDescent="0.2">
      <c r="A294" s="302" t="s">
        <v>392</v>
      </c>
      <c r="B294" s="25"/>
      <c r="C294" s="21" t="s">
        <v>133</v>
      </c>
      <c r="E294" s="416">
        <f ca="1">IF(E$2=1,1,IF(Параметры!$B$62=1,POWER(1+OFFSET(E293,0,-1),Параметры!E$39/360),1) * IF(E$2&gt;1,D294, 1))</f>
        <v>1</v>
      </c>
      <c r="F294" s="416">
        <f ca="1">IF(F$2=1,1,IF(Параметры!$B$62=1,POWER(1+OFFSET(F293,0,-1),Параметры!F$39/360),1) * IF(F$2&gt;1,E294, 1))</f>
        <v>1</v>
      </c>
      <c r="G294" s="416">
        <f ca="1">IF(G$2=1,1,IF(Параметры!$B$62=1,POWER(1+OFFSET(G293,0,-1),Параметры!G$39/360),1) * IF(G$2&gt;1,F294, 1))</f>
        <v>1</v>
      </c>
      <c r="H294" s="416">
        <f ca="1">IF(H$2=1,1,IF(Параметры!$B$62=1,POWER(1+OFFSET(H293,0,-1),Параметры!H$39/360),1) * IF(H$2&gt;1,G294, 1))</f>
        <v>1</v>
      </c>
      <c r="I294" s="416">
        <f ca="1">IF(I$2=1,1,IF(Параметры!$B$62=1,POWER(1+OFFSET(I293,0,-1),Параметры!I$39/360),1) * IF(I$2&gt;1,H294, 1))</f>
        <v>1</v>
      </c>
      <c r="J294" s="416">
        <f ca="1">IF(J$2=1,1,IF(Параметры!$B$62=1,POWER(1+OFFSET(J293,0,-1),Параметры!J$39/360),1) * IF(J$2&gt;1,I294, 1))</f>
        <v>1.009880625064886</v>
      </c>
      <c r="K294" s="416">
        <f ca="1">IF(K$2=1,1,IF(Параметры!$B$62=1,POWER(1+OFFSET(K293,0,-1),Параметры!K$39/360),1) * IF(K$2&gt;1,J294, 1))</f>
        <v>1.0198588768814447</v>
      </c>
      <c r="L294" s="416">
        <f ca="1">IF(L$2=1,1,IF(Параметры!$B$62=1,POWER(1+OFFSET(L293,0,-1),Параметры!L$39/360),1) * IF(L$2&gt;1,K294, 1))</f>
        <v>1.0299357200630059</v>
      </c>
      <c r="M294" s="416">
        <f ca="1">IF(M$2=1,1,IF(Параметры!$B$62=1,POWER(1+OFFSET(M293,0,-1),Параметры!M$39/360),1) * IF(M$2&gt;1,L294, 1))</f>
        <v>1.0401121287538819</v>
      </c>
      <c r="N294" s="416">
        <f ca="1">IF(N$2=1,1,IF(Параметры!$B$62=1,POWER(1+OFFSET(N293,0,-1),Параметры!N$39/360),1) * IF(N$2&gt;1,M294, 1))</f>
        <v>1.0503484929163767</v>
      </c>
      <c r="O294" s="416">
        <f ca="1">IF(O$2=1,1,IF(Параметры!$B$62=1,POWER(1+OFFSET(O293,0,-1),Параметры!O$39/360),1) * IF(O$2&gt;1,N294, 1))</f>
        <v>1.0606855992473074</v>
      </c>
      <c r="P294" s="416">
        <f ca="1">IF(P$2=1,1,IF(Параметры!$B$62=1,POWER(1+OFFSET(P293,0,-1),Параметры!P$39/360),1) * IF(P$2&gt;1,O294, 1))</f>
        <v>1.0711244392104731</v>
      </c>
      <c r="Q294" s="416">
        <f ca="1">IF(Q$2=1,1,IF(Параметры!$B$62=1,POWER(1+OFFSET(Q293,0,-1),Параметры!Q$39/360),1) * IF(Q$2&gt;1,P294, 1))</f>
        <v>1.0816660140272598</v>
      </c>
      <c r="R294" s="416">
        <f ca="1">IF(R$2=1,1,IF(Параметры!$B$62=1,POWER(1+OFFSET(R293,0,-1),Параметры!R$39/360),1) * IF(R$2&gt;1,Q294, 1))</f>
        <v>1.092271399076433</v>
      </c>
      <c r="S294" s="416">
        <f ca="1">IF(S$2=1,1,IF(Параметры!$B$62=1,POWER(1+OFFSET(S293,0,-1),Параметры!S$39/360),1) * IF(S$2&gt;1,R294, 1))</f>
        <v>1.1029807664922358</v>
      </c>
      <c r="T294" s="416">
        <f ca="1">IF(T$2=1,1,IF(Параметры!$B$62=1,POWER(1+OFFSET(T293,0,-1),Параметры!T$39/360),1) * IF(T$2&gt;1,S294, 1))</f>
        <v>1.1137951357881057</v>
      </c>
      <c r="U294" s="416">
        <f ca="1">IF(U$2=1,1,IF(Параметры!$B$62=1,POWER(1+OFFSET(U293,0,-1),Параметры!U$39/360),1) * IF(U$2&gt;1,T294, 1))</f>
        <v>1.1247155364734798</v>
      </c>
      <c r="V294" s="416">
        <f ca="1">IF(V$2=1,1,IF(Параметры!$B$62=1,POWER(1+OFFSET(V293,0,-1),Параметры!V$39/360),1) * IF(V$2&gt;1,U294, 1))</f>
        <v>1.1357676890594357</v>
      </c>
      <c r="W294" s="416">
        <f ca="1">IF(W$2=1,1,IF(Параметры!$B$62=1,POWER(1+OFFSET(W293,0,-1),Параметры!W$39/360),1) * IF(W$2&gt;1,V294, 1))</f>
        <v>1.1469284469529757</v>
      </c>
      <c r="X294" s="416">
        <f ca="1">IF(X$2=1,1,IF(Параметры!$B$62=1,POWER(1+OFFSET(X293,0,-1),Параметры!X$39/360),1) * IF(X$2&gt;1,W294, 1))</f>
        <v>1.158198877377226</v>
      </c>
      <c r="Y294" s="416">
        <f ca="1">IF(Y$2=1,1,IF(Параметры!$B$62=1,POWER(1+OFFSET(Y293,0,-1),Параметры!Y$39/360),1) * IF(Y$2&gt;1,X294, 1))</f>
        <v>1.1695800580425095</v>
      </c>
      <c r="Z294" s="416">
        <f ca="1">IF(Z$2=1,1,IF(Параметры!$B$62=1,POWER(1+OFFSET(Z293,0,-1),Параметры!Z$39/360),1) * IF(Z$2&gt;1,Y294, 1))</f>
        <v>1.1810816916444749</v>
      </c>
      <c r="AA294" s="416">
        <f ca="1">IF(AA$2=1,1,IF(Параметры!$B$62=1,POWER(1+OFFSET(AA293,0,-1),Параметры!AA$39/360),1) * IF(AA$2&gt;1,Z294, 1))</f>
        <v>1.1926964321471643</v>
      </c>
      <c r="AB294" s="416">
        <f ca="1">IF(AB$2=1,1,IF(Параметры!$B$62=1,POWER(1+OFFSET(AB293,0,-1),Параметры!AB$39/360),1) * IF(AB$2&gt;1,AA294, 1))</f>
        <v>1.2044253918422256</v>
      </c>
      <c r="AC294" s="416">
        <f ca="1">IF(AC$2=1,1,IF(Параметры!$B$62=1,POWER(1+OFFSET(AC293,0,-1),Параметры!AC$39/360),1) * IF(AC$2&gt;1,AB294, 1))</f>
        <v>1.2162696939595667</v>
      </c>
      <c r="AD294" s="416">
        <f ca="1">IF(AD$2=1,1,IF(Параметры!$B$62=1,POWER(1+OFFSET(AD293,0,-1),Параметры!AD$39/360),1) * IF(AD$2&gt;1,AC294, 1))</f>
        <v>1.2282157089875798</v>
      </c>
      <c r="AE294" s="416">
        <f ca="1">IF(AE$2=1,1,IF(Параметры!$B$62=1,POWER(1+OFFSET(AE293,0,-1),Параметры!AE$39/360),1) * IF(AE$2&gt;1,AD294, 1))</f>
        <v>1.2402790559492571</v>
      </c>
      <c r="AF294" s="416">
        <f ca="1">IF(AF$2=1,1,IF(Параметры!$B$62=1,POWER(1+OFFSET(AF293,0,-1),Параметры!AF$39/360),1) * IF(AF$2&gt;1,AE294, 1))</f>
        <v>1.2524608872609169</v>
      </c>
      <c r="AG294" s="416">
        <f ca="1">IF(AG$2=1,1,IF(Параметры!$B$62=1,POWER(1+OFFSET(AG293,0,-1),Параметры!AG$39/360),1) * IF(AG$2&gt;1,AF294, 1))</f>
        <v>1.2647623666577346</v>
      </c>
      <c r="AH294" s="416">
        <f ca="1">IF(AH$2=1,1,IF(Параметры!$B$62=1,POWER(1+OFFSET(AH293,0,-1),Параметры!AH$39/360),1) * IF(AH$2&gt;1,AG294, 1))</f>
        <v>1.2771478212390197</v>
      </c>
      <c r="AI294" s="416">
        <f ca="1">IF(AI$2=1,1,IF(Параметры!$B$62=1,POWER(1+OFFSET(AI293,0,-1),Параметры!AI$39/360),1) * IF(AI$2&gt;1,AH294, 1))</f>
        <v>1.2896545630195677</v>
      </c>
      <c r="AJ294" s="416">
        <f ca="1">IF(AJ$2=1,1,IF(Параметры!$B$62=1,POWER(1+OFFSET(AJ293,0,-1),Параметры!AJ$39/360),1) * IF(AJ$2&gt;1,AI294, 1))</f>
        <v>1.3022837797300839</v>
      </c>
      <c r="AK294" s="416">
        <f ca="1">IF(AK$2=1,1,IF(Параметры!$B$62=1,POWER(1+OFFSET(AK293,0,-1),Параметры!AK$39/360),1) * IF(AK$2&gt;1,AJ294, 1))</f>
        <v>1.3150366707323793</v>
      </c>
      <c r="AL294" s="416">
        <f ca="1">IF(AL$2=1,1,IF(Параметры!$B$62=1,POWER(1+OFFSET(AL293,0,-1),Параметры!AL$39/360),1) * IF(AL$2&gt;1,AK294, 1))</f>
        <v>1.3278761310402869</v>
      </c>
      <c r="AM294" s="416">
        <f ca="1">IF(AM$2=1,1,IF(Параметры!$B$62=1,POWER(1+OFFSET(AM293,0,-1),Параметры!AM$39/360),1) * IF(AM$2&gt;1,AL294, 1))</f>
        <v>1.3408409503930541</v>
      </c>
      <c r="AN294" s="416">
        <f ca="1">IF(AN$2=1,1,IF(Параметры!$B$62=1,POWER(1+OFFSET(AN293,0,-1),Параметры!AN$39/360),1) * IF(AN$2&gt;1,AM294, 1))</f>
        <v>1.3539323527432265</v>
      </c>
      <c r="AO294" s="416">
        <f ca="1">IF(AO$2=1,1,IF(Параметры!$B$62=1,POWER(1+OFFSET(AO293,0,-1),Параметры!AO$39/360),1) * IF(AO$2&gt;1,AN294, 1))</f>
        <v>1.3671515739935032</v>
      </c>
      <c r="AP294" s="416">
        <f ca="1">IF(AP$2=1,1,IF(Параметры!$B$62=1,POWER(1+OFFSET(AP293,0,-1),Параметры!AP$39/360),1) * IF(AP$2&gt;1,AO294, 1))</f>
        <v>1.380473303824403</v>
      </c>
      <c r="AQ294" s="416">
        <f ca="1">IF(AQ$2=1,1,IF(Параметры!$B$62=1,POWER(1+OFFSET(AQ293,0,-1),Параметры!AQ$39/360),1) * IF(AQ$2&gt;1,AP294, 1))</f>
        <v>1.3939248425872921</v>
      </c>
      <c r="AR294" s="416">
        <f ca="1">IF(AR$2=1,1,IF(Параметры!$B$62=1,POWER(1+OFFSET(AR293,0,-1),Параметры!AR$39/360),1) * IF(AR$2&gt;1,AQ294, 1))</f>
        <v>1.4075074551598581</v>
      </c>
      <c r="AS294" s="128"/>
      <c r="AT294" s="117"/>
    </row>
    <row r="295" spans="1:46" outlineLevel="1" x14ac:dyDescent="0.2">
      <c r="A295" s="319" t="s">
        <v>491</v>
      </c>
      <c r="B295" s="24"/>
      <c r="C295" s="2" t="s">
        <v>133</v>
      </c>
      <c r="D295" s="310"/>
      <c r="E295" s="417">
        <f>IF(E$2=1,1,CHOOSE($B$8,E294,IF(Параметры!E$43=1,E294,D295),IF(Параметры!E$48=1,E294,D295),IF(Параметры!E$45&lt;&gt;Параметры!D$45,E294,D295),IF(Параметры!E$50&lt;&gt;Параметры!D$50,E294,D295)))</f>
        <v>1</v>
      </c>
      <c r="F295" s="417">
        <f ca="1">IF(F$2=1,1,CHOOSE($B$8,F294,IF(Параметры!F$43=1,F294,E295),IF(Параметры!F$48=1,F294,E295),IF(Параметры!F$45&lt;&gt;Параметры!E$45,F294,E295),IF(Параметры!F$50&lt;&gt;Параметры!E$50,F294,E295)))</f>
        <v>1</v>
      </c>
      <c r="G295" s="417">
        <f ca="1">IF(G$2=1,1,CHOOSE($B$8,G294,IF(Параметры!G$43=1,G294,F295),IF(Параметры!G$48=1,G294,F295),IF(Параметры!G$45&lt;&gt;Параметры!F$45,G294,F295),IF(Параметры!G$50&lt;&gt;Параметры!F$50,G294,F295)))</f>
        <v>1</v>
      </c>
      <c r="H295" s="417">
        <f ca="1">IF(H$2=1,1,CHOOSE($B$8,H294,IF(Параметры!H$43=1,H294,G295),IF(Параметры!H$48=1,H294,G295),IF(Параметры!H$45&lt;&gt;Параметры!G$45,H294,G295),IF(Параметры!H$50&lt;&gt;Параметры!G$50,H294,G295)))</f>
        <v>1</v>
      </c>
      <c r="I295" s="417">
        <f ca="1">IF(I$2=1,1,CHOOSE($B$8,I294,IF(Параметры!I$43=1,I294,H295),IF(Параметры!I$48=1,I294,H295),IF(Параметры!I$45&lt;&gt;Параметры!H$45,I294,H295),IF(Параметры!I$50&lt;&gt;Параметры!H$50,I294,H295)))</f>
        <v>1</v>
      </c>
      <c r="J295" s="417">
        <f ca="1">IF(J$2=1,1,CHOOSE($B$8,J294,IF(Параметры!J$43=1,J294,I295),IF(Параметры!J$48=1,J294,I295),IF(Параметры!J$45&lt;&gt;Параметры!I$45,J294,I295),IF(Параметры!J$50&lt;&gt;Параметры!I$50,J294,I295)))</f>
        <v>1.009880625064886</v>
      </c>
      <c r="K295" s="417">
        <f ca="1">IF(K$2=1,1,CHOOSE($B$8,K294,IF(Параметры!K$43=1,K294,J295),IF(Параметры!K$48=1,K294,J295),IF(Параметры!K$45&lt;&gt;Параметры!J$45,K294,J295),IF(Параметры!K$50&lt;&gt;Параметры!J$50,K294,J295)))</f>
        <v>1.0198588768814447</v>
      </c>
      <c r="L295" s="417">
        <f ca="1">IF(L$2=1,1,CHOOSE($B$8,L294,IF(Параметры!L$43=1,L294,K295),IF(Параметры!L$48=1,L294,K295),IF(Параметры!L$45&lt;&gt;Параметры!K$45,L294,K295),IF(Параметры!L$50&lt;&gt;Параметры!K$50,L294,K295)))</f>
        <v>1.0299357200630059</v>
      </c>
      <c r="M295" s="417">
        <f ca="1">IF(M$2=1,1,CHOOSE($B$8,M294,IF(Параметры!M$43=1,M294,L295),IF(Параметры!M$48=1,M294,L295),IF(Параметры!M$45&lt;&gt;Параметры!L$45,M294,L295),IF(Параметры!M$50&lt;&gt;Параметры!L$50,M294,L295)))</f>
        <v>1.0401121287538819</v>
      </c>
      <c r="N295" s="417">
        <f ca="1">IF(N$2=1,1,CHOOSE($B$8,N294,IF(Параметры!N$43=1,N294,M295),IF(Параметры!N$48=1,N294,M295),IF(Параметры!N$45&lt;&gt;Параметры!M$45,N294,M295),IF(Параметры!N$50&lt;&gt;Параметры!M$50,N294,M295)))</f>
        <v>1.0503484929163767</v>
      </c>
      <c r="O295" s="417">
        <f ca="1">IF(O$2=1,1,CHOOSE($B$8,O294,IF(Параметры!O$43=1,O294,N295),IF(Параметры!O$48=1,O294,N295),IF(Параметры!O$45&lt;&gt;Параметры!N$45,O294,N295),IF(Параметры!O$50&lt;&gt;Параметры!N$50,O294,N295)))</f>
        <v>1.0606855992473074</v>
      </c>
      <c r="P295" s="417">
        <f ca="1">IF(P$2=1,1,CHOOSE($B$8,P294,IF(Параметры!P$43=1,P294,O295),IF(Параметры!P$48=1,P294,O295),IF(Параметры!P$45&lt;&gt;Параметры!O$45,P294,O295),IF(Параметры!P$50&lt;&gt;Параметры!O$50,P294,O295)))</f>
        <v>1.0711244392104731</v>
      </c>
      <c r="Q295" s="417">
        <f ca="1">IF(Q$2=1,1,CHOOSE($B$8,Q294,IF(Параметры!Q$43=1,Q294,P295),IF(Параметры!Q$48=1,Q294,P295),IF(Параметры!Q$45&lt;&gt;Параметры!P$45,Q294,P295),IF(Параметры!Q$50&lt;&gt;Параметры!P$50,Q294,P295)))</f>
        <v>1.0816660140272598</v>
      </c>
      <c r="R295" s="417">
        <f ca="1">IF(R$2=1,1,CHOOSE($B$8,R294,IF(Параметры!R$43=1,R294,Q295),IF(Параметры!R$48=1,R294,Q295),IF(Параметры!R$45&lt;&gt;Параметры!Q$45,R294,Q295),IF(Параметры!R$50&lt;&gt;Параметры!Q$50,R294,Q295)))</f>
        <v>1.092271399076433</v>
      </c>
      <c r="S295" s="417">
        <f ca="1">IF(S$2=1,1,CHOOSE($B$8,S294,IF(Параметры!S$43=1,S294,R295),IF(Параметры!S$48=1,S294,R295),IF(Параметры!S$45&lt;&gt;Параметры!R$45,S294,R295),IF(Параметры!S$50&lt;&gt;Параметры!R$50,S294,R295)))</f>
        <v>1.1029807664922358</v>
      </c>
      <c r="T295" s="417">
        <f ca="1">IF(T$2=1,1,CHOOSE($B$8,T294,IF(Параметры!T$43=1,T294,S295),IF(Параметры!T$48=1,T294,S295),IF(Параметры!T$45&lt;&gt;Параметры!S$45,T294,S295),IF(Параметры!T$50&lt;&gt;Параметры!S$50,T294,S295)))</f>
        <v>1.1137951357881057</v>
      </c>
      <c r="U295" s="417">
        <f ca="1">IF(U$2=1,1,CHOOSE($B$8,U294,IF(Параметры!U$43=1,U294,T295),IF(Параметры!U$48=1,U294,T295),IF(Параметры!U$45&lt;&gt;Параметры!T$45,U294,T295),IF(Параметры!U$50&lt;&gt;Параметры!T$50,U294,T295)))</f>
        <v>1.1247155364734798</v>
      </c>
      <c r="V295" s="417">
        <f ca="1">IF(V$2=1,1,CHOOSE($B$8,V294,IF(Параметры!V$43=1,V294,U295),IF(Параметры!V$48=1,V294,U295),IF(Параметры!V$45&lt;&gt;Параметры!U$45,V294,U295),IF(Параметры!V$50&lt;&gt;Параметры!U$50,V294,U295)))</f>
        <v>1.1357676890594357</v>
      </c>
      <c r="W295" s="417">
        <f ca="1">IF(W$2=1,1,CHOOSE($B$8,W294,IF(Параметры!W$43=1,W294,V295),IF(Параметры!W$48=1,W294,V295),IF(Параметры!W$45&lt;&gt;Параметры!V$45,W294,V295),IF(Параметры!W$50&lt;&gt;Параметры!V$50,W294,V295)))</f>
        <v>1.1469284469529757</v>
      </c>
      <c r="X295" s="417">
        <f ca="1">IF(X$2=1,1,CHOOSE($B$8,X294,IF(Параметры!X$43=1,X294,W295),IF(Параметры!X$48=1,X294,W295),IF(Параметры!X$45&lt;&gt;Параметры!W$45,X294,W295),IF(Параметры!X$50&lt;&gt;Параметры!W$50,X294,W295)))</f>
        <v>1.158198877377226</v>
      </c>
      <c r="Y295" s="417">
        <f ca="1">IF(Y$2=1,1,CHOOSE($B$8,Y294,IF(Параметры!Y$43=1,Y294,X295),IF(Параметры!Y$48=1,Y294,X295),IF(Параметры!Y$45&lt;&gt;Параметры!X$45,Y294,X295),IF(Параметры!Y$50&lt;&gt;Параметры!X$50,Y294,X295)))</f>
        <v>1.1695800580425095</v>
      </c>
      <c r="Z295" s="417">
        <f ca="1">IF(Z$2=1,1,CHOOSE($B$8,Z294,IF(Параметры!Z$43=1,Z294,Y295),IF(Параметры!Z$48=1,Z294,Y295),IF(Параметры!Z$45&lt;&gt;Параметры!Y$45,Z294,Y295),IF(Параметры!Z$50&lt;&gt;Параметры!Y$50,Z294,Y295)))</f>
        <v>1.1810816916444749</v>
      </c>
      <c r="AA295" s="417">
        <f ca="1">IF(AA$2=1,1,CHOOSE($B$8,AA294,IF(Параметры!AA$43=1,AA294,Z295),IF(Параметры!AA$48=1,AA294,Z295),IF(Параметры!AA$45&lt;&gt;Параметры!Z$45,AA294,Z295),IF(Параметры!AA$50&lt;&gt;Параметры!Z$50,AA294,Z295)))</f>
        <v>1.1926964321471643</v>
      </c>
      <c r="AB295" s="417">
        <f ca="1">IF(AB$2=1,1,CHOOSE($B$8,AB294,IF(Параметры!AB$43=1,AB294,AA295),IF(Параметры!AB$48=1,AB294,AA295),IF(Параметры!AB$45&lt;&gt;Параметры!AA$45,AB294,AA295),IF(Параметры!AB$50&lt;&gt;Параметры!AA$50,AB294,AA295)))</f>
        <v>1.2044253918422256</v>
      </c>
      <c r="AC295" s="417">
        <f ca="1">IF(AC$2=1,1,CHOOSE($B$8,AC294,IF(Параметры!AC$43=1,AC294,AB295),IF(Параметры!AC$48=1,AC294,AB295),IF(Параметры!AC$45&lt;&gt;Параметры!AB$45,AC294,AB295),IF(Параметры!AC$50&lt;&gt;Параметры!AB$50,AC294,AB295)))</f>
        <v>1.2162696939595667</v>
      </c>
      <c r="AD295" s="417">
        <f ca="1">IF(AD$2=1,1,CHOOSE($B$8,AD294,IF(Параметры!AD$43=1,AD294,AC295),IF(Параметры!AD$48=1,AD294,AC295),IF(Параметры!AD$45&lt;&gt;Параметры!AC$45,AD294,AC295),IF(Параметры!AD$50&lt;&gt;Параметры!AC$50,AD294,AC295)))</f>
        <v>1.2282157089875798</v>
      </c>
      <c r="AE295" s="417">
        <f ca="1">IF(AE$2=1,1,CHOOSE($B$8,AE294,IF(Параметры!AE$43=1,AE294,AD295),IF(Параметры!AE$48=1,AE294,AD295),IF(Параметры!AE$45&lt;&gt;Параметры!AD$45,AE294,AD295),IF(Параметры!AE$50&lt;&gt;Параметры!AD$50,AE294,AD295)))</f>
        <v>1.2402790559492571</v>
      </c>
      <c r="AF295" s="417">
        <f ca="1">IF(AF$2=1,1,CHOOSE($B$8,AF294,IF(Параметры!AF$43=1,AF294,AE295),IF(Параметры!AF$48=1,AF294,AE295),IF(Параметры!AF$45&lt;&gt;Параметры!AE$45,AF294,AE295),IF(Параметры!AF$50&lt;&gt;Параметры!AE$50,AF294,AE295)))</f>
        <v>1.2524608872609169</v>
      </c>
      <c r="AG295" s="417">
        <f ca="1">IF(AG$2=1,1,CHOOSE($B$8,AG294,IF(Параметры!AG$43=1,AG294,AF295),IF(Параметры!AG$48=1,AG294,AF295),IF(Параметры!AG$45&lt;&gt;Параметры!AF$45,AG294,AF295),IF(Параметры!AG$50&lt;&gt;Параметры!AF$50,AG294,AF295)))</f>
        <v>1.2647623666577346</v>
      </c>
      <c r="AH295" s="417">
        <f ca="1">IF(AH$2=1,1,CHOOSE($B$8,AH294,IF(Параметры!AH$43=1,AH294,AG295),IF(Параметры!AH$48=1,AH294,AG295),IF(Параметры!AH$45&lt;&gt;Параметры!AG$45,AH294,AG295),IF(Параметры!AH$50&lt;&gt;Параметры!AG$50,AH294,AG295)))</f>
        <v>1.2771478212390197</v>
      </c>
      <c r="AI295" s="417">
        <f ca="1">IF(AI$2=1,1,CHOOSE($B$8,AI294,IF(Параметры!AI$43=1,AI294,AH295),IF(Параметры!AI$48=1,AI294,AH295),IF(Параметры!AI$45&lt;&gt;Параметры!AH$45,AI294,AH295),IF(Параметры!AI$50&lt;&gt;Параметры!AH$50,AI294,AH295)))</f>
        <v>1.2896545630195677</v>
      </c>
      <c r="AJ295" s="417">
        <f ca="1">IF(AJ$2=1,1,CHOOSE($B$8,AJ294,IF(Параметры!AJ$43=1,AJ294,AI295),IF(Параметры!AJ$48=1,AJ294,AI295),IF(Параметры!AJ$45&lt;&gt;Параметры!AI$45,AJ294,AI295),IF(Параметры!AJ$50&lt;&gt;Параметры!AI$50,AJ294,AI295)))</f>
        <v>1.3022837797300839</v>
      </c>
      <c r="AK295" s="417">
        <f ca="1">IF(AK$2=1,1,CHOOSE($B$8,AK294,IF(Параметры!AK$43=1,AK294,AJ295),IF(Параметры!AK$48=1,AK294,AJ295),IF(Параметры!AK$45&lt;&gt;Параметры!AJ$45,AK294,AJ295),IF(Параметры!AK$50&lt;&gt;Параметры!AJ$50,AK294,AJ295)))</f>
        <v>1.3150366707323793</v>
      </c>
      <c r="AL295" s="417">
        <f ca="1">IF(AL$2=1,1,CHOOSE($B$8,AL294,IF(Параметры!AL$43=1,AL294,AK295),IF(Параметры!AL$48=1,AL294,AK295),IF(Параметры!AL$45&lt;&gt;Параметры!AK$45,AL294,AK295),IF(Параметры!AL$50&lt;&gt;Параметры!AK$50,AL294,AK295)))</f>
        <v>1.3278761310402869</v>
      </c>
      <c r="AM295" s="417">
        <f ca="1">IF(AM$2=1,1,CHOOSE($B$8,AM294,IF(Параметры!AM$43=1,AM294,AL295),IF(Параметры!AM$48=1,AM294,AL295),IF(Параметры!AM$45&lt;&gt;Параметры!AL$45,AM294,AL295),IF(Параметры!AM$50&lt;&gt;Параметры!AL$50,AM294,AL295)))</f>
        <v>1.3408409503930541</v>
      </c>
      <c r="AN295" s="417">
        <f ca="1">IF(AN$2=1,1,CHOOSE($B$8,AN294,IF(Параметры!AN$43=1,AN294,AM295),IF(Параметры!AN$48=1,AN294,AM295),IF(Параметры!AN$45&lt;&gt;Параметры!AM$45,AN294,AM295),IF(Параметры!AN$50&lt;&gt;Параметры!AM$50,AN294,AM295)))</f>
        <v>1.3539323527432265</v>
      </c>
      <c r="AO295" s="417">
        <f ca="1">IF(AO$2=1,1,CHOOSE($B$8,AO294,IF(Параметры!AO$43=1,AO294,AN295),IF(Параметры!AO$48=1,AO294,AN295),IF(Параметры!AO$45&lt;&gt;Параметры!AN$45,AO294,AN295),IF(Параметры!AO$50&lt;&gt;Параметры!AN$50,AO294,AN295)))</f>
        <v>1.3671515739935032</v>
      </c>
      <c r="AP295" s="417">
        <f ca="1">IF(AP$2=1,1,CHOOSE($B$8,AP294,IF(Параметры!AP$43=1,AP294,AO295),IF(Параметры!AP$48=1,AP294,AO295),IF(Параметры!AP$45&lt;&gt;Параметры!AO$45,AP294,AO295),IF(Параметры!AP$50&lt;&gt;Параметры!AO$50,AP294,AO295)))</f>
        <v>1.380473303824403</v>
      </c>
      <c r="AQ295" s="417">
        <f ca="1">IF(AQ$2=1,1,CHOOSE($B$8,AQ294,IF(Параметры!AQ$43=1,AQ294,AP295),IF(Параметры!AQ$48=1,AQ294,AP295),IF(Параметры!AQ$45&lt;&gt;Параметры!AP$45,AQ294,AP295),IF(Параметры!AQ$50&lt;&gt;Параметры!AP$50,AQ294,AP295)))</f>
        <v>1.3939248425872921</v>
      </c>
      <c r="AR295" s="417">
        <f ca="1">IF(AR$2=1,1,CHOOSE($B$8,AR294,IF(Параметры!AR$43=1,AR294,AQ295),IF(Параметры!AR$48=1,AR294,AQ295),IF(Параметры!AR$45&lt;&gt;Параметры!AQ$45,AR294,AQ295),IF(Параметры!AR$50&lt;&gt;Параметры!AQ$50,AR294,AQ295)))</f>
        <v>1.4075074551598581</v>
      </c>
      <c r="AS295" s="120"/>
      <c r="AT295" s="116"/>
    </row>
    <row r="296" spans="1:46" x14ac:dyDescent="0.2">
      <c r="AS296" s="1"/>
    </row>
    <row r="297" spans="1:46" x14ac:dyDescent="0.2">
      <c r="A297" s="133" t="s">
        <v>60</v>
      </c>
      <c r="B297" s="46"/>
      <c r="C297" s="46"/>
      <c r="D297" s="47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73"/>
      <c r="AT297" s="91"/>
    </row>
    <row r="298" spans="1:46" x14ac:dyDescent="0.2">
      <c r="AS298" s="1"/>
    </row>
    <row r="299" spans="1:46" x14ac:dyDescent="0.2">
      <c r="A299" s="354" t="s">
        <v>648</v>
      </c>
      <c r="B299" s="223" t="s">
        <v>390</v>
      </c>
      <c r="C299" s="286">
        <v>1</v>
      </c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</row>
    <row r="300" spans="1:46" x14ac:dyDescent="0.2">
      <c r="A300" s="106" t="s">
        <v>63</v>
      </c>
      <c r="B300" s="350">
        <f>Деятельность_УК!$B$6+1</f>
        <v>1</v>
      </c>
      <c r="C300" s="3" t="s">
        <v>3</v>
      </c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123"/>
    </row>
    <row r="301" spans="1:46" collapsed="1" x14ac:dyDescent="0.2">
      <c r="A301" s="106" t="s">
        <v>1096</v>
      </c>
      <c r="B301" s="350">
        <f>ИД!C142/4/1.2</f>
        <v>375</v>
      </c>
      <c r="C301" s="3" t="str">
        <f>CHOOSE(C299,Параметры!$B$64,Параметры!$B$108,Параметры!$B$117)</f>
        <v>тыс. руб.</v>
      </c>
      <c r="E301" s="363">
        <f>IF(E$2&gt;=$B300,$B301,0)*Параметры!E$41</f>
        <v>375</v>
      </c>
      <c r="F301" s="363">
        <f>IF(F$2&gt;=$B300,$B301,0)*Параметры!F$41</f>
        <v>375</v>
      </c>
      <c r="G301" s="363">
        <f>IF(G$2&gt;=$B300,$B301,0)*Параметры!G$41</f>
        <v>375</v>
      </c>
      <c r="H301" s="363">
        <f>IF(H$2&gt;=$B300,$B301,0)*Параметры!H$41</f>
        <v>375</v>
      </c>
      <c r="I301" s="363">
        <f>IF(I$2&gt;=$B300,$B301,0)*Параметры!I$41</f>
        <v>375</v>
      </c>
      <c r="J301" s="363">
        <f>IF(J$2&gt;=$B300,$B301,0)*Параметры!J$41</f>
        <v>375</v>
      </c>
      <c r="K301" s="363">
        <f>IF(K$2&gt;=$B300,$B301,0)*Параметры!K$41</f>
        <v>375</v>
      </c>
      <c r="L301" s="363">
        <f>IF(L$2&gt;=$B300,$B301,0)*Параметры!L$41</f>
        <v>375</v>
      </c>
      <c r="M301" s="363">
        <f>IF(M$2&gt;=$B300,$B301,0)*Параметры!M$41</f>
        <v>375</v>
      </c>
      <c r="N301" s="363">
        <f>IF(N$2&gt;=$B300,$B301,0)*Параметры!N$41</f>
        <v>375</v>
      </c>
      <c r="O301" s="363">
        <f>IF(O$2&gt;=$B300,$B301,0)*Параметры!O$41</f>
        <v>375</v>
      </c>
      <c r="P301" s="363">
        <f>IF(P$2&gt;=$B300,$B301,0)*Параметры!P$41</f>
        <v>375</v>
      </c>
      <c r="Q301" s="363">
        <f>IF(Q$2&gt;=$B300,$B301,0)*Параметры!Q$41</f>
        <v>375</v>
      </c>
      <c r="R301" s="363">
        <f>IF(R$2&gt;=$B300,$B301,0)*Параметры!R$41</f>
        <v>375</v>
      </c>
      <c r="S301" s="363">
        <f>IF(S$2&gt;=$B300,$B301,0)*Параметры!S$41</f>
        <v>375</v>
      </c>
      <c r="T301" s="363">
        <f>IF(T$2&gt;=$B300,$B301,0)*Параметры!T$41</f>
        <v>375</v>
      </c>
      <c r="U301" s="363">
        <f>IF(U$2&gt;=$B300,$B301,0)*Параметры!U$41</f>
        <v>375</v>
      </c>
      <c r="V301" s="363">
        <f>IF(V$2&gt;=$B300,$B301,0)*Параметры!V$41</f>
        <v>375</v>
      </c>
      <c r="W301" s="363">
        <f>IF(W$2&gt;=$B300,$B301,0)*Параметры!W$41</f>
        <v>375</v>
      </c>
      <c r="X301" s="363">
        <f>IF(X$2&gt;=$B300,$B301,0)*Параметры!X$41</f>
        <v>375</v>
      </c>
      <c r="Y301" s="363">
        <f>IF(Y$2&gt;=$B300,$B301,0)*Параметры!Y$41</f>
        <v>375</v>
      </c>
      <c r="Z301" s="363">
        <f>IF(Z$2&gt;=$B300,$B301,0)*Параметры!Z$41</f>
        <v>375</v>
      </c>
      <c r="AA301" s="363">
        <f>IF(AA$2&gt;=$B300,$B301,0)*Параметры!AA$41</f>
        <v>375</v>
      </c>
      <c r="AB301" s="363">
        <f>IF(AB$2&gt;=$B300,$B301,0)*Параметры!AB$41</f>
        <v>375</v>
      </c>
      <c r="AC301" s="363">
        <f>IF(AC$2&gt;=$B300,$B301,0)*Параметры!AC$41</f>
        <v>375</v>
      </c>
      <c r="AD301" s="363">
        <f>IF(AD$2&gt;=$B300,$B301,0)*Параметры!AD$41</f>
        <v>375</v>
      </c>
      <c r="AE301" s="363">
        <f>IF(AE$2&gt;=$B300,$B301,0)*Параметры!AE$41</f>
        <v>375</v>
      </c>
      <c r="AF301" s="363">
        <f>IF(AF$2&gt;=$B300,$B301,0)*Параметры!AF$41</f>
        <v>375</v>
      </c>
      <c r="AG301" s="363">
        <f>IF(AG$2&gt;=$B300,$B301,0)*Параметры!AG$41</f>
        <v>375</v>
      </c>
      <c r="AH301" s="363">
        <f>IF(AH$2&gt;=$B300,$B301,0)*Параметры!AH$41</f>
        <v>375</v>
      </c>
      <c r="AI301" s="363">
        <f>IF(AI$2&gt;=$B300,$B301,0)*Параметры!AI$41</f>
        <v>375</v>
      </c>
      <c r="AJ301" s="363">
        <f>IF(AJ$2&gt;=$B300,$B301,0)*Параметры!AJ$41</f>
        <v>375</v>
      </c>
      <c r="AK301" s="363">
        <f>IF(AK$2&gt;=$B300,$B301,0)*Параметры!AK$41</f>
        <v>375</v>
      </c>
      <c r="AL301" s="363">
        <f>IF(AL$2&gt;=$B300,$B301,0)*Параметры!AL$41</f>
        <v>375</v>
      </c>
      <c r="AM301" s="363">
        <f>IF(AM$2&gt;=$B300,$B301,0)*Параметры!AM$41</f>
        <v>375</v>
      </c>
      <c r="AN301" s="363">
        <f>IF(AN$2&gt;=$B300,$B301,0)*Параметры!AN$41</f>
        <v>375</v>
      </c>
      <c r="AO301" s="363">
        <f>IF(AO$2&gt;=$B300,$B301,0)*Параметры!AO$41</f>
        <v>375</v>
      </c>
      <c r="AP301" s="363">
        <f>IF(AP$2&gt;=$B300,$B301,0)*Параметры!AP$41</f>
        <v>375</v>
      </c>
      <c r="AQ301" s="363">
        <f>IF(AQ$2&gt;=$B300,$B301,0)*Параметры!AQ$41</f>
        <v>375</v>
      </c>
      <c r="AR301" s="363">
        <f>IF(AR$2&gt;=$B300,$B301,0)*Параметры!AR$41</f>
        <v>375</v>
      </c>
      <c r="AS301" s="90"/>
      <c r="AT301" s="30">
        <f>SUM(E301:AS301)</f>
        <v>15000</v>
      </c>
    </row>
    <row r="302" spans="1:46" outlineLevel="1" x14ac:dyDescent="0.2">
      <c r="A302" s="101" t="s">
        <v>52</v>
      </c>
      <c r="B302" s="25"/>
      <c r="C302" s="21" t="s">
        <v>1</v>
      </c>
      <c r="E302" s="361">
        <f>Параметры!E$136</f>
        <v>0.2</v>
      </c>
      <c r="F302" s="361">
        <f>Параметры!F$136</f>
        <v>0.2</v>
      </c>
      <c r="G302" s="361">
        <f>Параметры!G$136</f>
        <v>0.2</v>
      </c>
      <c r="H302" s="361">
        <f>Параметры!H$136</f>
        <v>0.2</v>
      </c>
      <c r="I302" s="361">
        <f>Параметры!I$136</f>
        <v>0.2</v>
      </c>
      <c r="J302" s="361">
        <f>Параметры!J$136</f>
        <v>0.2</v>
      </c>
      <c r="K302" s="361">
        <f>Параметры!K$136</f>
        <v>0.2</v>
      </c>
      <c r="L302" s="361">
        <f>Параметры!L$136</f>
        <v>0.2</v>
      </c>
      <c r="M302" s="361">
        <f>Параметры!M$136</f>
        <v>0.2</v>
      </c>
      <c r="N302" s="361">
        <f>Параметры!N$136</f>
        <v>0.2</v>
      </c>
      <c r="O302" s="361">
        <f>Параметры!O$136</f>
        <v>0.2</v>
      </c>
      <c r="P302" s="361">
        <f>Параметры!P$136</f>
        <v>0.2</v>
      </c>
      <c r="Q302" s="361">
        <f>Параметры!Q$136</f>
        <v>0.2</v>
      </c>
      <c r="R302" s="361">
        <f>Параметры!R$136</f>
        <v>0.2</v>
      </c>
      <c r="S302" s="361">
        <f>Параметры!S$136</f>
        <v>0.2</v>
      </c>
      <c r="T302" s="361">
        <f>Параметры!T$136</f>
        <v>0.2</v>
      </c>
      <c r="U302" s="361">
        <f>Параметры!U$136</f>
        <v>0.2</v>
      </c>
      <c r="V302" s="361">
        <f>Параметры!V$136</f>
        <v>0.2</v>
      </c>
      <c r="W302" s="361">
        <f>Параметры!W$136</f>
        <v>0.2</v>
      </c>
      <c r="X302" s="361">
        <f>Параметры!X$136</f>
        <v>0.2</v>
      </c>
      <c r="Y302" s="361">
        <f>Параметры!Y$136</f>
        <v>0.2</v>
      </c>
      <c r="Z302" s="361">
        <f>Параметры!Z$136</f>
        <v>0.2</v>
      </c>
      <c r="AA302" s="361">
        <f>Параметры!AA$136</f>
        <v>0.2</v>
      </c>
      <c r="AB302" s="361">
        <f>Параметры!AB$136</f>
        <v>0.2</v>
      </c>
      <c r="AC302" s="361">
        <f>Параметры!AC$136</f>
        <v>0.2</v>
      </c>
      <c r="AD302" s="361">
        <f>Параметры!AD$136</f>
        <v>0.2</v>
      </c>
      <c r="AE302" s="361">
        <f>Параметры!AE$136</f>
        <v>0.2</v>
      </c>
      <c r="AF302" s="361">
        <f>Параметры!AF$136</f>
        <v>0.2</v>
      </c>
      <c r="AG302" s="361">
        <f>Параметры!AG$136</f>
        <v>0.2</v>
      </c>
      <c r="AH302" s="361">
        <f>Параметры!AH$136</f>
        <v>0.2</v>
      </c>
      <c r="AI302" s="361">
        <f>Параметры!AI$136</f>
        <v>0.2</v>
      </c>
      <c r="AJ302" s="361">
        <f>Параметры!AJ$136</f>
        <v>0.2</v>
      </c>
      <c r="AK302" s="361">
        <f>Параметры!AK$136</f>
        <v>0.2</v>
      </c>
      <c r="AL302" s="361">
        <f>Параметры!AL$136</f>
        <v>0.2</v>
      </c>
      <c r="AM302" s="361">
        <f>Параметры!AM$136</f>
        <v>0.2</v>
      </c>
      <c r="AN302" s="361">
        <f>Параметры!AN$136</f>
        <v>0.2</v>
      </c>
      <c r="AO302" s="361">
        <f>Параметры!AO$136</f>
        <v>0.2</v>
      </c>
      <c r="AP302" s="361">
        <f>Параметры!AP$136</f>
        <v>0.2</v>
      </c>
      <c r="AQ302" s="361">
        <f>Параметры!AQ$136</f>
        <v>0.2</v>
      </c>
      <c r="AR302" s="361">
        <f>Параметры!AR$136</f>
        <v>0.2</v>
      </c>
      <c r="AS302" s="127"/>
      <c r="AT302" s="117"/>
    </row>
    <row r="303" spans="1:46" outlineLevel="1" x14ac:dyDescent="0.2">
      <c r="A303" s="101" t="s">
        <v>64</v>
      </c>
      <c r="B303" s="8"/>
      <c r="C303" s="21" t="str">
        <f>CHOOSE(C299,Параметры!$B$64,Параметры!$B$108,Параметры!$B$117)</f>
        <v>тыс. руб.</v>
      </c>
      <c r="E303" s="129">
        <f t="shared" ref="E303:AR303" si="104">E304*E302</f>
        <v>75</v>
      </c>
      <c r="F303" s="129">
        <f t="shared" ca="1" si="104"/>
        <v>75</v>
      </c>
      <c r="G303" s="129">
        <f t="shared" ca="1" si="104"/>
        <v>75</v>
      </c>
      <c r="H303" s="129">
        <f t="shared" ca="1" si="104"/>
        <v>75</v>
      </c>
      <c r="I303" s="129">
        <f t="shared" ca="1" si="104"/>
        <v>75</v>
      </c>
      <c r="J303" s="129">
        <f t="shared" ca="1" si="104"/>
        <v>75.74104687986646</v>
      </c>
      <c r="K303" s="129">
        <f t="shared" ca="1" si="104"/>
        <v>76.489415766108365</v>
      </c>
      <c r="L303" s="129">
        <f t="shared" ca="1" si="104"/>
        <v>77.245179004725458</v>
      </c>
      <c r="M303" s="129">
        <f t="shared" ca="1" si="104"/>
        <v>78.008409656541147</v>
      </c>
      <c r="N303" s="129">
        <f t="shared" ca="1" si="104"/>
        <v>78.776136968728252</v>
      </c>
      <c r="O303" s="129">
        <f t="shared" ca="1" si="104"/>
        <v>79.551419943548069</v>
      </c>
      <c r="P303" s="129">
        <f t="shared" ca="1" si="104"/>
        <v>80.334332940785487</v>
      </c>
      <c r="Q303" s="129">
        <f t="shared" ca="1" si="104"/>
        <v>81.124951052044494</v>
      </c>
      <c r="R303" s="129">
        <f t="shared" ca="1" si="104"/>
        <v>81.920354930732486</v>
      </c>
      <c r="S303" s="129">
        <f t="shared" ca="1" si="104"/>
        <v>82.723557486917684</v>
      </c>
      <c r="T303" s="129">
        <f t="shared" ca="1" si="104"/>
        <v>83.534635184107941</v>
      </c>
      <c r="U303" s="129">
        <f t="shared" ca="1" si="104"/>
        <v>84.353665235510988</v>
      </c>
      <c r="V303" s="129">
        <f t="shared" ca="1" si="104"/>
        <v>85.182576679457682</v>
      </c>
      <c r="W303" s="129">
        <f t="shared" ca="1" si="104"/>
        <v>86.019633521473182</v>
      </c>
      <c r="X303" s="129">
        <f t="shared" ca="1" si="104"/>
        <v>86.864915803291964</v>
      </c>
      <c r="Y303" s="129">
        <f t="shared" ca="1" si="104"/>
        <v>87.718504353188223</v>
      </c>
      <c r="Z303" s="129">
        <f t="shared" ca="1" si="104"/>
        <v>88.58112687333562</v>
      </c>
      <c r="AA303" s="129">
        <f t="shared" ca="1" si="104"/>
        <v>89.452232411037329</v>
      </c>
      <c r="AB303" s="129">
        <f t="shared" ca="1" si="104"/>
        <v>90.331904388166933</v>
      </c>
      <c r="AC303" s="129">
        <f t="shared" ca="1" si="104"/>
        <v>91.220227046967523</v>
      </c>
      <c r="AD303" s="129">
        <f t="shared" ca="1" si="104"/>
        <v>92.116178174068494</v>
      </c>
      <c r="AE303" s="129">
        <f t="shared" ca="1" si="104"/>
        <v>93.020929196194288</v>
      </c>
      <c r="AF303" s="129">
        <f t="shared" ca="1" si="104"/>
        <v>93.934566544568781</v>
      </c>
      <c r="AG303" s="129">
        <f t="shared" ca="1" si="104"/>
        <v>94.857177499330092</v>
      </c>
      <c r="AH303" s="129">
        <f t="shared" ca="1" si="104"/>
        <v>95.786086592926495</v>
      </c>
      <c r="AI303" s="129">
        <f t="shared" ca="1" si="104"/>
        <v>96.724092226467576</v>
      </c>
      <c r="AJ303" s="129">
        <f t="shared" ca="1" si="104"/>
        <v>97.671283479756298</v>
      </c>
      <c r="AK303" s="129">
        <f t="shared" ca="1" si="104"/>
        <v>98.627750304928455</v>
      </c>
      <c r="AL303" s="129">
        <f t="shared" ca="1" si="104"/>
        <v>99.590709828021531</v>
      </c>
      <c r="AM303" s="129">
        <f t="shared" ca="1" si="104"/>
        <v>100.56307127947906</v>
      </c>
      <c r="AN303" s="129">
        <f t="shared" ca="1" si="104"/>
        <v>101.544926455742</v>
      </c>
      <c r="AO303" s="129">
        <f t="shared" ca="1" si="104"/>
        <v>102.53636804951276</v>
      </c>
      <c r="AP303" s="129">
        <f t="shared" ca="1" si="104"/>
        <v>103.53549778683023</v>
      </c>
      <c r="AQ303" s="129">
        <f t="shared" ca="1" si="104"/>
        <v>104.54436319404691</v>
      </c>
      <c r="AR303" s="129">
        <f t="shared" ca="1" si="104"/>
        <v>105.56305913698937</v>
      </c>
      <c r="AS303" s="129"/>
      <c r="AT303" s="125">
        <f ca="1">SUM(E303:AS303)</f>
        <v>3520.7902858753982</v>
      </c>
    </row>
    <row r="304" spans="1:46" outlineLevel="1" x14ac:dyDescent="0.2">
      <c r="A304" s="114" t="s">
        <v>477</v>
      </c>
      <c r="B304" s="16"/>
      <c r="C304" s="2" t="str">
        <f>CHOOSE(C299,Параметры!$B$64,Параметры!$B$108,Параметры!$B$117)</f>
        <v>тыс. руб.</v>
      </c>
      <c r="E304" s="129">
        <f t="shared" ref="E304:AR304" si="105">E301*E307</f>
        <v>375</v>
      </c>
      <c r="F304" s="129">
        <f t="shared" ca="1" si="105"/>
        <v>375</v>
      </c>
      <c r="G304" s="129">
        <f t="shared" ca="1" si="105"/>
        <v>375</v>
      </c>
      <c r="H304" s="129">
        <f t="shared" ca="1" si="105"/>
        <v>375</v>
      </c>
      <c r="I304" s="129">
        <f t="shared" ca="1" si="105"/>
        <v>375</v>
      </c>
      <c r="J304" s="129">
        <f t="shared" ca="1" si="105"/>
        <v>378.70523439933226</v>
      </c>
      <c r="K304" s="129">
        <f t="shared" ca="1" si="105"/>
        <v>382.44707883054178</v>
      </c>
      <c r="L304" s="129">
        <f t="shared" ca="1" si="105"/>
        <v>386.22589502362723</v>
      </c>
      <c r="M304" s="129">
        <f t="shared" ca="1" si="105"/>
        <v>390.04204828270571</v>
      </c>
      <c r="N304" s="129">
        <f t="shared" ca="1" si="105"/>
        <v>393.88068484364123</v>
      </c>
      <c r="O304" s="129">
        <f t="shared" ca="1" si="105"/>
        <v>397.75709971774029</v>
      </c>
      <c r="P304" s="129">
        <f t="shared" ca="1" si="105"/>
        <v>401.67166470392738</v>
      </c>
      <c r="Q304" s="129">
        <f t="shared" ca="1" si="105"/>
        <v>405.62475526022246</v>
      </c>
      <c r="R304" s="129">
        <f t="shared" ca="1" si="105"/>
        <v>409.6017746536624</v>
      </c>
      <c r="S304" s="129">
        <f t="shared" ca="1" si="105"/>
        <v>413.61778743458842</v>
      </c>
      <c r="T304" s="129">
        <f t="shared" ca="1" si="105"/>
        <v>417.67317592053968</v>
      </c>
      <c r="U304" s="129">
        <f t="shared" ca="1" si="105"/>
        <v>421.76832617755491</v>
      </c>
      <c r="V304" s="129">
        <f t="shared" ca="1" si="105"/>
        <v>425.9128833972884</v>
      </c>
      <c r="W304" s="129">
        <f t="shared" ca="1" si="105"/>
        <v>430.09816760736589</v>
      </c>
      <c r="X304" s="129">
        <f t="shared" ca="1" si="105"/>
        <v>434.32457901645978</v>
      </c>
      <c r="Y304" s="129">
        <f t="shared" ca="1" si="105"/>
        <v>438.59252176594106</v>
      </c>
      <c r="Z304" s="129">
        <f t="shared" ca="1" si="105"/>
        <v>442.90563436667804</v>
      </c>
      <c r="AA304" s="129">
        <f t="shared" ca="1" si="105"/>
        <v>447.26116205518662</v>
      </c>
      <c r="AB304" s="129">
        <f t="shared" ca="1" si="105"/>
        <v>451.65952194083462</v>
      </c>
      <c r="AC304" s="129">
        <f t="shared" ca="1" si="105"/>
        <v>456.10113523483756</v>
      </c>
      <c r="AD304" s="129">
        <f t="shared" ca="1" si="105"/>
        <v>460.58089087034244</v>
      </c>
      <c r="AE304" s="129">
        <f t="shared" ca="1" si="105"/>
        <v>465.10464598097144</v>
      </c>
      <c r="AF304" s="129">
        <f t="shared" ca="1" si="105"/>
        <v>469.67283272284385</v>
      </c>
      <c r="AG304" s="129">
        <f t="shared" ca="1" si="105"/>
        <v>474.28588749665045</v>
      </c>
      <c r="AH304" s="129">
        <f t="shared" ca="1" si="105"/>
        <v>478.93043296463242</v>
      </c>
      <c r="AI304" s="129">
        <f t="shared" ca="1" si="105"/>
        <v>483.62046113233788</v>
      </c>
      <c r="AJ304" s="129">
        <f t="shared" ca="1" si="105"/>
        <v>488.35641739878145</v>
      </c>
      <c r="AK304" s="129">
        <f t="shared" ca="1" si="105"/>
        <v>493.13875152464226</v>
      </c>
      <c r="AL304" s="129">
        <f t="shared" ca="1" si="105"/>
        <v>497.95354914010761</v>
      </c>
      <c r="AM304" s="129">
        <f t="shared" ca="1" si="105"/>
        <v>502.81535639739525</v>
      </c>
      <c r="AN304" s="129">
        <f t="shared" ca="1" si="105"/>
        <v>507.72463227870998</v>
      </c>
      <c r="AO304" s="129">
        <f t="shared" ca="1" si="105"/>
        <v>512.68184024756374</v>
      </c>
      <c r="AP304" s="129">
        <f t="shared" ca="1" si="105"/>
        <v>517.67748893415114</v>
      </c>
      <c r="AQ304" s="129">
        <f t="shared" ca="1" si="105"/>
        <v>522.7218159702345</v>
      </c>
      <c r="AR304" s="129">
        <f t="shared" ca="1" si="105"/>
        <v>527.81529568494682</v>
      </c>
      <c r="AS304" s="115"/>
      <c r="AT304" s="125">
        <f ca="1">SUM(E304:AS304)</f>
        <v>17603.95142937699</v>
      </c>
    </row>
    <row r="305" spans="1:46" outlineLevel="1" x14ac:dyDescent="0.2">
      <c r="A305" s="420" t="str">
        <f>Параметры!$A$65</f>
        <v>Инфляция</v>
      </c>
      <c r="B305" s="263" t="s">
        <v>391</v>
      </c>
      <c r="C305" s="21" t="s">
        <v>14</v>
      </c>
      <c r="E305" s="362">
        <f>CHOOSE($C299,Параметры!E$65,Параметры!E$113,Параметры!E$122)</f>
        <v>0</v>
      </c>
      <c r="F305" s="362">
        <f>CHOOSE($C299,Параметры!F$65,Параметры!F$113,Параметры!F$122)</f>
        <v>0</v>
      </c>
      <c r="G305" s="362">
        <f>CHOOSE($C299,Параметры!G$65,Параметры!G$113,Параметры!G$122)</f>
        <v>0</v>
      </c>
      <c r="H305" s="362">
        <f>CHOOSE($C299,Параметры!H$65,Параметры!H$113,Параметры!H$122)</f>
        <v>0</v>
      </c>
      <c r="I305" s="362">
        <f>CHOOSE($C299,Параметры!I$65,Параметры!I$113,Параметры!I$122)</f>
        <v>4.011212875388237E-2</v>
      </c>
      <c r="J305" s="362">
        <f>CHOOSE($C299,Параметры!J$65,Параметры!J$113,Параметры!J$122)</f>
        <v>4.011212875388237E-2</v>
      </c>
      <c r="K305" s="362">
        <f>CHOOSE($C299,Параметры!K$65,Параметры!K$113,Параметры!K$122)</f>
        <v>4.011212875388237E-2</v>
      </c>
      <c r="L305" s="362">
        <f>CHOOSE($C299,Параметры!L$65,Параметры!L$113,Параметры!L$122)</f>
        <v>4.011212875388237E-2</v>
      </c>
      <c r="M305" s="362">
        <f>CHOOSE($C299,Параметры!M$65,Параметры!M$113,Параметры!M$122)</f>
        <v>3.9951351517419909E-2</v>
      </c>
      <c r="N305" s="362">
        <f>CHOOSE($C299,Параметры!N$65,Параметры!N$113,Параметры!N$122)</f>
        <v>3.9951351517419909E-2</v>
      </c>
      <c r="O305" s="362">
        <f>CHOOSE($C299,Параметры!O$65,Параметры!O$113,Параметры!O$122)</f>
        <v>3.9951351517419909E-2</v>
      </c>
      <c r="P305" s="362">
        <f>CHOOSE($C299,Параметры!P$65,Параметры!P$113,Параметры!P$122)</f>
        <v>3.9951351517419909E-2</v>
      </c>
      <c r="Q305" s="362">
        <f>CHOOSE($C299,Параметры!Q$65,Параметры!Q$113,Параметры!Q$122)</f>
        <v>3.9799274348962799E-2</v>
      </c>
      <c r="R305" s="362">
        <f>CHOOSE($C299,Параметры!R$65,Параметры!R$113,Параметры!R$122)</f>
        <v>3.9799274348962799E-2</v>
      </c>
      <c r="S305" s="362">
        <f>CHOOSE($C299,Параметры!S$65,Параметры!S$113,Параметры!S$122)</f>
        <v>3.9799274348962799E-2</v>
      </c>
      <c r="T305" s="362">
        <f>CHOOSE($C299,Параметры!T$65,Параметры!T$113,Параметры!T$122)</f>
        <v>3.9799274348962799E-2</v>
      </c>
      <c r="U305" s="362">
        <f>CHOOSE($C299,Параметры!U$65,Параметры!U$113,Параметры!U$122)</f>
        <v>3.9889661086839556E-2</v>
      </c>
      <c r="V305" s="362">
        <f>CHOOSE($C299,Параметры!V$65,Параметры!V$113,Параметры!V$122)</f>
        <v>3.9889661086839556E-2</v>
      </c>
      <c r="W305" s="362">
        <f>CHOOSE($C299,Параметры!W$65,Параметры!W$113,Параметры!W$122)</f>
        <v>3.9889661086839556E-2</v>
      </c>
      <c r="X305" s="362">
        <f>CHOOSE($C299,Параметры!X$65,Параметры!X$113,Параметры!X$122)</f>
        <v>3.9889661086839556E-2</v>
      </c>
      <c r="Y305" s="362">
        <f>CHOOSE($C299,Параметры!Y$65,Параметры!Y$113,Параметры!Y$122)</f>
        <v>3.9919999999999956E-2</v>
      </c>
      <c r="Z305" s="362">
        <f>CHOOSE($C299,Параметры!Z$65,Параметры!Z$113,Параметры!Z$122)</f>
        <v>3.9919999999999956E-2</v>
      </c>
      <c r="AA305" s="362">
        <f>CHOOSE($C299,Параметры!AA$65,Параметры!AA$113,Параметры!AA$122)</f>
        <v>3.9919999999999956E-2</v>
      </c>
      <c r="AB305" s="362">
        <f>CHOOSE($C299,Параметры!AB$65,Параметры!AB$113,Параметры!AB$122)</f>
        <v>3.9919999999999956E-2</v>
      </c>
      <c r="AC305" s="362">
        <f>CHOOSE($C299,Параметры!AC$65,Параметры!AC$113,Параметры!AC$122)</f>
        <v>3.986999999999985E-2</v>
      </c>
      <c r="AD305" s="362">
        <f>CHOOSE($C299,Параметры!AD$65,Параметры!AD$113,Параметры!AD$122)</f>
        <v>3.986999999999985E-2</v>
      </c>
      <c r="AE305" s="362">
        <f>CHOOSE($C299,Параметры!AE$65,Параметры!AE$113,Параметры!AE$122)</f>
        <v>3.986999999999985E-2</v>
      </c>
      <c r="AF305" s="362">
        <f>CHOOSE($C299,Параметры!AF$65,Параметры!AF$113,Параметры!AF$122)</f>
        <v>3.986999999999985E-2</v>
      </c>
      <c r="AG305" s="362">
        <f>CHOOSE($C299,Параметры!AG$65,Параметры!AG$113,Параметры!AG$122)</f>
        <v>3.9749999999999952E-2</v>
      </c>
      <c r="AH305" s="362">
        <f>CHOOSE($C299,Параметры!AH$65,Параметры!AH$113,Параметры!AH$122)</f>
        <v>3.9749999999999952E-2</v>
      </c>
      <c r="AI305" s="362">
        <f>CHOOSE($C299,Параметры!AI$65,Параметры!AI$113,Параметры!AI$122)</f>
        <v>3.9749999999999952E-2</v>
      </c>
      <c r="AJ305" s="362">
        <f>CHOOSE($C299,Параметры!AJ$65,Параметры!AJ$113,Параметры!AJ$122)</f>
        <v>3.9749999999999952E-2</v>
      </c>
      <c r="AK305" s="362">
        <f>CHOOSE($C299,Параметры!AK$65,Параметры!AK$113,Параметры!AK$122)</f>
        <v>3.9629999999999832E-2</v>
      </c>
      <c r="AL305" s="362">
        <f>CHOOSE($C299,Параметры!AL$65,Параметры!AL$113,Параметры!AL$122)</f>
        <v>3.9629999999999832E-2</v>
      </c>
      <c r="AM305" s="362">
        <f>CHOOSE($C299,Параметры!AM$65,Параметры!AM$113,Параметры!AM$122)</f>
        <v>3.9629999999999832E-2</v>
      </c>
      <c r="AN305" s="362">
        <f>CHOOSE($C299,Параметры!AN$65,Параметры!AN$113,Параметры!AN$122)</f>
        <v>3.9629999999999832E-2</v>
      </c>
      <c r="AO305" s="362">
        <f>CHOOSE($C299,Параметры!AO$65,Параметры!AO$113,Параметры!AO$122)</f>
        <v>3.9549999999999974E-2</v>
      </c>
      <c r="AP305" s="362">
        <f>CHOOSE($C299,Параметры!AP$65,Параметры!AP$113,Параметры!AP$122)</f>
        <v>3.9549999999999974E-2</v>
      </c>
      <c r="AQ305" s="362">
        <f>CHOOSE($C299,Параметры!AQ$65,Параметры!AQ$113,Параметры!AQ$122)</f>
        <v>3.9549999999999974E-2</v>
      </c>
      <c r="AR305" s="362">
        <f>CHOOSE($C299,Параметры!AR$65,Параметры!AR$113,Параметры!AR$122)</f>
        <v>3.9549999999999974E-2</v>
      </c>
      <c r="AS305" s="127"/>
      <c r="AT305" s="119"/>
    </row>
    <row r="306" spans="1:46" outlineLevel="1" x14ac:dyDescent="0.2">
      <c r="A306" s="302" t="s">
        <v>392</v>
      </c>
      <c r="B306" s="25"/>
      <c r="C306" s="21" t="s">
        <v>133</v>
      </c>
      <c r="E306" s="416">
        <f ca="1">IF(E$2=1,1,IF(Параметры!$B$62=1,POWER(1+OFFSET(E305,0,-1),Параметры!E$39/360),1) * IF(E$2&gt;1,D306, 1))</f>
        <v>1</v>
      </c>
      <c r="F306" s="416">
        <f ca="1">IF(F$2=1,1,IF(Параметры!$B$62=1,POWER(1+OFFSET(F305,0,-1),Параметры!F$39/360),1) * IF(F$2&gt;1,E306, 1))</f>
        <v>1</v>
      </c>
      <c r="G306" s="416">
        <f ca="1">IF(G$2=1,1,IF(Параметры!$B$62=1,POWER(1+OFFSET(G305,0,-1),Параметры!G$39/360),1) * IF(G$2&gt;1,F306, 1))</f>
        <v>1</v>
      </c>
      <c r="H306" s="416">
        <f ca="1">IF(H$2=1,1,IF(Параметры!$B$62=1,POWER(1+OFFSET(H305,0,-1),Параметры!H$39/360),1) * IF(H$2&gt;1,G306, 1))</f>
        <v>1</v>
      </c>
      <c r="I306" s="416">
        <f ca="1">IF(I$2=1,1,IF(Параметры!$B$62=1,POWER(1+OFFSET(I305,0,-1),Параметры!I$39/360),1) * IF(I$2&gt;1,H306, 1))</f>
        <v>1</v>
      </c>
      <c r="J306" s="416">
        <f ca="1">IF(J$2=1,1,IF(Параметры!$B$62=1,POWER(1+OFFSET(J305,0,-1),Параметры!J$39/360),1) * IF(J$2&gt;1,I306, 1))</f>
        <v>1.009880625064886</v>
      </c>
      <c r="K306" s="416">
        <f ca="1">IF(K$2=1,1,IF(Параметры!$B$62=1,POWER(1+OFFSET(K305,0,-1),Параметры!K$39/360),1) * IF(K$2&gt;1,J306, 1))</f>
        <v>1.0198588768814447</v>
      </c>
      <c r="L306" s="416">
        <f ca="1">IF(L$2=1,1,IF(Параметры!$B$62=1,POWER(1+OFFSET(L305,0,-1),Параметры!L$39/360),1) * IF(L$2&gt;1,K306, 1))</f>
        <v>1.0299357200630059</v>
      </c>
      <c r="M306" s="416">
        <f ca="1">IF(M$2=1,1,IF(Параметры!$B$62=1,POWER(1+OFFSET(M305,0,-1),Параметры!M$39/360),1) * IF(M$2&gt;1,L306, 1))</f>
        <v>1.0401121287538819</v>
      </c>
      <c r="N306" s="416">
        <f ca="1">IF(N$2=1,1,IF(Параметры!$B$62=1,POWER(1+OFFSET(N305,0,-1),Параметры!N$39/360),1) * IF(N$2&gt;1,M306, 1))</f>
        <v>1.0503484929163767</v>
      </c>
      <c r="O306" s="416">
        <f ca="1">IF(O$2=1,1,IF(Параметры!$B$62=1,POWER(1+OFFSET(O305,0,-1),Параметры!O$39/360),1) * IF(O$2&gt;1,N306, 1))</f>
        <v>1.0606855992473074</v>
      </c>
      <c r="P306" s="416">
        <f ca="1">IF(P$2=1,1,IF(Параметры!$B$62=1,POWER(1+OFFSET(P305,0,-1),Параметры!P$39/360),1) * IF(P$2&gt;1,O306, 1))</f>
        <v>1.0711244392104731</v>
      </c>
      <c r="Q306" s="416">
        <f ca="1">IF(Q$2=1,1,IF(Параметры!$B$62=1,POWER(1+OFFSET(Q305,0,-1),Параметры!Q$39/360),1) * IF(Q$2&gt;1,P306, 1))</f>
        <v>1.0816660140272598</v>
      </c>
      <c r="R306" s="416">
        <f ca="1">IF(R$2=1,1,IF(Параметры!$B$62=1,POWER(1+OFFSET(R305,0,-1),Параметры!R$39/360),1) * IF(R$2&gt;1,Q306, 1))</f>
        <v>1.092271399076433</v>
      </c>
      <c r="S306" s="416">
        <f ca="1">IF(S$2=1,1,IF(Параметры!$B$62=1,POWER(1+OFFSET(S305,0,-1),Параметры!S$39/360),1) * IF(S$2&gt;1,R306, 1))</f>
        <v>1.1029807664922358</v>
      </c>
      <c r="T306" s="416">
        <f ca="1">IF(T$2=1,1,IF(Параметры!$B$62=1,POWER(1+OFFSET(T305,0,-1),Параметры!T$39/360),1) * IF(T$2&gt;1,S306, 1))</f>
        <v>1.1137951357881057</v>
      </c>
      <c r="U306" s="416">
        <f ca="1">IF(U$2=1,1,IF(Параметры!$B$62=1,POWER(1+OFFSET(U305,0,-1),Параметры!U$39/360),1) * IF(U$2&gt;1,T306, 1))</f>
        <v>1.1247155364734798</v>
      </c>
      <c r="V306" s="416">
        <f ca="1">IF(V$2=1,1,IF(Параметры!$B$62=1,POWER(1+OFFSET(V305,0,-1),Параметры!V$39/360),1) * IF(V$2&gt;1,U306, 1))</f>
        <v>1.1357676890594357</v>
      </c>
      <c r="W306" s="416">
        <f ca="1">IF(W$2=1,1,IF(Параметры!$B$62=1,POWER(1+OFFSET(W305,0,-1),Параметры!W$39/360),1) * IF(W$2&gt;1,V306, 1))</f>
        <v>1.1469284469529757</v>
      </c>
      <c r="X306" s="416">
        <f ca="1">IF(X$2=1,1,IF(Параметры!$B$62=1,POWER(1+OFFSET(X305,0,-1),Параметры!X$39/360),1) * IF(X$2&gt;1,W306, 1))</f>
        <v>1.158198877377226</v>
      </c>
      <c r="Y306" s="416">
        <f ca="1">IF(Y$2=1,1,IF(Параметры!$B$62=1,POWER(1+OFFSET(Y305,0,-1),Параметры!Y$39/360),1) * IF(Y$2&gt;1,X306, 1))</f>
        <v>1.1695800580425095</v>
      </c>
      <c r="Z306" s="416">
        <f ca="1">IF(Z$2=1,1,IF(Параметры!$B$62=1,POWER(1+OFFSET(Z305,0,-1),Параметры!Z$39/360),1) * IF(Z$2&gt;1,Y306, 1))</f>
        <v>1.1810816916444749</v>
      </c>
      <c r="AA306" s="416">
        <f ca="1">IF(AA$2=1,1,IF(Параметры!$B$62=1,POWER(1+OFFSET(AA305,0,-1),Параметры!AA$39/360),1) * IF(AA$2&gt;1,Z306, 1))</f>
        <v>1.1926964321471643</v>
      </c>
      <c r="AB306" s="416">
        <f ca="1">IF(AB$2=1,1,IF(Параметры!$B$62=1,POWER(1+OFFSET(AB305,0,-1),Параметры!AB$39/360),1) * IF(AB$2&gt;1,AA306, 1))</f>
        <v>1.2044253918422256</v>
      </c>
      <c r="AC306" s="416">
        <f ca="1">IF(AC$2=1,1,IF(Параметры!$B$62=1,POWER(1+OFFSET(AC305,0,-1),Параметры!AC$39/360),1) * IF(AC$2&gt;1,AB306, 1))</f>
        <v>1.2162696939595667</v>
      </c>
      <c r="AD306" s="416">
        <f ca="1">IF(AD$2=1,1,IF(Параметры!$B$62=1,POWER(1+OFFSET(AD305,0,-1),Параметры!AD$39/360),1) * IF(AD$2&gt;1,AC306, 1))</f>
        <v>1.2282157089875798</v>
      </c>
      <c r="AE306" s="416">
        <f ca="1">IF(AE$2=1,1,IF(Параметры!$B$62=1,POWER(1+OFFSET(AE305,0,-1),Параметры!AE$39/360),1) * IF(AE$2&gt;1,AD306, 1))</f>
        <v>1.2402790559492571</v>
      </c>
      <c r="AF306" s="416">
        <f ca="1">IF(AF$2=1,1,IF(Параметры!$B$62=1,POWER(1+OFFSET(AF305,0,-1),Параметры!AF$39/360),1) * IF(AF$2&gt;1,AE306, 1))</f>
        <v>1.2524608872609169</v>
      </c>
      <c r="AG306" s="416">
        <f ca="1">IF(AG$2=1,1,IF(Параметры!$B$62=1,POWER(1+OFFSET(AG305,0,-1),Параметры!AG$39/360),1) * IF(AG$2&gt;1,AF306, 1))</f>
        <v>1.2647623666577346</v>
      </c>
      <c r="AH306" s="416">
        <f ca="1">IF(AH$2=1,1,IF(Параметры!$B$62=1,POWER(1+OFFSET(AH305,0,-1),Параметры!AH$39/360),1) * IF(AH$2&gt;1,AG306, 1))</f>
        <v>1.2771478212390197</v>
      </c>
      <c r="AI306" s="416">
        <f ca="1">IF(AI$2=1,1,IF(Параметры!$B$62=1,POWER(1+OFFSET(AI305,0,-1),Параметры!AI$39/360),1) * IF(AI$2&gt;1,AH306, 1))</f>
        <v>1.2896545630195677</v>
      </c>
      <c r="AJ306" s="416">
        <f ca="1">IF(AJ$2=1,1,IF(Параметры!$B$62=1,POWER(1+OFFSET(AJ305,0,-1),Параметры!AJ$39/360),1) * IF(AJ$2&gt;1,AI306, 1))</f>
        <v>1.3022837797300839</v>
      </c>
      <c r="AK306" s="416">
        <f ca="1">IF(AK$2=1,1,IF(Параметры!$B$62=1,POWER(1+OFFSET(AK305,0,-1),Параметры!AK$39/360),1) * IF(AK$2&gt;1,AJ306, 1))</f>
        <v>1.3150366707323793</v>
      </c>
      <c r="AL306" s="416">
        <f ca="1">IF(AL$2=1,1,IF(Параметры!$B$62=1,POWER(1+OFFSET(AL305,0,-1),Параметры!AL$39/360),1) * IF(AL$2&gt;1,AK306, 1))</f>
        <v>1.3278761310402869</v>
      </c>
      <c r="AM306" s="416">
        <f ca="1">IF(AM$2=1,1,IF(Параметры!$B$62=1,POWER(1+OFFSET(AM305,0,-1),Параметры!AM$39/360),1) * IF(AM$2&gt;1,AL306, 1))</f>
        <v>1.3408409503930541</v>
      </c>
      <c r="AN306" s="416">
        <f ca="1">IF(AN$2=1,1,IF(Параметры!$B$62=1,POWER(1+OFFSET(AN305,0,-1),Параметры!AN$39/360),1) * IF(AN$2&gt;1,AM306, 1))</f>
        <v>1.3539323527432265</v>
      </c>
      <c r="AO306" s="416">
        <f ca="1">IF(AO$2=1,1,IF(Параметры!$B$62=1,POWER(1+OFFSET(AO305,0,-1),Параметры!AO$39/360),1) * IF(AO$2&gt;1,AN306, 1))</f>
        <v>1.3671515739935032</v>
      </c>
      <c r="AP306" s="416">
        <f ca="1">IF(AP$2=1,1,IF(Параметры!$B$62=1,POWER(1+OFFSET(AP305,0,-1),Параметры!AP$39/360),1) * IF(AP$2&gt;1,AO306, 1))</f>
        <v>1.380473303824403</v>
      </c>
      <c r="AQ306" s="416">
        <f ca="1">IF(AQ$2=1,1,IF(Параметры!$B$62=1,POWER(1+OFFSET(AQ305,0,-1),Параметры!AQ$39/360),1) * IF(AQ$2&gt;1,AP306, 1))</f>
        <v>1.3939248425872921</v>
      </c>
      <c r="AR306" s="416">
        <f ca="1">IF(AR$2=1,1,IF(Параметры!$B$62=1,POWER(1+OFFSET(AR305,0,-1),Параметры!AR$39/360),1) * IF(AR$2&gt;1,AQ306, 1))</f>
        <v>1.4075074551598581</v>
      </c>
      <c r="AS306" s="128"/>
      <c r="AT306" s="117"/>
    </row>
    <row r="307" spans="1:46" outlineLevel="1" x14ac:dyDescent="0.2">
      <c r="A307" s="319" t="s">
        <v>491</v>
      </c>
      <c r="B307" s="24"/>
      <c r="C307" s="2" t="s">
        <v>133</v>
      </c>
      <c r="D307" s="310"/>
      <c r="E307" s="417">
        <f>IF(E$2=1,1,CHOOSE($B$8,E306,IF(Параметры!E$43=1,E306,D307),IF(Параметры!E$48=1,E306,D307),IF(Параметры!E$45&lt;&gt;Параметры!D$45,E306,D307),IF(Параметры!E$50&lt;&gt;Параметры!D$50,E306,D307)))</f>
        <v>1</v>
      </c>
      <c r="F307" s="417">
        <f ca="1">IF(F$2=1,1,CHOOSE($B$8,F306,IF(Параметры!F$43=1,F306,E307),IF(Параметры!F$48=1,F306,E307),IF(Параметры!F$45&lt;&gt;Параметры!E$45,F306,E307),IF(Параметры!F$50&lt;&gt;Параметры!E$50,F306,E307)))</f>
        <v>1</v>
      </c>
      <c r="G307" s="417">
        <f ca="1">IF(G$2=1,1,CHOOSE($B$8,G306,IF(Параметры!G$43=1,G306,F307),IF(Параметры!G$48=1,G306,F307),IF(Параметры!G$45&lt;&gt;Параметры!F$45,G306,F307),IF(Параметры!G$50&lt;&gt;Параметры!F$50,G306,F307)))</f>
        <v>1</v>
      </c>
      <c r="H307" s="417">
        <f ca="1">IF(H$2=1,1,CHOOSE($B$8,H306,IF(Параметры!H$43=1,H306,G307),IF(Параметры!H$48=1,H306,G307),IF(Параметры!H$45&lt;&gt;Параметры!G$45,H306,G307),IF(Параметры!H$50&lt;&gt;Параметры!G$50,H306,G307)))</f>
        <v>1</v>
      </c>
      <c r="I307" s="417">
        <f ca="1">IF(I$2=1,1,CHOOSE($B$8,I306,IF(Параметры!I$43=1,I306,H307),IF(Параметры!I$48=1,I306,H307),IF(Параметры!I$45&lt;&gt;Параметры!H$45,I306,H307),IF(Параметры!I$50&lt;&gt;Параметры!H$50,I306,H307)))</f>
        <v>1</v>
      </c>
      <c r="J307" s="417">
        <f ca="1">IF(J$2=1,1,CHOOSE($B$8,J306,IF(Параметры!J$43=1,J306,I307),IF(Параметры!J$48=1,J306,I307),IF(Параметры!J$45&lt;&gt;Параметры!I$45,J306,I307),IF(Параметры!J$50&lt;&gt;Параметры!I$50,J306,I307)))</f>
        <v>1.009880625064886</v>
      </c>
      <c r="K307" s="417">
        <f ca="1">IF(K$2=1,1,CHOOSE($B$8,K306,IF(Параметры!K$43=1,K306,J307),IF(Параметры!K$48=1,K306,J307),IF(Параметры!K$45&lt;&gt;Параметры!J$45,K306,J307),IF(Параметры!K$50&lt;&gt;Параметры!J$50,K306,J307)))</f>
        <v>1.0198588768814447</v>
      </c>
      <c r="L307" s="417">
        <f ca="1">IF(L$2=1,1,CHOOSE($B$8,L306,IF(Параметры!L$43=1,L306,K307),IF(Параметры!L$48=1,L306,K307),IF(Параметры!L$45&lt;&gt;Параметры!K$45,L306,K307),IF(Параметры!L$50&lt;&gt;Параметры!K$50,L306,K307)))</f>
        <v>1.0299357200630059</v>
      </c>
      <c r="M307" s="417">
        <f ca="1">IF(M$2=1,1,CHOOSE($B$8,M306,IF(Параметры!M$43=1,M306,L307),IF(Параметры!M$48=1,M306,L307),IF(Параметры!M$45&lt;&gt;Параметры!L$45,M306,L307),IF(Параметры!M$50&lt;&gt;Параметры!L$50,M306,L307)))</f>
        <v>1.0401121287538819</v>
      </c>
      <c r="N307" s="417">
        <f ca="1">IF(N$2=1,1,CHOOSE($B$8,N306,IF(Параметры!N$43=1,N306,M307),IF(Параметры!N$48=1,N306,M307),IF(Параметры!N$45&lt;&gt;Параметры!M$45,N306,M307),IF(Параметры!N$50&lt;&gt;Параметры!M$50,N306,M307)))</f>
        <v>1.0503484929163767</v>
      </c>
      <c r="O307" s="417">
        <f ca="1">IF(O$2=1,1,CHOOSE($B$8,O306,IF(Параметры!O$43=1,O306,N307),IF(Параметры!O$48=1,O306,N307),IF(Параметры!O$45&lt;&gt;Параметры!N$45,O306,N307),IF(Параметры!O$50&lt;&gt;Параметры!N$50,O306,N307)))</f>
        <v>1.0606855992473074</v>
      </c>
      <c r="P307" s="417">
        <f ca="1">IF(P$2=1,1,CHOOSE($B$8,P306,IF(Параметры!P$43=1,P306,O307),IF(Параметры!P$48=1,P306,O307),IF(Параметры!P$45&lt;&gt;Параметры!O$45,P306,O307),IF(Параметры!P$50&lt;&gt;Параметры!O$50,P306,O307)))</f>
        <v>1.0711244392104731</v>
      </c>
      <c r="Q307" s="417">
        <f ca="1">IF(Q$2=1,1,CHOOSE($B$8,Q306,IF(Параметры!Q$43=1,Q306,P307),IF(Параметры!Q$48=1,Q306,P307),IF(Параметры!Q$45&lt;&gt;Параметры!P$45,Q306,P307),IF(Параметры!Q$50&lt;&gt;Параметры!P$50,Q306,P307)))</f>
        <v>1.0816660140272598</v>
      </c>
      <c r="R307" s="417">
        <f ca="1">IF(R$2=1,1,CHOOSE($B$8,R306,IF(Параметры!R$43=1,R306,Q307),IF(Параметры!R$48=1,R306,Q307),IF(Параметры!R$45&lt;&gt;Параметры!Q$45,R306,Q307),IF(Параметры!R$50&lt;&gt;Параметры!Q$50,R306,Q307)))</f>
        <v>1.092271399076433</v>
      </c>
      <c r="S307" s="417">
        <f ca="1">IF(S$2=1,1,CHOOSE($B$8,S306,IF(Параметры!S$43=1,S306,R307),IF(Параметры!S$48=1,S306,R307),IF(Параметры!S$45&lt;&gt;Параметры!R$45,S306,R307),IF(Параметры!S$50&lt;&gt;Параметры!R$50,S306,R307)))</f>
        <v>1.1029807664922358</v>
      </c>
      <c r="T307" s="417">
        <f ca="1">IF(T$2=1,1,CHOOSE($B$8,T306,IF(Параметры!T$43=1,T306,S307),IF(Параметры!T$48=1,T306,S307),IF(Параметры!T$45&lt;&gt;Параметры!S$45,T306,S307),IF(Параметры!T$50&lt;&gt;Параметры!S$50,T306,S307)))</f>
        <v>1.1137951357881057</v>
      </c>
      <c r="U307" s="417">
        <f ca="1">IF(U$2=1,1,CHOOSE($B$8,U306,IF(Параметры!U$43=1,U306,T307),IF(Параметры!U$48=1,U306,T307),IF(Параметры!U$45&lt;&gt;Параметры!T$45,U306,T307),IF(Параметры!U$50&lt;&gt;Параметры!T$50,U306,T307)))</f>
        <v>1.1247155364734798</v>
      </c>
      <c r="V307" s="417">
        <f ca="1">IF(V$2=1,1,CHOOSE($B$8,V306,IF(Параметры!V$43=1,V306,U307),IF(Параметры!V$48=1,V306,U307),IF(Параметры!V$45&lt;&gt;Параметры!U$45,V306,U307),IF(Параметры!V$50&lt;&gt;Параметры!U$50,V306,U307)))</f>
        <v>1.1357676890594357</v>
      </c>
      <c r="W307" s="417">
        <f ca="1">IF(W$2=1,1,CHOOSE($B$8,W306,IF(Параметры!W$43=1,W306,V307),IF(Параметры!W$48=1,W306,V307),IF(Параметры!W$45&lt;&gt;Параметры!V$45,W306,V307),IF(Параметры!W$50&lt;&gt;Параметры!V$50,W306,V307)))</f>
        <v>1.1469284469529757</v>
      </c>
      <c r="X307" s="417">
        <f ca="1">IF(X$2=1,1,CHOOSE($B$8,X306,IF(Параметры!X$43=1,X306,W307),IF(Параметры!X$48=1,X306,W307),IF(Параметры!X$45&lt;&gt;Параметры!W$45,X306,W307),IF(Параметры!X$50&lt;&gt;Параметры!W$50,X306,W307)))</f>
        <v>1.158198877377226</v>
      </c>
      <c r="Y307" s="417">
        <f ca="1">IF(Y$2=1,1,CHOOSE($B$8,Y306,IF(Параметры!Y$43=1,Y306,X307),IF(Параметры!Y$48=1,Y306,X307),IF(Параметры!Y$45&lt;&gt;Параметры!X$45,Y306,X307),IF(Параметры!Y$50&lt;&gt;Параметры!X$50,Y306,X307)))</f>
        <v>1.1695800580425095</v>
      </c>
      <c r="Z307" s="417">
        <f ca="1">IF(Z$2=1,1,CHOOSE($B$8,Z306,IF(Параметры!Z$43=1,Z306,Y307),IF(Параметры!Z$48=1,Z306,Y307),IF(Параметры!Z$45&lt;&gt;Параметры!Y$45,Z306,Y307),IF(Параметры!Z$50&lt;&gt;Параметры!Y$50,Z306,Y307)))</f>
        <v>1.1810816916444749</v>
      </c>
      <c r="AA307" s="417">
        <f ca="1">IF(AA$2=1,1,CHOOSE($B$8,AA306,IF(Параметры!AA$43=1,AA306,Z307),IF(Параметры!AA$48=1,AA306,Z307),IF(Параметры!AA$45&lt;&gt;Параметры!Z$45,AA306,Z307),IF(Параметры!AA$50&lt;&gt;Параметры!Z$50,AA306,Z307)))</f>
        <v>1.1926964321471643</v>
      </c>
      <c r="AB307" s="417">
        <f ca="1">IF(AB$2=1,1,CHOOSE($B$8,AB306,IF(Параметры!AB$43=1,AB306,AA307),IF(Параметры!AB$48=1,AB306,AA307),IF(Параметры!AB$45&lt;&gt;Параметры!AA$45,AB306,AA307),IF(Параметры!AB$50&lt;&gt;Параметры!AA$50,AB306,AA307)))</f>
        <v>1.2044253918422256</v>
      </c>
      <c r="AC307" s="417">
        <f ca="1">IF(AC$2=1,1,CHOOSE($B$8,AC306,IF(Параметры!AC$43=1,AC306,AB307),IF(Параметры!AC$48=1,AC306,AB307),IF(Параметры!AC$45&lt;&gt;Параметры!AB$45,AC306,AB307),IF(Параметры!AC$50&lt;&gt;Параметры!AB$50,AC306,AB307)))</f>
        <v>1.2162696939595667</v>
      </c>
      <c r="AD307" s="417">
        <f ca="1">IF(AD$2=1,1,CHOOSE($B$8,AD306,IF(Параметры!AD$43=1,AD306,AC307),IF(Параметры!AD$48=1,AD306,AC307),IF(Параметры!AD$45&lt;&gt;Параметры!AC$45,AD306,AC307),IF(Параметры!AD$50&lt;&gt;Параметры!AC$50,AD306,AC307)))</f>
        <v>1.2282157089875798</v>
      </c>
      <c r="AE307" s="417">
        <f ca="1">IF(AE$2=1,1,CHOOSE($B$8,AE306,IF(Параметры!AE$43=1,AE306,AD307),IF(Параметры!AE$48=1,AE306,AD307),IF(Параметры!AE$45&lt;&gt;Параметры!AD$45,AE306,AD307),IF(Параметры!AE$50&lt;&gt;Параметры!AD$50,AE306,AD307)))</f>
        <v>1.2402790559492571</v>
      </c>
      <c r="AF307" s="417">
        <f ca="1">IF(AF$2=1,1,CHOOSE($B$8,AF306,IF(Параметры!AF$43=1,AF306,AE307),IF(Параметры!AF$48=1,AF306,AE307),IF(Параметры!AF$45&lt;&gt;Параметры!AE$45,AF306,AE307),IF(Параметры!AF$50&lt;&gt;Параметры!AE$50,AF306,AE307)))</f>
        <v>1.2524608872609169</v>
      </c>
      <c r="AG307" s="417">
        <f ca="1">IF(AG$2=1,1,CHOOSE($B$8,AG306,IF(Параметры!AG$43=1,AG306,AF307),IF(Параметры!AG$48=1,AG306,AF307),IF(Параметры!AG$45&lt;&gt;Параметры!AF$45,AG306,AF307),IF(Параметры!AG$50&lt;&gt;Параметры!AF$50,AG306,AF307)))</f>
        <v>1.2647623666577346</v>
      </c>
      <c r="AH307" s="417">
        <f ca="1">IF(AH$2=1,1,CHOOSE($B$8,AH306,IF(Параметры!AH$43=1,AH306,AG307),IF(Параметры!AH$48=1,AH306,AG307),IF(Параметры!AH$45&lt;&gt;Параметры!AG$45,AH306,AG307),IF(Параметры!AH$50&lt;&gt;Параметры!AG$50,AH306,AG307)))</f>
        <v>1.2771478212390197</v>
      </c>
      <c r="AI307" s="417">
        <f ca="1">IF(AI$2=1,1,CHOOSE($B$8,AI306,IF(Параметры!AI$43=1,AI306,AH307),IF(Параметры!AI$48=1,AI306,AH307),IF(Параметры!AI$45&lt;&gt;Параметры!AH$45,AI306,AH307),IF(Параметры!AI$50&lt;&gt;Параметры!AH$50,AI306,AH307)))</f>
        <v>1.2896545630195677</v>
      </c>
      <c r="AJ307" s="417">
        <f ca="1">IF(AJ$2=1,1,CHOOSE($B$8,AJ306,IF(Параметры!AJ$43=1,AJ306,AI307),IF(Параметры!AJ$48=1,AJ306,AI307),IF(Параметры!AJ$45&lt;&gt;Параметры!AI$45,AJ306,AI307),IF(Параметры!AJ$50&lt;&gt;Параметры!AI$50,AJ306,AI307)))</f>
        <v>1.3022837797300839</v>
      </c>
      <c r="AK307" s="417">
        <f ca="1">IF(AK$2=1,1,CHOOSE($B$8,AK306,IF(Параметры!AK$43=1,AK306,AJ307),IF(Параметры!AK$48=1,AK306,AJ307),IF(Параметры!AK$45&lt;&gt;Параметры!AJ$45,AK306,AJ307),IF(Параметры!AK$50&lt;&gt;Параметры!AJ$50,AK306,AJ307)))</f>
        <v>1.3150366707323793</v>
      </c>
      <c r="AL307" s="417">
        <f ca="1">IF(AL$2=1,1,CHOOSE($B$8,AL306,IF(Параметры!AL$43=1,AL306,AK307),IF(Параметры!AL$48=1,AL306,AK307),IF(Параметры!AL$45&lt;&gt;Параметры!AK$45,AL306,AK307),IF(Параметры!AL$50&lt;&gt;Параметры!AK$50,AL306,AK307)))</f>
        <v>1.3278761310402869</v>
      </c>
      <c r="AM307" s="417">
        <f ca="1">IF(AM$2=1,1,CHOOSE($B$8,AM306,IF(Параметры!AM$43=1,AM306,AL307),IF(Параметры!AM$48=1,AM306,AL307),IF(Параметры!AM$45&lt;&gt;Параметры!AL$45,AM306,AL307),IF(Параметры!AM$50&lt;&gt;Параметры!AL$50,AM306,AL307)))</f>
        <v>1.3408409503930541</v>
      </c>
      <c r="AN307" s="417">
        <f ca="1">IF(AN$2=1,1,CHOOSE($B$8,AN306,IF(Параметры!AN$43=1,AN306,AM307),IF(Параметры!AN$48=1,AN306,AM307),IF(Параметры!AN$45&lt;&gt;Параметры!AM$45,AN306,AM307),IF(Параметры!AN$50&lt;&gt;Параметры!AM$50,AN306,AM307)))</f>
        <v>1.3539323527432265</v>
      </c>
      <c r="AO307" s="417">
        <f ca="1">IF(AO$2=1,1,CHOOSE($B$8,AO306,IF(Параметры!AO$43=1,AO306,AN307),IF(Параметры!AO$48=1,AO306,AN307),IF(Параметры!AO$45&lt;&gt;Параметры!AN$45,AO306,AN307),IF(Параметры!AO$50&lt;&gt;Параметры!AN$50,AO306,AN307)))</f>
        <v>1.3671515739935032</v>
      </c>
      <c r="AP307" s="417">
        <f ca="1">IF(AP$2=1,1,CHOOSE($B$8,AP306,IF(Параметры!AP$43=1,AP306,AO307),IF(Параметры!AP$48=1,AP306,AO307),IF(Параметры!AP$45&lt;&gt;Параметры!AO$45,AP306,AO307),IF(Параметры!AP$50&lt;&gt;Параметры!AO$50,AP306,AO307)))</f>
        <v>1.380473303824403</v>
      </c>
      <c r="AQ307" s="417">
        <f ca="1">IF(AQ$2=1,1,CHOOSE($B$8,AQ306,IF(Параметры!AQ$43=1,AQ306,AP307),IF(Параметры!AQ$48=1,AQ306,AP307),IF(Параметры!AQ$45&lt;&gt;Параметры!AP$45,AQ306,AP307),IF(Параметры!AQ$50&lt;&gt;Параметры!AP$50,AQ306,AP307)))</f>
        <v>1.3939248425872921</v>
      </c>
      <c r="AR307" s="417">
        <f ca="1">IF(AR$2=1,1,CHOOSE($B$8,AR306,IF(Параметры!AR$43=1,AR306,AQ307),IF(Параметры!AR$48=1,AR306,AQ307),IF(Параметры!AR$45&lt;&gt;Параметры!AQ$45,AR306,AQ307),IF(Параметры!AR$50&lt;&gt;Параметры!AQ$50,AR306,AQ307)))</f>
        <v>1.4075074551598581</v>
      </c>
      <c r="AS307" s="120"/>
      <c r="AT307" s="116"/>
    </row>
    <row r="308" spans="1:46" x14ac:dyDescent="0.2">
      <c r="AS308" s="1"/>
    </row>
    <row r="309" spans="1:46" s="60" customFormat="1" collapsed="1" x14ac:dyDescent="0.2">
      <c r="A309" s="60" t="s">
        <v>61</v>
      </c>
      <c r="C309" s="224" t="str">
        <f>Параметры!$B$64</f>
        <v>тыс. руб.</v>
      </c>
      <c r="D309" s="169"/>
      <c r="E309" s="85">
        <f t="shared" ref="E309:AR309" ca="1" si="106">E310+E311</f>
        <v>1320</v>
      </c>
      <c r="F309" s="85">
        <f t="shared" ca="1" si="106"/>
        <v>1320</v>
      </c>
      <c r="G309" s="85">
        <f t="shared" ca="1" si="106"/>
        <v>5181.7354937292139</v>
      </c>
      <c r="H309" s="85">
        <f t="shared" ca="1" si="106"/>
        <v>5181.7354937292139</v>
      </c>
      <c r="I309" s="85">
        <f t="shared" ca="1" si="106"/>
        <v>5181.7354937292139</v>
      </c>
      <c r="J309" s="85">
        <f t="shared" ca="1" si="106"/>
        <v>5233.1093490517478</v>
      </c>
      <c r="K309" s="85">
        <f t="shared" ca="1" si="106"/>
        <v>5284.9925537754889</v>
      </c>
      <c r="L309" s="85">
        <f t="shared" ca="1" si="106"/>
        <v>5529.2862830320491</v>
      </c>
      <c r="M309" s="85">
        <f t="shared" ca="1" si="106"/>
        <v>7441.9828136634351</v>
      </c>
      <c r="N309" s="85">
        <f t="shared" ca="1" si="106"/>
        <v>7515.6120794759327</v>
      </c>
      <c r="O309" s="85">
        <f t="shared" ca="1" si="106"/>
        <v>7589.9698419599781</v>
      </c>
      <c r="P309" s="85">
        <f t="shared" ca="1" si="106"/>
        <v>7915.673781590478</v>
      </c>
      <c r="Q309" s="85">
        <f t="shared" ca="1" si="106"/>
        <v>9006.0429353777708</v>
      </c>
      <c r="R309" s="85">
        <f t="shared" ca="1" si="106"/>
        <v>9094.3222819686634</v>
      </c>
      <c r="S309" s="85">
        <f t="shared" ca="1" si="106"/>
        <v>9183.4669651934128</v>
      </c>
      <c r="T309" s="85">
        <f t="shared" ca="1" si="106"/>
        <v>9273.4854673190894</v>
      </c>
      <c r="U309" s="85">
        <f t="shared" ca="1" si="106"/>
        <v>24677.247058869019</v>
      </c>
      <c r="V309" s="85">
        <f t="shared" ca="1" si="106"/>
        <v>24921.403058025233</v>
      </c>
      <c r="W309" s="85">
        <f t="shared" ca="1" si="106"/>
        <v>25167.974854506298</v>
      </c>
      <c r="X309" s="85">
        <f t="shared" ca="1" si="106"/>
        <v>25416.986352610329</v>
      </c>
      <c r="Y309" s="85">
        <f t="shared" ca="1" si="106"/>
        <v>25668.461693180492</v>
      </c>
      <c r="Z309" s="85">
        <f t="shared" ca="1" si="106"/>
        <v>25920.882419808557</v>
      </c>
      <c r="AA309" s="85">
        <f t="shared" ca="1" si="106"/>
        <v>26175.785424560563</v>
      </c>
      <c r="AB309" s="85">
        <f t="shared" ca="1" si="106"/>
        <v>26433.195117905394</v>
      </c>
      <c r="AC309" s="85">
        <f t="shared" ca="1" si="106"/>
        <v>26693.136150362116</v>
      </c>
      <c r="AD309" s="85">
        <f t="shared" ca="1" si="106"/>
        <v>26955.305212613854</v>
      </c>
      <c r="AE309" s="85">
        <f t="shared" ca="1" si="106"/>
        <v>27220.049193170853</v>
      </c>
      <c r="AF309" s="85">
        <f t="shared" ca="1" si="106"/>
        <v>27487.393381847527</v>
      </c>
      <c r="AG309" s="85">
        <f t="shared" ca="1" si="106"/>
        <v>27757.363316844803</v>
      </c>
      <c r="AH309" s="85">
        <f t="shared" ca="1" si="106"/>
        <v>28029.179666533812</v>
      </c>
      <c r="AI309" s="85">
        <f t="shared" ca="1" si="106"/>
        <v>28303.657801644167</v>
      </c>
      <c r="AJ309" s="85">
        <f t="shared" ca="1" si="106"/>
        <v>28580.823787948808</v>
      </c>
      <c r="AK309" s="85">
        <f t="shared" ca="1" si="106"/>
        <v>28035.603911315651</v>
      </c>
      <c r="AL309" s="85">
        <f t="shared" ca="1" si="106"/>
        <v>28309.329384537421</v>
      </c>
      <c r="AM309" s="85">
        <f t="shared" ca="1" si="106"/>
        <v>28585.727375451039</v>
      </c>
      <c r="AN309" s="85">
        <f t="shared" ca="1" si="106"/>
        <v>28864.823977177977</v>
      </c>
      <c r="AO309" s="85">
        <f t="shared" ca="1" si="106"/>
        <v>17061.447920756844</v>
      </c>
      <c r="AP309" s="85">
        <f t="shared" ca="1" si="106"/>
        <v>17227.682276948985</v>
      </c>
      <c r="AQ309" s="85">
        <f t="shared" ca="1" si="106"/>
        <v>17395.536300428586</v>
      </c>
      <c r="AR309" s="85">
        <f t="shared" ca="1" si="106"/>
        <v>17565.025772066263</v>
      </c>
      <c r="AS309" s="142"/>
      <c r="AT309" s="143">
        <f t="shared" ref="AT309:AT324" ca="1" si="107">SUM(E309:AS309)</f>
        <v>709707.17224271013</v>
      </c>
    </row>
    <row r="310" spans="1:46" outlineLevel="1" x14ac:dyDescent="0.2">
      <c r="A310" s="63" t="s">
        <v>153</v>
      </c>
      <c r="C310" s="266" t="str">
        <f>Параметры!$B$64</f>
        <v>тыс. руб.</v>
      </c>
      <c r="E310" s="82">
        <f ca="1">SUM(E$246*CHOOSE($C$242,1,Параметры!E$109,Параметры!E$118),E$254*CHOOSE($C$250,1,Параметры!E$109,Параметры!E$118),E$263*CHOOSE($C$258,1,Параметры!E$109,Параметры!E$118),E$272*CHOOSE($C$267,1,Параметры!E$109,Параметры!E$118),E$280*CHOOSE($C$276,1,Параметры!E$109,Параметры!E$118))</f>
        <v>1100</v>
      </c>
      <c r="F310" s="82">
        <f ca="1">SUM(F$246*CHOOSE($C$242,1,Параметры!F$109,Параметры!F$118),F$254*CHOOSE($C$250,1,Параметры!F$109,Параметры!F$118),F$263*CHOOSE($C$258,1,Параметры!F$109,Параметры!F$118),F$272*CHOOSE($C$267,1,Параметры!F$109,Параметры!F$118),F$280*CHOOSE($C$276,1,Параметры!F$109,Параметры!F$118))</f>
        <v>1100</v>
      </c>
      <c r="G310" s="82">
        <f ca="1">SUM(G$246*CHOOSE($C$242,1,Параметры!G$109,Параметры!G$118),G$254*CHOOSE($C$250,1,Параметры!G$109,Параметры!G$118),G$263*CHOOSE($C$258,1,Параметры!G$109,Параметры!G$118),G$272*CHOOSE($C$267,1,Параметры!G$109,Параметры!G$118),G$280*CHOOSE($C$276,1,Параметры!G$109,Параметры!G$118))</f>
        <v>4318.1129114410114</v>
      </c>
      <c r="H310" s="82">
        <f ca="1">SUM(H$246*CHOOSE($C$242,1,Параметры!H$109,Параметры!H$118),H$254*CHOOSE($C$250,1,Параметры!H$109,Параметры!H$118),H$263*CHOOSE($C$258,1,Параметры!H$109,Параметры!H$118),H$272*CHOOSE($C$267,1,Параметры!H$109,Параметры!H$118),H$280*CHOOSE($C$276,1,Параметры!H$109,Параметры!H$118))</f>
        <v>4318.1129114410114</v>
      </c>
      <c r="I310" s="82">
        <f ca="1">SUM(I$246*CHOOSE($C$242,1,Параметры!I$109,Параметры!I$118),I$254*CHOOSE($C$250,1,Параметры!I$109,Параметры!I$118),I$263*CHOOSE($C$258,1,Параметры!I$109,Параметры!I$118),I$272*CHOOSE($C$267,1,Параметры!I$109,Параметры!I$118),I$280*CHOOSE($C$276,1,Параметры!I$109,Параметры!I$118))</f>
        <v>4318.1129114410114</v>
      </c>
      <c r="J310" s="82">
        <f ca="1">SUM(J$246*CHOOSE($C$242,1,Параметры!J$109,Параметры!J$118),J$254*CHOOSE($C$250,1,Параметры!J$109,Параметры!J$118),J$263*CHOOSE($C$258,1,Параметры!J$109,Параметры!J$118),J$272*CHOOSE($C$267,1,Параметры!J$109,Параметры!J$118),J$280*CHOOSE($C$276,1,Параметры!J$109,Параметры!J$118))</f>
        <v>4360.924457543123</v>
      </c>
      <c r="K310" s="82">
        <f ca="1">SUM(K$246*CHOOSE($C$242,1,Параметры!K$109,Параметры!K$118),K$254*CHOOSE($C$250,1,Параметры!K$109,Параметры!K$118),K$263*CHOOSE($C$258,1,Параметры!K$109,Параметры!K$118),K$272*CHOOSE($C$267,1,Параметры!K$109,Параметры!K$118),K$280*CHOOSE($C$276,1,Параметры!K$109,Параметры!K$118))</f>
        <v>4404.1604614795742</v>
      </c>
      <c r="L310" s="82">
        <f ca="1">SUM(L$246*CHOOSE($C$242,1,Параметры!L$109,Параметры!L$118),L$254*CHOOSE($C$250,1,Параметры!L$109,Параметры!L$118),L$263*CHOOSE($C$258,1,Параметры!L$109,Параметры!L$118),L$272*CHOOSE($C$267,1,Параметры!L$109,Параметры!L$118),L$280*CHOOSE($C$276,1,Параметры!L$109,Параметры!L$118))</f>
        <v>4607.7385691933741</v>
      </c>
      <c r="M310" s="82">
        <f ca="1">SUM(M$246*CHOOSE($C$242,1,Параметры!M$109,Параметры!M$118),M$254*CHOOSE($C$250,1,Параметры!M$109,Параметры!M$118),M$263*CHOOSE($C$258,1,Параметры!M$109,Параметры!M$118),M$272*CHOOSE($C$267,1,Параметры!M$109,Параметры!M$118),M$280*CHOOSE($C$276,1,Параметры!M$109,Параметры!M$118))</f>
        <v>6201.6523447195295</v>
      </c>
      <c r="N310" s="82">
        <f ca="1">SUM(N$246*CHOOSE($C$242,1,Параметры!N$109,Параметры!N$118),N$254*CHOOSE($C$250,1,Параметры!N$109,Параметры!N$118),N$263*CHOOSE($C$258,1,Параметры!N$109,Параметры!N$118),N$272*CHOOSE($C$267,1,Параметры!N$109,Параметры!N$118),N$280*CHOOSE($C$276,1,Параметры!N$109,Параметры!N$118))</f>
        <v>6263.0100662299437</v>
      </c>
      <c r="O310" s="82">
        <f ca="1">SUM(O$246*CHOOSE($C$242,1,Параметры!O$109,Параметры!O$118),O$254*CHOOSE($C$250,1,Параметры!O$109,Параметры!O$118),O$263*CHOOSE($C$258,1,Параметры!O$109,Параметры!O$118),O$272*CHOOSE($C$267,1,Параметры!O$109,Параметры!O$118),O$280*CHOOSE($C$276,1,Параметры!O$109,Параметры!O$118))</f>
        <v>6324.9748682999816</v>
      </c>
      <c r="P310" s="82">
        <f ca="1">SUM(P$246*CHOOSE($C$242,1,Параметры!P$109,Параметры!P$118),P$254*CHOOSE($C$250,1,Параметры!P$109,Параметры!P$118),P$263*CHOOSE($C$258,1,Параметры!P$109,Параметры!P$118),P$272*CHOOSE($C$267,1,Параметры!P$109,Параметры!P$118),P$280*CHOOSE($C$276,1,Параметры!P$109,Параметры!P$118))</f>
        <v>6596.3948179920644</v>
      </c>
      <c r="Q310" s="82">
        <f ca="1">SUM(Q$246*CHOOSE($C$242,1,Параметры!Q$109,Параметры!Q$118),Q$254*CHOOSE($C$250,1,Параметры!Q$109,Параметры!Q$118),Q$263*CHOOSE($C$258,1,Параметры!Q$109,Параметры!Q$118),Q$272*CHOOSE($C$267,1,Параметры!Q$109,Параметры!Q$118),Q$280*CHOOSE($C$276,1,Параметры!Q$109,Параметры!Q$118))</f>
        <v>7505.0357794814763</v>
      </c>
      <c r="R310" s="82">
        <f ca="1">SUM(R$246*CHOOSE($C$242,1,Параметры!R$109,Параметры!R$118),R$254*CHOOSE($C$250,1,Параметры!R$109,Параметры!R$118),R$263*CHOOSE($C$258,1,Параметры!R$109,Параметры!R$118),R$272*CHOOSE($C$267,1,Параметры!R$109,Параметры!R$118),R$280*CHOOSE($C$276,1,Параметры!R$109,Параметры!R$118))</f>
        <v>7578.6019016405526</v>
      </c>
      <c r="S310" s="82">
        <f ca="1">SUM(S$246*CHOOSE($C$242,1,Параметры!S$109,Параметры!S$118),S$254*CHOOSE($C$250,1,Параметры!S$109,Параметры!S$118),S$263*CHOOSE($C$258,1,Параметры!S$109,Параметры!S$118),S$272*CHOOSE($C$267,1,Параметры!S$109,Параметры!S$118),S$280*CHOOSE($C$276,1,Параметры!S$109,Параметры!S$118))</f>
        <v>7652.8891376611773</v>
      </c>
      <c r="T310" s="82">
        <f ca="1">SUM(T$246*CHOOSE($C$242,1,Параметры!T$109,Параметры!T$118),T$254*CHOOSE($C$250,1,Параметры!T$109,Параметры!T$118),T$263*CHOOSE($C$258,1,Параметры!T$109,Параметры!T$118),T$272*CHOOSE($C$267,1,Параметры!T$109,Параметры!T$118),T$280*CHOOSE($C$276,1,Параметры!T$109,Параметры!T$118))</f>
        <v>7727.9045560992408</v>
      </c>
      <c r="U310" s="82">
        <f ca="1">SUM(U$246*CHOOSE($C$242,1,Параметры!U$109,Параметры!U$118),U$254*CHOOSE($C$250,1,Параметры!U$109,Параметры!U$118),U$263*CHOOSE($C$258,1,Параметры!U$109,Параметры!U$118),U$272*CHOOSE($C$267,1,Параметры!U$109,Параметры!U$118),U$280*CHOOSE($C$276,1,Параметры!U$109,Параметры!U$118))</f>
        <v>20564.372549057516</v>
      </c>
      <c r="V310" s="82">
        <f ca="1">SUM(V$246*CHOOSE($C$242,1,Параметры!V$109,Параметры!V$118),V$254*CHOOSE($C$250,1,Параметры!V$109,Параметры!V$118),V$263*CHOOSE($C$258,1,Параметры!V$109,Параметры!V$118),V$272*CHOOSE($C$267,1,Параметры!V$109,Параметры!V$118),V$280*CHOOSE($C$276,1,Параметры!V$109,Параметры!V$118))</f>
        <v>20767.835881687693</v>
      </c>
      <c r="W310" s="82">
        <f ca="1">SUM(W$246*CHOOSE($C$242,1,Параметры!W$109,Параметры!W$118),W$254*CHOOSE($C$250,1,Параметры!W$109,Параметры!W$118),W$263*CHOOSE($C$258,1,Параметры!W$109,Параметры!W$118),W$272*CHOOSE($C$267,1,Параметры!W$109,Параметры!W$118),W$280*CHOOSE($C$276,1,Параметры!W$109,Параметры!W$118))</f>
        <v>20973.312378755247</v>
      </c>
      <c r="X310" s="82">
        <f ca="1">SUM(X$246*CHOOSE($C$242,1,Параметры!X$109,Параметры!X$118),X$254*CHOOSE($C$250,1,Параметры!X$109,Параметры!X$118),X$263*CHOOSE($C$258,1,Параметры!X$109,Параметры!X$118),X$272*CHOOSE($C$267,1,Параметры!X$109,Параметры!X$118),X$280*CHOOSE($C$276,1,Параметры!X$109,Параметры!X$118))</f>
        <v>21180.821960508605</v>
      </c>
      <c r="Y310" s="82">
        <f ca="1">SUM(Y$246*CHOOSE($C$242,1,Параметры!Y$109,Параметры!Y$118),Y$254*CHOOSE($C$250,1,Параметры!Y$109,Параметры!Y$118),Y$263*CHOOSE($C$258,1,Параметры!Y$109,Параметры!Y$118),Y$272*CHOOSE($C$267,1,Параметры!Y$109,Параметры!Y$118),Y$280*CHOOSE($C$276,1,Параметры!Y$109,Параметры!Y$118))</f>
        <v>21390.384744317074</v>
      </c>
      <c r="Z310" s="82">
        <f ca="1">SUM(Z$246*CHOOSE($C$242,1,Параметры!Z$109,Параметры!Z$118),Z$254*CHOOSE($C$250,1,Параметры!Z$109,Параметры!Z$118),Z$263*CHOOSE($C$258,1,Параметры!Z$109,Параметры!Z$118),Z$272*CHOOSE($C$267,1,Параметры!Z$109,Параметры!Z$118),Z$280*CHOOSE($C$276,1,Параметры!Z$109,Параметры!Z$118))</f>
        <v>21600.735349840463</v>
      </c>
      <c r="AA310" s="82">
        <f ca="1">SUM(AA$246*CHOOSE($C$242,1,Параметры!AA$109,Параметры!AA$118),AA$254*CHOOSE($C$250,1,Параметры!AA$109,Параметры!AA$118),AA$263*CHOOSE($C$258,1,Параметры!AA$109,Параметры!AA$118),AA$272*CHOOSE($C$267,1,Параметры!AA$109,Параметры!AA$118),AA$280*CHOOSE($C$276,1,Параметры!AA$109,Параметры!AA$118))</f>
        <v>21813.154520467135</v>
      </c>
      <c r="AB310" s="82">
        <f ca="1">SUM(AB$246*CHOOSE($C$242,1,Параметры!AB$109,Параметры!AB$118),AB$254*CHOOSE($C$250,1,Параметры!AB$109,Параметры!AB$118),AB$263*CHOOSE($C$258,1,Параметры!AB$109,Параметры!AB$118),AB$272*CHOOSE($C$267,1,Параметры!AB$109,Параметры!AB$118),AB$280*CHOOSE($C$276,1,Параметры!AB$109,Параметры!AB$118))</f>
        <v>22027.662598254494</v>
      </c>
      <c r="AC310" s="82">
        <f ca="1">SUM(AC$246*CHOOSE($C$242,1,Параметры!AC$109,Параметры!AC$118),AC$254*CHOOSE($C$250,1,Параметры!AC$109,Параметры!AC$118),AC$263*CHOOSE($C$258,1,Параметры!AC$109,Параметры!AC$118),AC$272*CHOOSE($C$267,1,Параметры!AC$109,Параметры!AC$118),AC$280*CHOOSE($C$276,1,Параметры!AC$109,Параметры!AC$118))</f>
        <v>22244.280125301764</v>
      </c>
      <c r="AD310" s="82">
        <f ca="1">SUM(AD$246*CHOOSE($C$242,1,Параметры!AD$109,Параметры!AD$118),AD$254*CHOOSE($C$250,1,Параметры!AD$109,Параметры!AD$118),AD$263*CHOOSE($C$258,1,Параметры!AD$109,Параметры!AD$118),AD$272*CHOOSE($C$267,1,Параметры!AD$109,Параметры!AD$118),AD$280*CHOOSE($C$276,1,Параметры!AD$109,Параметры!AD$118))</f>
        <v>22462.754343844877</v>
      </c>
      <c r="AE310" s="82">
        <f ca="1">SUM(AE$246*CHOOSE($C$242,1,Параметры!AE$109,Параметры!AE$118),AE$254*CHOOSE($C$250,1,Параметры!AE$109,Параметры!AE$118),AE$263*CHOOSE($C$258,1,Параметры!AE$109,Параметры!AE$118),AE$272*CHOOSE($C$267,1,Параметры!AE$109,Параметры!AE$118),AE$280*CHOOSE($C$276,1,Параметры!AE$109,Параметры!AE$118))</f>
        <v>22683.374327642377</v>
      </c>
      <c r="AF310" s="82">
        <f ca="1">SUM(AF$246*CHOOSE($C$242,1,Параметры!AF$109,Параметры!AF$118),AF$254*CHOOSE($C$250,1,Параметры!AF$109,Параметры!AF$118),AF$263*CHOOSE($C$258,1,Параметры!AF$109,Параметры!AF$118),AF$272*CHOOSE($C$267,1,Параметры!AF$109,Параметры!AF$118),AF$280*CHOOSE($C$276,1,Параметры!AF$109,Параметры!AF$118))</f>
        <v>22906.161151539607</v>
      </c>
      <c r="AG310" s="82">
        <f ca="1">SUM(AG$246*CHOOSE($C$242,1,Параметры!AG$109,Параметры!AG$118),AG$254*CHOOSE($C$250,1,Параметры!AG$109,Параметры!AG$118),AG$263*CHOOSE($C$258,1,Параметры!AG$109,Параметры!AG$118),AG$272*CHOOSE($C$267,1,Параметры!AG$109,Параметры!AG$118),AG$280*CHOOSE($C$276,1,Параметры!AG$109,Параметры!AG$118))</f>
        <v>23131.136097370669</v>
      </c>
      <c r="AH310" s="82">
        <f ca="1">SUM(AH$246*CHOOSE($C$242,1,Параметры!AH$109,Параметры!AH$118),AH$254*CHOOSE($C$250,1,Параметры!AH$109,Параметры!AH$118),AH$263*CHOOSE($C$258,1,Параметры!AH$109,Параметры!AH$118),AH$272*CHOOSE($C$267,1,Параметры!AH$109,Параметры!AH$118),AH$280*CHOOSE($C$276,1,Параметры!AH$109,Параметры!AH$118))</f>
        <v>23357.64972211151</v>
      </c>
      <c r="AI310" s="82">
        <f ca="1">SUM(AI$246*CHOOSE($C$242,1,Параметры!AI$109,Параметры!AI$118),AI$254*CHOOSE($C$250,1,Параметры!AI$109,Параметры!AI$118),AI$263*CHOOSE($C$258,1,Параметры!AI$109,Параметры!AI$118),AI$272*CHOOSE($C$267,1,Параметры!AI$109,Параметры!AI$118),AI$280*CHOOSE($C$276,1,Параметры!AI$109,Параметры!AI$118))</f>
        <v>23586.381501370139</v>
      </c>
      <c r="AJ310" s="82">
        <f ca="1">SUM(AJ$246*CHOOSE($C$242,1,Параметры!AJ$109,Параметры!AJ$118),AJ$254*CHOOSE($C$250,1,Параметры!AJ$109,Параметры!AJ$118),AJ$263*CHOOSE($C$258,1,Параметры!AJ$109,Параметры!AJ$118),AJ$272*CHOOSE($C$267,1,Параметры!AJ$109,Параметры!AJ$118),AJ$280*CHOOSE($C$276,1,Параметры!AJ$109,Параметры!AJ$118))</f>
        <v>23817.353156624005</v>
      </c>
      <c r="AK310" s="82">
        <f ca="1">SUM(AK$246*CHOOSE($C$242,1,Параметры!AK$109,Параметры!AK$118),AK$254*CHOOSE($C$250,1,Параметры!AK$109,Параметры!AK$118),AK$263*CHOOSE($C$258,1,Параметры!AK$109,Параметры!AK$118),AK$272*CHOOSE($C$267,1,Параметры!AK$109,Параметры!AK$118),AK$280*CHOOSE($C$276,1,Параметры!AK$109,Параметры!AK$118))</f>
        <v>23363.003259429708</v>
      </c>
      <c r="AL310" s="82">
        <f ca="1">SUM(AL$246*CHOOSE($C$242,1,Параметры!AL$109,Параметры!AL$118),AL$254*CHOOSE($C$250,1,Параметры!AL$109,Параметры!AL$118),AL$263*CHOOSE($C$258,1,Параметры!AL$109,Параметры!AL$118),AL$272*CHOOSE($C$267,1,Параметры!AL$109,Параметры!AL$118),AL$280*CHOOSE($C$276,1,Параметры!AL$109,Параметры!AL$118))</f>
        <v>23591.107820447851</v>
      </c>
      <c r="AM310" s="82">
        <f ca="1">SUM(AM$246*CHOOSE($C$242,1,Параметры!AM$109,Параметры!AM$118),AM$254*CHOOSE($C$250,1,Параметры!AM$109,Параметры!AM$118),AM$263*CHOOSE($C$258,1,Параметры!AM$109,Параметры!AM$118),AM$272*CHOOSE($C$267,1,Параметры!AM$109,Параметры!AM$118),AM$280*CHOOSE($C$276,1,Параметры!AM$109,Параметры!AM$118))</f>
        <v>23821.439479542532</v>
      </c>
      <c r="AN310" s="82">
        <f ca="1">SUM(AN$246*CHOOSE($C$242,1,Параметры!AN$109,Параметры!AN$118),AN$254*CHOOSE($C$250,1,Параметры!AN$109,Параметры!AN$118),AN$263*CHOOSE($C$258,1,Параметры!AN$109,Параметры!AN$118),AN$272*CHOOSE($C$267,1,Параметры!AN$109,Параметры!AN$118),AN$280*CHOOSE($C$276,1,Параметры!AN$109,Параметры!AN$118))</f>
        <v>24054.019980981648</v>
      </c>
      <c r="AO310" s="82">
        <f ca="1">SUM(AO$246*CHOOSE($C$242,1,Параметры!AO$109,Параметры!AO$118),AO$254*CHOOSE($C$250,1,Параметры!AO$109,Параметры!AO$118),AO$263*CHOOSE($C$258,1,Параметры!AO$109,Параметры!AO$118),AO$272*CHOOSE($C$267,1,Параметры!AO$109,Параметры!AO$118),AO$280*CHOOSE($C$276,1,Параметры!AO$109,Параметры!AO$118))</f>
        <v>14217.873267297369</v>
      </c>
      <c r="AP310" s="82">
        <f ca="1">SUM(AP$246*CHOOSE($C$242,1,Параметры!AP$109,Параметры!AP$118),AP$254*CHOOSE($C$250,1,Параметры!AP$109,Параметры!AP$118),AP$263*CHOOSE($C$258,1,Параметры!AP$109,Параметры!AP$118),AP$272*CHOOSE($C$267,1,Параметры!AP$109,Параметры!AP$118),AP$280*CHOOSE($C$276,1,Параметры!AP$109,Параметры!AP$118))</f>
        <v>14356.401897457486</v>
      </c>
      <c r="AQ310" s="82">
        <f ca="1">SUM(AQ$246*CHOOSE($C$242,1,Параметры!AQ$109,Параметры!AQ$118),AQ$254*CHOOSE($C$250,1,Параметры!AQ$109,Параметры!AQ$118),AQ$263*CHOOSE($C$258,1,Параметры!AQ$109,Параметры!AQ$118),AQ$272*CHOOSE($C$267,1,Параметры!AQ$109,Параметры!AQ$118),AQ$280*CHOOSE($C$276,1,Параметры!AQ$109,Параметры!AQ$118))</f>
        <v>14496.280250357155</v>
      </c>
      <c r="AR310" s="82">
        <f ca="1">SUM(AR$246*CHOOSE($C$242,1,Параметры!AR$109,Параметры!AR$118),AR$254*CHOOSE($C$250,1,Параметры!AR$109,Параметры!AR$118),AR$263*CHOOSE($C$258,1,Параметры!AR$109,Параметры!AR$118),AR$272*CHOOSE($C$267,1,Параметры!AR$109,Параметры!AR$118),AR$280*CHOOSE($C$276,1,Параметры!AR$109,Параметры!AR$118))</f>
        <v>14637.521476721886</v>
      </c>
      <c r="AS310" s="90"/>
      <c r="AT310" s="30">
        <f t="shared" ca="1" si="107"/>
        <v>591422.64353559178</v>
      </c>
    </row>
    <row r="311" spans="1:46" outlineLevel="1" x14ac:dyDescent="0.2">
      <c r="A311" s="63" t="s">
        <v>64</v>
      </c>
      <c r="C311" s="266"/>
      <c r="E311" s="82">
        <f ca="1">SUM(E$245*CHOOSE($C$242,1,Параметры!E$109,Параметры!E$118),E$253*CHOOSE($C$250,1,Параметры!E$109,Параметры!E$118),E$262*CHOOSE($C$258,1,Параметры!E$109,Параметры!E$118),E$271*CHOOSE($C$267,1,Параметры!E$109,Параметры!E$118),E$279*CHOOSE($C$276,1,Параметры!E$109,Параметры!E$118))</f>
        <v>220</v>
      </c>
      <c r="F311" s="82">
        <f ca="1">SUM(F$245*CHOOSE($C$242,1,Параметры!F$109,Параметры!F$118),F$253*CHOOSE($C$250,1,Параметры!F$109,Параметры!F$118),F$262*CHOOSE($C$258,1,Параметры!F$109,Параметры!F$118),F$271*CHOOSE($C$267,1,Параметры!F$109,Параметры!F$118),F$279*CHOOSE($C$276,1,Параметры!F$109,Параметры!F$118))</f>
        <v>220</v>
      </c>
      <c r="G311" s="82">
        <f ca="1">SUM(G$245*CHOOSE($C$242,1,Параметры!G$109,Параметры!G$118),G$253*CHOOSE($C$250,1,Параметры!G$109,Параметры!G$118),G$262*CHOOSE($C$258,1,Параметры!G$109,Параметры!G$118),G$271*CHOOSE($C$267,1,Параметры!G$109,Параметры!G$118),G$279*CHOOSE($C$276,1,Параметры!G$109,Параметры!G$118))</f>
        <v>863.62258228820224</v>
      </c>
      <c r="H311" s="82">
        <f ca="1">SUM(H$245*CHOOSE($C$242,1,Параметры!H$109,Параметры!H$118),H$253*CHOOSE($C$250,1,Параметры!H$109,Параметры!H$118),H$262*CHOOSE($C$258,1,Параметры!H$109,Параметры!H$118),H$271*CHOOSE($C$267,1,Параметры!H$109,Параметры!H$118),H$279*CHOOSE($C$276,1,Параметры!H$109,Параметры!H$118))</f>
        <v>863.62258228820224</v>
      </c>
      <c r="I311" s="82">
        <f ca="1">SUM(I$245*CHOOSE($C$242,1,Параметры!I$109,Параметры!I$118),I$253*CHOOSE($C$250,1,Параметры!I$109,Параметры!I$118),I$262*CHOOSE($C$258,1,Параметры!I$109,Параметры!I$118),I$271*CHOOSE($C$267,1,Параметры!I$109,Параметры!I$118),I$279*CHOOSE($C$276,1,Параметры!I$109,Параметры!I$118))</f>
        <v>863.62258228820224</v>
      </c>
      <c r="J311" s="82">
        <f ca="1">SUM(J$245*CHOOSE($C$242,1,Параметры!J$109,Параметры!J$118),J$253*CHOOSE($C$250,1,Параметры!J$109,Параметры!J$118),J$262*CHOOSE($C$258,1,Параметры!J$109,Параметры!J$118),J$271*CHOOSE($C$267,1,Параметры!J$109,Параметры!J$118),J$279*CHOOSE($C$276,1,Параметры!J$109,Параметры!J$118))</f>
        <v>872.18489150862456</v>
      </c>
      <c r="K311" s="82">
        <f ca="1">SUM(K$245*CHOOSE($C$242,1,Параметры!K$109,Параметры!K$118),K$253*CHOOSE($C$250,1,Параметры!K$109,Параметры!K$118),K$262*CHOOSE($C$258,1,Параметры!K$109,Параметры!K$118),K$271*CHOOSE($C$267,1,Параметры!K$109,Параметры!K$118),K$279*CHOOSE($C$276,1,Параметры!K$109,Параметры!K$118))</f>
        <v>880.832092295915</v>
      </c>
      <c r="L311" s="82">
        <f ca="1">SUM(L$245*CHOOSE($C$242,1,Параметры!L$109,Параметры!L$118),L$253*CHOOSE($C$250,1,Параметры!L$109,Параметры!L$118),L$262*CHOOSE($C$258,1,Параметры!L$109,Параметры!L$118),L$271*CHOOSE($C$267,1,Параметры!L$109,Параметры!L$118),L$279*CHOOSE($C$276,1,Параметры!L$109,Параметры!L$118))</f>
        <v>921.54771383867489</v>
      </c>
      <c r="M311" s="82">
        <f ca="1">SUM(M$245*CHOOSE($C$242,1,Параметры!M$109,Параметры!M$118),M$253*CHOOSE($C$250,1,Параметры!M$109,Параметры!M$118),M$262*CHOOSE($C$258,1,Параметры!M$109,Параметры!M$118),M$271*CHOOSE($C$267,1,Параметры!M$109,Параметры!M$118),M$279*CHOOSE($C$276,1,Параметры!M$109,Параметры!M$118))</f>
        <v>1240.330468943906</v>
      </c>
      <c r="N311" s="82">
        <f ca="1">SUM(N$245*CHOOSE($C$242,1,Параметры!N$109,Параметры!N$118),N$253*CHOOSE($C$250,1,Параметры!N$109,Параметры!N$118),N$262*CHOOSE($C$258,1,Параметры!N$109,Параметры!N$118),N$271*CHOOSE($C$267,1,Параметры!N$109,Параметры!N$118),N$279*CHOOSE($C$276,1,Параметры!N$109,Параметры!N$118))</f>
        <v>1252.6020132459889</v>
      </c>
      <c r="O311" s="82">
        <f ca="1">SUM(O$245*CHOOSE($C$242,1,Параметры!O$109,Параметры!O$118),O$253*CHOOSE($C$250,1,Параметры!O$109,Параметры!O$118),O$262*CHOOSE($C$258,1,Параметры!O$109,Параметры!O$118),O$271*CHOOSE($C$267,1,Параметры!O$109,Параметры!O$118),O$279*CHOOSE($C$276,1,Параметры!O$109,Параметры!O$118))</f>
        <v>1264.9949736599963</v>
      </c>
      <c r="P311" s="82">
        <f ca="1">SUM(P$245*CHOOSE($C$242,1,Параметры!P$109,Параметры!P$118),P$253*CHOOSE($C$250,1,Параметры!P$109,Параметры!P$118),P$262*CHOOSE($C$258,1,Параметры!P$109,Параметры!P$118),P$271*CHOOSE($C$267,1,Параметры!P$109,Параметры!P$118),P$279*CHOOSE($C$276,1,Параметры!P$109,Параметры!P$118))</f>
        <v>1319.2789635984132</v>
      </c>
      <c r="Q311" s="82">
        <f ca="1">SUM(Q$245*CHOOSE($C$242,1,Параметры!Q$109,Параметры!Q$118),Q$253*CHOOSE($C$250,1,Параметры!Q$109,Параметры!Q$118),Q$262*CHOOSE($C$258,1,Параметры!Q$109,Параметры!Q$118),Q$271*CHOOSE($C$267,1,Параметры!Q$109,Параметры!Q$118),Q$279*CHOOSE($C$276,1,Параметры!Q$109,Параметры!Q$118))</f>
        <v>1501.0071558962952</v>
      </c>
      <c r="R311" s="82">
        <f ca="1">SUM(R$245*CHOOSE($C$242,1,Параметры!R$109,Параметры!R$118),R$253*CHOOSE($C$250,1,Параметры!R$109,Параметры!R$118),R$262*CHOOSE($C$258,1,Параметры!R$109,Параметры!R$118),R$271*CHOOSE($C$267,1,Параметры!R$109,Параметры!R$118),R$279*CHOOSE($C$276,1,Параметры!R$109,Параметры!R$118))</f>
        <v>1515.7203803281109</v>
      </c>
      <c r="S311" s="82">
        <f ca="1">SUM(S$245*CHOOSE($C$242,1,Параметры!S$109,Параметры!S$118),S$253*CHOOSE($C$250,1,Параметры!S$109,Параметры!S$118),S$262*CHOOSE($C$258,1,Параметры!S$109,Параметры!S$118),S$271*CHOOSE($C$267,1,Параметры!S$109,Параметры!S$118),S$279*CHOOSE($C$276,1,Параметры!S$109,Параметры!S$118))</f>
        <v>1530.5778275322357</v>
      </c>
      <c r="T311" s="82">
        <f ca="1">SUM(T$245*CHOOSE($C$242,1,Параметры!T$109,Параметры!T$118),T$253*CHOOSE($C$250,1,Параметры!T$109,Параметры!T$118),T$262*CHOOSE($C$258,1,Параметры!T$109,Параметры!T$118),T$271*CHOOSE($C$267,1,Параметры!T$109,Параметры!T$118),T$279*CHOOSE($C$276,1,Параметры!T$109,Параметры!T$118))</f>
        <v>1545.5809112198481</v>
      </c>
      <c r="U311" s="82">
        <f ca="1">SUM(U$245*CHOOSE($C$242,1,Параметры!U$109,Параметры!U$118),U$253*CHOOSE($C$250,1,Параметры!U$109,Параметры!U$118),U$262*CHOOSE($C$258,1,Параметры!U$109,Параметры!U$118),U$271*CHOOSE($C$267,1,Параметры!U$109,Параметры!U$118),U$279*CHOOSE($C$276,1,Параметры!U$109,Параметры!U$118))</f>
        <v>4112.8745098115032</v>
      </c>
      <c r="V311" s="82">
        <f ca="1">SUM(V$245*CHOOSE($C$242,1,Параметры!V$109,Параметры!V$118),V$253*CHOOSE($C$250,1,Параметры!V$109,Параметры!V$118),V$262*CHOOSE($C$258,1,Параметры!V$109,Параметры!V$118),V$271*CHOOSE($C$267,1,Параметры!V$109,Параметры!V$118),V$279*CHOOSE($C$276,1,Параметры!V$109,Параметры!V$118))</f>
        <v>4153.5671763375385</v>
      </c>
      <c r="W311" s="82">
        <f ca="1">SUM(W$245*CHOOSE($C$242,1,Параметры!W$109,Параметры!W$118),W$253*CHOOSE($C$250,1,Параметры!W$109,Параметры!W$118),W$262*CHOOSE($C$258,1,Параметры!W$109,Параметры!W$118),W$271*CHOOSE($C$267,1,Параметры!W$109,Параметры!W$118),W$279*CHOOSE($C$276,1,Параметры!W$109,Параметры!W$118))</f>
        <v>4194.6624757510499</v>
      </c>
      <c r="X311" s="82">
        <f ca="1">SUM(X$245*CHOOSE($C$242,1,Параметры!X$109,Параметры!X$118),X$253*CHOOSE($C$250,1,Параметры!X$109,Параметры!X$118),X$262*CHOOSE($C$258,1,Параметры!X$109,Параметры!X$118),X$271*CHOOSE($C$267,1,Параметры!X$109,Параметры!X$118),X$279*CHOOSE($C$276,1,Параметры!X$109,Параметры!X$118))</f>
        <v>4236.1643921017221</v>
      </c>
      <c r="Y311" s="82">
        <f ca="1">SUM(Y$245*CHOOSE($C$242,1,Параметры!Y$109,Параметры!Y$118),Y$253*CHOOSE($C$250,1,Параметры!Y$109,Параметры!Y$118),Y$262*CHOOSE($C$258,1,Параметры!Y$109,Параметры!Y$118),Y$271*CHOOSE($C$267,1,Параметры!Y$109,Параметры!Y$118),Y$279*CHOOSE($C$276,1,Параметры!Y$109,Параметры!Y$118))</f>
        <v>4278.076948863416</v>
      </c>
      <c r="Z311" s="82">
        <f ca="1">SUM(Z$245*CHOOSE($C$242,1,Параметры!Z$109,Параметры!Z$118),Z$253*CHOOSE($C$250,1,Параметры!Z$109,Параметры!Z$118),Z$262*CHOOSE($C$258,1,Параметры!Z$109,Параметры!Z$118),Z$271*CHOOSE($C$267,1,Параметры!Z$109,Параметры!Z$118),Z$279*CHOOSE($C$276,1,Параметры!Z$109,Параметры!Z$118))</f>
        <v>4320.1470699680922</v>
      </c>
      <c r="AA311" s="82">
        <f ca="1">SUM(AA$245*CHOOSE($C$242,1,Параметры!AA$109,Параметры!AA$118),AA$253*CHOOSE($C$250,1,Параметры!AA$109,Параметры!AA$118),AA$262*CHOOSE($C$258,1,Параметры!AA$109,Параметры!AA$118),AA$271*CHOOSE($C$267,1,Параметры!AA$109,Параметры!AA$118),AA$279*CHOOSE($C$276,1,Параметры!AA$109,Параметры!AA$118))</f>
        <v>4362.6309040934266</v>
      </c>
      <c r="AB311" s="82">
        <f ca="1">SUM(AB$245*CHOOSE($C$242,1,Параметры!AB$109,Параметры!AB$118),AB$253*CHOOSE($C$250,1,Параметры!AB$109,Параметры!AB$118),AB$262*CHOOSE($C$258,1,Параметры!AB$109,Параметры!AB$118),AB$271*CHOOSE($C$267,1,Параметры!AB$109,Параметры!AB$118),AB$279*CHOOSE($C$276,1,Параметры!AB$109,Параметры!AB$118))</f>
        <v>4405.5325196508984</v>
      </c>
      <c r="AC311" s="82">
        <f ca="1">SUM(AC$245*CHOOSE($C$242,1,Параметры!AC$109,Параметры!AC$118),AC$253*CHOOSE($C$250,1,Параметры!AC$109,Параметры!AC$118),AC$262*CHOOSE($C$258,1,Параметры!AC$109,Параметры!AC$118),AC$271*CHOOSE($C$267,1,Параметры!AC$109,Параметры!AC$118),AC$279*CHOOSE($C$276,1,Параметры!AC$109,Параметры!AC$118))</f>
        <v>4448.8560250603532</v>
      </c>
      <c r="AD311" s="82">
        <f ca="1">SUM(AD$245*CHOOSE($C$242,1,Параметры!AD$109,Параметры!AD$118),AD$253*CHOOSE($C$250,1,Параметры!AD$109,Параметры!AD$118),AD$262*CHOOSE($C$258,1,Параметры!AD$109,Параметры!AD$118),AD$271*CHOOSE($C$267,1,Параметры!AD$109,Параметры!AD$118),AD$279*CHOOSE($C$276,1,Параметры!AD$109,Параметры!AD$118))</f>
        <v>4492.5508687689753</v>
      </c>
      <c r="AE311" s="82">
        <f ca="1">SUM(AE$245*CHOOSE($C$242,1,Параметры!AE$109,Параметры!AE$118),AE$253*CHOOSE($C$250,1,Параметры!AE$109,Параметры!AE$118),AE$262*CHOOSE($C$258,1,Параметры!AE$109,Параметры!AE$118),AE$271*CHOOSE($C$267,1,Параметры!AE$109,Параметры!AE$118),AE$279*CHOOSE($C$276,1,Параметры!AE$109,Параметры!AE$118))</f>
        <v>4536.6748655284755</v>
      </c>
      <c r="AF311" s="82">
        <f ca="1">SUM(AF$245*CHOOSE($C$242,1,Параметры!AF$109,Параметры!AF$118),AF$253*CHOOSE($C$250,1,Параметры!AF$109,Параметры!AF$118),AF$262*CHOOSE($C$258,1,Параметры!AF$109,Параметры!AF$118),AF$271*CHOOSE($C$267,1,Параметры!AF$109,Параметры!AF$118),AF$279*CHOOSE($C$276,1,Параметры!AF$109,Параметры!AF$118))</f>
        <v>4581.2322303079218</v>
      </c>
      <c r="AG311" s="82">
        <f ca="1">SUM(AG$245*CHOOSE($C$242,1,Параметры!AG$109,Параметры!AG$118),AG$253*CHOOSE($C$250,1,Параметры!AG$109,Параметры!AG$118),AG$262*CHOOSE($C$258,1,Параметры!AG$109,Параметры!AG$118),AG$271*CHOOSE($C$267,1,Параметры!AG$109,Параметры!AG$118),AG$279*CHOOSE($C$276,1,Параметры!AG$109,Параметры!AG$118))</f>
        <v>4626.2272194741345</v>
      </c>
      <c r="AH311" s="82">
        <f ca="1">SUM(AH$245*CHOOSE($C$242,1,Параметры!AH$109,Параметры!AH$118),AH$253*CHOOSE($C$250,1,Параметры!AH$109,Параметры!AH$118),AH$262*CHOOSE($C$258,1,Параметры!AH$109,Параметры!AH$118),AH$271*CHOOSE($C$267,1,Параметры!AH$109,Параметры!AH$118),AH$279*CHOOSE($C$276,1,Параметры!AH$109,Параметры!AH$118))</f>
        <v>4671.5299444223028</v>
      </c>
      <c r="AI311" s="82">
        <f ca="1">SUM(AI$245*CHOOSE($C$242,1,Параметры!AI$109,Параметры!AI$118),AI$253*CHOOSE($C$250,1,Параметры!AI$109,Параметры!AI$118),AI$262*CHOOSE($C$258,1,Параметры!AI$109,Параметры!AI$118),AI$271*CHOOSE($C$267,1,Параметры!AI$109,Параметры!AI$118),AI$279*CHOOSE($C$276,1,Параметры!AI$109,Параметры!AI$118))</f>
        <v>4717.2763002740276</v>
      </c>
      <c r="AJ311" s="82">
        <f ca="1">SUM(AJ$245*CHOOSE($C$242,1,Параметры!AJ$109,Параметры!AJ$118),AJ$253*CHOOSE($C$250,1,Параметры!AJ$109,Параметры!AJ$118),AJ$262*CHOOSE($C$258,1,Параметры!AJ$109,Параметры!AJ$118),AJ$271*CHOOSE($C$267,1,Параметры!AJ$109,Параметры!AJ$118),AJ$279*CHOOSE($C$276,1,Параметры!AJ$109,Параметры!AJ$118))</f>
        <v>4763.4706313248007</v>
      </c>
      <c r="AK311" s="82">
        <f ca="1">SUM(AK$245*CHOOSE($C$242,1,Параметры!AK$109,Параметры!AK$118),AK$253*CHOOSE($C$250,1,Параметры!AK$109,Параметры!AK$118),AK$262*CHOOSE($C$258,1,Параметры!AK$109,Параметры!AK$118),AK$271*CHOOSE($C$267,1,Параметры!AK$109,Параметры!AK$118),AK$279*CHOOSE($C$276,1,Параметры!AK$109,Параметры!AK$118))</f>
        <v>4672.6006518859413</v>
      </c>
      <c r="AL311" s="82">
        <f ca="1">SUM(AL$245*CHOOSE($C$242,1,Параметры!AL$109,Параметры!AL$118),AL$253*CHOOSE($C$250,1,Параметры!AL$109,Параметры!AL$118),AL$262*CHOOSE($C$258,1,Параметры!AL$109,Параметры!AL$118),AL$271*CHOOSE($C$267,1,Параметры!AL$109,Параметры!AL$118),AL$279*CHOOSE($C$276,1,Параметры!AL$109,Параметры!AL$118))</f>
        <v>4718.2215640895702</v>
      </c>
      <c r="AM311" s="82">
        <f ca="1">SUM(AM$245*CHOOSE($C$242,1,Параметры!AM$109,Параметры!AM$118),AM$253*CHOOSE($C$250,1,Параметры!AM$109,Параметры!AM$118),AM$262*CHOOSE($C$258,1,Параметры!AM$109,Параметры!AM$118),AM$271*CHOOSE($C$267,1,Параметры!AM$109,Параметры!AM$118),AM$279*CHOOSE($C$276,1,Параметры!AM$109,Параметры!AM$118))</f>
        <v>4764.2878959085065</v>
      </c>
      <c r="AN311" s="82">
        <f ca="1">SUM(AN$245*CHOOSE($C$242,1,Параметры!AN$109,Параметры!AN$118),AN$253*CHOOSE($C$250,1,Параметры!AN$109,Параметры!AN$118),AN$262*CHOOSE($C$258,1,Параметры!AN$109,Параметры!AN$118),AN$271*CHOOSE($C$267,1,Параметры!AN$109,Параметры!AN$118),AN$279*CHOOSE($C$276,1,Параметры!AN$109,Параметры!AN$118))</f>
        <v>4810.8039961963304</v>
      </c>
      <c r="AO311" s="82">
        <f ca="1">SUM(AO$245*CHOOSE($C$242,1,Параметры!AO$109,Параметры!AO$118),AO$253*CHOOSE($C$250,1,Параметры!AO$109,Параметры!AO$118),AO$262*CHOOSE($C$258,1,Параметры!AO$109,Параметры!AO$118),AO$271*CHOOSE($C$267,1,Параметры!AO$109,Параметры!AO$118),AO$279*CHOOSE($C$276,1,Параметры!AO$109,Параметры!AO$118))</f>
        <v>2843.5746534594741</v>
      </c>
      <c r="AP311" s="82">
        <f ca="1">SUM(AP$245*CHOOSE($C$242,1,Параметры!AP$109,Параметры!AP$118),AP$253*CHOOSE($C$250,1,Параметры!AP$109,Параметры!AP$118),AP$262*CHOOSE($C$258,1,Параметры!AP$109,Параметры!AP$118),AP$271*CHOOSE($C$267,1,Параметры!AP$109,Параметры!AP$118),AP$279*CHOOSE($C$276,1,Параметры!AP$109,Параметры!AP$118))</f>
        <v>2871.2803794914976</v>
      </c>
      <c r="AQ311" s="82">
        <f ca="1">SUM(AQ$245*CHOOSE($C$242,1,Параметры!AQ$109,Параметры!AQ$118),AQ$253*CHOOSE($C$250,1,Параметры!AQ$109,Параметры!AQ$118),AQ$262*CHOOSE($C$258,1,Параметры!AQ$109,Параметры!AQ$118),AQ$271*CHOOSE($C$267,1,Параметры!AQ$109,Параметры!AQ$118),AQ$279*CHOOSE($C$276,1,Параметры!AQ$109,Параметры!AQ$118))</f>
        <v>2899.2560500714308</v>
      </c>
      <c r="AR311" s="82">
        <f ca="1">SUM(AR$245*CHOOSE($C$242,1,Параметры!AR$109,Параметры!AR$118),AR$253*CHOOSE($C$250,1,Параметры!AR$109,Параметры!AR$118),AR$262*CHOOSE($C$258,1,Параметры!AR$109,Параметры!AR$118),AR$271*CHOOSE($C$267,1,Параметры!AR$109,Параметры!AR$118),AR$279*CHOOSE($C$276,1,Параметры!AR$109,Параметры!AR$118))</f>
        <v>2927.5042953443772</v>
      </c>
      <c r="AS311" s="90"/>
      <c r="AT311" s="30">
        <f t="shared" ca="1" si="107"/>
        <v>118284.5287071184</v>
      </c>
    </row>
    <row r="312" spans="1:46" outlineLevel="1" x14ac:dyDescent="0.2">
      <c r="A312" s="106" t="s">
        <v>80</v>
      </c>
      <c r="B312" s="22"/>
      <c r="C312" s="266" t="str">
        <f>Параметры!$B$64</f>
        <v>тыс. руб.</v>
      </c>
      <c r="E312" s="124">
        <f t="shared" ref="E312:AR312" ca="1" si="108">E310+IF(E$2&gt;1,0,0)</f>
        <v>1100</v>
      </c>
      <c r="F312" s="124">
        <f t="shared" ca="1" si="108"/>
        <v>1100</v>
      </c>
      <c r="G312" s="124">
        <f t="shared" ca="1" si="108"/>
        <v>4318.1129114410114</v>
      </c>
      <c r="H312" s="124">
        <f t="shared" ca="1" si="108"/>
        <v>4318.1129114410114</v>
      </c>
      <c r="I312" s="124">
        <f t="shared" ca="1" si="108"/>
        <v>4318.1129114410114</v>
      </c>
      <c r="J312" s="124">
        <f t="shared" ca="1" si="108"/>
        <v>4360.924457543123</v>
      </c>
      <c r="K312" s="124">
        <f t="shared" ca="1" si="108"/>
        <v>4404.1604614795742</v>
      </c>
      <c r="L312" s="124">
        <f t="shared" ca="1" si="108"/>
        <v>4607.7385691933741</v>
      </c>
      <c r="M312" s="124">
        <f t="shared" ca="1" si="108"/>
        <v>6201.6523447195295</v>
      </c>
      <c r="N312" s="124">
        <f t="shared" ca="1" si="108"/>
        <v>6263.0100662299437</v>
      </c>
      <c r="O312" s="124">
        <f t="shared" ca="1" si="108"/>
        <v>6324.9748682999816</v>
      </c>
      <c r="P312" s="124">
        <f t="shared" ca="1" si="108"/>
        <v>6596.3948179920644</v>
      </c>
      <c r="Q312" s="124">
        <f t="shared" ca="1" si="108"/>
        <v>7505.0357794814763</v>
      </c>
      <c r="R312" s="124">
        <f t="shared" ca="1" si="108"/>
        <v>7578.6019016405526</v>
      </c>
      <c r="S312" s="124">
        <f t="shared" ca="1" si="108"/>
        <v>7652.8891376611773</v>
      </c>
      <c r="T312" s="124">
        <f t="shared" ca="1" si="108"/>
        <v>7727.9045560992408</v>
      </c>
      <c r="U312" s="124">
        <f t="shared" ca="1" si="108"/>
        <v>20564.372549057516</v>
      </c>
      <c r="V312" s="124">
        <f t="shared" ca="1" si="108"/>
        <v>20767.835881687693</v>
      </c>
      <c r="W312" s="124">
        <f t="shared" ca="1" si="108"/>
        <v>20973.312378755247</v>
      </c>
      <c r="X312" s="124">
        <f t="shared" ca="1" si="108"/>
        <v>21180.821960508605</v>
      </c>
      <c r="Y312" s="124">
        <f t="shared" ca="1" si="108"/>
        <v>21390.384744317074</v>
      </c>
      <c r="Z312" s="124">
        <f t="shared" ca="1" si="108"/>
        <v>21600.735349840463</v>
      </c>
      <c r="AA312" s="124">
        <f t="shared" ca="1" si="108"/>
        <v>21813.154520467135</v>
      </c>
      <c r="AB312" s="124">
        <f t="shared" ca="1" si="108"/>
        <v>22027.662598254494</v>
      </c>
      <c r="AC312" s="124">
        <f t="shared" ca="1" si="108"/>
        <v>22244.280125301764</v>
      </c>
      <c r="AD312" s="124">
        <f t="shared" ca="1" si="108"/>
        <v>22462.754343844877</v>
      </c>
      <c r="AE312" s="124">
        <f t="shared" ca="1" si="108"/>
        <v>22683.374327642377</v>
      </c>
      <c r="AF312" s="124">
        <f t="shared" ca="1" si="108"/>
        <v>22906.161151539607</v>
      </c>
      <c r="AG312" s="124">
        <f t="shared" ca="1" si="108"/>
        <v>23131.136097370669</v>
      </c>
      <c r="AH312" s="124">
        <f t="shared" ca="1" si="108"/>
        <v>23357.64972211151</v>
      </c>
      <c r="AI312" s="124">
        <f t="shared" ca="1" si="108"/>
        <v>23586.381501370139</v>
      </c>
      <c r="AJ312" s="124">
        <f t="shared" ca="1" si="108"/>
        <v>23817.353156624005</v>
      </c>
      <c r="AK312" s="124">
        <f t="shared" ca="1" si="108"/>
        <v>23363.003259429708</v>
      </c>
      <c r="AL312" s="124">
        <f t="shared" ca="1" si="108"/>
        <v>23591.107820447851</v>
      </c>
      <c r="AM312" s="124">
        <f t="shared" ca="1" si="108"/>
        <v>23821.439479542532</v>
      </c>
      <c r="AN312" s="124">
        <f t="shared" ca="1" si="108"/>
        <v>24054.019980981648</v>
      </c>
      <c r="AO312" s="124">
        <f t="shared" ca="1" si="108"/>
        <v>14217.873267297369</v>
      </c>
      <c r="AP312" s="124">
        <f t="shared" ca="1" si="108"/>
        <v>14356.401897457486</v>
      </c>
      <c r="AQ312" s="124">
        <f t="shared" ca="1" si="108"/>
        <v>14496.280250357155</v>
      </c>
      <c r="AR312" s="124">
        <f t="shared" ca="1" si="108"/>
        <v>14637.521476721886</v>
      </c>
      <c r="AS312" s="124"/>
      <c r="AT312" s="84">
        <f t="shared" ca="1" si="107"/>
        <v>591422.64353559178</v>
      </c>
    </row>
    <row r="313" spans="1:46" outlineLevel="1" x14ac:dyDescent="0.2">
      <c r="A313" s="106" t="s">
        <v>176</v>
      </c>
      <c r="C313" s="266" t="str">
        <f>Параметры!$B$64</f>
        <v>тыс. руб.</v>
      </c>
      <c r="E313" s="124">
        <f t="shared" ref="E313:AR313" ca="1" si="109">E310+E311-IF(E$2=1,0,0)+IF(E$2=1,0,0)</f>
        <v>1320</v>
      </c>
      <c r="F313" s="124">
        <f t="shared" ca="1" si="109"/>
        <v>1320</v>
      </c>
      <c r="G313" s="124">
        <f t="shared" ca="1" si="109"/>
        <v>5181.7354937292139</v>
      </c>
      <c r="H313" s="124">
        <f t="shared" ca="1" si="109"/>
        <v>5181.7354937292139</v>
      </c>
      <c r="I313" s="124">
        <f t="shared" ca="1" si="109"/>
        <v>5181.7354937292139</v>
      </c>
      <c r="J313" s="124">
        <f t="shared" ca="1" si="109"/>
        <v>5233.1093490517478</v>
      </c>
      <c r="K313" s="124">
        <f t="shared" ca="1" si="109"/>
        <v>5284.9925537754889</v>
      </c>
      <c r="L313" s="124">
        <f t="shared" ca="1" si="109"/>
        <v>5529.2862830320491</v>
      </c>
      <c r="M313" s="124">
        <f t="shared" ca="1" si="109"/>
        <v>7441.9828136634351</v>
      </c>
      <c r="N313" s="124">
        <f t="shared" ca="1" si="109"/>
        <v>7515.6120794759327</v>
      </c>
      <c r="O313" s="124">
        <f t="shared" ca="1" si="109"/>
        <v>7589.9698419599781</v>
      </c>
      <c r="P313" s="124">
        <f t="shared" ca="1" si="109"/>
        <v>7915.673781590478</v>
      </c>
      <c r="Q313" s="124">
        <f t="shared" ca="1" si="109"/>
        <v>9006.0429353777708</v>
      </c>
      <c r="R313" s="124">
        <f t="shared" ca="1" si="109"/>
        <v>9094.3222819686634</v>
      </c>
      <c r="S313" s="124">
        <f t="shared" ca="1" si="109"/>
        <v>9183.4669651934128</v>
      </c>
      <c r="T313" s="124">
        <f t="shared" ca="1" si="109"/>
        <v>9273.4854673190894</v>
      </c>
      <c r="U313" s="124">
        <f t="shared" ca="1" si="109"/>
        <v>24677.247058869019</v>
      </c>
      <c r="V313" s="124">
        <f t="shared" ca="1" si="109"/>
        <v>24921.403058025233</v>
      </c>
      <c r="W313" s="124">
        <f t="shared" ca="1" si="109"/>
        <v>25167.974854506298</v>
      </c>
      <c r="X313" s="124">
        <f t="shared" ca="1" si="109"/>
        <v>25416.986352610329</v>
      </c>
      <c r="Y313" s="124">
        <f t="shared" ca="1" si="109"/>
        <v>25668.461693180492</v>
      </c>
      <c r="Z313" s="124">
        <f t="shared" ca="1" si="109"/>
        <v>25920.882419808557</v>
      </c>
      <c r="AA313" s="124">
        <f t="shared" ca="1" si="109"/>
        <v>26175.785424560563</v>
      </c>
      <c r="AB313" s="124">
        <f t="shared" ca="1" si="109"/>
        <v>26433.195117905394</v>
      </c>
      <c r="AC313" s="124">
        <f t="shared" ca="1" si="109"/>
        <v>26693.136150362116</v>
      </c>
      <c r="AD313" s="124">
        <f t="shared" ca="1" si="109"/>
        <v>26955.305212613854</v>
      </c>
      <c r="AE313" s="124">
        <f t="shared" ca="1" si="109"/>
        <v>27220.049193170853</v>
      </c>
      <c r="AF313" s="124">
        <f t="shared" ca="1" si="109"/>
        <v>27487.393381847527</v>
      </c>
      <c r="AG313" s="124">
        <f t="shared" ca="1" si="109"/>
        <v>27757.363316844803</v>
      </c>
      <c r="AH313" s="124">
        <f t="shared" ca="1" si="109"/>
        <v>28029.179666533812</v>
      </c>
      <c r="AI313" s="124">
        <f t="shared" ca="1" si="109"/>
        <v>28303.657801644167</v>
      </c>
      <c r="AJ313" s="124">
        <f t="shared" ca="1" si="109"/>
        <v>28580.823787948808</v>
      </c>
      <c r="AK313" s="124">
        <f t="shared" ca="1" si="109"/>
        <v>28035.603911315651</v>
      </c>
      <c r="AL313" s="124">
        <f t="shared" ca="1" si="109"/>
        <v>28309.329384537421</v>
      </c>
      <c r="AM313" s="124">
        <f t="shared" ca="1" si="109"/>
        <v>28585.727375451039</v>
      </c>
      <c r="AN313" s="124">
        <f t="shared" ca="1" si="109"/>
        <v>28864.823977177977</v>
      </c>
      <c r="AO313" s="124">
        <f t="shared" ca="1" si="109"/>
        <v>17061.447920756844</v>
      </c>
      <c r="AP313" s="124">
        <f t="shared" ca="1" si="109"/>
        <v>17227.682276948985</v>
      </c>
      <c r="AQ313" s="124">
        <f t="shared" ca="1" si="109"/>
        <v>17395.536300428586</v>
      </c>
      <c r="AR313" s="124">
        <f t="shared" ca="1" si="109"/>
        <v>17565.025772066263</v>
      </c>
      <c r="AS313" s="90"/>
      <c r="AT313" s="84">
        <f t="shared" ca="1" si="107"/>
        <v>709707.17224271013</v>
      </c>
    </row>
    <row r="314" spans="1:46" s="60" customFormat="1" collapsed="1" x14ac:dyDescent="0.2">
      <c r="A314" s="60" t="s">
        <v>154</v>
      </c>
      <c r="C314" s="224" t="str">
        <f>Параметры!$B$64</f>
        <v>тыс. руб.</v>
      </c>
      <c r="D314" s="169"/>
      <c r="E314" s="85">
        <f t="shared" ref="E314:AR314" si="110">E315+E316</f>
        <v>325.00000000000006</v>
      </c>
      <c r="F314" s="85">
        <f t="shared" ca="1" si="110"/>
        <v>325.00000000000006</v>
      </c>
      <c r="G314" s="85">
        <f t="shared" ca="1" si="110"/>
        <v>325.00000000000006</v>
      </c>
      <c r="H314" s="85">
        <f t="shared" ca="1" si="110"/>
        <v>325.00000000000006</v>
      </c>
      <c r="I314" s="85">
        <f t="shared" ca="1" si="110"/>
        <v>325.00000000000006</v>
      </c>
      <c r="J314" s="85">
        <f t="shared" ca="1" si="110"/>
        <v>328.211203146088</v>
      </c>
      <c r="K314" s="85">
        <f t="shared" ca="1" si="110"/>
        <v>331.45413498646957</v>
      </c>
      <c r="L314" s="85">
        <f t="shared" ca="1" si="110"/>
        <v>334.72910902047698</v>
      </c>
      <c r="M314" s="85">
        <f t="shared" ca="1" si="110"/>
        <v>338.03644184501172</v>
      </c>
      <c r="N314" s="85">
        <f t="shared" ca="1" si="110"/>
        <v>341.36326019782246</v>
      </c>
      <c r="O314" s="85">
        <f t="shared" ca="1" si="110"/>
        <v>344.72281975537499</v>
      </c>
      <c r="P314" s="85">
        <f t="shared" ca="1" si="110"/>
        <v>348.11544274340383</v>
      </c>
      <c r="Q314" s="85">
        <f t="shared" ca="1" si="110"/>
        <v>351.54145455885953</v>
      </c>
      <c r="R314" s="85">
        <f t="shared" ca="1" si="110"/>
        <v>354.98820469984076</v>
      </c>
      <c r="S314" s="85">
        <f t="shared" ca="1" si="110"/>
        <v>358.46874910997667</v>
      </c>
      <c r="T314" s="85">
        <f t="shared" ca="1" si="110"/>
        <v>361.98341913113444</v>
      </c>
      <c r="U314" s="85">
        <f t="shared" ca="1" si="110"/>
        <v>0</v>
      </c>
      <c r="V314" s="85">
        <f t="shared" ca="1" si="110"/>
        <v>0</v>
      </c>
      <c r="W314" s="85">
        <f t="shared" ca="1" si="110"/>
        <v>0</v>
      </c>
      <c r="X314" s="85">
        <f t="shared" ca="1" si="110"/>
        <v>0</v>
      </c>
      <c r="Y314" s="85">
        <f t="shared" ca="1" si="110"/>
        <v>0</v>
      </c>
      <c r="Z314" s="85">
        <f t="shared" ca="1" si="110"/>
        <v>0</v>
      </c>
      <c r="AA314" s="85">
        <f t="shared" ca="1" si="110"/>
        <v>0</v>
      </c>
      <c r="AB314" s="85">
        <f t="shared" ca="1" si="110"/>
        <v>0</v>
      </c>
      <c r="AC314" s="85">
        <f t="shared" ca="1" si="110"/>
        <v>0</v>
      </c>
      <c r="AD314" s="85">
        <f t="shared" ca="1" si="110"/>
        <v>0</v>
      </c>
      <c r="AE314" s="85">
        <f t="shared" ca="1" si="110"/>
        <v>0</v>
      </c>
      <c r="AF314" s="85">
        <f t="shared" ca="1" si="110"/>
        <v>0</v>
      </c>
      <c r="AG314" s="85">
        <f t="shared" ca="1" si="110"/>
        <v>0</v>
      </c>
      <c r="AH314" s="85">
        <f t="shared" ca="1" si="110"/>
        <v>0</v>
      </c>
      <c r="AI314" s="85">
        <f t="shared" ca="1" si="110"/>
        <v>0</v>
      </c>
      <c r="AJ314" s="85">
        <f t="shared" ca="1" si="110"/>
        <v>0</v>
      </c>
      <c r="AK314" s="85">
        <f t="shared" ca="1" si="110"/>
        <v>0</v>
      </c>
      <c r="AL314" s="85">
        <f t="shared" ca="1" si="110"/>
        <v>0</v>
      </c>
      <c r="AM314" s="85">
        <f t="shared" ca="1" si="110"/>
        <v>0</v>
      </c>
      <c r="AN314" s="85">
        <f t="shared" ca="1" si="110"/>
        <v>0</v>
      </c>
      <c r="AO314" s="85">
        <f t="shared" ca="1" si="110"/>
        <v>0</v>
      </c>
      <c r="AP314" s="85">
        <f t="shared" ca="1" si="110"/>
        <v>0</v>
      </c>
      <c r="AQ314" s="85">
        <f t="shared" ca="1" si="110"/>
        <v>0</v>
      </c>
      <c r="AR314" s="85">
        <f t="shared" ca="1" si="110"/>
        <v>0</v>
      </c>
      <c r="AS314" s="142"/>
      <c r="AT314" s="143">
        <f t="shared" ca="1" si="107"/>
        <v>5418.6142391944595</v>
      </c>
    </row>
    <row r="315" spans="1:46" outlineLevel="1" x14ac:dyDescent="0.2">
      <c r="A315" s="63" t="s">
        <v>153</v>
      </c>
      <c r="C315" s="266" t="str">
        <f>Параметры!$B$64</f>
        <v>тыс. руб.</v>
      </c>
      <c r="E315" s="82">
        <f>SUM(E$292*CHOOSE($C$287,1,Параметры!E$109,Параметры!E$118))</f>
        <v>270.83333333333337</v>
      </c>
      <c r="F315" s="82">
        <f ca="1">SUM(F$292*CHOOSE($C$287,1,Параметры!F$109,Параметры!F$118))</f>
        <v>270.83333333333337</v>
      </c>
      <c r="G315" s="82">
        <f ca="1">SUM(G$292*CHOOSE($C$287,1,Параметры!G$109,Параметры!G$118))</f>
        <v>270.83333333333337</v>
      </c>
      <c r="H315" s="82">
        <f ca="1">SUM(H$292*CHOOSE($C$287,1,Параметры!H$109,Параметры!H$118))</f>
        <v>270.83333333333337</v>
      </c>
      <c r="I315" s="82">
        <f ca="1">SUM(I$292*CHOOSE($C$287,1,Параметры!I$109,Параметры!I$118))</f>
        <v>270.83333333333337</v>
      </c>
      <c r="J315" s="82">
        <f ca="1">SUM(J$292*CHOOSE($C$287,1,Параметры!J$109,Параметры!J$118))</f>
        <v>273.50933595507331</v>
      </c>
      <c r="K315" s="82">
        <f ca="1">SUM(K$292*CHOOSE($C$287,1,Параметры!K$109,Параметры!K$118))</f>
        <v>276.2117791553913</v>
      </c>
      <c r="L315" s="82">
        <f ca="1">SUM(L$292*CHOOSE($C$287,1,Параметры!L$109,Параметры!L$118))</f>
        <v>278.94092418373083</v>
      </c>
      <c r="M315" s="82">
        <f ca="1">SUM(M$292*CHOOSE($C$287,1,Параметры!M$109,Параметры!M$118))</f>
        <v>281.69703487084308</v>
      </c>
      <c r="N315" s="82">
        <f ca="1">SUM(N$292*CHOOSE($C$287,1,Параметры!N$109,Параметры!N$118))</f>
        <v>284.46938349818538</v>
      </c>
      <c r="O315" s="82">
        <f ca="1">SUM(O$292*CHOOSE($C$287,1,Параметры!O$109,Параметры!O$118))</f>
        <v>287.26901646281249</v>
      </c>
      <c r="P315" s="82">
        <f ca="1">SUM(P$292*CHOOSE($C$287,1,Параметры!P$109,Параметры!P$118))</f>
        <v>290.09620228616984</v>
      </c>
      <c r="Q315" s="82">
        <f ca="1">SUM(Q$292*CHOOSE($C$287,1,Параметры!Q$109,Параметры!Q$118))</f>
        <v>292.95121213238292</v>
      </c>
      <c r="R315" s="82">
        <f ca="1">SUM(R$292*CHOOSE($C$287,1,Параметры!R$109,Параметры!R$118))</f>
        <v>295.82350391653398</v>
      </c>
      <c r="S315" s="82">
        <f ca="1">SUM(S$292*CHOOSE($C$287,1,Параметры!S$109,Параметры!S$118))</f>
        <v>298.72395759164721</v>
      </c>
      <c r="T315" s="82">
        <f ca="1">SUM(T$292*CHOOSE($C$287,1,Параметры!T$109,Параметры!T$118))</f>
        <v>301.65284927594536</v>
      </c>
      <c r="U315" s="82">
        <f ca="1">SUM(U$292*CHOOSE($C$287,1,Параметры!U$109,Параметры!U$118))</f>
        <v>0</v>
      </c>
      <c r="V315" s="82">
        <f ca="1">SUM(V$292*CHOOSE($C$287,1,Параметры!V$109,Параметры!V$118))</f>
        <v>0</v>
      </c>
      <c r="W315" s="82">
        <f ca="1">SUM(W$292*CHOOSE($C$287,1,Параметры!W$109,Параметры!W$118))</f>
        <v>0</v>
      </c>
      <c r="X315" s="82">
        <f ca="1">SUM(X$292*CHOOSE($C$287,1,Параметры!X$109,Параметры!X$118))</f>
        <v>0</v>
      </c>
      <c r="Y315" s="82">
        <f ca="1">SUM(Y$292*CHOOSE($C$287,1,Параметры!Y$109,Параметры!Y$118))</f>
        <v>0</v>
      </c>
      <c r="Z315" s="82">
        <f ca="1">SUM(Z$292*CHOOSE($C$287,1,Параметры!Z$109,Параметры!Z$118))</f>
        <v>0</v>
      </c>
      <c r="AA315" s="82">
        <f ca="1">SUM(AA$292*CHOOSE($C$287,1,Параметры!AA$109,Параметры!AA$118))</f>
        <v>0</v>
      </c>
      <c r="AB315" s="82">
        <f ca="1">SUM(AB$292*CHOOSE($C$287,1,Параметры!AB$109,Параметры!AB$118))</f>
        <v>0</v>
      </c>
      <c r="AC315" s="82">
        <f ca="1">SUM(AC$292*CHOOSE($C$287,1,Параметры!AC$109,Параметры!AC$118))</f>
        <v>0</v>
      </c>
      <c r="AD315" s="82">
        <f ca="1">SUM(AD$292*CHOOSE($C$287,1,Параметры!AD$109,Параметры!AD$118))</f>
        <v>0</v>
      </c>
      <c r="AE315" s="82">
        <f ca="1">SUM(AE$292*CHOOSE($C$287,1,Параметры!AE$109,Параметры!AE$118))</f>
        <v>0</v>
      </c>
      <c r="AF315" s="82">
        <f ca="1">SUM(AF$292*CHOOSE($C$287,1,Параметры!AF$109,Параметры!AF$118))</f>
        <v>0</v>
      </c>
      <c r="AG315" s="82">
        <f ca="1">SUM(AG$292*CHOOSE($C$287,1,Параметры!AG$109,Параметры!AG$118))</f>
        <v>0</v>
      </c>
      <c r="AH315" s="82">
        <f ca="1">SUM(AH$292*CHOOSE($C$287,1,Параметры!AH$109,Параметры!AH$118))</f>
        <v>0</v>
      </c>
      <c r="AI315" s="82">
        <f ca="1">SUM(AI$292*CHOOSE($C$287,1,Параметры!AI$109,Параметры!AI$118))</f>
        <v>0</v>
      </c>
      <c r="AJ315" s="82">
        <f ca="1">SUM(AJ$292*CHOOSE($C$287,1,Параметры!AJ$109,Параметры!AJ$118))</f>
        <v>0</v>
      </c>
      <c r="AK315" s="82">
        <f ca="1">SUM(AK$292*CHOOSE($C$287,1,Параметры!AK$109,Параметры!AK$118))</f>
        <v>0</v>
      </c>
      <c r="AL315" s="82">
        <f ca="1">SUM(AL$292*CHOOSE($C$287,1,Параметры!AL$109,Параметры!AL$118))</f>
        <v>0</v>
      </c>
      <c r="AM315" s="82">
        <f ca="1">SUM(AM$292*CHOOSE($C$287,1,Параметры!AM$109,Параметры!AM$118))</f>
        <v>0</v>
      </c>
      <c r="AN315" s="82">
        <f ca="1">SUM(AN$292*CHOOSE($C$287,1,Параметры!AN$109,Параметры!AN$118))</f>
        <v>0</v>
      </c>
      <c r="AO315" s="82">
        <f ca="1">SUM(AO$292*CHOOSE($C$287,1,Параметры!AO$109,Параметры!AO$118))</f>
        <v>0</v>
      </c>
      <c r="AP315" s="82">
        <f ca="1">SUM(AP$292*CHOOSE($C$287,1,Параметры!AP$109,Параметры!AP$118))</f>
        <v>0</v>
      </c>
      <c r="AQ315" s="82">
        <f ca="1">SUM(AQ$292*CHOOSE($C$287,1,Параметры!AQ$109,Параметры!AQ$118))</f>
        <v>0</v>
      </c>
      <c r="AR315" s="82">
        <f ca="1">SUM(AR$292*CHOOSE($C$287,1,Параметры!AR$109,Параметры!AR$118))</f>
        <v>0</v>
      </c>
      <c r="AS315" s="90"/>
      <c r="AT315" s="30">
        <f t="shared" ca="1" si="107"/>
        <v>4515.5118659953823</v>
      </c>
    </row>
    <row r="316" spans="1:46" outlineLevel="1" x14ac:dyDescent="0.2">
      <c r="A316" s="63" t="s">
        <v>64</v>
      </c>
      <c r="C316" s="266"/>
      <c r="E316" s="82">
        <f>SUM(E$291*CHOOSE($C$287,1,Параметры!E$109,Параметры!E$118))</f>
        <v>54.166666666666679</v>
      </c>
      <c r="F316" s="82">
        <f ca="1">SUM(F$291*CHOOSE($C$287,1,Параметры!F$109,Параметры!F$118))</f>
        <v>54.166666666666679</v>
      </c>
      <c r="G316" s="82">
        <f ca="1">SUM(G$291*CHOOSE($C$287,1,Параметры!G$109,Параметры!G$118))</f>
        <v>54.166666666666679</v>
      </c>
      <c r="H316" s="82">
        <f ca="1">SUM(H$291*CHOOSE($C$287,1,Параметры!H$109,Параметры!H$118))</f>
        <v>54.166666666666679</v>
      </c>
      <c r="I316" s="82">
        <f ca="1">SUM(I$291*CHOOSE($C$287,1,Параметры!I$109,Параметры!I$118))</f>
        <v>54.166666666666679</v>
      </c>
      <c r="J316" s="82">
        <f ca="1">SUM(J$291*CHOOSE($C$287,1,Параметры!J$109,Параметры!J$118))</f>
        <v>54.701867191014664</v>
      </c>
      <c r="K316" s="82">
        <f ca="1">SUM(K$291*CHOOSE($C$287,1,Параметры!K$109,Параметры!K$118))</f>
        <v>55.242355831078264</v>
      </c>
      <c r="L316" s="82">
        <f ca="1">SUM(L$291*CHOOSE($C$287,1,Параметры!L$109,Параметры!L$118))</f>
        <v>55.788184836746169</v>
      </c>
      <c r="M316" s="82">
        <f ca="1">SUM(M$291*CHOOSE($C$287,1,Параметры!M$109,Параметры!M$118))</f>
        <v>56.339406974168618</v>
      </c>
      <c r="N316" s="82">
        <f ca="1">SUM(N$291*CHOOSE($C$287,1,Параметры!N$109,Параметры!N$118))</f>
        <v>56.893876699637076</v>
      </c>
      <c r="O316" s="82">
        <f ca="1">SUM(O$291*CHOOSE($C$287,1,Параметры!O$109,Параметры!O$118))</f>
        <v>57.453803292562498</v>
      </c>
      <c r="P316" s="82">
        <f ca="1">SUM(P$291*CHOOSE($C$287,1,Параметры!P$109,Параметры!P$118))</f>
        <v>58.01924045723397</v>
      </c>
      <c r="Q316" s="82">
        <f ca="1">SUM(Q$291*CHOOSE($C$287,1,Параметры!Q$109,Параметры!Q$118))</f>
        <v>58.590242426476586</v>
      </c>
      <c r="R316" s="82">
        <f ca="1">SUM(R$291*CHOOSE($C$287,1,Параметры!R$109,Параметры!R$118))</f>
        <v>59.164700783306799</v>
      </c>
      <c r="S316" s="82">
        <f ca="1">SUM(S$291*CHOOSE($C$287,1,Параметры!S$109,Параметры!S$118))</f>
        <v>59.744791518329443</v>
      </c>
      <c r="T316" s="82">
        <f ca="1">SUM(T$291*CHOOSE($C$287,1,Параметры!T$109,Параметры!T$118))</f>
        <v>60.330569855189076</v>
      </c>
      <c r="U316" s="82">
        <f ca="1">SUM(U$291*CHOOSE($C$287,1,Параметры!U$109,Параметры!U$118))</f>
        <v>0</v>
      </c>
      <c r="V316" s="82">
        <f ca="1">SUM(V$291*CHOOSE($C$287,1,Параметры!V$109,Параметры!V$118))</f>
        <v>0</v>
      </c>
      <c r="W316" s="82">
        <f ca="1">SUM(W$291*CHOOSE($C$287,1,Параметры!W$109,Параметры!W$118))</f>
        <v>0</v>
      </c>
      <c r="X316" s="82">
        <f ca="1">SUM(X$291*CHOOSE($C$287,1,Параметры!X$109,Параметры!X$118))</f>
        <v>0</v>
      </c>
      <c r="Y316" s="82">
        <f ca="1">SUM(Y$291*CHOOSE($C$287,1,Параметры!Y$109,Параметры!Y$118))</f>
        <v>0</v>
      </c>
      <c r="Z316" s="82">
        <f ca="1">SUM(Z$291*CHOOSE($C$287,1,Параметры!Z$109,Параметры!Z$118))</f>
        <v>0</v>
      </c>
      <c r="AA316" s="82">
        <f ca="1">SUM(AA$291*CHOOSE($C$287,1,Параметры!AA$109,Параметры!AA$118))</f>
        <v>0</v>
      </c>
      <c r="AB316" s="82">
        <f ca="1">SUM(AB$291*CHOOSE($C$287,1,Параметры!AB$109,Параметры!AB$118))</f>
        <v>0</v>
      </c>
      <c r="AC316" s="82">
        <f ca="1">SUM(AC$291*CHOOSE($C$287,1,Параметры!AC$109,Параметры!AC$118))</f>
        <v>0</v>
      </c>
      <c r="AD316" s="82">
        <f ca="1">SUM(AD$291*CHOOSE($C$287,1,Параметры!AD$109,Параметры!AD$118))</f>
        <v>0</v>
      </c>
      <c r="AE316" s="82">
        <f ca="1">SUM(AE$291*CHOOSE($C$287,1,Параметры!AE$109,Параметры!AE$118))</f>
        <v>0</v>
      </c>
      <c r="AF316" s="82">
        <f ca="1">SUM(AF$291*CHOOSE($C$287,1,Параметры!AF$109,Параметры!AF$118))</f>
        <v>0</v>
      </c>
      <c r="AG316" s="82">
        <f ca="1">SUM(AG$291*CHOOSE($C$287,1,Параметры!AG$109,Параметры!AG$118))</f>
        <v>0</v>
      </c>
      <c r="AH316" s="82">
        <f ca="1">SUM(AH$291*CHOOSE($C$287,1,Параметры!AH$109,Параметры!AH$118))</f>
        <v>0</v>
      </c>
      <c r="AI316" s="82">
        <f ca="1">SUM(AI$291*CHOOSE($C$287,1,Параметры!AI$109,Параметры!AI$118))</f>
        <v>0</v>
      </c>
      <c r="AJ316" s="82">
        <f ca="1">SUM(AJ$291*CHOOSE($C$287,1,Параметры!AJ$109,Параметры!AJ$118))</f>
        <v>0</v>
      </c>
      <c r="AK316" s="82">
        <f ca="1">SUM(AK$291*CHOOSE($C$287,1,Параметры!AK$109,Параметры!AK$118))</f>
        <v>0</v>
      </c>
      <c r="AL316" s="82">
        <f ca="1">SUM(AL$291*CHOOSE($C$287,1,Параметры!AL$109,Параметры!AL$118))</f>
        <v>0</v>
      </c>
      <c r="AM316" s="82">
        <f ca="1">SUM(AM$291*CHOOSE($C$287,1,Параметры!AM$109,Параметры!AM$118))</f>
        <v>0</v>
      </c>
      <c r="AN316" s="82">
        <f ca="1">SUM(AN$291*CHOOSE($C$287,1,Параметры!AN$109,Параметры!AN$118))</f>
        <v>0</v>
      </c>
      <c r="AO316" s="82">
        <f ca="1">SUM(AO$291*CHOOSE($C$287,1,Параметры!AO$109,Параметры!AO$118))</f>
        <v>0</v>
      </c>
      <c r="AP316" s="82">
        <f ca="1">SUM(AP$291*CHOOSE($C$287,1,Параметры!AP$109,Параметры!AP$118))</f>
        <v>0</v>
      </c>
      <c r="AQ316" s="82">
        <f ca="1">SUM(AQ$291*CHOOSE($C$287,1,Параметры!AQ$109,Параметры!AQ$118))</f>
        <v>0</v>
      </c>
      <c r="AR316" s="82">
        <f ca="1">SUM(AR$291*CHOOSE($C$287,1,Параметры!AR$109,Параметры!AR$118))</f>
        <v>0</v>
      </c>
      <c r="AS316" s="90"/>
      <c r="AT316" s="30">
        <f t="shared" ca="1" si="107"/>
        <v>903.10237319907662</v>
      </c>
    </row>
    <row r="317" spans="1:46" outlineLevel="1" x14ac:dyDescent="0.2">
      <c r="A317" s="106" t="s">
        <v>80</v>
      </c>
      <c r="B317" s="22"/>
      <c r="C317" s="266" t="str">
        <f>Параметры!$B$64</f>
        <v>тыс. руб.</v>
      </c>
      <c r="E317" s="124">
        <f t="shared" ref="E317:AR317" si="111">E315+IF(E$2&gt;1,0,0)</f>
        <v>270.83333333333337</v>
      </c>
      <c r="F317" s="124">
        <f t="shared" ca="1" si="111"/>
        <v>270.83333333333337</v>
      </c>
      <c r="G317" s="124">
        <f t="shared" ca="1" si="111"/>
        <v>270.83333333333337</v>
      </c>
      <c r="H317" s="124">
        <f t="shared" ca="1" si="111"/>
        <v>270.83333333333337</v>
      </c>
      <c r="I317" s="124">
        <f t="shared" ca="1" si="111"/>
        <v>270.83333333333337</v>
      </c>
      <c r="J317" s="124">
        <f t="shared" ca="1" si="111"/>
        <v>273.50933595507331</v>
      </c>
      <c r="K317" s="124">
        <f t="shared" ca="1" si="111"/>
        <v>276.2117791553913</v>
      </c>
      <c r="L317" s="124">
        <f t="shared" ca="1" si="111"/>
        <v>278.94092418373083</v>
      </c>
      <c r="M317" s="124">
        <f t="shared" ca="1" si="111"/>
        <v>281.69703487084308</v>
      </c>
      <c r="N317" s="124">
        <f t="shared" ca="1" si="111"/>
        <v>284.46938349818538</v>
      </c>
      <c r="O317" s="124">
        <f t="shared" ca="1" si="111"/>
        <v>287.26901646281249</v>
      </c>
      <c r="P317" s="124">
        <f t="shared" ca="1" si="111"/>
        <v>290.09620228616984</v>
      </c>
      <c r="Q317" s="124">
        <f t="shared" ca="1" si="111"/>
        <v>292.95121213238292</v>
      </c>
      <c r="R317" s="124">
        <f t="shared" ca="1" si="111"/>
        <v>295.82350391653398</v>
      </c>
      <c r="S317" s="124">
        <f t="shared" ca="1" si="111"/>
        <v>298.72395759164721</v>
      </c>
      <c r="T317" s="124">
        <f t="shared" ca="1" si="111"/>
        <v>301.65284927594536</v>
      </c>
      <c r="U317" s="124">
        <f t="shared" ca="1" si="111"/>
        <v>0</v>
      </c>
      <c r="V317" s="124">
        <f t="shared" ca="1" si="111"/>
        <v>0</v>
      </c>
      <c r="W317" s="124">
        <f t="shared" ca="1" si="111"/>
        <v>0</v>
      </c>
      <c r="X317" s="124">
        <f t="shared" ca="1" si="111"/>
        <v>0</v>
      </c>
      <c r="Y317" s="124">
        <f t="shared" ca="1" si="111"/>
        <v>0</v>
      </c>
      <c r="Z317" s="124">
        <f t="shared" ca="1" si="111"/>
        <v>0</v>
      </c>
      <c r="AA317" s="124">
        <f t="shared" ca="1" si="111"/>
        <v>0</v>
      </c>
      <c r="AB317" s="124">
        <f t="shared" ca="1" si="111"/>
        <v>0</v>
      </c>
      <c r="AC317" s="124">
        <f t="shared" ca="1" si="111"/>
        <v>0</v>
      </c>
      <c r="AD317" s="124">
        <f t="shared" ca="1" si="111"/>
        <v>0</v>
      </c>
      <c r="AE317" s="124">
        <f t="shared" ca="1" si="111"/>
        <v>0</v>
      </c>
      <c r="AF317" s="124">
        <f t="shared" ca="1" si="111"/>
        <v>0</v>
      </c>
      <c r="AG317" s="124">
        <f t="shared" ca="1" si="111"/>
        <v>0</v>
      </c>
      <c r="AH317" s="124">
        <f t="shared" ca="1" si="111"/>
        <v>0</v>
      </c>
      <c r="AI317" s="124">
        <f t="shared" ca="1" si="111"/>
        <v>0</v>
      </c>
      <c r="AJ317" s="124">
        <f t="shared" ca="1" si="111"/>
        <v>0</v>
      </c>
      <c r="AK317" s="124">
        <f t="shared" ca="1" si="111"/>
        <v>0</v>
      </c>
      <c r="AL317" s="124">
        <f t="shared" ca="1" si="111"/>
        <v>0</v>
      </c>
      <c r="AM317" s="124">
        <f t="shared" ca="1" si="111"/>
        <v>0</v>
      </c>
      <c r="AN317" s="124">
        <f t="shared" ca="1" si="111"/>
        <v>0</v>
      </c>
      <c r="AO317" s="124">
        <f t="shared" ca="1" si="111"/>
        <v>0</v>
      </c>
      <c r="AP317" s="124">
        <f t="shared" ca="1" si="111"/>
        <v>0</v>
      </c>
      <c r="AQ317" s="124">
        <f t="shared" ca="1" si="111"/>
        <v>0</v>
      </c>
      <c r="AR317" s="124">
        <f t="shared" ca="1" si="111"/>
        <v>0</v>
      </c>
      <c r="AS317" s="124"/>
      <c r="AT317" s="84">
        <f t="shared" ca="1" si="107"/>
        <v>4515.5118659953823</v>
      </c>
    </row>
    <row r="318" spans="1:46" outlineLevel="1" x14ac:dyDescent="0.2">
      <c r="A318" s="106" t="s">
        <v>176</v>
      </c>
      <c r="C318" s="266" t="str">
        <f>Параметры!$B$64</f>
        <v>тыс. руб.</v>
      </c>
      <c r="E318" s="124">
        <f t="shared" ref="E318:AR318" si="112">E315+E316-IF(E$2=1,0,0)+IF(E$2=1,0,0)</f>
        <v>325.00000000000006</v>
      </c>
      <c r="F318" s="124">
        <f t="shared" ca="1" si="112"/>
        <v>325.00000000000006</v>
      </c>
      <c r="G318" s="124">
        <f t="shared" ca="1" si="112"/>
        <v>325.00000000000006</v>
      </c>
      <c r="H318" s="124">
        <f t="shared" ca="1" si="112"/>
        <v>325.00000000000006</v>
      </c>
      <c r="I318" s="124">
        <f t="shared" ca="1" si="112"/>
        <v>325.00000000000006</v>
      </c>
      <c r="J318" s="124">
        <f t="shared" ca="1" si="112"/>
        <v>328.211203146088</v>
      </c>
      <c r="K318" s="124">
        <f t="shared" ca="1" si="112"/>
        <v>331.45413498646957</v>
      </c>
      <c r="L318" s="124">
        <f t="shared" ca="1" si="112"/>
        <v>334.72910902047698</v>
      </c>
      <c r="M318" s="124">
        <f t="shared" ca="1" si="112"/>
        <v>338.03644184501172</v>
      </c>
      <c r="N318" s="124">
        <f t="shared" ca="1" si="112"/>
        <v>341.36326019782246</v>
      </c>
      <c r="O318" s="124">
        <f t="shared" ca="1" si="112"/>
        <v>344.72281975537499</v>
      </c>
      <c r="P318" s="124">
        <f t="shared" ca="1" si="112"/>
        <v>348.11544274340383</v>
      </c>
      <c r="Q318" s="124">
        <f t="shared" ca="1" si="112"/>
        <v>351.54145455885953</v>
      </c>
      <c r="R318" s="124">
        <f t="shared" ca="1" si="112"/>
        <v>354.98820469984076</v>
      </c>
      <c r="S318" s="124">
        <f t="shared" ca="1" si="112"/>
        <v>358.46874910997667</v>
      </c>
      <c r="T318" s="124">
        <f t="shared" ca="1" si="112"/>
        <v>361.98341913113444</v>
      </c>
      <c r="U318" s="124">
        <f t="shared" ca="1" si="112"/>
        <v>0</v>
      </c>
      <c r="V318" s="124">
        <f t="shared" ca="1" si="112"/>
        <v>0</v>
      </c>
      <c r="W318" s="124">
        <f t="shared" ca="1" si="112"/>
        <v>0</v>
      </c>
      <c r="X318" s="124">
        <f t="shared" ca="1" si="112"/>
        <v>0</v>
      </c>
      <c r="Y318" s="124">
        <f t="shared" ca="1" si="112"/>
        <v>0</v>
      </c>
      <c r="Z318" s="124">
        <f t="shared" ca="1" si="112"/>
        <v>0</v>
      </c>
      <c r="AA318" s="124">
        <f t="shared" ca="1" si="112"/>
        <v>0</v>
      </c>
      <c r="AB318" s="124">
        <f t="shared" ca="1" si="112"/>
        <v>0</v>
      </c>
      <c r="AC318" s="124">
        <f t="shared" ca="1" si="112"/>
        <v>0</v>
      </c>
      <c r="AD318" s="124">
        <f t="shared" ca="1" si="112"/>
        <v>0</v>
      </c>
      <c r="AE318" s="124">
        <f t="shared" ca="1" si="112"/>
        <v>0</v>
      </c>
      <c r="AF318" s="124">
        <f t="shared" ca="1" si="112"/>
        <v>0</v>
      </c>
      <c r="AG318" s="124">
        <f t="shared" ca="1" si="112"/>
        <v>0</v>
      </c>
      <c r="AH318" s="124">
        <f t="shared" ca="1" si="112"/>
        <v>0</v>
      </c>
      <c r="AI318" s="124">
        <f t="shared" ca="1" si="112"/>
        <v>0</v>
      </c>
      <c r="AJ318" s="124">
        <f t="shared" ca="1" si="112"/>
        <v>0</v>
      </c>
      <c r="AK318" s="124">
        <f t="shared" ca="1" si="112"/>
        <v>0</v>
      </c>
      <c r="AL318" s="124">
        <f t="shared" ca="1" si="112"/>
        <v>0</v>
      </c>
      <c r="AM318" s="124">
        <f t="shared" ca="1" si="112"/>
        <v>0</v>
      </c>
      <c r="AN318" s="124">
        <f t="shared" ca="1" si="112"/>
        <v>0</v>
      </c>
      <c r="AO318" s="124">
        <f t="shared" ca="1" si="112"/>
        <v>0</v>
      </c>
      <c r="AP318" s="124">
        <f t="shared" ca="1" si="112"/>
        <v>0</v>
      </c>
      <c r="AQ318" s="124">
        <f t="shared" ca="1" si="112"/>
        <v>0</v>
      </c>
      <c r="AR318" s="124">
        <f t="shared" ca="1" si="112"/>
        <v>0</v>
      </c>
      <c r="AS318" s="90"/>
      <c r="AT318" s="84">
        <f t="shared" ca="1" si="107"/>
        <v>5418.6142391944595</v>
      </c>
    </row>
    <row r="319" spans="1:46" s="60" customFormat="1" collapsed="1" x14ac:dyDescent="0.2">
      <c r="A319" s="60" t="s">
        <v>155</v>
      </c>
      <c r="C319" s="224" t="str">
        <f>Параметры!$B$64</f>
        <v>тыс. руб.</v>
      </c>
      <c r="D319" s="169"/>
      <c r="E319" s="85">
        <f t="shared" ref="E319:AR319" si="113">E320+E321</f>
        <v>450</v>
      </c>
      <c r="F319" s="85">
        <f t="shared" ca="1" si="113"/>
        <v>450</v>
      </c>
      <c r="G319" s="85">
        <f t="shared" ca="1" si="113"/>
        <v>450</v>
      </c>
      <c r="H319" s="85">
        <f t="shared" ca="1" si="113"/>
        <v>450</v>
      </c>
      <c r="I319" s="85">
        <f t="shared" ca="1" si="113"/>
        <v>450</v>
      </c>
      <c r="J319" s="85">
        <f t="shared" ca="1" si="113"/>
        <v>454.44628127919873</v>
      </c>
      <c r="K319" s="85">
        <f t="shared" ca="1" si="113"/>
        <v>458.93649459665016</v>
      </c>
      <c r="L319" s="85">
        <f t="shared" ca="1" si="113"/>
        <v>463.47107402835269</v>
      </c>
      <c r="M319" s="85">
        <f t="shared" ca="1" si="113"/>
        <v>468.05045793924683</v>
      </c>
      <c r="N319" s="85">
        <f t="shared" ca="1" si="113"/>
        <v>472.65682181236946</v>
      </c>
      <c r="O319" s="85">
        <f t="shared" ca="1" si="113"/>
        <v>477.30851966128836</v>
      </c>
      <c r="P319" s="85">
        <f t="shared" ca="1" si="113"/>
        <v>482.00599764471286</v>
      </c>
      <c r="Q319" s="85">
        <f t="shared" ca="1" si="113"/>
        <v>486.74970631226694</v>
      </c>
      <c r="R319" s="85">
        <f t="shared" ca="1" si="113"/>
        <v>491.52212958439486</v>
      </c>
      <c r="S319" s="85">
        <f t="shared" ca="1" si="113"/>
        <v>496.34134492150611</v>
      </c>
      <c r="T319" s="85">
        <f t="shared" ca="1" si="113"/>
        <v>501.20781110464759</v>
      </c>
      <c r="U319" s="85">
        <f t="shared" ca="1" si="113"/>
        <v>506.12199141306587</v>
      </c>
      <c r="V319" s="85">
        <f t="shared" ca="1" si="113"/>
        <v>511.09546007674606</v>
      </c>
      <c r="W319" s="85">
        <f t="shared" ca="1" si="113"/>
        <v>516.11780112883912</v>
      </c>
      <c r="X319" s="85">
        <f t="shared" ca="1" si="113"/>
        <v>521.18949481975176</v>
      </c>
      <c r="Y319" s="85">
        <f t="shared" ca="1" si="113"/>
        <v>526.31102611912934</v>
      </c>
      <c r="Z319" s="85">
        <f t="shared" ca="1" si="113"/>
        <v>531.48676124001372</v>
      </c>
      <c r="AA319" s="85">
        <f t="shared" ca="1" si="113"/>
        <v>536.71339446622392</v>
      </c>
      <c r="AB319" s="85">
        <f t="shared" ca="1" si="113"/>
        <v>541.99142632900157</v>
      </c>
      <c r="AC319" s="85">
        <f t="shared" ca="1" si="113"/>
        <v>547.32136228180502</v>
      </c>
      <c r="AD319" s="85">
        <f t="shared" ca="1" si="113"/>
        <v>552.69706904441091</v>
      </c>
      <c r="AE319" s="85">
        <f t="shared" ca="1" si="113"/>
        <v>558.12557517716573</v>
      </c>
      <c r="AF319" s="85">
        <f t="shared" ca="1" si="113"/>
        <v>563.60739926741257</v>
      </c>
      <c r="AG319" s="85">
        <f t="shared" ca="1" si="113"/>
        <v>569.14306499598058</v>
      </c>
      <c r="AH319" s="85">
        <f t="shared" ca="1" si="113"/>
        <v>574.71651955755897</v>
      </c>
      <c r="AI319" s="85">
        <f t="shared" ca="1" si="113"/>
        <v>580.34455335880546</v>
      </c>
      <c r="AJ319" s="85">
        <f t="shared" ca="1" si="113"/>
        <v>586.02770087853776</v>
      </c>
      <c r="AK319" s="85">
        <f t="shared" ca="1" si="113"/>
        <v>591.76650182957076</v>
      </c>
      <c r="AL319" s="85">
        <f t="shared" ca="1" si="113"/>
        <v>597.54425896812916</v>
      </c>
      <c r="AM319" s="85">
        <f t="shared" ca="1" si="113"/>
        <v>603.37842767687425</v>
      </c>
      <c r="AN319" s="85">
        <f t="shared" ca="1" si="113"/>
        <v>609.26955873445195</v>
      </c>
      <c r="AO319" s="85">
        <f t="shared" ca="1" si="113"/>
        <v>615.21820829707644</v>
      </c>
      <c r="AP319" s="85">
        <f t="shared" ca="1" si="113"/>
        <v>621.21298672098135</v>
      </c>
      <c r="AQ319" s="85">
        <f t="shared" ca="1" si="113"/>
        <v>627.26617916428143</v>
      </c>
      <c r="AR319" s="85">
        <f t="shared" ca="1" si="113"/>
        <v>633.37835482193623</v>
      </c>
      <c r="AS319" s="142"/>
      <c r="AT319" s="143">
        <f t="shared" ca="1" si="107"/>
        <v>21124.741715252385</v>
      </c>
    </row>
    <row r="320" spans="1:46" outlineLevel="1" x14ac:dyDescent="0.2">
      <c r="A320" s="63" t="s">
        <v>153</v>
      </c>
      <c r="C320" s="266" t="str">
        <f>Параметры!$B$64</f>
        <v>тыс. руб.</v>
      </c>
      <c r="E320" s="82">
        <f>SUM(E$304*CHOOSE($C$299,1,Параметры!E$109,Параметры!E$118))</f>
        <v>375</v>
      </c>
      <c r="F320" s="82">
        <f ca="1">SUM(F$304*CHOOSE($C$299,1,Параметры!F$109,Параметры!F$118))</f>
        <v>375</v>
      </c>
      <c r="G320" s="82">
        <f ca="1">SUM(G$304*CHOOSE($C$299,1,Параметры!G$109,Параметры!G$118))</f>
        <v>375</v>
      </c>
      <c r="H320" s="82">
        <f ca="1">SUM(H$304*CHOOSE($C$299,1,Параметры!H$109,Параметры!H$118))</f>
        <v>375</v>
      </c>
      <c r="I320" s="82">
        <f ca="1">SUM(I$304*CHOOSE($C$299,1,Параметры!I$109,Параметры!I$118))</f>
        <v>375</v>
      </c>
      <c r="J320" s="82">
        <f ca="1">SUM(J$304*CHOOSE($C$299,1,Параметры!J$109,Параметры!J$118))</f>
        <v>378.70523439933226</v>
      </c>
      <c r="K320" s="82">
        <f ca="1">SUM(K$304*CHOOSE($C$299,1,Параметры!K$109,Параметры!K$118))</f>
        <v>382.44707883054178</v>
      </c>
      <c r="L320" s="82">
        <f ca="1">SUM(L$304*CHOOSE($C$299,1,Параметры!L$109,Параметры!L$118))</f>
        <v>386.22589502362723</v>
      </c>
      <c r="M320" s="82">
        <f ca="1">SUM(M$304*CHOOSE($C$299,1,Параметры!M$109,Параметры!M$118))</f>
        <v>390.04204828270571</v>
      </c>
      <c r="N320" s="82">
        <f ca="1">SUM(N$304*CHOOSE($C$299,1,Параметры!N$109,Параметры!N$118))</f>
        <v>393.88068484364123</v>
      </c>
      <c r="O320" s="82">
        <f ca="1">SUM(O$304*CHOOSE($C$299,1,Параметры!O$109,Параметры!O$118))</f>
        <v>397.75709971774029</v>
      </c>
      <c r="P320" s="82">
        <f ca="1">SUM(P$304*CHOOSE($C$299,1,Параметры!P$109,Параметры!P$118))</f>
        <v>401.67166470392738</v>
      </c>
      <c r="Q320" s="82">
        <f ca="1">SUM(Q$304*CHOOSE($C$299,1,Параметры!Q$109,Параметры!Q$118))</f>
        <v>405.62475526022246</v>
      </c>
      <c r="R320" s="82">
        <f ca="1">SUM(R$304*CHOOSE($C$299,1,Параметры!R$109,Параметры!R$118))</f>
        <v>409.6017746536624</v>
      </c>
      <c r="S320" s="82">
        <f ca="1">SUM(S$304*CHOOSE($C$299,1,Параметры!S$109,Параметры!S$118))</f>
        <v>413.61778743458842</v>
      </c>
      <c r="T320" s="82">
        <f ca="1">SUM(T$304*CHOOSE($C$299,1,Параметры!T$109,Параметры!T$118))</f>
        <v>417.67317592053968</v>
      </c>
      <c r="U320" s="82">
        <f ca="1">SUM(U$304*CHOOSE($C$299,1,Параметры!U$109,Параметры!U$118))</f>
        <v>421.76832617755491</v>
      </c>
      <c r="V320" s="82">
        <f ca="1">SUM(V$304*CHOOSE($C$299,1,Параметры!V$109,Параметры!V$118))</f>
        <v>425.9128833972884</v>
      </c>
      <c r="W320" s="82">
        <f ca="1">SUM(W$304*CHOOSE($C$299,1,Параметры!W$109,Параметры!W$118))</f>
        <v>430.09816760736589</v>
      </c>
      <c r="X320" s="82">
        <f ca="1">SUM(X$304*CHOOSE($C$299,1,Параметры!X$109,Параметры!X$118))</f>
        <v>434.32457901645978</v>
      </c>
      <c r="Y320" s="82">
        <f ca="1">SUM(Y$304*CHOOSE($C$299,1,Параметры!Y$109,Параметры!Y$118))</f>
        <v>438.59252176594106</v>
      </c>
      <c r="Z320" s="82">
        <f ca="1">SUM(Z$304*CHOOSE($C$299,1,Параметры!Z$109,Параметры!Z$118))</f>
        <v>442.90563436667804</v>
      </c>
      <c r="AA320" s="82">
        <f ca="1">SUM(AA$304*CHOOSE($C$299,1,Параметры!AA$109,Параметры!AA$118))</f>
        <v>447.26116205518662</v>
      </c>
      <c r="AB320" s="82">
        <f ca="1">SUM(AB$304*CHOOSE($C$299,1,Параметры!AB$109,Параметры!AB$118))</f>
        <v>451.65952194083462</v>
      </c>
      <c r="AC320" s="82">
        <f ca="1">SUM(AC$304*CHOOSE($C$299,1,Параметры!AC$109,Параметры!AC$118))</f>
        <v>456.10113523483756</v>
      </c>
      <c r="AD320" s="82">
        <f ca="1">SUM(AD$304*CHOOSE($C$299,1,Параметры!AD$109,Параметры!AD$118))</f>
        <v>460.58089087034244</v>
      </c>
      <c r="AE320" s="82">
        <f ca="1">SUM(AE$304*CHOOSE($C$299,1,Параметры!AE$109,Параметры!AE$118))</f>
        <v>465.10464598097144</v>
      </c>
      <c r="AF320" s="82">
        <f ca="1">SUM(AF$304*CHOOSE($C$299,1,Параметры!AF$109,Параметры!AF$118))</f>
        <v>469.67283272284385</v>
      </c>
      <c r="AG320" s="82">
        <f ca="1">SUM(AG$304*CHOOSE($C$299,1,Параметры!AG$109,Параметры!AG$118))</f>
        <v>474.28588749665045</v>
      </c>
      <c r="AH320" s="82">
        <f ca="1">SUM(AH$304*CHOOSE($C$299,1,Параметры!AH$109,Параметры!AH$118))</f>
        <v>478.93043296463242</v>
      </c>
      <c r="AI320" s="82">
        <f ca="1">SUM(AI$304*CHOOSE($C$299,1,Параметры!AI$109,Параметры!AI$118))</f>
        <v>483.62046113233788</v>
      </c>
      <c r="AJ320" s="82">
        <f ca="1">SUM(AJ$304*CHOOSE($C$299,1,Параметры!AJ$109,Параметры!AJ$118))</f>
        <v>488.35641739878145</v>
      </c>
      <c r="AK320" s="82">
        <f ca="1">SUM(AK$304*CHOOSE($C$299,1,Параметры!AK$109,Параметры!AK$118))</f>
        <v>493.13875152464226</v>
      </c>
      <c r="AL320" s="82">
        <f ca="1">SUM(AL$304*CHOOSE($C$299,1,Параметры!AL$109,Параметры!AL$118))</f>
        <v>497.95354914010761</v>
      </c>
      <c r="AM320" s="82">
        <f ca="1">SUM(AM$304*CHOOSE($C$299,1,Параметры!AM$109,Параметры!AM$118))</f>
        <v>502.81535639739525</v>
      </c>
      <c r="AN320" s="82">
        <f ca="1">SUM(AN$304*CHOOSE($C$299,1,Параметры!AN$109,Параметры!AN$118))</f>
        <v>507.72463227870998</v>
      </c>
      <c r="AO320" s="82">
        <f ca="1">SUM(AO$304*CHOOSE($C$299,1,Параметры!AO$109,Параметры!AO$118))</f>
        <v>512.68184024756374</v>
      </c>
      <c r="AP320" s="82">
        <f ca="1">SUM(AP$304*CHOOSE($C$299,1,Параметры!AP$109,Параметры!AP$118))</f>
        <v>517.67748893415114</v>
      </c>
      <c r="AQ320" s="82">
        <f ca="1">SUM(AQ$304*CHOOSE($C$299,1,Параметры!AQ$109,Параметры!AQ$118))</f>
        <v>522.7218159702345</v>
      </c>
      <c r="AR320" s="82">
        <f ca="1">SUM(AR$304*CHOOSE($C$299,1,Параметры!AR$109,Параметры!AR$118))</f>
        <v>527.81529568494682</v>
      </c>
      <c r="AS320" s="90"/>
      <c r="AT320" s="30">
        <f t="shared" ca="1" si="107"/>
        <v>17603.95142937699</v>
      </c>
    </row>
    <row r="321" spans="1:46" outlineLevel="1" x14ac:dyDescent="0.2">
      <c r="A321" s="63" t="s">
        <v>64</v>
      </c>
      <c r="C321" s="266"/>
      <c r="E321" s="82">
        <f>SUM(E$303*CHOOSE($C$299,1,Параметры!E$109,Параметры!E$118))</f>
        <v>75</v>
      </c>
      <c r="F321" s="82">
        <f ca="1">SUM(F$303*CHOOSE($C$299,1,Параметры!F$109,Параметры!F$118))</f>
        <v>75</v>
      </c>
      <c r="G321" s="82">
        <f ca="1">SUM(G$303*CHOOSE($C$299,1,Параметры!G$109,Параметры!G$118))</f>
        <v>75</v>
      </c>
      <c r="H321" s="82">
        <f ca="1">SUM(H$303*CHOOSE($C$299,1,Параметры!H$109,Параметры!H$118))</f>
        <v>75</v>
      </c>
      <c r="I321" s="82">
        <f ca="1">SUM(I$303*CHOOSE($C$299,1,Параметры!I$109,Параметры!I$118))</f>
        <v>75</v>
      </c>
      <c r="J321" s="82">
        <f ca="1">SUM(J$303*CHOOSE($C$299,1,Параметры!J$109,Параметры!J$118))</f>
        <v>75.74104687986646</v>
      </c>
      <c r="K321" s="82">
        <f ca="1">SUM(K$303*CHOOSE($C$299,1,Параметры!K$109,Параметры!K$118))</f>
        <v>76.489415766108365</v>
      </c>
      <c r="L321" s="82">
        <f ca="1">SUM(L$303*CHOOSE($C$299,1,Параметры!L$109,Параметры!L$118))</f>
        <v>77.245179004725458</v>
      </c>
      <c r="M321" s="82">
        <f ca="1">SUM(M$303*CHOOSE($C$299,1,Параметры!M$109,Параметры!M$118))</f>
        <v>78.008409656541147</v>
      </c>
      <c r="N321" s="82">
        <f ca="1">SUM(N$303*CHOOSE($C$299,1,Параметры!N$109,Параметры!N$118))</f>
        <v>78.776136968728252</v>
      </c>
      <c r="O321" s="82">
        <f ca="1">SUM(O$303*CHOOSE($C$299,1,Параметры!O$109,Параметры!O$118))</f>
        <v>79.551419943548069</v>
      </c>
      <c r="P321" s="82">
        <f ca="1">SUM(P$303*CHOOSE($C$299,1,Параметры!P$109,Параметры!P$118))</f>
        <v>80.334332940785487</v>
      </c>
      <c r="Q321" s="82">
        <f ca="1">SUM(Q$303*CHOOSE($C$299,1,Параметры!Q$109,Параметры!Q$118))</f>
        <v>81.124951052044494</v>
      </c>
      <c r="R321" s="82">
        <f ca="1">SUM(R$303*CHOOSE($C$299,1,Параметры!R$109,Параметры!R$118))</f>
        <v>81.920354930732486</v>
      </c>
      <c r="S321" s="82">
        <f ca="1">SUM(S$303*CHOOSE($C$299,1,Параметры!S$109,Параметры!S$118))</f>
        <v>82.723557486917684</v>
      </c>
      <c r="T321" s="82">
        <f ca="1">SUM(T$303*CHOOSE($C$299,1,Параметры!T$109,Параметры!T$118))</f>
        <v>83.534635184107941</v>
      </c>
      <c r="U321" s="82">
        <f ca="1">SUM(U$303*CHOOSE($C$299,1,Параметры!U$109,Параметры!U$118))</f>
        <v>84.353665235510988</v>
      </c>
      <c r="V321" s="82">
        <f ca="1">SUM(V$303*CHOOSE($C$299,1,Параметры!V$109,Параметры!V$118))</f>
        <v>85.182576679457682</v>
      </c>
      <c r="W321" s="82">
        <f ca="1">SUM(W$303*CHOOSE($C$299,1,Параметры!W$109,Параметры!W$118))</f>
        <v>86.019633521473182</v>
      </c>
      <c r="X321" s="82">
        <f ca="1">SUM(X$303*CHOOSE($C$299,1,Параметры!X$109,Параметры!X$118))</f>
        <v>86.864915803291964</v>
      </c>
      <c r="Y321" s="82">
        <f ca="1">SUM(Y$303*CHOOSE($C$299,1,Параметры!Y$109,Параметры!Y$118))</f>
        <v>87.718504353188223</v>
      </c>
      <c r="Z321" s="82">
        <f ca="1">SUM(Z$303*CHOOSE($C$299,1,Параметры!Z$109,Параметры!Z$118))</f>
        <v>88.58112687333562</v>
      </c>
      <c r="AA321" s="82">
        <f ca="1">SUM(AA$303*CHOOSE($C$299,1,Параметры!AA$109,Параметры!AA$118))</f>
        <v>89.452232411037329</v>
      </c>
      <c r="AB321" s="82">
        <f ca="1">SUM(AB$303*CHOOSE($C$299,1,Параметры!AB$109,Параметры!AB$118))</f>
        <v>90.331904388166933</v>
      </c>
      <c r="AC321" s="82">
        <f ca="1">SUM(AC$303*CHOOSE($C$299,1,Параметры!AC$109,Параметры!AC$118))</f>
        <v>91.220227046967523</v>
      </c>
      <c r="AD321" s="82">
        <f ca="1">SUM(AD$303*CHOOSE($C$299,1,Параметры!AD$109,Параметры!AD$118))</f>
        <v>92.116178174068494</v>
      </c>
      <c r="AE321" s="82">
        <f ca="1">SUM(AE$303*CHOOSE($C$299,1,Параметры!AE$109,Параметры!AE$118))</f>
        <v>93.020929196194288</v>
      </c>
      <c r="AF321" s="82">
        <f ca="1">SUM(AF$303*CHOOSE($C$299,1,Параметры!AF$109,Параметры!AF$118))</f>
        <v>93.934566544568781</v>
      </c>
      <c r="AG321" s="82">
        <f ca="1">SUM(AG$303*CHOOSE($C$299,1,Параметры!AG$109,Параметры!AG$118))</f>
        <v>94.857177499330092</v>
      </c>
      <c r="AH321" s="82">
        <f ca="1">SUM(AH$303*CHOOSE($C$299,1,Параметры!AH$109,Параметры!AH$118))</f>
        <v>95.786086592926495</v>
      </c>
      <c r="AI321" s="82">
        <f ca="1">SUM(AI$303*CHOOSE($C$299,1,Параметры!AI$109,Параметры!AI$118))</f>
        <v>96.724092226467576</v>
      </c>
      <c r="AJ321" s="82">
        <f ca="1">SUM(AJ$303*CHOOSE($C$299,1,Параметры!AJ$109,Параметры!AJ$118))</f>
        <v>97.671283479756298</v>
      </c>
      <c r="AK321" s="82">
        <f ca="1">SUM(AK$303*CHOOSE($C$299,1,Параметры!AK$109,Параметры!AK$118))</f>
        <v>98.627750304928455</v>
      </c>
      <c r="AL321" s="82">
        <f ca="1">SUM(AL$303*CHOOSE($C$299,1,Параметры!AL$109,Параметры!AL$118))</f>
        <v>99.590709828021531</v>
      </c>
      <c r="AM321" s="82">
        <f ca="1">SUM(AM$303*CHOOSE($C$299,1,Параметры!AM$109,Параметры!AM$118))</f>
        <v>100.56307127947906</v>
      </c>
      <c r="AN321" s="82">
        <f ca="1">SUM(AN$303*CHOOSE($C$299,1,Параметры!AN$109,Параметры!AN$118))</f>
        <v>101.544926455742</v>
      </c>
      <c r="AO321" s="82">
        <f ca="1">SUM(AO$303*CHOOSE($C$299,1,Параметры!AO$109,Параметры!AO$118))</f>
        <v>102.53636804951276</v>
      </c>
      <c r="AP321" s="82">
        <f ca="1">SUM(AP$303*CHOOSE($C$299,1,Параметры!AP$109,Параметры!AP$118))</f>
        <v>103.53549778683023</v>
      </c>
      <c r="AQ321" s="82">
        <f ca="1">SUM(AQ$303*CHOOSE($C$299,1,Параметры!AQ$109,Параметры!AQ$118))</f>
        <v>104.54436319404691</v>
      </c>
      <c r="AR321" s="82">
        <f ca="1">SUM(AR$303*CHOOSE($C$299,1,Параметры!AR$109,Параметры!AR$118))</f>
        <v>105.56305913698937</v>
      </c>
      <c r="AS321" s="90"/>
      <c r="AT321" s="30">
        <f t="shared" ca="1" si="107"/>
        <v>3520.7902858753982</v>
      </c>
    </row>
    <row r="322" spans="1:46" outlineLevel="1" x14ac:dyDescent="0.2">
      <c r="A322" s="106" t="s">
        <v>80</v>
      </c>
      <c r="B322" s="22"/>
      <c r="C322" s="266" t="str">
        <f>Параметры!$B$64</f>
        <v>тыс. руб.</v>
      </c>
      <c r="E322" s="124">
        <f t="shared" ref="E322:AR322" si="114">E320+IF(E$2&gt;1,0,0)</f>
        <v>375</v>
      </c>
      <c r="F322" s="124">
        <f t="shared" ca="1" si="114"/>
        <v>375</v>
      </c>
      <c r="G322" s="124">
        <f t="shared" ca="1" si="114"/>
        <v>375</v>
      </c>
      <c r="H322" s="124">
        <f t="shared" ca="1" si="114"/>
        <v>375</v>
      </c>
      <c r="I322" s="124">
        <f t="shared" ca="1" si="114"/>
        <v>375</v>
      </c>
      <c r="J322" s="124">
        <f t="shared" ca="1" si="114"/>
        <v>378.70523439933226</v>
      </c>
      <c r="K322" s="124">
        <f t="shared" ca="1" si="114"/>
        <v>382.44707883054178</v>
      </c>
      <c r="L322" s="124">
        <f t="shared" ca="1" si="114"/>
        <v>386.22589502362723</v>
      </c>
      <c r="M322" s="124">
        <f t="shared" ca="1" si="114"/>
        <v>390.04204828270571</v>
      </c>
      <c r="N322" s="124">
        <f t="shared" ca="1" si="114"/>
        <v>393.88068484364123</v>
      </c>
      <c r="O322" s="124">
        <f t="shared" ca="1" si="114"/>
        <v>397.75709971774029</v>
      </c>
      <c r="P322" s="124">
        <f t="shared" ca="1" si="114"/>
        <v>401.67166470392738</v>
      </c>
      <c r="Q322" s="124">
        <f t="shared" ca="1" si="114"/>
        <v>405.62475526022246</v>
      </c>
      <c r="R322" s="124">
        <f t="shared" ca="1" si="114"/>
        <v>409.6017746536624</v>
      </c>
      <c r="S322" s="124">
        <f t="shared" ca="1" si="114"/>
        <v>413.61778743458842</v>
      </c>
      <c r="T322" s="124">
        <f t="shared" ca="1" si="114"/>
        <v>417.67317592053968</v>
      </c>
      <c r="U322" s="124">
        <f t="shared" ca="1" si="114"/>
        <v>421.76832617755491</v>
      </c>
      <c r="V322" s="124">
        <f t="shared" ca="1" si="114"/>
        <v>425.9128833972884</v>
      </c>
      <c r="W322" s="124">
        <f t="shared" ca="1" si="114"/>
        <v>430.09816760736589</v>
      </c>
      <c r="X322" s="124">
        <f t="shared" ca="1" si="114"/>
        <v>434.32457901645978</v>
      </c>
      <c r="Y322" s="124">
        <f t="shared" ca="1" si="114"/>
        <v>438.59252176594106</v>
      </c>
      <c r="Z322" s="124">
        <f t="shared" ca="1" si="114"/>
        <v>442.90563436667804</v>
      </c>
      <c r="AA322" s="124">
        <f t="shared" ca="1" si="114"/>
        <v>447.26116205518662</v>
      </c>
      <c r="AB322" s="124">
        <f t="shared" ca="1" si="114"/>
        <v>451.65952194083462</v>
      </c>
      <c r="AC322" s="124">
        <f t="shared" ca="1" si="114"/>
        <v>456.10113523483756</v>
      </c>
      <c r="AD322" s="124">
        <f t="shared" ca="1" si="114"/>
        <v>460.58089087034244</v>
      </c>
      <c r="AE322" s="124">
        <f t="shared" ca="1" si="114"/>
        <v>465.10464598097144</v>
      </c>
      <c r="AF322" s="124">
        <f t="shared" ca="1" si="114"/>
        <v>469.67283272284385</v>
      </c>
      <c r="AG322" s="124">
        <f t="shared" ca="1" si="114"/>
        <v>474.28588749665045</v>
      </c>
      <c r="AH322" s="124">
        <f t="shared" ca="1" si="114"/>
        <v>478.93043296463242</v>
      </c>
      <c r="AI322" s="124">
        <f t="shared" ca="1" si="114"/>
        <v>483.62046113233788</v>
      </c>
      <c r="AJ322" s="124">
        <f t="shared" ca="1" si="114"/>
        <v>488.35641739878145</v>
      </c>
      <c r="AK322" s="124">
        <f t="shared" ca="1" si="114"/>
        <v>493.13875152464226</v>
      </c>
      <c r="AL322" s="124">
        <f t="shared" ca="1" si="114"/>
        <v>497.95354914010761</v>
      </c>
      <c r="AM322" s="124">
        <f t="shared" ca="1" si="114"/>
        <v>502.81535639739525</v>
      </c>
      <c r="AN322" s="124">
        <f t="shared" ca="1" si="114"/>
        <v>507.72463227870998</v>
      </c>
      <c r="AO322" s="124">
        <f t="shared" ca="1" si="114"/>
        <v>512.68184024756374</v>
      </c>
      <c r="AP322" s="124">
        <f t="shared" ca="1" si="114"/>
        <v>517.67748893415114</v>
      </c>
      <c r="AQ322" s="124">
        <f t="shared" ca="1" si="114"/>
        <v>522.7218159702345</v>
      </c>
      <c r="AR322" s="124">
        <f t="shared" ca="1" si="114"/>
        <v>527.81529568494682</v>
      </c>
      <c r="AS322" s="124"/>
      <c r="AT322" s="84">
        <f t="shared" ca="1" si="107"/>
        <v>17603.95142937699</v>
      </c>
    </row>
    <row r="323" spans="1:46" outlineLevel="1" x14ac:dyDescent="0.2">
      <c r="A323" s="106" t="s">
        <v>176</v>
      </c>
      <c r="C323" s="266" t="str">
        <f>Параметры!$B$64</f>
        <v>тыс. руб.</v>
      </c>
      <c r="E323" s="124">
        <f t="shared" ref="E323:AR323" si="115">E320+E321-IF(E$2=1,0,0)+IF(E$2=1,0,0)</f>
        <v>450</v>
      </c>
      <c r="F323" s="124">
        <f t="shared" ca="1" si="115"/>
        <v>450</v>
      </c>
      <c r="G323" s="124">
        <f t="shared" ca="1" si="115"/>
        <v>450</v>
      </c>
      <c r="H323" s="124">
        <f t="shared" ca="1" si="115"/>
        <v>450</v>
      </c>
      <c r="I323" s="124">
        <f t="shared" ca="1" si="115"/>
        <v>450</v>
      </c>
      <c r="J323" s="124">
        <f t="shared" ca="1" si="115"/>
        <v>454.44628127919873</v>
      </c>
      <c r="K323" s="124">
        <f t="shared" ca="1" si="115"/>
        <v>458.93649459665016</v>
      </c>
      <c r="L323" s="124">
        <f t="shared" ca="1" si="115"/>
        <v>463.47107402835269</v>
      </c>
      <c r="M323" s="124">
        <f t="shared" ca="1" si="115"/>
        <v>468.05045793924683</v>
      </c>
      <c r="N323" s="124">
        <f t="shared" ca="1" si="115"/>
        <v>472.65682181236946</v>
      </c>
      <c r="O323" s="124">
        <f t="shared" ca="1" si="115"/>
        <v>477.30851966128836</v>
      </c>
      <c r="P323" s="124">
        <f t="shared" ca="1" si="115"/>
        <v>482.00599764471286</v>
      </c>
      <c r="Q323" s="124">
        <f t="shared" ca="1" si="115"/>
        <v>486.74970631226694</v>
      </c>
      <c r="R323" s="124">
        <f t="shared" ca="1" si="115"/>
        <v>491.52212958439486</v>
      </c>
      <c r="S323" s="124">
        <f t="shared" ca="1" si="115"/>
        <v>496.34134492150611</v>
      </c>
      <c r="T323" s="124">
        <f t="shared" ca="1" si="115"/>
        <v>501.20781110464759</v>
      </c>
      <c r="U323" s="124">
        <f t="shared" ca="1" si="115"/>
        <v>506.12199141306587</v>
      </c>
      <c r="V323" s="124">
        <f t="shared" ca="1" si="115"/>
        <v>511.09546007674606</v>
      </c>
      <c r="W323" s="124">
        <f t="shared" ca="1" si="115"/>
        <v>516.11780112883912</v>
      </c>
      <c r="X323" s="124">
        <f t="shared" ca="1" si="115"/>
        <v>521.18949481975176</v>
      </c>
      <c r="Y323" s="124">
        <f t="shared" ca="1" si="115"/>
        <v>526.31102611912934</v>
      </c>
      <c r="Z323" s="124">
        <f t="shared" ca="1" si="115"/>
        <v>531.48676124001372</v>
      </c>
      <c r="AA323" s="124">
        <f t="shared" ca="1" si="115"/>
        <v>536.71339446622392</v>
      </c>
      <c r="AB323" s="124">
        <f t="shared" ca="1" si="115"/>
        <v>541.99142632900157</v>
      </c>
      <c r="AC323" s="124">
        <f t="shared" ca="1" si="115"/>
        <v>547.32136228180502</v>
      </c>
      <c r="AD323" s="124">
        <f t="shared" ca="1" si="115"/>
        <v>552.69706904441091</v>
      </c>
      <c r="AE323" s="124">
        <f t="shared" ca="1" si="115"/>
        <v>558.12557517716573</v>
      </c>
      <c r="AF323" s="124">
        <f t="shared" ca="1" si="115"/>
        <v>563.60739926741257</v>
      </c>
      <c r="AG323" s="124">
        <f t="shared" ca="1" si="115"/>
        <v>569.14306499598058</v>
      </c>
      <c r="AH323" s="124">
        <f t="shared" ca="1" si="115"/>
        <v>574.71651955755897</v>
      </c>
      <c r="AI323" s="124">
        <f t="shared" ca="1" si="115"/>
        <v>580.34455335880546</v>
      </c>
      <c r="AJ323" s="124">
        <f t="shared" ca="1" si="115"/>
        <v>586.02770087853776</v>
      </c>
      <c r="AK323" s="124">
        <f t="shared" ca="1" si="115"/>
        <v>591.76650182957076</v>
      </c>
      <c r="AL323" s="124">
        <f t="shared" ca="1" si="115"/>
        <v>597.54425896812916</v>
      </c>
      <c r="AM323" s="124">
        <f t="shared" ca="1" si="115"/>
        <v>603.37842767687425</v>
      </c>
      <c r="AN323" s="124">
        <f t="shared" ca="1" si="115"/>
        <v>609.26955873445195</v>
      </c>
      <c r="AO323" s="124">
        <f t="shared" ca="1" si="115"/>
        <v>615.21820829707644</v>
      </c>
      <c r="AP323" s="124">
        <f t="shared" ca="1" si="115"/>
        <v>621.21298672098135</v>
      </c>
      <c r="AQ323" s="124">
        <f t="shared" ca="1" si="115"/>
        <v>627.26617916428143</v>
      </c>
      <c r="AR323" s="124">
        <f t="shared" ca="1" si="115"/>
        <v>633.37835482193623</v>
      </c>
      <c r="AS323" s="90"/>
      <c r="AT323" s="84">
        <f t="shared" ca="1" si="107"/>
        <v>21124.741715252385</v>
      </c>
    </row>
    <row r="324" spans="1:46" x14ac:dyDescent="0.2">
      <c r="A324" s="60" t="s">
        <v>62</v>
      </c>
      <c r="C324" s="224" t="str">
        <f>Параметры!$B$64</f>
        <v>тыс. руб.</v>
      </c>
      <c r="E324" s="85">
        <f t="shared" ref="E324:AR324" ca="1" si="116">E309+E314+E319</f>
        <v>2095</v>
      </c>
      <c r="F324" s="85">
        <f t="shared" ca="1" si="116"/>
        <v>2095</v>
      </c>
      <c r="G324" s="85">
        <f t="shared" ca="1" si="116"/>
        <v>5956.7354937292139</v>
      </c>
      <c r="H324" s="85">
        <f t="shared" ca="1" si="116"/>
        <v>5956.7354937292139</v>
      </c>
      <c r="I324" s="85">
        <f t="shared" ca="1" si="116"/>
        <v>5956.7354937292139</v>
      </c>
      <c r="J324" s="85">
        <f t="shared" ca="1" si="116"/>
        <v>6015.7668334770351</v>
      </c>
      <c r="K324" s="85">
        <f t="shared" ca="1" si="116"/>
        <v>6075.3831833586082</v>
      </c>
      <c r="L324" s="85">
        <f t="shared" ca="1" si="116"/>
        <v>6327.4864660808789</v>
      </c>
      <c r="M324" s="85">
        <f t="shared" ca="1" si="116"/>
        <v>8248.0697134476941</v>
      </c>
      <c r="N324" s="85">
        <f t="shared" ca="1" si="116"/>
        <v>8329.6321614861245</v>
      </c>
      <c r="O324" s="85">
        <f t="shared" ca="1" si="116"/>
        <v>8412.0011813766414</v>
      </c>
      <c r="P324" s="85">
        <f t="shared" ca="1" si="116"/>
        <v>8745.7952219785948</v>
      </c>
      <c r="Q324" s="85">
        <f t="shared" ca="1" si="116"/>
        <v>9844.3340962488965</v>
      </c>
      <c r="R324" s="85">
        <f t="shared" ca="1" si="116"/>
        <v>9940.8326162528992</v>
      </c>
      <c r="S324" s="85">
        <f t="shared" ca="1" si="116"/>
        <v>10038.277059224894</v>
      </c>
      <c r="T324" s="85">
        <f t="shared" ca="1" si="116"/>
        <v>10136.676697554871</v>
      </c>
      <c r="U324" s="85">
        <f t="shared" ca="1" si="116"/>
        <v>25183.369050282086</v>
      </c>
      <c r="V324" s="85">
        <f t="shared" ca="1" si="116"/>
        <v>25432.49851810198</v>
      </c>
      <c r="W324" s="85">
        <f t="shared" ca="1" si="116"/>
        <v>25684.092655635137</v>
      </c>
      <c r="X324" s="85">
        <f t="shared" ca="1" si="116"/>
        <v>25938.17584743008</v>
      </c>
      <c r="Y324" s="85">
        <f t="shared" ca="1" si="116"/>
        <v>26194.772719299621</v>
      </c>
      <c r="Z324" s="85">
        <f t="shared" ca="1" si="116"/>
        <v>26452.369181048569</v>
      </c>
      <c r="AA324" s="85">
        <f t="shared" ca="1" si="116"/>
        <v>26712.498819026787</v>
      </c>
      <c r="AB324" s="85">
        <f t="shared" ca="1" si="116"/>
        <v>26975.186544234395</v>
      </c>
      <c r="AC324" s="85">
        <f t="shared" ca="1" si="116"/>
        <v>27240.457512643919</v>
      </c>
      <c r="AD324" s="85">
        <f t="shared" ca="1" si="116"/>
        <v>27508.002281658264</v>
      </c>
      <c r="AE324" s="85">
        <f t="shared" ca="1" si="116"/>
        <v>27778.174768348017</v>
      </c>
      <c r="AF324" s="85">
        <f t="shared" ca="1" si="116"/>
        <v>28051.000781114941</v>
      </c>
      <c r="AG324" s="85">
        <f t="shared" ca="1" si="116"/>
        <v>28326.506381840783</v>
      </c>
      <c r="AH324" s="85">
        <f t="shared" ca="1" si="116"/>
        <v>28603.89618609137</v>
      </c>
      <c r="AI324" s="85">
        <f t="shared" ca="1" si="116"/>
        <v>28884.002355002973</v>
      </c>
      <c r="AJ324" s="85">
        <f t="shared" ca="1" si="116"/>
        <v>29166.851488827346</v>
      </c>
      <c r="AK324" s="85">
        <f t="shared" ca="1" si="116"/>
        <v>28627.370413145221</v>
      </c>
      <c r="AL324" s="85">
        <f t="shared" ca="1" si="116"/>
        <v>28906.873643505551</v>
      </c>
      <c r="AM324" s="85">
        <f t="shared" ca="1" si="116"/>
        <v>29189.105803127914</v>
      </c>
      <c r="AN324" s="85">
        <f t="shared" ca="1" si="116"/>
        <v>29474.093535912431</v>
      </c>
      <c r="AO324" s="85">
        <f t="shared" ca="1" si="116"/>
        <v>17676.66612905392</v>
      </c>
      <c r="AP324" s="85">
        <f t="shared" ca="1" si="116"/>
        <v>17848.895263669965</v>
      </c>
      <c r="AQ324" s="85">
        <f t="shared" ca="1" si="116"/>
        <v>18022.802479592869</v>
      </c>
      <c r="AR324" s="85">
        <f t="shared" ca="1" si="116"/>
        <v>18198.404126888199</v>
      </c>
      <c r="AS324" s="142"/>
      <c r="AT324" s="143">
        <f t="shared" ca="1" si="107"/>
        <v>736250.52819715696</v>
      </c>
    </row>
    <row r="325" spans="1:46" x14ac:dyDescent="0.2">
      <c r="A325" s="46"/>
      <c r="B325" s="46"/>
      <c r="C325" s="46"/>
      <c r="D325" s="47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73"/>
      <c r="AT325" s="91"/>
    </row>
    <row r="327" spans="1:46" ht="12" thickBot="1" x14ac:dyDescent="0.25"/>
    <row r="328" spans="1:46" s="43" customFormat="1" ht="25.5" customHeight="1" thickBot="1" x14ac:dyDescent="0.25">
      <c r="A328" s="481" t="s">
        <v>165</v>
      </c>
      <c r="B328" s="479"/>
      <c r="C328" s="490"/>
      <c r="D328" s="491"/>
      <c r="E328" s="479" t="str">
        <f>CHOOSE($D$2,Параметры!E$53,Параметры!E$54)</f>
        <v>1 кв. 2020</v>
      </c>
      <c r="F328" s="479" t="str">
        <f>CHOOSE($D$2,Параметры!F$53,Параметры!F$54)</f>
        <v>2 кв. 2020</v>
      </c>
      <c r="G328" s="479" t="str">
        <f>CHOOSE($D$2,Параметры!G$53,Параметры!G$54)</f>
        <v>3 кв. 2020</v>
      </c>
      <c r="H328" s="479" t="str">
        <f>CHOOSE($D$2,Параметры!H$53,Параметры!H$54)</f>
        <v>4 кв. 2020</v>
      </c>
      <c r="I328" s="479" t="str">
        <f>CHOOSE($D$2,Параметры!I$53,Параметры!I$54)</f>
        <v>1 кв. 2021</v>
      </c>
      <c r="J328" s="479" t="str">
        <f>CHOOSE($D$2,Параметры!J$53,Параметры!J$54)</f>
        <v>2 кв. 2021</v>
      </c>
      <c r="K328" s="479" t="str">
        <f>CHOOSE($D$2,Параметры!K$53,Параметры!K$54)</f>
        <v>3 кв. 2021</v>
      </c>
      <c r="L328" s="479" t="str">
        <f>CHOOSE($D$2,Параметры!L$53,Параметры!L$54)</f>
        <v>4 кв. 2021</v>
      </c>
      <c r="M328" s="479" t="str">
        <f>CHOOSE($D$2,Параметры!M$53,Параметры!M$54)</f>
        <v>1 кв. 2022</v>
      </c>
      <c r="N328" s="479" t="str">
        <f>CHOOSE($D$2,Параметры!N$53,Параметры!N$54)</f>
        <v>2 кв. 2022</v>
      </c>
      <c r="O328" s="479" t="str">
        <f>CHOOSE($D$2,Параметры!O$53,Параметры!O$54)</f>
        <v>3 кв. 2022</v>
      </c>
      <c r="P328" s="479" t="str">
        <f>CHOOSE($D$2,Параметры!P$53,Параметры!P$54)</f>
        <v>4 кв. 2022</v>
      </c>
      <c r="Q328" s="479" t="str">
        <f>CHOOSE($D$2,Параметры!Q$53,Параметры!Q$54)</f>
        <v>1 кв. 2023</v>
      </c>
      <c r="R328" s="479" t="str">
        <f>CHOOSE($D$2,Параметры!R$53,Параметры!R$54)</f>
        <v>2 кв. 2023</v>
      </c>
      <c r="S328" s="479" t="str">
        <f>CHOOSE($D$2,Параметры!S$53,Параметры!S$54)</f>
        <v>3 кв. 2023</v>
      </c>
      <c r="T328" s="479" t="str">
        <f>CHOOSE($D$2,Параметры!T$53,Параметры!T$54)</f>
        <v>4 кв. 2023</v>
      </c>
      <c r="U328" s="479" t="str">
        <f>CHOOSE($D$2,Параметры!U$53,Параметры!U$54)</f>
        <v>1 кв. 2024</v>
      </c>
      <c r="V328" s="479" t="str">
        <f>CHOOSE($D$2,Параметры!V$53,Параметры!V$54)</f>
        <v>2 кв. 2024</v>
      </c>
      <c r="W328" s="479" t="str">
        <f>CHOOSE($D$2,Параметры!W$53,Параметры!W$54)</f>
        <v>3 кв. 2024</v>
      </c>
      <c r="X328" s="479" t="str">
        <f>CHOOSE($D$2,Параметры!X$53,Параметры!X$54)</f>
        <v>4 кв. 2024</v>
      </c>
      <c r="Y328" s="479" t="str">
        <f>CHOOSE($D$2,Параметры!Y$53,Параметры!Y$54)</f>
        <v>1 кв. 2025</v>
      </c>
      <c r="Z328" s="479" t="str">
        <f>CHOOSE($D$2,Параметры!Z$53,Параметры!Z$54)</f>
        <v>2 кв. 2025</v>
      </c>
      <c r="AA328" s="479" t="str">
        <f>CHOOSE($D$2,Параметры!AA$53,Параметры!AA$54)</f>
        <v>3 кв. 2025</v>
      </c>
      <c r="AB328" s="479" t="str">
        <f>CHOOSE($D$2,Параметры!AB$53,Параметры!AB$54)</f>
        <v>4 кв. 2025</v>
      </c>
      <c r="AC328" s="479" t="str">
        <f>CHOOSE($D$2,Параметры!AC$53,Параметры!AC$54)</f>
        <v>1 кв. 2026</v>
      </c>
      <c r="AD328" s="479" t="str">
        <f>CHOOSE($D$2,Параметры!AD$53,Параметры!AD$54)</f>
        <v>2 кв. 2026</v>
      </c>
      <c r="AE328" s="479" t="str">
        <f>CHOOSE($D$2,Параметры!AE$53,Параметры!AE$54)</f>
        <v>3 кв. 2026</v>
      </c>
      <c r="AF328" s="479" t="str">
        <f>CHOOSE($D$2,Параметры!AF$53,Параметры!AF$54)</f>
        <v>4 кв. 2026</v>
      </c>
      <c r="AG328" s="479" t="str">
        <f>CHOOSE($D$2,Параметры!AG$53,Параметры!AG$54)</f>
        <v>1 кв. 2027</v>
      </c>
      <c r="AH328" s="479" t="str">
        <f>CHOOSE($D$2,Параметры!AH$53,Параметры!AH$54)</f>
        <v>2 кв. 2027</v>
      </c>
      <c r="AI328" s="479" t="str">
        <f>CHOOSE($D$2,Параметры!AI$53,Параметры!AI$54)</f>
        <v>3 кв. 2027</v>
      </c>
      <c r="AJ328" s="479" t="str">
        <f>CHOOSE($D$2,Параметры!AJ$53,Параметры!AJ$54)</f>
        <v>4 кв. 2027</v>
      </c>
      <c r="AK328" s="479" t="str">
        <f>CHOOSE($D$2,Параметры!AK$53,Параметры!AK$54)</f>
        <v>1 кв. 2028</v>
      </c>
      <c r="AL328" s="479" t="str">
        <f>CHOOSE($D$2,Параметры!AL$53,Параметры!AL$54)</f>
        <v>2 кв. 2028</v>
      </c>
      <c r="AM328" s="479" t="str">
        <f>CHOOSE($D$2,Параметры!AM$53,Параметры!AM$54)</f>
        <v>3 кв. 2028</v>
      </c>
      <c r="AN328" s="479" t="str">
        <f>CHOOSE($D$2,Параметры!AN$53,Параметры!AN$54)</f>
        <v>4 кв. 2028</v>
      </c>
      <c r="AO328" s="479" t="str">
        <f>CHOOSE($D$2,Параметры!AO$53,Параметры!AO$54)</f>
        <v>1 кв. 2029</v>
      </c>
      <c r="AP328" s="479" t="str">
        <f>CHOOSE($D$2,Параметры!AP$53,Параметры!AP$54)</f>
        <v>2 кв. 2029</v>
      </c>
      <c r="AQ328" s="479" t="str">
        <f>CHOOSE($D$2,Параметры!AQ$53,Параметры!AQ$54)</f>
        <v>3 кв. 2029</v>
      </c>
      <c r="AR328" s="479" t="str">
        <f>CHOOSE($D$2,Параметры!AR$53,Параметры!AR$54)</f>
        <v>4 кв. 2029</v>
      </c>
      <c r="AS328" s="479"/>
      <c r="AT328" s="479" t="s">
        <v>0</v>
      </c>
    </row>
    <row r="329" spans="1:46" x14ac:dyDescent="0.2">
      <c r="A329" s="44"/>
      <c r="AS329" s="1"/>
    </row>
    <row r="330" spans="1:46" x14ac:dyDescent="0.2">
      <c r="A330" s="44" t="s">
        <v>161</v>
      </c>
      <c r="B330" s="2"/>
      <c r="C330" s="3" t="str">
        <f>Параметры!$B$64</f>
        <v>тыс. руб.</v>
      </c>
      <c r="E330" s="82">
        <f t="shared" ref="E330:AR330" si="117">E332</f>
        <v>0</v>
      </c>
      <c r="F330" s="82">
        <f t="shared" si="117"/>
        <v>0</v>
      </c>
      <c r="G330" s="82">
        <f t="shared" si="117"/>
        <v>0</v>
      </c>
      <c r="H330" s="82">
        <f t="shared" si="117"/>
        <v>0</v>
      </c>
      <c r="I330" s="82">
        <f t="shared" si="117"/>
        <v>0</v>
      </c>
      <c r="J330" s="82">
        <f t="shared" si="117"/>
        <v>0</v>
      </c>
      <c r="K330" s="82">
        <f t="shared" si="117"/>
        <v>0</v>
      </c>
      <c r="L330" s="82">
        <f t="shared" si="117"/>
        <v>0</v>
      </c>
      <c r="M330" s="82">
        <f t="shared" si="117"/>
        <v>0</v>
      </c>
      <c r="N330" s="82">
        <f t="shared" si="117"/>
        <v>0</v>
      </c>
      <c r="O330" s="82">
        <f t="shared" si="117"/>
        <v>0</v>
      </c>
      <c r="P330" s="82">
        <f t="shared" si="117"/>
        <v>0</v>
      </c>
      <c r="Q330" s="82">
        <f t="shared" si="117"/>
        <v>0</v>
      </c>
      <c r="R330" s="82">
        <f t="shared" si="117"/>
        <v>0</v>
      </c>
      <c r="S330" s="82">
        <f t="shared" si="117"/>
        <v>0</v>
      </c>
      <c r="T330" s="82">
        <f t="shared" si="117"/>
        <v>0</v>
      </c>
      <c r="U330" s="82">
        <f t="shared" si="117"/>
        <v>0</v>
      </c>
      <c r="V330" s="82">
        <f t="shared" si="117"/>
        <v>0</v>
      </c>
      <c r="W330" s="82">
        <f t="shared" si="117"/>
        <v>0</v>
      </c>
      <c r="X330" s="82">
        <f t="shared" si="117"/>
        <v>0</v>
      </c>
      <c r="Y330" s="82">
        <f t="shared" si="117"/>
        <v>0</v>
      </c>
      <c r="Z330" s="82">
        <f t="shared" si="117"/>
        <v>0</v>
      </c>
      <c r="AA330" s="82">
        <f t="shared" si="117"/>
        <v>0</v>
      </c>
      <c r="AB330" s="82">
        <f t="shared" si="117"/>
        <v>0</v>
      </c>
      <c r="AC330" s="82">
        <f t="shared" si="117"/>
        <v>0</v>
      </c>
      <c r="AD330" s="82">
        <f t="shared" si="117"/>
        <v>0</v>
      </c>
      <c r="AE330" s="82">
        <f t="shared" si="117"/>
        <v>0</v>
      </c>
      <c r="AF330" s="82">
        <f t="shared" si="117"/>
        <v>0</v>
      </c>
      <c r="AG330" s="82">
        <f t="shared" si="117"/>
        <v>0</v>
      </c>
      <c r="AH330" s="82">
        <f t="shared" si="117"/>
        <v>0</v>
      </c>
      <c r="AI330" s="82">
        <f t="shared" si="117"/>
        <v>0</v>
      </c>
      <c r="AJ330" s="82">
        <f t="shared" si="117"/>
        <v>0</v>
      </c>
      <c r="AK330" s="82">
        <f t="shared" si="117"/>
        <v>0</v>
      </c>
      <c r="AL330" s="82">
        <f t="shared" si="117"/>
        <v>0</v>
      </c>
      <c r="AM330" s="82">
        <f t="shared" si="117"/>
        <v>0</v>
      </c>
      <c r="AN330" s="82">
        <f t="shared" si="117"/>
        <v>0</v>
      </c>
      <c r="AO330" s="82">
        <f t="shared" si="117"/>
        <v>0</v>
      </c>
      <c r="AP330" s="82">
        <f t="shared" si="117"/>
        <v>0</v>
      </c>
      <c r="AQ330" s="82">
        <f t="shared" si="117"/>
        <v>0</v>
      </c>
      <c r="AR330" s="82">
        <f t="shared" si="117"/>
        <v>0</v>
      </c>
    </row>
    <row r="331" spans="1:46" collapsed="1" x14ac:dyDescent="0.2">
      <c r="A331" s="63" t="s">
        <v>71</v>
      </c>
      <c r="B331" s="357">
        <v>0</v>
      </c>
      <c r="C331" s="10" t="s">
        <v>65</v>
      </c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</row>
    <row r="332" spans="1:46" s="1" customFormat="1" outlineLevel="1" x14ac:dyDescent="0.2">
      <c r="A332" s="114" t="s">
        <v>231</v>
      </c>
      <c r="B332" s="144">
        <f>Деятельность_УК!B16</f>
        <v>0</v>
      </c>
      <c r="C332" s="16" t="str">
        <f>Параметры!$B$64</f>
        <v>тыс. руб.</v>
      </c>
      <c r="D332" s="40"/>
      <c r="E332" s="356">
        <f>IF(Параметры!E$36=1,$B332,D332)</f>
        <v>0</v>
      </c>
      <c r="F332" s="356">
        <f>IF(Параметры!F$36=1,$B332,E332)</f>
        <v>0</v>
      </c>
      <c r="G332" s="356">
        <f>IF(Параметры!G$36=1,$B332,F332)</f>
        <v>0</v>
      </c>
      <c r="H332" s="356">
        <f>IF(Параметры!H$36=1,$B332,G332)</f>
        <v>0</v>
      </c>
      <c r="I332" s="356">
        <f>IF(Параметры!I$36=1,$B332,H332)</f>
        <v>0</v>
      </c>
      <c r="J332" s="356">
        <f>IF(Параметры!J$36=1,$B332,I332)</f>
        <v>0</v>
      </c>
      <c r="K332" s="356">
        <f>IF(Параметры!K$36=1,$B332,J332)</f>
        <v>0</v>
      </c>
      <c r="L332" s="356">
        <f>IF(Параметры!L$36=1,$B332,K332)</f>
        <v>0</v>
      </c>
      <c r="M332" s="356">
        <f>IF(Параметры!M$36=1,$B332,L332)</f>
        <v>0</v>
      </c>
      <c r="N332" s="356">
        <f>IF(Параметры!N$36=1,$B332,M332)</f>
        <v>0</v>
      </c>
      <c r="O332" s="356">
        <f>IF(Параметры!O$36=1,$B332,N332)</f>
        <v>0</v>
      </c>
      <c r="P332" s="356">
        <f>IF(Параметры!P$36=1,$B332,O332)</f>
        <v>0</v>
      </c>
      <c r="Q332" s="356">
        <f>IF(Параметры!Q$36=1,$B332,P332)</f>
        <v>0</v>
      </c>
      <c r="R332" s="356">
        <f>IF(Параметры!R$36=1,$B332,Q332)</f>
        <v>0</v>
      </c>
      <c r="S332" s="356">
        <f>IF(Параметры!S$36=1,$B332,R332)</f>
        <v>0</v>
      </c>
      <c r="T332" s="356">
        <f>IF(Параметры!T$36=1,$B332,S332)</f>
        <v>0</v>
      </c>
      <c r="U332" s="356">
        <f>IF(Параметры!U$36=1,$B332,T332)</f>
        <v>0</v>
      </c>
      <c r="V332" s="356">
        <f>IF(Параметры!V$36=1,$B332,U332)</f>
        <v>0</v>
      </c>
      <c r="W332" s="356">
        <f>IF(Параметры!W$36=1,$B332,V332)</f>
        <v>0</v>
      </c>
      <c r="X332" s="356">
        <f>IF(Параметры!X$36=1,$B332,W332)</f>
        <v>0</v>
      </c>
      <c r="Y332" s="356">
        <f>IF(Параметры!Y$36=1,$B332,X332)</f>
        <v>0</v>
      </c>
      <c r="Z332" s="356">
        <f>IF(Параметры!Z$36=1,$B332,Y332)</f>
        <v>0</v>
      </c>
      <c r="AA332" s="356">
        <f>IF(Параметры!AA$36=1,$B332,Z332)</f>
        <v>0</v>
      </c>
      <c r="AB332" s="356">
        <f>IF(Параметры!AB$36=1,$B332,AA332)</f>
        <v>0</v>
      </c>
      <c r="AC332" s="356">
        <f>IF(Параметры!AC$36=1,$B332,AB332)</f>
        <v>0</v>
      </c>
      <c r="AD332" s="356">
        <f>IF(Параметры!AD$36=1,$B332,AC332)</f>
        <v>0</v>
      </c>
      <c r="AE332" s="356">
        <f>IF(Параметры!AE$36=1,$B332,AD332)</f>
        <v>0</v>
      </c>
      <c r="AF332" s="356">
        <f>IF(Параметры!AF$36=1,$B332,AE332)</f>
        <v>0</v>
      </c>
      <c r="AG332" s="356">
        <f>IF(Параметры!AG$36=1,$B332,AF332)</f>
        <v>0</v>
      </c>
      <c r="AH332" s="356">
        <f>IF(Параметры!AH$36=1,$B332,AG332)</f>
        <v>0</v>
      </c>
      <c r="AI332" s="356">
        <f>IF(Параметры!AI$36=1,$B332,AH332)</f>
        <v>0</v>
      </c>
      <c r="AJ332" s="356">
        <f>IF(Параметры!AJ$36=1,$B332,AI332)</f>
        <v>0</v>
      </c>
      <c r="AK332" s="356">
        <f>IF(Параметры!AK$36=1,$B332,AJ332)</f>
        <v>0</v>
      </c>
      <c r="AL332" s="356">
        <f>IF(Параметры!AL$36=1,$B332,AK332)</f>
        <v>0</v>
      </c>
      <c r="AM332" s="356">
        <f>IF(Параметры!AM$36=1,$B332,AL332)</f>
        <v>0</v>
      </c>
      <c r="AN332" s="356">
        <f>IF(Параметры!AN$36=1,$B332,AM332)</f>
        <v>0</v>
      </c>
      <c r="AO332" s="356">
        <f>IF(Параметры!AO$36=1,$B332,AN332)</f>
        <v>0</v>
      </c>
      <c r="AP332" s="356">
        <f>IF(Параметры!AP$36=1,$B332,AO332)</f>
        <v>0</v>
      </c>
      <c r="AQ332" s="356">
        <f>IF(Параметры!AQ$36=1,$B332,AP332)</f>
        <v>0</v>
      </c>
      <c r="AR332" s="356">
        <f>IF(Параметры!AR$36=1,$B332,AQ332)</f>
        <v>0</v>
      </c>
      <c r="AT332" s="96"/>
    </row>
    <row r="333" spans="1:46" s="1" customFormat="1" outlineLevel="1" x14ac:dyDescent="0.2">
      <c r="A333" s="114" t="s">
        <v>232</v>
      </c>
      <c r="B333" s="114"/>
      <c r="C333" s="16" t="str">
        <f>Параметры!$B$64</f>
        <v>тыс. руб.</v>
      </c>
      <c r="D333" s="40"/>
      <c r="E333" s="121">
        <f>IF(Параметры!E$36=1,$B332-E332,D332-E332)</f>
        <v>0</v>
      </c>
      <c r="F333" s="121">
        <f>IF(Параметры!F$36=1,$B332-F332,E332-F332)</f>
        <v>0</v>
      </c>
      <c r="G333" s="121">
        <f>IF(Параметры!G$36=1,$B332-G332,F332-G332)</f>
        <v>0</v>
      </c>
      <c r="H333" s="121">
        <f>IF(Параметры!H$36=1,$B332-H332,G332-H332)</f>
        <v>0</v>
      </c>
      <c r="I333" s="121">
        <f>IF(Параметры!I$36=1,$B332-I332,H332-I332)</f>
        <v>0</v>
      </c>
      <c r="J333" s="121">
        <f>IF(Параметры!J$36=1,$B332-J332,I332-J332)</f>
        <v>0</v>
      </c>
      <c r="K333" s="121">
        <f>IF(Параметры!K$36=1,$B332-K332,J332-K332)</f>
        <v>0</v>
      </c>
      <c r="L333" s="121">
        <f>IF(Параметры!L$36=1,$B332-L332,K332-L332)</f>
        <v>0</v>
      </c>
      <c r="M333" s="121">
        <f>IF(Параметры!M$36=1,$B332-M332,L332-M332)</f>
        <v>0</v>
      </c>
      <c r="N333" s="121">
        <f>IF(Параметры!N$36=1,$B332-N332,M332-N332)</f>
        <v>0</v>
      </c>
      <c r="O333" s="121">
        <f>IF(Параметры!O$36=1,$B332-O332,N332-O332)</f>
        <v>0</v>
      </c>
      <c r="P333" s="121">
        <f>IF(Параметры!P$36=1,$B332-P332,O332-P332)</f>
        <v>0</v>
      </c>
      <c r="Q333" s="121">
        <f>IF(Параметры!Q$36=1,$B332-Q332,P332-Q332)</f>
        <v>0</v>
      </c>
      <c r="R333" s="121">
        <f>IF(Параметры!R$36=1,$B332-R332,Q332-R332)</f>
        <v>0</v>
      </c>
      <c r="S333" s="121">
        <f>IF(Параметры!S$36=1,$B332-S332,R332-S332)</f>
        <v>0</v>
      </c>
      <c r="T333" s="121">
        <f>IF(Параметры!T$36=1,$B332-T332,S332-T332)</f>
        <v>0</v>
      </c>
      <c r="U333" s="121">
        <f>IF(Параметры!U$36=1,$B332-U332,T332-U332)</f>
        <v>0</v>
      </c>
      <c r="V333" s="121">
        <f>IF(Параметры!V$36=1,$B332-V332,U332-V332)</f>
        <v>0</v>
      </c>
      <c r="W333" s="121">
        <f>IF(Параметры!W$36=1,$B332-W332,V332-W332)</f>
        <v>0</v>
      </c>
      <c r="X333" s="121">
        <f>IF(Параметры!X$36=1,$B332-X332,W332-X332)</f>
        <v>0</v>
      </c>
      <c r="Y333" s="121">
        <f>IF(Параметры!Y$36=1,$B332-Y332,X332-Y332)</f>
        <v>0</v>
      </c>
      <c r="Z333" s="121">
        <f>IF(Параметры!Z$36=1,$B332-Z332,Y332-Z332)</f>
        <v>0</v>
      </c>
      <c r="AA333" s="121">
        <f>IF(Параметры!AA$36=1,$B332-AA332,Z332-AA332)</f>
        <v>0</v>
      </c>
      <c r="AB333" s="121">
        <f>IF(Параметры!AB$36=1,$B332-AB332,AA332-AB332)</f>
        <v>0</v>
      </c>
      <c r="AC333" s="121">
        <f>IF(Параметры!AC$36=1,$B332-AC332,AB332-AC332)</f>
        <v>0</v>
      </c>
      <c r="AD333" s="121">
        <f>IF(Параметры!AD$36=1,$B332-AD332,AC332-AD332)</f>
        <v>0</v>
      </c>
      <c r="AE333" s="121">
        <f>IF(Параметры!AE$36=1,$B332-AE332,AD332-AE332)</f>
        <v>0</v>
      </c>
      <c r="AF333" s="121">
        <f>IF(Параметры!AF$36=1,$B332-AF332,AE332-AF332)</f>
        <v>0</v>
      </c>
      <c r="AG333" s="121">
        <f>IF(Параметры!AG$36=1,$B332-AG332,AF332-AG332)</f>
        <v>0</v>
      </c>
      <c r="AH333" s="121">
        <f>IF(Параметры!AH$36=1,$B332-AH332,AG332-AH332)</f>
        <v>0</v>
      </c>
      <c r="AI333" s="121">
        <f>IF(Параметры!AI$36=1,$B332-AI332,AH332-AI332)</f>
        <v>0</v>
      </c>
      <c r="AJ333" s="121">
        <f>IF(Параметры!AJ$36=1,$B332-AJ332,AI332-AJ332)</f>
        <v>0</v>
      </c>
      <c r="AK333" s="121">
        <f>IF(Параметры!AK$36=1,$B332-AK332,AJ332-AK332)</f>
        <v>0</v>
      </c>
      <c r="AL333" s="121">
        <f>IF(Параметры!AL$36=1,$B332-AL332,AK332-AL332)</f>
        <v>0</v>
      </c>
      <c r="AM333" s="121">
        <f>IF(Параметры!AM$36=1,$B332-AM332,AL332-AM332)</f>
        <v>0</v>
      </c>
      <c r="AN333" s="121">
        <f>IF(Параметры!AN$36=1,$B332-AN332,AM332-AN332)</f>
        <v>0</v>
      </c>
      <c r="AO333" s="121">
        <f>IF(Параметры!AO$36=1,$B332-AO332,AN332-AO332)</f>
        <v>0</v>
      </c>
      <c r="AP333" s="121">
        <f>IF(Параметры!AP$36=1,$B332-AP332,AO332-AP332)</f>
        <v>0</v>
      </c>
      <c r="AQ333" s="121">
        <f>IF(Параметры!AQ$36=1,$B332-AQ332,AP332-AQ332)</f>
        <v>0</v>
      </c>
      <c r="AR333" s="121">
        <f>IF(Параметры!AR$36=1,$B332-AR332,AQ332-AR332)</f>
        <v>0</v>
      </c>
      <c r="AT333" s="96"/>
    </row>
    <row r="334" spans="1:46" s="1" customFormat="1" x14ac:dyDescent="0.2">
      <c r="A334" s="44"/>
      <c r="B334" s="132"/>
      <c r="C334" s="11"/>
      <c r="D334" s="15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T334" s="96"/>
    </row>
    <row r="335" spans="1:46" x14ac:dyDescent="0.2">
      <c r="A335" s="44" t="s">
        <v>162</v>
      </c>
      <c r="B335" s="2"/>
      <c r="C335" s="10" t="str">
        <f>Параметры!$B$64</f>
        <v>тыс. руб.</v>
      </c>
      <c r="E335" s="82">
        <f t="shared" ref="E335:AR335" si="118">E337</f>
        <v>0</v>
      </c>
      <c r="F335" s="82">
        <f t="shared" si="118"/>
        <v>0</v>
      </c>
      <c r="G335" s="82">
        <f t="shared" si="118"/>
        <v>0</v>
      </c>
      <c r="H335" s="82">
        <f t="shared" si="118"/>
        <v>0</v>
      </c>
      <c r="I335" s="82">
        <f t="shared" si="118"/>
        <v>0</v>
      </c>
      <c r="J335" s="82">
        <f t="shared" si="118"/>
        <v>0</v>
      </c>
      <c r="K335" s="82">
        <f t="shared" si="118"/>
        <v>0</v>
      </c>
      <c r="L335" s="82">
        <f t="shared" si="118"/>
        <v>0</v>
      </c>
      <c r="M335" s="82">
        <f t="shared" si="118"/>
        <v>0</v>
      </c>
      <c r="N335" s="82">
        <f t="shared" si="118"/>
        <v>0</v>
      </c>
      <c r="O335" s="82">
        <f t="shared" si="118"/>
        <v>0</v>
      </c>
      <c r="P335" s="82">
        <f t="shared" si="118"/>
        <v>0</v>
      </c>
      <c r="Q335" s="82">
        <f t="shared" si="118"/>
        <v>0</v>
      </c>
      <c r="R335" s="82">
        <f t="shared" si="118"/>
        <v>0</v>
      </c>
      <c r="S335" s="82">
        <f t="shared" si="118"/>
        <v>0</v>
      </c>
      <c r="T335" s="82">
        <f t="shared" si="118"/>
        <v>0</v>
      </c>
      <c r="U335" s="82">
        <f t="shared" si="118"/>
        <v>0</v>
      </c>
      <c r="V335" s="82">
        <f t="shared" si="118"/>
        <v>0</v>
      </c>
      <c r="W335" s="82">
        <f t="shared" si="118"/>
        <v>0</v>
      </c>
      <c r="X335" s="82">
        <f t="shared" si="118"/>
        <v>0</v>
      </c>
      <c r="Y335" s="82">
        <f t="shared" si="118"/>
        <v>0</v>
      </c>
      <c r="Z335" s="82">
        <f t="shared" si="118"/>
        <v>0</v>
      </c>
      <c r="AA335" s="82">
        <f t="shared" si="118"/>
        <v>0</v>
      </c>
      <c r="AB335" s="82">
        <f t="shared" si="118"/>
        <v>0</v>
      </c>
      <c r="AC335" s="82">
        <f t="shared" si="118"/>
        <v>0</v>
      </c>
      <c r="AD335" s="82">
        <f t="shared" si="118"/>
        <v>0</v>
      </c>
      <c r="AE335" s="82">
        <f t="shared" si="118"/>
        <v>0</v>
      </c>
      <c r="AF335" s="82">
        <f t="shared" si="118"/>
        <v>0</v>
      </c>
      <c r="AG335" s="82">
        <f t="shared" si="118"/>
        <v>0</v>
      </c>
      <c r="AH335" s="82">
        <f t="shared" si="118"/>
        <v>0</v>
      </c>
      <c r="AI335" s="82">
        <f t="shared" si="118"/>
        <v>0</v>
      </c>
      <c r="AJ335" s="82">
        <f t="shared" si="118"/>
        <v>0</v>
      </c>
      <c r="AK335" s="82">
        <f t="shared" si="118"/>
        <v>0</v>
      </c>
      <c r="AL335" s="82">
        <f t="shared" si="118"/>
        <v>0</v>
      </c>
      <c r="AM335" s="82">
        <f t="shared" si="118"/>
        <v>0</v>
      </c>
      <c r="AN335" s="82">
        <f t="shared" si="118"/>
        <v>0</v>
      </c>
      <c r="AO335" s="82">
        <f t="shared" si="118"/>
        <v>0</v>
      </c>
      <c r="AP335" s="82">
        <f t="shared" si="118"/>
        <v>0</v>
      </c>
      <c r="AQ335" s="82">
        <f t="shared" si="118"/>
        <v>0</v>
      </c>
      <c r="AR335" s="82">
        <f t="shared" si="118"/>
        <v>0</v>
      </c>
    </row>
    <row r="336" spans="1:46" collapsed="1" x14ac:dyDescent="0.2">
      <c r="A336" s="63" t="s">
        <v>70</v>
      </c>
      <c r="B336" s="357">
        <v>0</v>
      </c>
      <c r="C336" s="10" t="s">
        <v>65</v>
      </c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</row>
    <row r="337" spans="1:46" s="1" customFormat="1" outlineLevel="1" x14ac:dyDescent="0.2">
      <c r="A337" s="114" t="s">
        <v>231</v>
      </c>
      <c r="B337" s="144">
        <f>Деятельность_УК!B41</f>
        <v>0</v>
      </c>
      <c r="C337" s="16" t="str">
        <f>Параметры!$B$64</f>
        <v>тыс. руб.</v>
      </c>
      <c r="D337" s="40"/>
      <c r="E337" s="356">
        <f>IF(Параметры!E$36=1,$B337,D337)</f>
        <v>0</v>
      </c>
      <c r="F337" s="356">
        <f>IF(Параметры!F$36=1,$B337,E337)</f>
        <v>0</v>
      </c>
      <c r="G337" s="356">
        <f>IF(Параметры!G$36=1,$B337,F337)</f>
        <v>0</v>
      </c>
      <c r="H337" s="356">
        <f>IF(Параметры!H$36=1,$B337,G337)</f>
        <v>0</v>
      </c>
      <c r="I337" s="356">
        <f>IF(Параметры!I$36=1,$B337,H337)</f>
        <v>0</v>
      </c>
      <c r="J337" s="356">
        <f>IF(Параметры!J$36=1,$B337,I337)</f>
        <v>0</v>
      </c>
      <c r="K337" s="356">
        <f>IF(Параметры!K$36=1,$B337,J337)</f>
        <v>0</v>
      </c>
      <c r="L337" s="356">
        <f>IF(Параметры!L$36=1,$B337,K337)</f>
        <v>0</v>
      </c>
      <c r="M337" s="356">
        <f>IF(Параметры!M$36=1,$B337,L337)</f>
        <v>0</v>
      </c>
      <c r="N337" s="356">
        <f>IF(Параметры!N$36=1,$B337,M337)</f>
        <v>0</v>
      </c>
      <c r="O337" s="356">
        <f>IF(Параметры!O$36=1,$B337,N337)</f>
        <v>0</v>
      </c>
      <c r="P337" s="356">
        <f>IF(Параметры!P$36=1,$B337,O337)</f>
        <v>0</v>
      </c>
      <c r="Q337" s="356">
        <f>IF(Параметры!Q$36=1,$B337,P337)</f>
        <v>0</v>
      </c>
      <c r="R337" s="356">
        <f>IF(Параметры!R$36=1,$B337,Q337)</f>
        <v>0</v>
      </c>
      <c r="S337" s="356">
        <f>IF(Параметры!S$36=1,$B337,R337)</f>
        <v>0</v>
      </c>
      <c r="T337" s="356">
        <f>IF(Параметры!T$36=1,$B337,S337)</f>
        <v>0</v>
      </c>
      <c r="U337" s="356">
        <f>IF(Параметры!U$36=1,$B337,T337)</f>
        <v>0</v>
      </c>
      <c r="V337" s="356">
        <f>IF(Параметры!V$36=1,$B337,U337)</f>
        <v>0</v>
      </c>
      <c r="W337" s="356">
        <f>IF(Параметры!W$36=1,$B337,V337)</f>
        <v>0</v>
      </c>
      <c r="X337" s="356">
        <f>IF(Параметры!X$36=1,$B337,W337)</f>
        <v>0</v>
      </c>
      <c r="Y337" s="356">
        <f>IF(Параметры!Y$36=1,$B337,X337)</f>
        <v>0</v>
      </c>
      <c r="Z337" s="356">
        <f>IF(Параметры!Z$36=1,$B337,Y337)</f>
        <v>0</v>
      </c>
      <c r="AA337" s="356">
        <f>IF(Параметры!AA$36=1,$B337,Z337)</f>
        <v>0</v>
      </c>
      <c r="AB337" s="356">
        <f>IF(Параметры!AB$36=1,$B337,AA337)</f>
        <v>0</v>
      </c>
      <c r="AC337" s="356">
        <f>IF(Параметры!AC$36=1,$B337,AB337)</f>
        <v>0</v>
      </c>
      <c r="AD337" s="356">
        <f>IF(Параметры!AD$36=1,$B337,AC337)</f>
        <v>0</v>
      </c>
      <c r="AE337" s="356">
        <f>IF(Параметры!AE$36=1,$B337,AD337)</f>
        <v>0</v>
      </c>
      <c r="AF337" s="356">
        <f>IF(Параметры!AF$36=1,$B337,AE337)</f>
        <v>0</v>
      </c>
      <c r="AG337" s="356">
        <f>IF(Параметры!AG$36=1,$B337,AF337)</f>
        <v>0</v>
      </c>
      <c r="AH337" s="356">
        <f>IF(Параметры!AH$36=1,$B337,AG337)</f>
        <v>0</v>
      </c>
      <c r="AI337" s="356">
        <f>IF(Параметры!AI$36=1,$B337,AH337)</f>
        <v>0</v>
      </c>
      <c r="AJ337" s="356">
        <f>IF(Параметры!AJ$36=1,$B337,AI337)</f>
        <v>0</v>
      </c>
      <c r="AK337" s="356">
        <f>IF(Параметры!AK$36=1,$B337,AJ337)</f>
        <v>0</v>
      </c>
      <c r="AL337" s="356">
        <f>IF(Параметры!AL$36=1,$B337,AK337)</f>
        <v>0</v>
      </c>
      <c r="AM337" s="356">
        <f>IF(Параметры!AM$36=1,$B337,AL337)</f>
        <v>0</v>
      </c>
      <c r="AN337" s="356">
        <f>IF(Параметры!AN$36=1,$B337,AM337)</f>
        <v>0</v>
      </c>
      <c r="AO337" s="356">
        <f>IF(Параметры!AO$36=1,$B337,AN337)</f>
        <v>0</v>
      </c>
      <c r="AP337" s="356">
        <f>IF(Параметры!AP$36=1,$B337,AO337)</f>
        <v>0</v>
      </c>
      <c r="AQ337" s="356">
        <f>IF(Параметры!AQ$36=1,$B337,AP337)</f>
        <v>0</v>
      </c>
      <c r="AR337" s="356">
        <f>IF(Параметры!AR$36=1,$B337,AQ337)</f>
        <v>0</v>
      </c>
      <c r="AT337" s="96"/>
    </row>
    <row r="338" spans="1:46" s="1" customFormat="1" outlineLevel="1" x14ac:dyDescent="0.2">
      <c r="A338" s="114" t="s">
        <v>232</v>
      </c>
      <c r="B338" s="114"/>
      <c r="C338" s="16" t="str">
        <f>Параметры!$B$64</f>
        <v>тыс. руб.</v>
      </c>
      <c r="D338" s="40"/>
      <c r="E338" s="121">
        <f>IF(Параметры!E$36=1,E337-$B337,E337-D337)</f>
        <v>0</v>
      </c>
      <c r="F338" s="121">
        <f>IF(Параметры!F$36=1,F337-$B337,F337-E337)</f>
        <v>0</v>
      </c>
      <c r="G338" s="121">
        <f>IF(Параметры!G$36=1,G337-$B337,G337-F337)</f>
        <v>0</v>
      </c>
      <c r="H338" s="121">
        <f>IF(Параметры!H$36=1,H337-$B337,H337-G337)</f>
        <v>0</v>
      </c>
      <c r="I338" s="121">
        <f>IF(Параметры!I$36=1,I337-$B337,I337-H337)</f>
        <v>0</v>
      </c>
      <c r="J338" s="121">
        <f>IF(Параметры!J$36=1,J337-$B337,J337-I337)</f>
        <v>0</v>
      </c>
      <c r="K338" s="121">
        <f>IF(Параметры!K$36=1,K337-$B337,K337-J337)</f>
        <v>0</v>
      </c>
      <c r="L338" s="121">
        <f>IF(Параметры!L$36=1,L337-$B337,L337-K337)</f>
        <v>0</v>
      </c>
      <c r="M338" s="121">
        <f>IF(Параметры!M$36=1,M337-$B337,M337-L337)</f>
        <v>0</v>
      </c>
      <c r="N338" s="121">
        <f>IF(Параметры!N$36=1,N337-$B337,N337-M337)</f>
        <v>0</v>
      </c>
      <c r="O338" s="121">
        <f>IF(Параметры!O$36=1,O337-$B337,O337-N337)</f>
        <v>0</v>
      </c>
      <c r="P338" s="121">
        <f>IF(Параметры!P$36=1,P337-$B337,P337-O337)</f>
        <v>0</v>
      </c>
      <c r="Q338" s="121">
        <f>IF(Параметры!Q$36=1,Q337-$B337,Q337-P337)</f>
        <v>0</v>
      </c>
      <c r="R338" s="121">
        <f>IF(Параметры!R$36=1,R337-$B337,R337-Q337)</f>
        <v>0</v>
      </c>
      <c r="S338" s="121">
        <f>IF(Параметры!S$36=1,S337-$B337,S337-R337)</f>
        <v>0</v>
      </c>
      <c r="T338" s="121">
        <f>IF(Параметры!T$36=1,T337-$B337,T337-S337)</f>
        <v>0</v>
      </c>
      <c r="U338" s="121">
        <f>IF(Параметры!U$36=1,U337-$B337,U337-T337)</f>
        <v>0</v>
      </c>
      <c r="V338" s="121">
        <f>IF(Параметры!V$36=1,V337-$B337,V337-U337)</f>
        <v>0</v>
      </c>
      <c r="W338" s="121">
        <f>IF(Параметры!W$36=1,W337-$B337,W337-V337)</f>
        <v>0</v>
      </c>
      <c r="X338" s="121">
        <f>IF(Параметры!X$36=1,X337-$B337,X337-W337)</f>
        <v>0</v>
      </c>
      <c r="Y338" s="121">
        <f>IF(Параметры!Y$36=1,Y337-$B337,Y337-X337)</f>
        <v>0</v>
      </c>
      <c r="Z338" s="121">
        <f>IF(Параметры!Z$36=1,Z337-$B337,Z337-Y337)</f>
        <v>0</v>
      </c>
      <c r="AA338" s="121">
        <f>IF(Параметры!AA$36=1,AA337-$B337,AA337-Z337)</f>
        <v>0</v>
      </c>
      <c r="AB338" s="121">
        <f>IF(Параметры!AB$36=1,AB337-$B337,AB337-AA337)</f>
        <v>0</v>
      </c>
      <c r="AC338" s="121">
        <f>IF(Параметры!AC$36=1,AC337-$B337,AC337-AB337)</f>
        <v>0</v>
      </c>
      <c r="AD338" s="121">
        <f>IF(Параметры!AD$36=1,AD337-$B337,AD337-AC337)</f>
        <v>0</v>
      </c>
      <c r="AE338" s="121">
        <f>IF(Параметры!AE$36=1,AE337-$B337,AE337-AD337)</f>
        <v>0</v>
      </c>
      <c r="AF338" s="121">
        <f>IF(Параметры!AF$36=1,AF337-$B337,AF337-AE337)</f>
        <v>0</v>
      </c>
      <c r="AG338" s="121">
        <f>IF(Параметры!AG$36=1,AG337-$B337,AG337-AF337)</f>
        <v>0</v>
      </c>
      <c r="AH338" s="121">
        <f>IF(Параметры!AH$36=1,AH337-$B337,AH337-AG337)</f>
        <v>0</v>
      </c>
      <c r="AI338" s="121">
        <f>IF(Параметры!AI$36=1,AI337-$B337,AI337-AH337)</f>
        <v>0</v>
      </c>
      <c r="AJ338" s="121">
        <f>IF(Параметры!AJ$36=1,AJ337-$B337,AJ337-AI337)</f>
        <v>0</v>
      </c>
      <c r="AK338" s="121">
        <f>IF(Параметры!AK$36=1,AK337-$B337,AK337-AJ337)</f>
        <v>0</v>
      </c>
      <c r="AL338" s="121">
        <f>IF(Параметры!AL$36=1,AL337-$B337,AL337-AK337)</f>
        <v>0</v>
      </c>
      <c r="AM338" s="121">
        <f>IF(Параметры!AM$36=1,AM337-$B337,AM337-AL337)</f>
        <v>0</v>
      </c>
      <c r="AN338" s="121">
        <f>IF(Параметры!AN$36=1,AN337-$B337,AN337-AM337)</f>
        <v>0</v>
      </c>
      <c r="AO338" s="121">
        <f>IF(Параметры!AO$36=1,AO337-$B337,AO337-AN337)</f>
        <v>0</v>
      </c>
      <c r="AP338" s="121">
        <f>IF(Параметры!AP$36=1,AP337-$B337,AP337-AO337)</f>
        <v>0</v>
      </c>
      <c r="AQ338" s="121">
        <f>IF(Параметры!AQ$36=1,AQ337-$B337,AQ337-AP337)</f>
        <v>0</v>
      </c>
      <c r="AR338" s="121">
        <f>IF(Параметры!AR$36=1,AR337-$B337,AR337-AQ337)</f>
        <v>0</v>
      </c>
      <c r="AT338" s="96"/>
    </row>
    <row r="339" spans="1:46" x14ac:dyDescent="0.2">
      <c r="A339" s="44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</row>
    <row r="340" spans="1:46" x14ac:dyDescent="0.2">
      <c r="A340" s="44" t="s">
        <v>172</v>
      </c>
      <c r="C340" s="10" t="str">
        <f>Параметры!$B$64</f>
        <v>тыс. руб.</v>
      </c>
      <c r="E340" s="82">
        <f t="shared" ref="E340:AR340" si="119">E342</f>
        <v>0</v>
      </c>
      <c r="F340" s="82">
        <f t="shared" si="119"/>
        <v>0</v>
      </c>
      <c r="G340" s="82">
        <f t="shared" si="119"/>
        <v>0</v>
      </c>
      <c r="H340" s="82">
        <f t="shared" si="119"/>
        <v>0</v>
      </c>
      <c r="I340" s="82">
        <f t="shared" si="119"/>
        <v>0</v>
      </c>
      <c r="J340" s="82">
        <f t="shared" si="119"/>
        <v>0</v>
      </c>
      <c r="K340" s="82">
        <f t="shared" si="119"/>
        <v>0</v>
      </c>
      <c r="L340" s="82">
        <f t="shared" si="119"/>
        <v>0</v>
      </c>
      <c r="M340" s="82">
        <f t="shared" si="119"/>
        <v>0</v>
      </c>
      <c r="N340" s="82">
        <f t="shared" si="119"/>
        <v>0</v>
      </c>
      <c r="O340" s="82">
        <f t="shared" si="119"/>
        <v>0</v>
      </c>
      <c r="P340" s="82">
        <f t="shared" si="119"/>
        <v>0</v>
      </c>
      <c r="Q340" s="82">
        <f t="shared" si="119"/>
        <v>0</v>
      </c>
      <c r="R340" s="82">
        <f t="shared" si="119"/>
        <v>0</v>
      </c>
      <c r="S340" s="82">
        <f t="shared" si="119"/>
        <v>0</v>
      </c>
      <c r="T340" s="82">
        <f t="shared" si="119"/>
        <v>0</v>
      </c>
      <c r="U340" s="82">
        <f t="shared" si="119"/>
        <v>0</v>
      </c>
      <c r="V340" s="82">
        <f t="shared" si="119"/>
        <v>0</v>
      </c>
      <c r="W340" s="82">
        <f t="shared" si="119"/>
        <v>0</v>
      </c>
      <c r="X340" s="82">
        <f t="shared" si="119"/>
        <v>0</v>
      </c>
      <c r="Y340" s="82">
        <f t="shared" si="119"/>
        <v>0</v>
      </c>
      <c r="Z340" s="82">
        <f t="shared" si="119"/>
        <v>0</v>
      </c>
      <c r="AA340" s="82">
        <f t="shared" si="119"/>
        <v>0</v>
      </c>
      <c r="AB340" s="82">
        <f t="shared" si="119"/>
        <v>0</v>
      </c>
      <c r="AC340" s="82">
        <f t="shared" si="119"/>
        <v>0</v>
      </c>
      <c r="AD340" s="82">
        <f t="shared" si="119"/>
        <v>0</v>
      </c>
      <c r="AE340" s="82">
        <f t="shared" si="119"/>
        <v>0</v>
      </c>
      <c r="AF340" s="82">
        <f t="shared" si="119"/>
        <v>0</v>
      </c>
      <c r="AG340" s="82">
        <f t="shared" si="119"/>
        <v>0</v>
      </c>
      <c r="AH340" s="82">
        <f t="shared" si="119"/>
        <v>0</v>
      </c>
      <c r="AI340" s="82">
        <f t="shared" si="119"/>
        <v>0</v>
      </c>
      <c r="AJ340" s="82">
        <f t="shared" si="119"/>
        <v>0</v>
      </c>
      <c r="AK340" s="82">
        <f t="shared" si="119"/>
        <v>0</v>
      </c>
      <c r="AL340" s="82">
        <f t="shared" si="119"/>
        <v>0</v>
      </c>
      <c r="AM340" s="82">
        <f t="shared" si="119"/>
        <v>0</v>
      </c>
      <c r="AN340" s="82">
        <f t="shared" si="119"/>
        <v>0</v>
      </c>
      <c r="AO340" s="82">
        <f t="shared" si="119"/>
        <v>0</v>
      </c>
      <c r="AP340" s="82">
        <f t="shared" si="119"/>
        <v>0</v>
      </c>
      <c r="AQ340" s="82">
        <f t="shared" si="119"/>
        <v>0</v>
      </c>
      <c r="AR340" s="82">
        <f t="shared" si="119"/>
        <v>0</v>
      </c>
    </row>
    <row r="341" spans="1:46" collapsed="1" x14ac:dyDescent="0.2">
      <c r="A341" s="63" t="s">
        <v>171</v>
      </c>
      <c r="B341" s="357">
        <v>0</v>
      </c>
      <c r="C341" s="10" t="s">
        <v>65</v>
      </c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</row>
    <row r="342" spans="1:46" s="1" customFormat="1" outlineLevel="1" x14ac:dyDescent="0.2">
      <c r="A342" s="114" t="s">
        <v>231</v>
      </c>
      <c r="B342" s="144">
        <f>Деятельность_УК!B20</f>
        <v>0</v>
      </c>
      <c r="C342" s="16" t="str">
        <f>Параметры!$B$64</f>
        <v>тыс. руб.</v>
      </c>
      <c r="D342" s="40"/>
      <c r="E342" s="356">
        <f>IF(Параметры!E$36=1,$B342,D342)</f>
        <v>0</v>
      </c>
      <c r="F342" s="356">
        <f>IF(Параметры!F$36=1,$B342,E342)</f>
        <v>0</v>
      </c>
      <c r="G342" s="356">
        <f>IF(Параметры!G$36=1,$B342,F342)</f>
        <v>0</v>
      </c>
      <c r="H342" s="356">
        <f>IF(Параметры!H$36=1,$B342,G342)</f>
        <v>0</v>
      </c>
      <c r="I342" s="356">
        <f>IF(Параметры!I$36=1,$B342,H342)</f>
        <v>0</v>
      </c>
      <c r="J342" s="356">
        <f>IF(Параметры!J$36=1,$B342,I342)</f>
        <v>0</v>
      </c>
      <c r="K342" s="356">
        <f>IF(Параметры!K$36=1,$B342,J342)</f>
        <v>0</v>
      </c>
      <c r="L342" s="356">
        <f>IF(Параметры!L$36=1,$B342,K342)</f>
        <v>0</v>
      </c>
      <c r="M342" s="356">
        <f>IF(Параметры!M$36=1,$B342,L342)</f>
        <v>0</v>
      </c>
      <c r="N342" s="356">
        <f>IF(Параметры!N$36=1,$B342,M342)</f>
        <v>0</v>
      </c>
      <c r="O342" s="356">
        <f>IF(Параметры!O$36=1,$B342,N342)</f>
        <v>0</v>
      </c>
      <c r="P342" s="356">
        <f>IF(Параметры!P$36=1,$B342,O342)</f>
        <v>0</v>
      </c>
      <c r="Q342" s="356">
        <f>IF(Параметры!Q$36=1,$B342,P342)</f>
        <v>0</v>
      </c>
      <c r="R342" s="356">
        <f>IF(Параметры!R$36=1,$B342,Q342)</f>
        <v>0</v>
      </c>
      <c r="S342" s="356">
        <f>IF(Параметры!S$36=1,$B342,R342)</f>
        <v>0</v>
      </c>
      <c r="T342" s="356">
        <f>IF(Параметры!T$36=1,$B342,S342)</f>
        <v>0</v>
      </c>
      <c r="U342" s="356">
        <f>IF(Параметры!U$36=1,$B342,T342)</f>
        <v>0</v>
      </c>
      <c r="V342" s="356">
        <f>IF(Параметры!V$36=1,$B342,U342)</f>
        <v>0</v>
      </c>
      <c r="W342" s="356">
        <f>IF(Параметры!W$36=1,$B342,V342)</f>
        <v>0</v>
      </c>
      <c r="X342" s="356">
        <f>IF(Параметры!X$36=1,$B342,W342)</f>
        <v>0</v>
      </c>
      <c r="Y342" s="356">
        <f>IF(Параметры!Y$36=1,$B342,X342)</f>
        <v>0</v>
      </c>
      <c r="Z342" s="356">
        <f>IF(Параметры!Z$36=1,$B342,Y342)</f>
        <v>0</v>
      </c>
      <c r="AA342" s="356">
        <f>IF(Параметры!AA$36=1,$B342,Z342)</f>
        <v>0</v>
      </c>
      <c r="AB342" s="356">
        <f>IF(Параметры!AB$36=1,$B342,AA342)</f>
        <v>0</v>
      </c>
      <c r="AC342" s="356">
        <f>IF(Параметры!AC$36=1,$B342,AB342)</f>
        <v>0</v>
      </c>
      <c r="AD342" s="356">
        <f>IF(Параметры!AD$36=1,$B342,AC342)</f>
        <v>0</v>
      </c>
      <c r="AE342" s="356">
        <f>IF(Параметры!AE$36=1,$B342,AD342)</f>
        <v>0</v>
      </c>
      <c r="AF342" s="356">
        <f>IF(Параметры!AF$36=1,$B342,AE342)</f>
        <v>0</v>
      </c>
      <c r="AG342" s="356">
        <f>IF(Параметры!AG$36=1,$B342,AF342)</f>
        <v>0</v>
      </c>
      <c r="AH342" s="356">
        <f>IF(Параметры!AH$36=1,$B342,AG342)</f>
        <v>0</v>
      </c>
      <c r="AI342" s="356">
        <f>IF(Параметры!AI$36=1,$B342,AH342)</f>
        <v>0</v>
      </c>
      <c r="AJ342" s="356">
        <f>IF(Параметры!AJ$36=1,$B342,AI342)</f>
        <v>0</v>
      </c>
      <c r="AK342" s="356">
        <f>IF(Параметры!AK$36=1,$B342,AJ342)</f>
        <v>0</v>
      </c>
      <c r="AL342" s="356">
        <f>IF(Параметры!AL$36=1,$B342,AK342)</f>
        <v>0</v>
      </c>
      <c r="AM342" s="356">
        <f>IF(Параметры!AM$36=1,$B342,AL342)</f>
        <v>0</v>
      </c>
      <c r="AN342" s="356">
        <f>IF(Параметры!AN$36=1,$B342,AM342)</f>
        <v>0</v>
      </c>
      <c r="AO342" s="356">
        <f>IF(Параметры!AO$36=1,$B342,AN342)</f>
        <v>0</v>
      </c>
      <c r="AP342" s="356">
        <f>IF(Параметры!AP$36=1,$B342,AO342)</f>
        <v>0</v>
      </c>
      <c r="AQ342" s="356">
        <f>IF(Параметры!AQ$36=1,$B342,AP342)</f>
        <v>0</v>
      </c>
      <c r="AR342" s="356">
        <f>IF(Параметры!AR$36=1,$B342,AQ342)</f>
        <v>0</v>
      </c>
      <c r="AT342" s="96"/>
    </row>
    <row r="343" spans="1:46" s="1" customFormat="1" outlineLevel="1" x14ac:dyDescent="0.2">
      <c r="A343" s="114" t="s">
        <v>232</v>
      </c>
      <c r="B343" s="114"/>
      <c r="C343" s="16" t="str">
        <f>Параметры!$B$64</f>
        <v>тыс. руб.</v>
      </c>
      <c r="D343" s="40"/>
      <c r="E343" s="121">
        <f>IF(Параметры!E$36=1,$B342-E342,D342-E342)</f>
        <v>0</v>
      </c>
      <c r="F343" s="121">
        <f>IF(Параметры!F$36=1,$B342-F342,E342-F342)</f>
        <v>0</v>
      </c>
      <c r="G343" s="121">
        <f>IF(Параметры!G$36=1,$B342-G342,F342-G342)</f>
        <v>0</v>
      </c>
      <c r="H343" s="121">
        <f>IF(Параметры!H$36=1,$B342-H342,G342-H342)</f>
        <v>0</v>
      </c>
      <c r="I343" s="121">
        <f>IF(Параметры!I$36=1,$B342-I342,H342-I342)</f>
        <v>0</v>
      </c>
      <c r="J343" s="121">
        <f>IF(Параметры!J$36=1,$B342-J342,I342-J342)</f>
        <v>0</v>
      </c>
      <c r="K343" s="121">
        <f>IF(Параметры!K$36=1,$B342-K342,J342-K342)</f>
        <v>0</v>
      </c>
      <c r="L343" s="121">
        <f>IF(Параметры!L$36=1,$B342-L342,K342-L342)</f>
        <v>0</v>
      </c>
      <c r="M343" s="121">
        <f>IF(Параметры!M$36=1,$B342-M342,L342-M342)</f>
        <v>0</v>
      </c>
      <c r="N343" s="121">
        <f>IF(Параметры!N$36=1,$B342-N342,M342-N342)</f>
        <v>0</v>
      </c>
      <c r="O343" s="121">
        <f>IF(Параметры!O$36=1,$B342-O342,N342-O342)</f>
        <v>0</v>
      </c>
      <c r="P343" s="121">
        <f>IF(Параметры!P$36=1,$B342-P342,O342-P342)</f>
        <v>0</v>
      </c>
      <c r="Q343" s="121">
        <f>IF(Параметры!Q$36=1,$B342-Q342,P342-Q342)</f>
        <v>0</v>
      </c>
      <c r="R343" s="121">
        <f>IF(Параметры!R$36=1,$B342-R342,Q342-R342)</f>
        <v>0</v>
      </c>
      <c r="S343" s="121">
        <f>IF(Параметры!S$36=1,$B342-S342,R342-S342)</f>
        <v>0</v>
      </c>
      <c r="T343" s="121">
        <f>IF(Параметры!T$36=1,$B342-T342,S342-T342)</f>
        <v>0</v>
      </c>
      <c r="U343" s="121">
        <f>IF(Параметры!U$36=1,$B342-U342,T342-U342)</f>
        <v>0</v>
      </c>
      <c r="V343" s="121">
        <f>IF(Параметры!V$36=1,$B342-V342,U342-V342)</f>
        <v>0</v>
      </c>
      <c r="W343" s="121">
        <f>IF(Параметры!W$36=1,$B342-W342,V342-W342)</f>
        <v>0</v>
      </c>
      <c r="X343" s="121">
        <f>IF(Параметры!X$36=1,$B342-X342,W342-X342)</f>
        <v>0</v>
      </c>
      <c r="Y343" s="121">
        <f>IF(Параметры!Y$36=1,$B342-Y342,X342-Y342)</f>
        <v>0</v>
      </c>
      <c r="Z343" s="121">
        <f>IF(Параметры!Z$36=1,$B342-Z342,Y342-Z342)</f>
        <v>0</v>
      </c>
      <c r="AA343" s="121">
        <f>IF(Параметры!AA$36=1,$B342-AA342,Z342-AA342)</f>
        <v>0</v>
      </c>
      <c r="AB343" s="121">
        <f>IF(Параметры!AB$36=1,$B342-AB342,AA342-AB342)</f>
        <v>0</v>
      </c>
      <c r="AC343" s="121">
        <f>IF(Параметры!AC$36=1,$B342-AC342,AB342-AC342)</f>
        <v>0</v>
      </c>
      <c r="AD343" s="121">
        <f>IF(Параметры!AD$36=1,$B342-AD342,AC342-AD342)</f>
        <v>0</v>
      </c>
      <c r="AE343" s="121">
        <f>IF(Параметры!AE$36=1,$B342-AE342,AD342-AE342)</f>
        <v>0</v>
      </c>
      <c r="AF343" s="121">
        <f>IF(Параметры!AF$36=1,$B342-AF342,AE342-AF342)</f>
        <v>0</v>
      </c>
      <c r="AG343" s="121">
        <f>IF(Параметры!AG$36=1,$B342-AG342,AF342-AG342)</f>
        <v>0</v>
      </c>
      <c r="AH343" s="121">
        <f>IF(Параметры!AH$36=1,$B342-AH342,AG342-AH342)</f>
        <v>0</v>
      </c>
      <c r="AI343" s="121">
        <f>IF(Параметры!AI$36=1,$B342-AI342,AH342-AI342)</f>
        <v>0</v>
      </c>
      <c r="AJ343" s="121">
        <f>IF(Параметры!AJ$36=1,$B342-AJ342,AI342-AJ342)</f>
        <v>0</v>
      </c>
      <c r="AK343" s="121">
        <f>IF(Параметры!AK$36=1,$B342-AK342,AJ342-AK342)</f>
        <v>0</v>
      </c>
      <c r="AL343" s="121">
        <f>IF(Параметры!AL$36=1,$B342-AL342,AK342-AL342)</f>
        <v>0</v>
      </c>
      <c r="AM343" s="121">
        <f>IF(Параметры!AM$36=1,$B342-AM342,AL342-AM342)</f>
        <v>0</v>
      </c>
      <c r="AN343" s="121">
        <f>IF(Параметры!AN$36=1,$B342-AN342,AM342-AN342)</f>
        <v>0</v>
      </c>
      <c r="AO343" s="121">
        <f>IF(Параметры!AO$36=1,$B342-AO342,AN342-AO342)</f>
        <v>0</v>
      </c>
      <c r="AP343" s="121">
        <f>IF(Параметры!AP$36=1,$B342-AP342,AO342-AP342)</f>
        <v>0</v>
      </c>
      <c r="AQ343" s="121">
        <f>IF(Параметры!AQ$36=1,$B342-AQ342,AP342-AQ342)</f>
        <v>0</v>
      </c>
      <c r="AR343" s="121">
        <f>IF(Параметры!AR$36=1,$B342-AR342,AQ342-AR342)</f>
        <v>0</v>
      </c>
      <c r="AT343" s="96"/>
    </row>
    <row r="344" spans="1:46" s="1" customFormat="1" x14ac:dyDescent="0.2">
      <c r="A344" s="44"/>
      <c r="B344" s="132"/>
      <c r="C344" s="11"/>
      <c r="D344" s="15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T344" s="96"/>
    </row>
    <row r="345" spans="1:46" x14ac:dyDescent="0.2">
      <c r="A345" s="44" t="s">
        <v>168</v>
      </c>
      <c r="C345" s="10" t="str">
        <f>Параметры!$B$64</f>
        <v>тыс. руб.</v>
      </c>
      <c r="E345" s="82">
        <f t="shared" ref="E345:AR345" si="120">E347</f>
        <v>0</v>
      </c>
      <c r="F345" s="82">
        <f t="shared" si="120"/>
        <v>0</v>
      </c>
      <c r="G345" s="82">
        <f t="shared" si="120"/>
        <v>0</v>
      </c>
      <c r="H345" s="82">
        <f t="shared" si="120"/>
        <v>0</v>
      </c>
      <c r="I345" s="82">
        <f t="shared" si="120"/>
        <v>0</v>
      </c>
      <c r="J345" s="82">
        <f t="shared" si="120"/>
        <v>0</v>
      </c>
      <c r="K345" s="82">
        <f t="shared" si="120"/>
        <v>0</v>
      </c>
      <c r="L345" s="82">
        <f t="shared" si="120"/>
        <v>0</v>
      </c>
      <c r="M345" s="82">
        <f t="shared" si="120"/>
        <v>0</v>
      </c>
      <c r="N345" s="82">
        <f t="shared" si="120"/>
        <v>0</v>
      </c>
      <c r="O345" s="82">
        <f t="shared" si="120"/>
        <v>0</v>
      </c>
      <c r="P345" s="82">
        <f t="shared" si="120"/>
        <v>0</v>
      </c>
      <c r="Q345" s="82">
        <f t="shared" si="120"/>
        <v>0</v>
      </c>
      <c r="R345" s="82">
        <f t="shared" si="120"/>
        <v>0</v>
      </c>
      <c r="S345" s="82">
        <f t="shared" si="120"/>
        <v>0</v>
      </c>
      <c r="T345" s="82">
        <f t="shared" si="120"/>
        <v>0</v>
      </c>
      <c r="U345" s="82">
        <f t="shared" si="120"/>
        <v>0</v>
      </c>
      <c r="V345" s="82">
        <f t="shared" si="120"/>
        <v>0</v>
      </c>
      <c r="W345" s="82">
        <f t="shared" si="120"/>
        <v>0</v>
      </c>
      <c r="X345" s="82">
        <f t="shared" si="120"/>
        <v>0</v>
      </c>
      <c r="Y345" s="82">
        <f t="shared" si="120"/>
        <v>0</v>
      </c>
      <c r="Z345" s="82">
        <f t="shared" si="120"/>
        <v>0</v>
      </c>
      <c r="AA345" s="82">
        <f t="shared" si="120"/>
        <v>0</v>
      </c>
      <c r="AB345" s="82">
        <f t="shared" si="120"/>
        <v>0</v>
      </c>
      <c r="AC345" s="82">
        <f t="shared" si="120"/>
        <v>0</v>
      </c>
      <c r="AD345" s="82">
        <f t="shared" si="120"/>
        <v>0</v>
      </c>
      <c r="AE345" s="82">
        <f t="shared" si="120"/>
        <v>0</v>
      </c>
      <c r="AF345" s="82">
        <f t="shared" si="120"/>
        <v>0</v>
      </c>
      <c r="AG345" s="82">
        <f t="shared" si="120"/>
        <v>0</v>
      </c>
      <c r="AH345" s="82">
        <f t="shared" si="120"/>
        <v>0</v>
      </c>
      <c r="AI345" s="82">
        <f t="shared" si="120"/>
        <v>0</v>
      </c>
      <c r="AJ345" s="82">
        <f t="shared" si="120"/>
        <v>0</v>
      </c>
      <c r="AK345" s="82">
        <f t="shared" si="120"/>
        <v>0</v>
      </c>
      <c r="AL345" s="82">
        <f t="shared" si="120"/>
        <v>0</v>
      </c>
      <c r="AM345" s="82">
        <f t="shared" si="120"/>
        <v>0</v>
      </c>
      <c r="AN345" s="82">
        <f t="shared" si="120"/>
        <v>0</v>
      </c>
      <c r="AO345" s="82">
        <f t="shared" si="120"/>
        <v>0</v>
      </c>
      <c r="AP345" s="82">
        <f t="shared" si="120"/>
        <v>0</v>
      </c>
      <c r="AQ345" s="82">
        <f t="shared" si="120"/>
        <v>0</v>
      </c>
      <c r="AR345" s="82">
        <f t="shared" si="120"/>
        <v>0</v>
      </c>
    </row>
    <row r="346" spans="1:46" collapsed="1" x14ac:dyDescent="0.2">
      <c r="A346" s="63" t="s">
        <v>171</v>
      </c>
      <c r="B346" s="357">
        <v>0</v>
      </c>
      <c r="C346" s="10" t="s">
        <v>65</v>
      </c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</row>
    <row r="347" spans="1:46" s="1" customFormat="1" outlineLevel="1" x14ac:dyDescent="0.2">
      <c r="A347" s="114" t="s">
        <v>231</v>
      </c>
      <c r="B347" s="144">
        <f>Деятельность_УК!B19</f>
        <v>0</v>
      </c>
      <c r="C347" s="16" t="str">
        <f>Параметры!$B$64</f>
        <v>тыс. руб.</v>
      </c>
      <c r="D347" s="40"/>
      <c r="E347" s="356">
        <f>IF(Параметры!E$36=1,$B347,D347)</f>
        <v>0</v>
      </c>
      <c r="F347" s="356">
        <f>IF(Параметры!F$36=1,$B347,E347)</f>
        <v>0</v>
      </c>
      <c r="G347" s="356">
        <f>IF(Параметры!G$36=1,$B347,F347)</f>
        <v>0</v>
      </c>
      <c r="H347" s="356">
        <f>IF(Параметры!H$36=1,$B347,G347)</f>
        <v>0</v>
      </c>
      <c r="I347" s="356">
        <f>IF(Параметры!I$36=1,$B347,H347)</f>
        <v>0</v>
      </c>
      <c r="J347" s="356">
        <f>IF(Параметры!J$36=1,$B347,I347)</f>
        <v>0</v>
      </c>
      <c r="K347" s="356">
        <f>IF(Параметры!K$36=1,$B347,J347)</f>
        <v>0</v>
      </c>
      <c r="L347" s="356">
        <f>IF(Параметры!L$36=1,$B347,K347)</f>
        <v>0</v>
      </c>
      <c r="M347" s="356">
        <f>IF(Параметры!M$36=1,$B347,L347)</f>
        <v>0</v>
      </c>
      <c r="N347" s="356">
        <f>IF(Параметры!N$36=1,$B347,M347)</f>
        <v>0</v>
      </c>
      <c r="O347" s="356">
        <f>IF(Параметры!O$36=1,$B347,N347)</f>
        <v>0</v>
      </c>
      <c r="P347" s="356">
        <f>IF(Параметры!P$36=1,$B347,O347)</f>
        <v>0</v>
      </c>
      <c r="Q347" s="356">
        <f>IF(Параметры!Q$36=1,$B347,P347)</f>
        <v>0</v>
      </c>
      <c r="R347" s="356">
        <f>IF(Параметры!R$36=1,$B347,Q347)</f>
        <v>0</v>
      </c>
      <c r="S347" s="356">
        <f>IF(Параметры!S$36=1,$B347,R347)</f>
        <v>0</v>
      </c>
      <c r="T347" s="356">
        <f>IF(Параметры!T$36=1,$B347,S347)</f>
        <v>0</v>
      </c>
      <c r="U347" s="356">
        <f>IF(Параметры!U$36=1,$B347,T347)</f>
        <v>0</v>
      </c>
      <c r="V347" s="356">
        <f>IF(Параметры!V$36=1,$B347,U347)</f>
        <v>0</v>
      </c>
      <c r="W347" s="356">
        <f>IF(Параметры!W$36=1,$B347,V347)</f>
        <v>0</v>
      </c>
      <c r="X347" s="356">
        <f>IF(Параметры!X$36=1,$B347,W347)</f>
        <v>0</v>
      </c>
      <c r="Y347" s="356">
        <f>IF(Параметры!Y$36=1,$B347,X347)</f>
        <v>0</v>
      </c>
      <c r="Z347" s="356">
        <f>IF(Параметры!Z$36=1,$B347,Y347)</f>
        <v>0</v>
      </c>
      <c r="AA347" s="356">
        <f>IF(Параметры!AA$36=1,$B347,Z347)</f>
        <v>0</v>
      </c>
      <c r="AB347" s="356">
        <f>IF(Параметры!AB$36=1,$B347,AA347)</f>
        <v>0</v>
      </c>
      <c r="AC347" s="356">
        <f>IF(Параметры!AC$36=1,$B347,AB347)</f>
        <v>0</v>
      </c>
      <c r="AD347" s="356">
        <f>IF(Параметры!AD$36=1,$B347,AC347)</f>
        <v>0</v>
      </c>
      <c r="AE347" s="356">
        <f>IF(Параметры!AE$36=1,$B347,AD347)</f>
        <v>0</v>
      </c>
      <c r="AF347" s="356">
        <f>IF(Параметры!AF$36=1,$B347,AE347)</f>
        <v>0</v>
      </c>
      <c r="AG347" s="356">
        <f>IF(Параметры!AG$36=1,$B347,AF347)</f>
        <v>0</v>
      </c>
      <c r="AH347" s="356">
        <f>IF(Параметры!AH$36=1,$B347,AG347)</f>
        <v>0</v>
      </c>
      <c r="AI347" s="356">
        <f>IF(Параметры!AI$36=1,$B347,AH347)</f>
        <v>0</v>
      </c>
      <c r="AJ347" s="356">
        <f>IF(Параметры!AJ$36=1,$B347,AI347)</f>
        <v>0</v>
      </c>
      <c r="AK347" s="356">
        <f>IF(Параметры!AK$36=1,$B347,AJ347)</f>
        <v>0</v>
      </c>
      <c r="AL347" s="356">
        <f>IF(Параметры!AL$36=1,$B347,AK347)</f>
        <v>0</v>
      </c>
      <c r="AM347" s="356">
        <f>IF(Параметры!AM$36=1,$B347,AL347)</f>
        <v>0</v>
      </c>
      <c r="AN347" s="356">
        <f>IF(Параметры!AN$36=1,$B347,AM347)</f>
        <v>0</v>
      </c>
      <c r="AO347" s="356">
        <f>IF(Параметры!AO$36=1,$B347,AN347)</f>
        <v>0</v>
      </c>
      <c r="AP347" s="356">
        <f>IF(Параметры!AP$36=1,$B347,AO347)</f>
        <v>0</v>
      </c>
      <c r="AQ347" s="356">
        <f>IF(Параметры!AQ$36=1,$B347,AP347)</f>
        <v>0</v>
      </c>
      <c r="AR347" s="356">
        <f>IF(Параметры!AR$36=1,$B347,AQ347)</f>
        <v>0</v>
      </c>
      <c r="AT347" s="96"/>
    </row>
    <row r="348" spans="1:46" s="1" customFormat="1" outlineLevel="1" x14ac:dyDescent="0.2">
      <c r="A348" s="114" t="s">
        <v>232</v>
      </c>
      <c r="B348" s="114"/>
      <c r="C348" s="16" t="str">
        <f>Параметры!$B$64</f>
        <v>тыс. руб.</v>
      </c>
      <c r="D348" s="40"/>
      <c r="E348" s="121">
        <f>IF(Параметры!E$36=1,$B347-E347,D347-E347)</f>
        <v>0</v>
      </c>
      <c r="F348" s="121">
        <f>IF(Параметры!F$36=1,$B347-F347,E347-F347)</f>
        <v>0</v>
      </c>
      <c r="G348" s="121">
        <f>IF(Параметры!G$36=1,$B347-G347,F347-G347)</f>
        <v>0</v>
      </c>
      <c r="H348" s="121">
        <f>IF(Параметры!H$36=1,$B347-H347,G347-H347)</f>
        <v>0</v>
      </c>
      <c r="I348" s="121">
        <f>IF(Параметры!I$36=1,$B347-I347,H347-I347)</f>
        <v>0</v>
      </c>
      <c r="J348" s="121">
        <f>IF(Параметры!J$36=1,$B347-J347,I347-J347)</f>
        <v>0</v>
      </c>
      <c r="K348" s="121">
        <f>IF(Параметры!K$36=1,$B347-K347,J347-K347)</f>
        <v>0</v>
      </c>
      <c r="L348" s="121">
        <f>IF(Параметры!L$36=1,$B347-L347,K347-L347)</f>
        <v>0</v>
      </c>
      <c r="M348" s="121">
        <f>IF(Параметры!M$36=1,$B347-M347,L347-M347)</f>
        <v>0</v>
      </c>
      <c r="N348" s="121">
        <f>IF(Параметры!N$36=1,$B347-N347,M347-N347)</f>
        <v>0</v>
      </c>
      <c r="O348" s="121">
        <f>IF(Параметры!O$36=1,$B347-O347,N347-O347)</f>
        <v>0</v>
      </c>
      <c r="P348" s="121">
        <f>IF(Параметры!P$36=1,$B347-P347,O347-P347)</f>
        <v>0</v>
      </c>
      <c r="Q348" s="121">
        <f>IF(Параметры!Q$36=1,$B347-Q347,P347-Q347)</f>
        <v>0</v>
      </c>
      <c r="R348" s="121">
        <f>IF(Параметры!R$36=1,$B347-R347,Q347-R347)</f>
        <v>0</v>
      </c>
      <c r="S348" s="121">
        <f>IF(Параметры!S$36=1,$B347-S347,R347-S347)</f>
        <v>0</v>
      </c>
      <c r="T348" s="121">
        <f>IF(Параметры!T$36=1,$B347-T347,S347-T347)</f>
        <v>0</v>
      </c>
      <c r="U348" s="121">
        <f>IF(Параметры!U$36=1,$B347-U347,T347-U347)</f>
        <v>0</v>
      </c>
      <c r="V348" s="121">
        <f>IF(Параметры!V$36=1,$B347-V347,U347-V347)</f>
        <v>0</v>
      </c>
      <c r="W348" s="121">
        <f>IF(Параметры!W$36=1,$B347-W347,V347-W347)</f>
        <v>0</v>
      </c>
      <c r="X348" s="121">
        <f>IF(Параметры!X$36=1,$B347-X347,W347-X347)</f>
        <v>0</v>
      </c>
      <c r="Y348" s="121">
        <f>IF(Параметры!Y$36=1,$B347-Y347,X347-Y347)</f>
        <v>0</v>
      </c>
      <c r="Z348" s="121">
        <f>IF(Параметры!Z$36=1,$B347-Z347,Y347-Z347)</f>
        <v>0</v>
      </c>
      <c r="AA348" s="121">
        <f>IF(Параметры!AA$36=1,$B347-AA347,Z347-AA347)</f>
        <v>0</v>
      </c>
      <c r="AB348" s="121">
        <f>IF(Параметры!AB$36=1,$B347-AB347,AA347-AB347)</f>
        <v>0</v>
      </c>
      <c r="AC348" s="121">
        <f>IF(Параметры!AC$36=1,$B347-AC347,AB347-AC347)</f>
        <v>0</v>
      </c>
      <c r="AD348" s="121">
        <f>IF(Параметры!AD$36=1,$B347-AD347,AC347-AD347)</f>
        <v>0</v>
      </c>
      <c r="AE348" s="121">
        <f>IF(Параметры!AE$36=1,$B347-AE347,AD347-AE347)</f>
        <v>0</v>
      </c>
      <c r="AF348" s="121">
        <f>IF(Параметры!AF$36=1,$B347-AF347,AE347-AF347)</f>
        <v>0</v>
      </c>
      <c r="AG348" s="121">
        <f>IF(Параметры!AG$36=1,$B347-AG347,AF347-AG347)</f>
        <v>0</v>
      </c>
      <c r="AH348" s="121">
        <f>IF(Параметры!AH$36=1,$B347-AH347,AG347-AH347)</f>
        <v>0</v>
      </c>
      <c r="AI348" s="121">
        <f>IF(Параметры!AI$36=1,$B347-AI347,AH347-AI347)</f>
        <v>0</v>
      </c>
      <c r="AJ348" s="121">
        <f>IF(Параметры!AJ$36=1,$B347-AJ347,AI347-AJ347)</f>
        <v>0</v>
      </c>
      <c r="AK348" s="121">
        <f>IF(Параметры!AK$36=1,$B347-AK347,AJ347-AK347)</f>
        <v>0</v>
      </c>
      <c r="AL348" s="121">
        <f>IF(Параметры!AL$36=1,$B347-AL347,AK347-AL347)</f>
        <v>0</v>
      </c>
      <c r="AM348" s="121">
        <f>IF(Параметры!AM$36=1,$B347-AM347,AL347-AM347)</f>
        <v>0</v>
      </c>
      <c r="AN348" s="121">
        <f>IF(Параметры!AN$36=1,$B347-AN347,AM347-AN347)</f>
        <v>0</v>
      </c>
      <c r="AO348" s="121">
        <f>IF(Параметры!AO$36=1,$B347-AO347,AN347-AO347)</f>
        <v>0</v>
      </c>
      <c r="AP348" s="121">
        <f>IF(Параметры!AP$36=1,$B347-AP347,AO347-AP347)</f>
        <v>0</v>
      </c>
      <c r="AQ348" s="121">
        <f>IF(Параметры!AQ$36=1,$B347-AQ347,AP347-AQ347)</f>
        <v>0</v>
      </c>
      <c r="AR348" s="121">
        <f>IF(Параметры!AR$36=1,$B347-AR347,AQ347-AR347)</f>
        <v>0</v>
      </c>
      <c r="AT348" s="96"/>
    </row>
    <row r="349" spans="1:46" s="1" customFormat="1" x14ac:dyDescent="0.2">
      <c r="A349" s="44"/>
      <c r="B349" s="132"/>
      <c r="C349" s="11"/>
      <c r="D349" s="15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T349" s="96"/>
    </row>
    <row r="350" spans="1:46" x14ac:dyDescent="0.2">
      <c r="A350" s="44" t="s">
        <v>169</v>
      </c>
      <c r="C350" s="10" t="str">
        <f>Параметры!$B$64</f>
        <v>тыс. руб.</v>
      </c>
      <c r="E350" s="82">
        <f t="shared" ref="E350:AR350" si="121">E352</f>
        <v>0</v>
      </c>
      <c r="F350" s="82">
        <f t="shared" si="121"/>
        <v>0</v>
      </c>
      <c r="G350" s="82">
        <f t="shared" si="121"/>
        <v>0</v>
      </c>
      <c r="H350" s="82">
        <f t="shared" si="121"/>
        <v>0</v>
      </c>
      <c r="I350" s="82">
        <f t="shared" si="121"/>
        <v>0</v>
      </c>
      <c r="J350" s="82">
        <f t="shared" si="121"/>
        <v>0</v>
      </c>
      <c r="K350" s="82">
        <f t="shared" si="121"/>
        <v>0</v>
      </c>
      <c r="L350" s="82">
        <f t="shared" si="121"/>
        <v>0</v>
      </c>
      <c r="M350" s="82">
        <f t="shared" si="121"/>
        <v>0</v>
      </c>
      <c r="N350" s="82">
        <f t="shared" si="121"/>
        <v>0</v>
      </c>
      <c r="O350" s="82">
        <f t="shared" si="121"/>
        <v>0</v>
      </c>
      <c r="P350" s="82">
        <f t="shared" si="121"/>
        <v>0</v>
      </c>
      <c r="Q350" s="82">
        <f t="shared" si="121"/>
        <v>0</v>
      </c>
      <c r="R350" s="82">
        <f t="shared" si="121"/>
        <v>0</v>
      </c>
      <c r="S350" s="82">
        <f t="shared" si="121"/>
        <v>0</v>
      </c>
      <c r="T350" s="82">
        <f t="shared" si="121"/>
        <v>0</v>
      </c>
      <c r="U350" s="82">
        <f t="shared" si="121"/>
        <v>0</v>
      </c>
      <c r="V350" s="82">
        <f t="shared" si="121"/>
        <v>0</v>
      </c>
      <c r="W350" s="82">
        <f t="shared" si="121"/>
        <v>0</v>
      </c>
      <c r="X350" s="82">
        <f t="shared" si="121"/>
        <v>0</v>
      </c>
      <c r="Y350" s="82">
        <f t="shared" si="121"/>
        <v>0</v>
      </c>
      <c r="Z350" s="82">
        <f t="shared" si="121"/>
        <v>0</v>
      </c>
      <c r="AA350" s="82">
        <f t="shared" si="121"/>
        <v>0</v>
      </c>
      <c r="AB350" s="82">
        <f t="shared" si="121"/>
        <v>0</v>
      </c>
      <c r="AC350" s="82">
        <f t="shared" si="121"/>
        <v>0</v>
      </c>
      <c r="AD350" s="82">
        <f t="shared" si="121"/>
        <v>0</v>
      </c>
      <c r="AE350" s="82">
        <f t="shared" si="121"/>
        <v>0</v>
      </c>
      <c r="AF350" s="82">
        <f t="shared" si="121"/>
        <v>0</v>
      </c>
      <c r="AG350" s="82">
        <f t="shared" si="121"/>
        <v>0</v>
      </c>
      <c r="AH350" s="82">
        <f t="shared" si="121"/>
        <v>0</v>
      </c>
      <c r="AI350" s="82">
        <f t="shared" si="121"/>
        <v>0</v>
      </c>
      <c r="AJ350" s="82">
        <f t="shared" si="121"/>
        <v>0</v>
      </c>
      <c r="AK350" s="82">
        <f t="shared" si="121"/>
        <v>0</v>
      </c>
      <c r="AL350" s="82">
        <f t="shared" si="121"/>
        <v>0</v>
      </c>
      <c r="AM350" s="82">
        <f t="shared" si="121"/>
        <v>0</v>
      </c>
      <c r="AN350" s="82">
        <f t="shared" si="121"/>
        <v>0</v>
      </c>
      <c r="AO350" s="82">
        <f t="shared" si="121"/>
        <v>0</v>
      </c>
      <c r="AP350" s="82">
        <f t="shared" si="121"/>
        <v>0</v>
      </c>
      <c r="AQ350" s="82">
        <f t="shared" si="121"/>
        <v>0</v>
      </c>
      <c r="AR350" s="82">
        <f t="shared" si="121"/>
        <v>0</v>
      </c>
    </row>
    <row r="351" spans="1:46" collapsed="1" x14ac:dyDescent="0.2">
      <c r="A351" s="63" t="s">
        <v>171</v>
      </c>
      <c r="B351" s="357">
        <v>0</v>
      </c>
      <c r="C351" s="10" t="s">
        <v>65</v>
      </c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</row>
    <row r="352" spans="1:46" s="1" customFormat="1" outlineLevel="1" x14ac:dyDescent="0.2">
      <c r="A352" s="114" t="s">
        <v>231</v>
      </c>
      <c r="B352" s="144">
        <f>Деятельность_УК!B18</f>
        <v>0</v>
      </c>
      <c r="C352" s="16" t="str">
        <f>Параметры!$B$64</f>
        <v>тыс. руб.</v>
      </c>
      <c r="D352" s="40"/>
      <c r="E352" s="356">
        <f>IF(Параметры!E$36=1,$B352,D352)</f>
        <v>0</v>
      </c>
      <c r="F352" s="356">
        <f>IF(Параметры!F$36=1,$B352,E352)</f>
        <v>0</v>
      </c>
      <c r="G352" s="356">
        <f>IF(Параметры!G$36=1,$B352,F352)</f>
        <v>0</v>
      </c>
      <c r="H352" s="356">
        <f>IF(Параметры!H$36=1,$B352,G352)</f>
        <v>0</v>
      </c>
      <c r="I352" s="356">
        <f>IF(Параметры!I$36=1,$B352,H352)</f>
        <v>0</v>
      </c>
      <c r="J352" s="356">
        <f>IF(Параметры!J$36=1,$B352,I352)</f>
        <v>0</v>
      </c>
      <c r="K352" s="356">
        <f>IF(Параметры!K$36=1,$B352,J352)</f>
        <v>0</v>
      </c>
      <c r="L352" s="356">
        <f>IF(Параметры!L$36=1,$B352,K352)</f>
        <v>0</v>
      </c>
      <c r="M352" s="356">
        <f>IF(Параметры!M$36=1,$B352,L352)</f>
        <v>0</v>
      </c>
      <c r="N352" s="356">
        <f>IF(Параметры!N$36=1,$B352,M352)</f>
        <v>0</v>
      </c>
      <c r="O352" s="356">
        <f>IF(Параметры!O$36=1,$B352,N352)</f>
        <v>0</v>
      </c>
      <c r="P352" s="356">
        <f>IF(Параметры!P$36=1,$B352,O352)</f>
        <v>0</v>
      </c>
      <c r="Q352" s="356">
        <f>IF(Параметры!Q$36=1,$B352,P352)</f>
        <v>0</v>
      </c>
      <c r="R352" s="356">
        <f>IF(Параметры!R$36=1,$B352,Q352)</f>
        <v>0</v>
      </c>
      <c r="S352" s="356">
        <f>IF(Параметры!S$36=1,$B352,R352)</f>
        <v>0</v>
      </c>
      <c r="T352" s="356">
        <f>IF(Параметры!T$36=1,$B352,S352)</f>
        <v>0</v>
      </c>
      <c r="U352" s="356">
        <f>IF(Параметры!U$36=1,$B352,T352)</f>
        <v>0</v>
      </c>
      <c r="V352" s="356">
        <f>IF(Параметры!V$36=1,$B352,U352)</f>
        <v>0</v>
      </c>
      <c r="W352" s="356">
        <f>IF(Параметры!W$36=1,$B352,V352)</f>
        <v>0</v>
      </c>
      <c r="X352" s="356">
        <f>IF(Параметры!X$36=1,$B352,W352)</f>
        <v>0</v>
      </c>
      <c r="Y352" s="356">
        <f>IF(Параметры!Y$36=1,$B352,X352)</f>
        <v>0</v>
      </c>
      <c r="Z352" s="356">
        <f>IF(Параметры!Z$36=1,$B352,Y352)</f>
        <v>0</v>
      </c>
      <c r="AA352" s="356">
        <f>IF(Параметры!AA$36=1,$B352,Z352)</f>
        <v>0</v>
      </c>
      <c r="AB352" s="356">
        <f>IF(Параметры!AB$36=1,$B352,AA352)</f>
        <v>0</v>
      </c>
      <c r="AC352" s="356">
        <f>IF(Параметры!AC$36=1,$B352,AB352)</f>
        <v>0</v>
      </c>
      <c r="AD352" s="356">
        <f>IF(Параметры!AD$36=1,$B352,AC352)</f>
        <v>0</v>
      </c>
      <c r="AE352" s="356">
        <f>IF(Параметры!AE$36=1,$B352,AD352)</f>
        <v>0</v>
      </c>
      <c r="AF352" s="356">
        <f>IF(Параметры!AF$36=1,$B352,AE352)</f>
        <v>0</v>
      </c>
      <c r="AG352" s="356">
        <f>IF(Параметры!AG$36=1,$B352,AF352)</f>
        <v>0</v>
      </c>
      <c r="AH352" s="356">
        <f>IF(Параметры!AH$36=1,$B352,AG352)</f>
        <v>0</v>
      </c>
      <c r="AI352" s="356">
        <f>IF(Параметры!AI$36=1,$B352,AH352)</f>
        <v>0</v>
      </c>
      <c r="AJ352" s="356">
        <f>IF(Параметры!AJ$36=1,$B352,AI352)</f>
        <v>0</v>
      </c>
      <c r="AK352" s="356">
        <f>IF(Параметры!AK$36=1,$B352,AJ352)</f>
        <v>0</v>
      </c>
      <c r="AL352" s="356">
        <f>IF(Параметры!AL$36=1,$B352,AK352)</f>
        <v>0</v>
      </c>
      <c r="AM352" s="356">
        <f>IF(Параметры!AM$36=1,$B352,AL352)</f>
        <v>0</v>
      </c>
      <c r="AN352" s="356">
        <f>IF(Параметры!AN$36=1,$B352,AM352)</f>
        <v>0</v>
      </c>
      <c r="AO352" s="356">
        <f>IF(Параметры!AO$36=1,$B352,AN352)</f>
        <v>0</v>
      </c>
      <c r="AP352" s="356">
        <f>IF(Параметры!AP$36=1,$B352,AO352)</f>
        <v>0</v>
      </c>
      <c r="AQ352" s="356">
        <f>IF(Параметры!AQ$36=1,$B352,AP352)</f>
        <v>0</v>
      </c>
      <c r="AR352" s="356">
        <f>IF(Параметры!AR$36=1,$B352,AQ352)</f>
        <v>0</v>
      </c>
      <c r="AT352" s="96"/>
    </row>
    <row r="353" spans="1:46" s="1" customFormat="1" outlineLevel="1" x14ac:dyDescent="0.2">
      <c r="A353" s="114" t="s">
        <v>232</v>
      </c>
      <c r="B353" s="114"/>
      <c r="C353" s="16" t="str">
        <f>Параметры!$B$64</f>
        <v>тыс. руб.</v>
      </c>
      <c r="D353" s="40"/>
      <c r="E353" s="121">
        <f>IF(Параметры!E$36=1,$B352-E352,D352-E352)</f>
        <v>0</v>
      </c>
      <c r="F353" s="121">
        <f>IF(Параметры!F$36=1,$B352-F352,E352-F352)</f>
        <v>0</v>
      </c>
      <c r="G353" s="121">
        <f>IF(Параметры!G$36=1,$B352-G352,F352-G352)</f>
        <v>0</v>
      </c>
      <c r="H353" s="121">
        <f>IF(Параметры!H$36=1,$B352-H352,G352-H352)</f>
        <v>0</v>
      </c>
      <c r="I353" s="121">
        <f>IF(Параметры!I$36=1,$B352-I352,H352-I352)</f>
        <v>0</v>
      </c>
      <c r="J353" s="121">
        <f>IF(Параметры!J$36=1,$B352-J352,I352-J352)</f>
        <v>0</v>
      </c>
      <c r="K353" s="121">
        <f>IF(Параметры!K$36=1,$B352-K352,J352-K352)</f>
        <v>0</v>
      </c>
      <c r="L353" s="121">
        <f>IF(Параметры!L$36=1,$B352-L352,K352-L352)</f>
        <v>0</v>
      </c>
      <c r="M353" s="121">
        <f>IF(Параметры!M$36=1,$B352-M352,L352-M352)</f>
        <v>0</v>
      </c>
      <c r="N353" s="121">
        <f>IF(Параметры!N$36=1,$B352-N352,M352-N352)</f>
        <v>0</v>
      </c>
      <c r="O353" s="121">
        <f>IF(Параметры!O$36=1,$B352-O352,N352-O352)</f>
        <v>0</v>
      </c>
      <c r="P353" s="121">
        <f>IF(Параметры!P$36=1,$B352-P352,O352-P352)</f>
        <v>0</v>
      </c>
      <c r="Q353" s="121">
        <f>IF(Параметры!Q$36=1,$B352-Q352,P352-Q352)</f>
        <v>0</v>
      </c>
      <c r="R353" s="121">
        <f>IF(Параметры!R$36=1,$B352-R352,Q352-R352)</f>
        <v>0</v>
      </c>
      <c r="S353" s="121">
        <f>IF(Параметры!S$36=1,$B352-S352,R352-S352)</f>
        <v>0</v>
      </c>
      <c r="T353" s="121">
        <f>IF(Параметры!T$36=1,$B352-T352,S352-T352)</f>
        <v>0</v>
      </c>
      <c r="U353" s="121">
        <f>IF(Параметры!U$36=1,$B352-U352,T352-U352)</f>
        <v>0</v>
      </c>
      <c r="V353" s="121">
        <f>IF(Параметры!V$36=1,$B352-V352,U352-V352)</f>
        <v>0</v>
      </c>
      <c r="W353" s="121">
        <f>IF(Параметры!W$36=1,$B352-W352,V352-W352)</f>
        <v>0</v>
      </c>
      <c r="X353" s="121">
        <f>IF(Параметры!X$36=1,$B352-X352,W352-X352)</f>
        <v>0</v>
      </c>
      <c r="Y353" s="121">
        <f>IF(Параметры!Y$36=1,$B352-Y352,X352-Y352)</f>
        <v>0</v>
      </c>
      <c r="Z353" s="121">
        <f>IF(Параметры!Z$36=1,$B352-Z352,Y352-Z352)</f>
        <v>0</v>
      </c>
      <c r="AA353" s="121">
        <f>IF(Параметры!AA$36=1,$B352-AA352,Z352-AA352)</f>
        <v>0</v>
      </c>
      <c r="AB353" s="121">
        <f>IF(Параметры!AB$36=1,$B352-AB352,AA352-AB352)</f>
        <v>0</v>
      </c>
      <c r="AC353" s="121">
        <f>IF(Параметры!AC$36=1,$B352-AC352,AB352-AC352)</f>
        <v>0</v>
      </c>
      <c r="AD353" s="121">
        <f>IF(Параметры!AD$36=1,$B352-AD352,AC352-AD352)</f>
        <v>0</v>
      </c>
      <c r="AE353" s="121">
        <f>IF(Параметры!AE$36=1,$B352-AE352,AD352-AE352)</f>
        <v>0</v>
      </c>
      <c r="AF353" s="121">
        <f>IF(Параметры!AF$36=1,$B352-AF352,AE352-AF352)</f>
        <v>0</v>
      </c>
      <c r="AG353" s="121">
        <f>IF(Параметры!AG$36=1,$B352-AG352,AF352-AG352)</f>
        <v>0</v>
      </c>
      <c r="AH353" s="121">
        <f>IF(Параметры!AH$36=1,$B352-AH352,AG352-AH352)</f>
        <v>0</v>
      </c>
      <c r="AI353" s="121">
        <f>IF(Параметры!AI$36=1,$B352-AI352,AH352-AI352)</f>
        <v>0</v>
      </c>
      <c r="AJ353" s="121">
        <f>IF(Параметры!AJ$36=1,$B352-AJ352,AI352-AJ352)</f>
        <v>0</v>
      </c>
      <c r="AK353" s="121">
        <f>IF(Параметры!AK$36=1,$B352-AK352,AJ352-AK352)</f>
        <v>0</v>
      </c>
      <c r="AL353" s="121">
        <f>IF(Параметры!AL$36=1,$B352-AL352,AK352-AL352)</f>
        <v>0</v>
      </c>
      <c r="AM353" s="121">
        <f>IF(Параметры!AM$36=1,$B352-AM352,AL352-AM352)</f>
        <v>0</v>
      </c>
      <c r="AN353" s="121">
        <f>IF(Параметры!AN$36=1,$B352-AN352,AM352-AN352)</f>
        <v>0</v>
      </c>
      <c r="AO353" s="121">
        <f>IF(Параметры!AO$36=1,$B352-AO352,AN352-AO352)</f>
        <v>0</v>
      </c>
      <c r="AP353" s="121">
        <f>IF(Параметры!AP$36=1,$B352-AP352,AO352-AP352)</f>
        <v>0</v>
      </c>
      <c r="AQ353" s="121">
        <f>IF(Параметры!AQ$36=1,$B352-AQ352,AP352-AQ352)</f>
        <v>0</v>
      </c>
      <c r="AR353" s="121">
        <f>IF(Параметры!AR$36=1,$B352-AR352,AQ352-AR352)</f>
        <v>0</v>
      </c>
      <c r="AT353" s="96"/>
    </row>
    <row r="354" spans="1:46" x14ac:dyDescent="0.2">
      <c r="A354" s="44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</row>
    <row r="355" spans="1:46" x14ac:dyDescent="0.2">
      <c r="A355" s="44" t="s">
        <v>240</v>
      </c>
      <c r="C355" s="10" t="str">
        <f>Параметры!$B$64</f>
        <v>тыс. руб.</v>
      </c>
      <c r="E355" s="82">
        <f t="shared" ref="E355:AR355" si="122">E357</f>
        <v>0</v>
      </c>
      <c r="F355" s="82">
        <f t="shared" si="122"/>
        <v>0</v>
      </c>
      <c r="G355" s="82">
        <f t="shared" si="122"/>
        <v>0</v>
      </c>
      <c r="H355" s="82">
        <f t="shared" si="122"/>
        <v>0</v>
      </c>
      <c r="I355" s="82">
        <f t="shared" si="122"/>
        <v>0</v>
      </c>
      <c r="J355" s="82">
        <f t="shared" si="122"/>
        <v>0</v>
      </c>
      <c r="K355" s="82">
        <f t="shared" si="122"/>
        <v>0</v>
      </c>
      <c r="L355" s="82">
        <f t="shared" si="122"/>
        <v>0</v>
      </c>
      <c r="M355" s="82">
        <f t="shared" si="122"/>
        <v>0</v>
      </c>
      <c r="N355" s="82">
        <f t="shared" si="122"/>
        <v>0</v>
      </c>
      <c r="O355" s="82">
        <f t="shared" si="122"/>
        <v>0</v>
      </c>
      <c r="P355" s="82">
        <f t="shared" si="122"/>
        <v>0</v>
      </c>
      <c r="Q355" s="82">
        <f t="shared" si="122"/>
        <v>0</v>
      </c>
      <c r="R355" s="82">
        <f t="shared" si="122"/>
        <v>0</v>
      </c>
      <c r="S355" s="82">
        <f t="shared" si="122"/>
        <v>0</v>
      </c>
      <c r="T355" s="82">
        <f t="shared" si="122"/>
        <v>0</v>
      </c>
      <c r="U355" s="82">
        <f t="shared" si="122"/>
        <v>0</v>
      </c>
      <c r="V355" s="82">
        <f t="shared" si="122"/>
        <v>0</v>
      </c>
      <c r="W355" s="82">
        <f t="shared" si="122"/>
        <v>0</v>
      </c>
      <c r="X355" s="82">
        <f t="shared" si="122"/>
        <v>0</v>
      </c>
      <c r="Y355" s="82">
        <f t="shared" si="122"/>
        <v>0</v>
      </c>
      <c r="Z355" s="82">
        <f t="shared" si="122"/>
        <v>0</v>
      </c>
      <c r="AA355" s="82">
        <f t="shared" si="122"/>
        <v>0</v>
      </c>
      <c r="AB355" s="82">
        <f t="shared" si="122"/>
        <v>0</v>
      </c>
      <c r="AC355" s="82">
        <f t="shared" si="122"/>
        <v>0</v>
      </c>
      <c r="AD355" s="82">
        <f t="shared" si="122"/>
        <v>0</v>
      </c>
      <c r="AE355" s="82">
        <f t="shared" si="122"/>
        <v>0</v>
      </c>
      <c r="AF355" s="82">
        <f t="shared" si="122"/>
        <v>0</v>
      </c>
      <c r="AG355" s="82">
        <f t="shared" si="122"/>
        <v>0</v>
      </c>
      <c r="AH355" s="82">
        <f t="shared" si="122"/>
        <v>0</v>
      </c>
      <c r="AI355" s="82">
        <f t="shared" si="122"/>
        <v>0</v>
      </c>
      <c r="AJ355" s="82">
        <f t="shared" si="122"/>
        <v>0</v>
      </c>
      <c r="AK355" s="82">
        <f t="shared" si="122"/>
        <v>0</v>
      </c>
      <c r="AL355" s="82">
        <f t="shared" si="122"/>
        <v>0</v>
      </c>
      <c r="AM355" s="82">
        <f t="shared" si="122"/>
        <v>0</v>
      </c>
      <c r="AN355" s="82">
        <f t="shared" si="122"/>
        <v>0</v>
      </c>
      <c r="AO355" s="82">
        <f t="shared" si="122"/>
        <v>0</v>
      </c>
      <c r="AP355" s="82">
        <f t="shared" si="122"/>
        <v>0</v>
      </c>
      <c r="AQ355" s="82">
        <f t="shared" si="122"/>
        <v>0</v>
      </c>
      <c r="AR355" s="82">
        <f t="shared" si="122"/>
        <v>0</v>
      </c>
    </row>
    <row r="356" spans="1:46" collapsed="1" x14ac:dyDescent="0.2">
      <c r="A356" s="63" t="s">
        <v>71</v>
      </c>
      <c r="B356" s="357">
        <v>0</v>
      </c>
      <c r="C356" s="10" t="s">
        <v>65</v>
      </c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</row>
    <row r="357" spans="1:46" s="1" customFormat="1" outlineLevel="1" x14ac:dyDescent="0.2">
      <c r="A357" s="114" t="s">
        <v>231</v>
      </c>
      <c r="B357" s="144">
        <f>Деятельность_УК!B37</f>
        <v>0</v>
      </c>
      <c r="C357" s="16" t="str">
        <f>Параметры!$B$64</f>
        <v>тыс. руб.</v>
      </c>
      <c r="D357" s="40"/>
      <c r="E357" s="356">
        <f>IF(Параметры!E$36=1,$B357,D357)</f>
        <v>0</v>
      </c>
      <c r="F357" s="356">
        <f>IF(Параметры!F$36=1,$B357,E357)</f>
        <v>0</v>
      </c>
      <c r="G357" s="356">
        <f>IF(Параметры!G$36=1,$B357,F357)</f>
        <v>0</v>
      </c>
      <c r="H357" s="356">
        <f>IF(Параметры!H$36=1,$B357,G357)</f>
        <v>0</v>
      </c>
      <c r="I357" s="356">
        <f>IF(Параметры!I$36=1,$B357,H357)</f>
        <v>0</v>
      </c>
      <c r="J357" s="356">
        <f>IF(Параметры!J$36=1,$B357,I357)</f>
        <v>0</v>
      </c>
      <c r="K357" s="356">
        <f>IF(Параметры!K$36=1,$B357,J357)</f>
        <v>0</v>
      </c>
      <c r="L357" s="356">
        <f>IF(Параметры!L$36=1,$B357,K357)</f>
        <v>0</v>
      </c>
      <c r="M357" s="356">
        <f>IF(Параметры!M$36=1,$B357,L357)</f>
        <v>0</v>
      </c>
      <c r="N357" s="356">
        <f>IF(Параметры!N$36=1,$B357,M357)</f>
        <v>0</v>
      </c>
      <c r="O357" s="356">
        <f>IF(Параметры!O$36=1,$B357,N357)</f>
        <v>0</v>
      </c>
      <c r="P357" s="356">
        <f>IF(Параметры!P$36=1,$B357,O357)</f>
        <v>0</v>
      </c>
      <c r="Q357" s="356">
        <f>IF(Параметры!Q$36=1,$B357,P357)</f>
        <v>0</v>
      </c>
      <c r="R357" s="356">
        <f>IF(Параметры!R$36=1,$B357,Q357)</f>
        <v>0</v>
      </c>
      <c r="S357" s="356">
        <f>IF(Параметры!S$36=1,$B357,R357)</f>
        <v>0</v>
      </c>
      <c r="T357" s="356">
        <f>IF(Параметры!T$36=1,$B357,S357)</f>
        <v>0</v>
      </c>
      <c r="U357" s="356">
        <f>IF(Параметры!U$36=1,$B357,T357)</f>
        <v>0</v>
      </c>
      <c r="V357" s="356">
        <f>IF(Параметры!V$36=1,$B357,U357)</f>
        <v>0</v>
      </c>
      <c r="W357" s="356">
        <f>IF(Параметры!W$36=1,$B357,V357)</f>
        <v>0</v>
      </c>
      <c r="X357" s="356">
        <f>IF(Параметры!X$36=1,$B357,W357)</f>
        <v>0</v>
      </c>
      <c r="Y357" s="356">
        <f>IF(Параметры!Y$36=1,$B357,X357)</f>
        <v>0</v>
      </c>
      <c r="Z357" s="356">
        <f>IF(Параметры!Z$36=1,$B357,Y357)</f>
        <v>0</v>
      </c>
      <c r="AA357" s="356">
        <f>IF(Параметры!AA$36=1,$B357,Z357)</f>
        <v>0</v>
      </c>
      <c r="AB357" s="356">
        <f>IF(Параметры!AB$36=1,$B357,AA357)</f>
        <v>0</v>
      </c>
      <c r="AC357" s="356">
        <f>IF(Параметры!AC$36=1,$B357,AB357)</f>
        <v>0</v>
      </c>
      <c r="AD357" s="356">
        <f>IF(Параметры!AD$36=1,$B357,AC357)</f>
        <v>0</v>
      </c>
      <c r="AE357" s="356">
        <f>IF(Параметры!AE$36=1,$B357,AD357)</f>
        <v>0</v>
      </c>
      <c r="AF357" s="356">
        <f>IF(Параметры!AF$36=1,$B357,AE357)</f>
        <v>0</v>
      </c>
      <c r="AG357" s="356">
        <f>IF(Параметры!AG$36=1,$B357,AF357)</f>
        <v>0</v>
      </c>
      <c r="AH357" s="356">
        <f>IF(Параметры!AH$36=1,$B357,AG357)</f>
        <v>0</v>
      </c>
      <c r="AI357" s="356">
        <f>IF(Параметры!AI$36=1,$B357,AH357)</f>
        <v>0</v>
      </c>
      <c r="AJ357" s="356">
        <f>IF(Параметры!AJ$36=1,$B357,AI357)</f>
        <v>0</v>
      </c>
      <c r="AK357" s="356">
        <f>IF(Параметры!AK$36=1,$B357,AJ357)</f>
        <v>0</v>
      </c>
      <c r="AL357" s="356">
        <f>IF(Параметры!AL$36=1,$B357,AK357)</f>
        <v>0</v>
      </c>
      <c r="AM357" s="356">
        <f>IF(Параметры!AM$36=1,$B357,AL357)</f>
        <v>0</v>
      </c>
      <c r="AN357" s="356">
        <f>IF(Параметры!AN$36=1,$B357,AM357)</f>
        <v>0</v>
      </c>
      <c r="AO357" s="356">
        <f>IF(Параметры!AO$36=1,$B357,AN357)</f>
        <v>0</v>
      </c>
      <c r="AP357" s="356">
        <f>IF(Параметры!AP$36=1,$B357,AO357)</f>
        <v>0</v>
      </c>
      <c r="AQ357" s="356">
        <f>IF(Параметры!AQ$36=1,$B357,AP357)</f>
        <v>0</v>
      </c>
      <c r="AR357" s="356">
        <f>IF(Параметры!AR$36=1,$B357,AQ357)</f>
        <v>0</v>
      </c>
      <c r="AT357" s="96"/>
    </row>
    <row r="358" spans="1:46" s="1" customFormat="1" outlineLevel="1" x14ac:dyDescent="0.2">
      <c r="A358" s="114" t="s">
        <v>232</v>
      </c>
      <c r="B358" s="114"/>
      <c r="C358" s="16" t="str">
        <f>Параметры!$B$64</f>
        <v>тыс. руб.</v>
      </c>
      <c r="D358" s="40"/>
      <c r="E358" s="121">
        <f>IF(Параметры!E$36=1,E357-$B357,E357-D357)</f>
        <v>0</v>
      </c>
      <c r="F358" s="121">
        <f>IF(Параметры!F$36=1,F357-$B357,F357-E357)</f>
        <v>0</v>
      </c>
      <c r="G358" s="121">
        <f>IF(Параметры!G$36=1,G357-$B357,G357-F357)</f>
        <v>0</v>
      </c>
      <c r="H358" s="121">
        <f>IF(Параметры!H$36=1,H357-$B357,H357-G357)</f>
        <v>0</v>
      </c>
      <c r="I358" s="121">
        <f>IF(Параметры!I$36=1,I357-$B357,I357-H357)</f>
        <v>0</v>
      </c>
      <c r="J358" s="121">
        <f>IF(Параметры!J$36=1,J357-$B357,J357-I357)</f>
        <v>0</v>
      </c>
      <c r="K358" s="121">
        <f>IF(Параметры!K$36=1,K357-$B357,K357-J357)</f>
        <v>0</v>
      </c>
      <c r="L358" s="121">
        <f>IF(Параметры!L$36=1,L357-$B357,L357-K357)</f>
        <v>0</v>
      </c>
      <c r="M358" s="121">
        <f>IF(Параметры!M$36=1,M357-$B357,M357-L357)</f>
        <v>0</v>
      </c>
      <c r="N358" s="121">
        <f>IF(Параметры!N$36=1,N357-$B357,N357-M357)</f>
        <v>0</v>
      </c>
      <c r="O358" s="121">
        <f>IF(Параметры!O$36=1,O357-$B357,O357-N357)</f>
        <v>0</v>
      </c>
      <c r="P358" s="121">
        <f>IF(Параметры!P$36=1,P357-$B357,P357-O357)</f>
        <v>0</v>
      </c>
      <c r="Q358" s="121">
        <f>IF(Параметры!Q$36=1,Q357-$B357,Q357-P357)</f>
        <v>0</v>
      </c>
      <c r="R358" s="121">
        <f>IF(Параметры!R$36=1,R357-$B357,R357-Q357)</f>
        <v>0</v>
      </c>
      <c r="S358" s="121">
        <f>IF(Параметры!S$36=1,S357-$B357,S357-R357)</f>
        <v>0</v>
      </c>
      <c r="T358" s="121">
        <f>IF(Параметры!T$36=1,T357-$B357,T357-S357)</f>
        <v>0</v>
      </c>
      <c r="U358" s="121">
        <f>IF(Параметры!U$36=1,U357-$B357,U357-T357)</f>
        <v>0</v>
      </c>
      <c r="V358" s="121">
        <f>IF(Параметры!V$36=1,V357-$B357,V357-U357)</f>
        <v>0</v>
      </c>
      <c r="W358" s="121">
        <f>IF(Параметры!W$36=1,W357-$B357,W357-V357)</f>
        <v>0</v>
      </c>
      <c r="X358" s="121">
        <f>IF(Параметры!X$36=1,X357-$B357,X357-W357)</f>
        <v>0</v>
      </c>
      <c r="Y358" s="121">
        <f>IF(Параметры!Y$36=1,Y357-$B357,Y357-X357)</f>
        <v>0</v>
      </c>
      <c r="Z358" s="121">
        <f>IF(Параметры!Z$36=1,Z357-$B357,Z357-Y357)</f>
        <v>0</v>
      </c>
      <c r="AA358" s="121">
        <f>IF(Параметры!AA$36=1,AA357-$B357,AA357-Z357)</f>
        <v>0</v>
      </c>
      <c r="AB358" s="121">
        <f>IF(Параметры!AB$36=1,AB357-$B357,AB357-AA357)</f>
        <v>0</v>
      </c>
      <c r="AC358" s="121">
        <f>IF(Параметры!AC$36=1,AC357-$B357,AC357-AB357)</f>
        <v>0</v>
      </c>
      <c r="AD358" s="121">
        <f>IF(Параметры!AD$36=1,AD357-$B357,AD357-AC357)</f>
        <v>0</v>
      </c>
      <c r="AE358" s="121">
        <f>IF(Параметры!AE$36=1,AE357-$B357,AE357-AD357)</f>
        <v>0</v>
      </c>
      <c r="AF358" s="121">
        <f>IF(Параметры!AF$36=1,AF357-$B357,AF357-AE357)</f>
        <v>0</v>
      </c>
      <c r="AG358" s="121">
        <f>IF(Параметры!AG$36=1,AG357-$B357,AG357-AF357)</f>
        <v>0</v>
      </c>
      <c r="AH358" s="121">
        <f>IF(Параметры!AH$36=1,AH357-$B357,AH357-AG357)</f>
        <v>0</v>
      </c>
      <c r="AI358" s="121">
        <f>IF(Параметры!AI$36=1,AI357-$B357,AI357-AH357)</f>
        <v>0</v>
      </c>
      <c r="AJ358" s="121">
        <f>IF(Параметры!AJ$36=1,AJ357-$B357,AJ357-AI357)</f>
        <v>0</v>
      </c>
      <c r="AK358" s="121">
        <f>IF(Параметры!AK$36=1,AK357-$B357,AK357-AJ357)</f>
        <v>0</v>
      </c>
      <c r="AL358" s="121">
        <f>IF(Параметры!AL$36=1,AL357-$B357,AL357-AK357)</f>
        <v>0</v>
      </c>
      <c r="AM358" s="121">
        <f>IF(Параметры!AM$36=1,AM357-$B357,AM357-AL357)</f>
        <v>0</v>
      </c>
      <c r="AN358" s="121">
        <f>IF(Параметры!AN$36=1,AN357-$B357,AN357-AM357)</f>
        <v>0</v>
      </c>
      <c r="AO358" s="121">
        <f>IF(Параметры!AO$36=1,AO357-$B357,AO357-AN357)</f>
        <v>0</v>
      </c>
      <c r="AP358" s="121">
        <f>IF(Параметры!AP$36=1,AP357-$B357,AP357-AO357)</f>
        <v>0</v>
      </c>
      <c r="AQ358" s="121">
        <f>IF(Параметры!AQ$36=1,AQ357-$B357,AQ357-AP357)</f>
        <v>0</v>
      </c>
      <c r="AR358" s="121">
        <f>IF(Параметры!AR$36=1,AR357-$B357,AR357-AQ357)</f>
        <v>0</v>
      </c>
      <c r="AT358" s="96"/>
    </row>
    <row r="359" spans="1:46" s="1" customFormat="1" x14ac:dyDescent="0.2">
      <c r="A359" s="44"/>
      <c r="B359" s="132"/>
      <c r="C359" s="11"/>
      <c r="D359" s="15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T359" s="96"/>
    </row>
    <row r="360" spans="1:46" x14ac:dyDescent="0.2">
      <c r="A360" s="44" t="s">
        <v>170</v>
      </c>
      <c r="C360" s="10" t="str">
        <f>Параметры!$B$64</f>
        <v>тыс. руб.</v>
      </c>
      <c r="E360" s="82">
        <f t="shared" ref="E360:AR360" si="123">E362</f>
        <v>0</v>
      </c>
      <c r="F360" s="82">
        <f t="shared" si="123"/>
        <v>0</v>
      </c>
      <c r="G360" s="82">
        <f t="shared" si="123"/>
        <v>0</v>
      </c>
      <c r="H360" s="82">
        <f t="shared" si="123"/>
        <v>0</v>
      </c>
      <c r="I360" s="82">
        <f t="shared" si="123"/>
        <v>0</v>
      </c>
      <c r="J360" s="82">
        <f t="shared" si="123"/>
        <v>0</v>
      </c>
      <c r="K360" s="82">
        <f t="shared" si="123"/>
        <v>0</v>
      </c>
      <c r="L360" s="82">
        <f t="shared" si="123"/>
        <v>0</v>
      </c>
      <c r="M360" s="82">
        <f t="shared" si="123"/>
        <v>0</v>
      </c>
      <c r="N360" s="82">
        <f t="shared" si="123"/>
        <v>0</v>
      </c>
      <c r="O360" s="82">
        <f t="shared" si="123"/>
        <v>0</v>
      </c>
      <c r="P360" s="82">
        <f t="shared" si="123"/>
        <v>0</v>
      </c>
      <c r="Q360" s="82">
        <f t="shared" si="123"/>
        <v>0</v>
      </c>
      <c r="R360" s="82">
        <f t="shared" si="123"/>
        <v>0</v>
      </c>
      <c r="S360" s="82">
        <f t="shared" si="123"/>
        <v>0</v>
      </c>
      <c r="T360" s="82">
        <f t="shared" si="123"/>
        <v>0</v>
      </c>
      <c r="U360" s="82">
        <f t="shared" si="123"/>
        <v>0</v>
      </c>
      <c r="V360" s="82">
        <f t="shared" si="123"/>
        <v>0</v>
      </c>
      <c r="W360" s="82">
        <f t="shared" si="123"/>
        <v>0</v>
      </c>
      <c r="X360" s="82">
        <f t="shared" si="123"/>
        <v>0</v>
      </c>
      <c r="Y360" s="82">
        <f t="shared" si="123"/>
        <v>0</v>
      </c>
      <c r="Z360" s="82">
        <f t="shared" si="123"/>
        <v>0</v>
      </c>
      <c r="AA360" s="82">
        <f t="shared" si="123"/>
        <v>0</v>
      </c>
      <c r="AB360" s="82">
        <f t="shared" si="123"/>
        <v>0</v>
      </c>
      <c r="AC360" s="82">
        <f t="shared" si="123"/>
        <v>0</v>
      </c>
      <c r="AD360" s="82">
        <f t="shared" si="123"/>
        <v>0</v>
      </c>
      <c r="AE360" s="82">
        <f t="shared" si="123"/>
        <v>0</v>
      </c>
      <c r="AF360" s="82">
        <f t="shared" si="123"/>
        <v>0</v>
      </c>
      <c r="AG360" s="82">
        <f t="shared" si="123"/>
        <v>0</v>
      </c>
      <c r="AH360" s="82">
        <f t="shared" si="123"/>
        <v>0</v>
      </c>
      <c r="AI360" s="82">
        <f t="shared" si="123"/>
        <v>0</v>
      </c>
      <c r="AJ360" s="82">
        <f t="shared" si="123"/>
        <v>0</v>
      </c>
      <c r="AK360" s="82">
        <f t="shared" si="123"/>
        <v>0</v>
      </c>
      <c r="AL360" s="82">
        <f t="shared" si="123"/>
        <v>0</v>
      </c>
      <c r="AM360" s="82">
        <f t="shared" si="123"/>
        <v>0</v>
      </c>
      <c r="AN360" s="82">
        <f t="shared" si="123"/>
        <v>0</v>
      </c>
      <c r="AO360" s="82">
        <f t="shared" si="123"/>
        <v>0</v>
      </c>
      <c r="AP360" s="82">
        <f t="shared" si="123"/>
        <v>0</v>
      </c>
      <c r="AQ360" s="82">
        <f t="shared" si="123"/>
        <v>0</v>
      </c>
      <c r="AR360" s="82">
        <f t="shared" si="123"/>
        <v>0</v>
      </c>
    </row>
    <row r="361" spans="1:46" collapsed="1" x14ac:dyDescent="0.2">
      <c r="A361" s="63" t="s">
        <v>70</v>
      </c>
      <c r="B361" s="357">
        <v>0</v>
      </c>
      <c r="C361" s="10" t="s">
        <v>65</v>
      </c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</row>
    <row r="362" spans="1:46" s="1" customFormat="1" outlineLevel="1" x14ac:dyDescent="0.2">
      <c r="A362" s="114" t="s">
        <v>231</v>
      </c>
      <c r="B362" s="144">
        <f>Деятельность_УК!B17</f>
        <v>0</v>
      </c>
      <c r="C362" s="16" t="str">
        <f>Параметры!$B$64</f>
        <v>тыс. руб.</v>
      </c>
      <c r="D362" s="40"/>
      <c r="E362" s="356">
        <f>IF(Параметры!E$36=1,$B362,D362)</f>
        <v>0</v>
      </c>
      <c r="F362" s="356">
        <f>IF(Параметры!F$36=1,$B362,E362)</f>
        <v>0</v>
      </c>
      <c r="G362" s="356">
        <f>IF(Параметры!G$36=1,$B362,F362)</f>
        <v>0</v>
      </c>
      <c r="H362" s="356">
        <f>IF(Параметры!H$36=1,$B362,G362)</f>
        <v>0</v>
      </c>
      <c r="I362" s="356">
        <f>IF(Параметры!I$36=1,$B362,H362)</f>
        <v>0</v>
      </c>
      <c r="J362" s="356">
        <f>IF(Параметры!J$36=1,$B362,I362)</f>
        <v>0</v>
      </c>
      <c r="K362" s="356">
        <f>IF(Параметры!K$36=1,$B362,J362)</f>
        <v>0</v>
      </c>
      <c r="L362" s="356">
        <f>IF(Параметры!L$36=1,$B362,K362)</f>
        <v>0</v>
      </c>
      <c r="M362" s="356">
        <f>IF(Параметры!M$36=1,$B362,L362)</f>
        <v>0</v>
      </c>
      <c r="N362" s="356">
        <f>IF(Параметры!N$36=1,$B362,M362)</f>
        <v>0</v>
      </c>
      <c r="O362" s="356">
        <f>IF(Параметры!O$36=1,$B362,N362)</f>
        <v>0</v>
      </c>
      <c r="P362" s="356">
        <f>IF(Параметры!P$36=1,$B362,O362)</f>
        <v>0</v>
      </c>
      <c r="Q362" s="356">
        <f>IF(Параметры!Q$36=1,$B362,P362)</f>
        <v>0</v>
      </c>
      <c r="R362" s="356">
        <f>IF(Параметры!R$36=1,$B362,Q362)</f>
        <v>0</v>
      </c>
      <c r="S362" s="356">
        <f>IF(Параметры!S$36=1,$B362,R362)</f>
        <v>0</v>
      </c>
      <c r="T362" s="356">
        <f>IF(Параметры!T$36=1,$B362,S362)</f>
        <v>0</v>
      </c>
      <c r="U362" s="356">
        <f>IF(Параметры!U$36=1,$B362,T362)</f>
        <v>0</v>
      </c>
      <c r="V362" s="356">
        <f>IF(Параметры!V$36=1,$B362,U362)</f>
        <v>0</v>
      </c>
      <c r="W362" s="356">
        <f>IF(Параметры!W$36=1,$B362,V362)</f>
        <v>0</v>
      </c>
      <c r="X362" s="356">
        <f>IF(Параметры!X$36=1,$B362,W362)</f>
        <v>0</v>
      </c>
      <c r="Y362" s="356">
        <f>IF(Параметры!Y$36=1,$B362,X362)</f>
        <v>0</v>
      </c>
      <c r="Z362" s="356">
        <f>IF(Параметры!Z$36=1,$B362,Y362)</f>
        <v>0</v>
      </c>
      <c r="AA362" s="356">
        <f>IF(Параметры!AA$36=1,$B362,Z362)</f>
        <v>0</v>
      </c>
      <c r="AB362" s="356">
        <f>IF(Параметры!AB$36=1,$B362,AA362)</f>
        <v>0</v>
      </c>
      <c r="AC362" s="356">
        <f>IF(Параметры!AC$36=1,$B362,AB362)</f>
        <v>0</v>
      </c>
      <c r="AD362" s="356">
        <f>IF(Параметры!AD$36=1,$B362,AC362)</f>
        <v>0</v>
      </c>
      <c r="AE362" s="356">
        <f>IF(Параметры!AE$36=1,$B362,AD362)</f>
        <v>0</v>
      </c>
      <c r="AF362" s="356">
        <f>IF(Параметры!AF$36=1,$B362,AE362)</f>
        <v>0</v>
      </c>
      <c r="AG362" s="356">
        <f>IF(Параметры!AG$36=1,$B362,AF362)</f>
        <v>0</v>
      </c>
      <c r="AH362" s="356">
        <f>IF(Параметры!AH$36=1,$B362,AG362)</f>
        <v>0</v>
      </c>
      <c r="AI362" s="356">
        <f>IF(Параметры!AI$36=1,$B362,AH362)</f>
        <v>0</v>
      </c>
      <c r="AJ362" s="356">
        <f>IF(Параметры!AJ$36=1,$B362,AI362)</f>
        <v>0</v>
      </c>
      <c r="AK362" s="356">
        <f>IF(Параметры!AK$36=1,$B362,AJ362)</f>
        <v>0</v>
      </c>
      <c r="AL362" s="356">
        <f>IF(Параметры!AL$36=1,$B362,AK362)</f>
        <v>0</v>
      </c>
      <c r="AM362" s="356">
        <f>IF(Параметры!AM$36=1,$B362,AL362)</f>
        <v>0</v>
      </c>
      <c r="AN362" s="356">
        <f>IF(Параметры!AN$36=1,$B362,AM362)</f>
        <v>0</v>
      </c>
      <c r="AO362" s="356">
        <f>IF(Параметры!AO$36=1,$B362,AN362)</f>
        <v>0</v>
      </c>
      <c r="AP362" s="356">
        <f>IF(Параметры!AP$36=1,$B362,AO362)</f>
        <v>0</v>
      </c>
      <c r="AQ362" s="356">
        <f>IF(Параметры!AQ$36=1,$B362,AP362)</f>
        <v>0</v>
      </c>
      <c r="AR362" s="356">
        <f>IF(Параметры!AR$36=1,$B362,AQ362)</f>
        <v>0</v>
      </c>
      <c r="AT362" s="96"/>
    </row>
    <row r="363" spans="1:46" s="1" customFormat="1" outlineLevel="1" x14ac:dyDescent="0.2">
      <c r="A363" s="114" t="s">
        <v>232</v>
      </c>
      <c r="B363" s="114"/>
      <c r="C363" s="16" t="str">
        <f>Параметры!$B$64</f>
        <v>тыс. руб.</v>
      </c>
      <c r="D363" s="40"/>
      <c r="E363" s="121">
        <f>IF(Параметры!E$36=1,$B362-E362,D362-E362)</f>
        <v>0</v>
      </c>
      <c r="F363" s="121">
        <f>IF(Параметры!F$36=1,$B362-F362,E362-F362)</f>
        <v>0</v>
      </c>
      <c r="G363" s="121">
        <f>IF(Параметры!G$36=1,$B362-G362,F362-G362)</f>
        <v>0</v>
      </c>
      <c r="H363" s="121">
        <f>IF(Параметры!H$36=1,$B362-H362,G362-H362)</f>
        <v>0</v>
      </c>
      <c r="I363" s="121">
        <f>IF(Параметры!I$36=1,$B362-I362,H362-I362)</f>
        <v>0</v>
      </c>
      <c r="J363" s="121">
        <f>IF(Параметры!J$36=1,$B362-J362,I362-J362)</f>
        <v>0</v>
      </c>
      <c r="K363" s="121">
        <f>IF(Параметры!K$36=1,$B362-K362,J362-K362)</f>
        <v>0</v>
      </c>
      <c r="L363" s="121">
        <f>IF(Параметры!L$36=1,$B362-L362,K362-L362)</f>
        <v>0</v>
      </c>
      <c r="M363" s="121">
        <f>IF(Параметры!M$36=1,$B362-M362,L362-M362)</f>
        <v>0</v>
      </c>
      <c r="N363" s="121">
        <f>IF(Параметры!N$36=1,$B362-N362,M362-N362)</f>
        <v>0</v>
      </c>
      <c r="O363" s="121">
        <f>IF(Параметры!O$36=1,$B362-O362,N362-O362)</f>
        <v>0</v>
      </c>
      <c r="P363" s="121">
        <f>IF(Параметры!P$36=1,$B362-P362,O362-P362)</f>
        <v>0</v>
      </c>
      <c r="Q363" s="121">
        <f>IF(Параметры!Q$36=1,$B362-Q362,P362-Q362)</f>
        <v>0</v>
      </c>
      <c r="R363" s="121">
        <f>IF(Параметры!R$36=1,$B362-R362,Q362-R362)</f>
        <v>0</v>
      </c>
      <c r="S363" s="121">
        <f>IF(Параметры!S$36=1,$B362-S362,R362-S362)</f>
        <v>0</v>
      </c>
      <c r="T363" s="121">
        <f>IF(Параметры!T$36=1,$B362-T362,S362-T362)</f>
        <v>0</v>
      </c>
      <c r="U363" s="121">
        <f>IF(Параметры!U$36=1,$B362-U362,T362-U362)</f>
        <v>0</v>
      </c>
      <c r="V363" s="121">
        <f>IF(Параметры!V$36=1,$B362-V362,U362-V362)</f>
        <v>0</v>
      </c>
      <c r="W363" s="121">
        <f>IF(Параметры!W$36=1,$B362-W362,V362-W362)</f>
        <v>0</v>
      </c>
      <c r="X363" s="121">
        <f>IF(Параметры!X$36=1,$B362-X362,W362-X362)</f>
        <v>0</v>
      </c>
      <c r="Y363" s="121">
        <f>IF(Параметры!Y$36=1,$B362-Y362,X362-Y362)</f>
        <v>0</v>
      </c>
      <c r="Z363" s="121">
        <f>IF(Параметры!Z$36=1,$B362-Z362,Y362-Z362)</f>
        <v>0</v>
      </c>
      <c r="AA363" s="121">
        <f>IF(Параметры!AA$36=1,$B362-AA362,Z362-AA362)</f>
        <v>0</v>
      </c>
      <c r="AB363" s="121">
        <f>IF(Параметры!AB$36=1,$B362-AB362,AA362-AB362)</f>
        <v>0</v>
      </c>
      <c r="AC363" s="121">
        <f>IF(Параметры!AC$36=1,$B362-AC362,AB362-AC362)</f>
        <v>0</v>
      </c>
      <c r="AD363" s="121">
        <f>IF(Параметры!AD$36=1,$B362-AD362,AC362-AD362)</f>
        <v>0</v>
      </c>
      <c r="AE363" s="121">
        <f>IF(Параметры!AE$36=1,$B362-AE362,AD362-AE362)</f>
        <v>0</v>
      </c>
      <c r="AF363" s="121">
        <f>IF(Параметры!AF$36=1,$B362-AF362,AE362-AF362)</f>
        <v>0</v>
      </c>
      <c r="AG363" s="121">
        <f>IF(Параметры!AG$36=1,$B362-AG362,AF362-AG362)</f>
        <v>0</v>
      </c>
      <c r="AH363" s="121">
        <f>IF(Параметры!AH$36=1,$B362-AH362,AG362-AH362)</f>
        <v>0</v>
      </c>
      <c r="AI363" s="121">
        <f>IF(Параметры!AI$36=1,$B362-AI362,AH362-AI362)</f>
        <v>0</v>
      </c>
      <c r="AJ363" s="121">
        <f>IF(Параметры!AJ$36=1,$B362-AJ362,AI362-AJ362)</f>
        <v>0</v>
      </c>
      <c r="AK363" s="121">
        <f>IF(Параметры!AK$36=1,$B362-AK362,AJ362-AK362)</f>
        <v>0</v>
      </c>
      <c r="AL363" s="121">
        <f>IF(Параметры!AL$36=1,$B362-AL362,AK362-AL362)</f>
        <v>0</v>
      </c>
      <c r="AM363" s="121">
        <f>IF(Параметры!AM$36=1,$B362-AM362,AL362-AM362)</f>
        <v>0</v>
      </c>
      <c r="AN363" s="121">
        <f>IF(Параметры!AN$36=1,$B362-AN362,AM362-AN362)</f>
        <v>0</v>
      </c>
      <c r="AO363" s="121">
        <f>IF(Параметры!AO$36=1,$B362-AO362,AN362-AO362)</f>
        <v>0</v>
      </c>
      <c r="AP363" s="121">
        <f>IF(Параметры!AP$36=1,$B362-AP362,AO362-AP362)</f>
        <v>0</v>
      </c>
      <c r="AQ363" s="121">
        <f>IF(Параметры!AQ$36=1,$B362-AQ362,AP362-AQ362)</f>
        <v>0</v>
      </c>
      <c r="AR363" s="121">
        <f>IF(Параметры!AR$36=1,$B362-AR362,AQ362-AR362)</f>
        <v>0</v>
      </c>
      <c r="AT363" s="96"/>
    </row>
    <row r="364" spans="1:46" x14ac:dyDescent="0.2">
      <c r="A364" s="63"/>
      <c r="B364" s="132"/>
      <c r="C364" s="10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</row>
    <row r="365" spans="1:46" x14ac:dyDescent="0.2">
      <c r="A365" s="44" t="s">
        <v>173</v>
      </c>
      <c r="C365" s="10" t="str">
        <f>Параметры!$B$64</f>
        <v>тыс. руб.</v>
      </c>
      <c r="E365" s="82">
        <f t="shared" ref="E365:AR365" si="124">E367+E368</f>
        <v>173.54100000000003</v>
      </c>
      <c r="F365" s="82">
        <f t="shared" ca="1" si="124"/>
        <v>173.54100000000003</v>
      </c>
      <c r="G365" s="82">
        <f t="shared" ca="1" si="124"/>
        <v>173.54100000000003</v>
      </c>
      <c r="H365" s="82">
        <f t="shared" ca="1" si="124"/>
        <v>376.00549999999993</v>
      </c>
      <c r="I365" s="82">
        <f t="shared" ca="1" si="124"/>
        <v>376.00549999999993</v>
      </c>
      <c r="J365" s="82">
        <f t="shared" ca="1" si="124"/>
        <v>382.02916072643973</v>
      </c>
      <c r="K365" s="82">
        <f t="shared" ca="1" si="124"/>
        <v>867.01947717098426</v>
      </c>
      <c r="L365" s="82">
        <f t="shared" ca="1" si="124"/>
        <v>880.90925052188754</v>
      </c>
      <c r="M365" s="82">
        <f t="shared" ca="1" si="124"/>
        <v>895.02153998554195</v>
      </c>
      <c r="N365" s="82">
        <f t="shared" ca="1" si="124"/>
        <v>910.11148602172034</v>
      </c>
      <c r="O365" s="82">
        <f t="shared" ca="1" si="124"/>
        <v>925.45584657330608</v>
      </c>
      <c r="P365" s="82">
        <f t="shared" ca="1" si="124"/>
        <v>1071.3112566103873</v>
      </c>
      <c r="Q365" s="82">
        <f t="shared" ca="1" si="124"/>
        <v>1089.3734241985128</v>
      </c>
      <c r="R365" s="82">
        <f t="shared" ca="1" si="124"/>
        <v>1107.5085842918015</v>
      </c>
      <c r="S365" s="82">
        <f t="shared" ca="1" si="124"/>
        <v>1125.945646399867</v>
      </c>
      <c r="T365" s="82">
        <f t="shared" ca="1" si="124"/>
        <v>1144.6896363855105</v>
      </c>
      <c r="U365" s="82">
        <f t="shared" ca="1" si="124"/>
        <v>1163.745663778737</v>
      </c>
      <c r="V365" s="82">
        <f t="shared" ca="1" si="124"/>
        <v>1183.48515433138</v>
      </c>
      <c r="W365" s="82">
        <f t="shared" ca="1" si="124"/>
        <v>1203.5594667436492</v>
      </c>
      <c r="X365" s="82">
        <f t="shared" ca="1" si="124"/>
        <v>1223.9742802744579</v>
      </c>
      <c r="Y365" s="82">
        <f t="shared" ca="1" si="124"/>
        <v>1244.7353705144899</v>
      </c>
      <c r="Z365" s="82">
        <f t="shared" ca="1" si="124"/>
        <v>1265.5892170749607</v>
      </c>
      <c r="AA365" s="82">
        <f t="shared" ca="1" si="124"/>
        <v>1286.7924414442971</v>
      </c>
      <c r="AB365" s="82">
        <f t="shared" ca="1" si="124"/>
        <v>1308.3508969720465</v>
      </c>
      <c r="AC365" s="82">
        <f t="shared" ca="1" si="124"/>
        <v>1330.270535072659</v>
      </c>
      <c r="AD365" s="82">
        <f t="shared" ca="1" si="124"/>
        <v>1352.3393422762726</v>
      </c>
      <c r="AE365" s="82">
        <f t="shared" ca="1" si="124"/>
        <v>1374.7742646711572</v>
      </c>
      <c r="AF365" s="82">
        <f t="shared" ca="1" si="124"/>
        <v>1397.5813760034853</v>
      </c>
      <c r="AG365" s="82">
        <f t="shared" ca="1" si="124"/>
        <v>1420.7668507811384</v>
      </c>
      <c r="AH365" s="82">
        <f t="shared" ca="1" si="124"/>
        <v>1444.2429395558297</v>
      </c>
      <c r="AI365" s="82">
        <f t="shared" ca="1" si="124"/>
        <v>1468.1069362718238</v>
      </c>
      <c r="AJ365" s="82">
        <f t="shared" ca="1" si="124"/>
        <v>1492.3652505390155</v>
      </c>
      <c r="AK365" s="82">
        <f t="shared" ca="1" si="124"/>
        <v>1517.0243978767062</v>
      </c>
      <c r="AL365" s="82">
        <f t="shared" ca="1" si="124"/>
        <v>1541.8829396415813</v>
      </c>
      <c r="AM365" s="82">
        <f t="shared" ca="1" si="124"/>
        <v>1567.1488229756101</v>
      </c>
      <c r="AN365" s="82">
        <f t="shared" ca="1" si="124"/>
        <v>1592.8287227334783</v>
      </c>
      <c r="AO365" s="82">
        <f t="shared" ca="1" si="124"/>
        <v>1618.9294231465915</v>
      </c>
      <c r="AP365" s="82">
        <f t="shared" ca="1" si="124"/>
        <v>1645.2455738238682</v>
      </c>
      <c r="AQ365" s="82">
        <f t="shared" ca="1" si="124"/>
        <v>1671.9895008924866</v>
      </c>
      <c r="AR365" s="82">
        <f t="shared" ca="1" si="124"/>
        <v>1699.1681579773597</v>
      </c>
    </row>
    <row r="366" spans="1:46" collapsed="1" x14ac:dyDescent="0.2">
      <c r="A366" s="63" t="s">
        <v>171</v>
      </c>
      <c r="B366" s="357">
        <v>15</v>
      </c>
      <c r="C366" s="10" t="s">
        <v>65</v>
      </c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</row>
    <row r="367" spans="1:46" s="1" customFormat="1" outlineLevel="1" x14ac:dyDescent="0.2">
      <c r="A367" s="114" t="s">
        <v>233</v>
      </c>
      <c r="B367" s="114"/>
      <c r="C367" s="16" t="str">
        <f>Параметры!$B$64</f>
        <v>тыс. руб.</v>
      </c>
      <c r="D367" s="40"/>
      <c r="E367" s="121">
        <f t="shared" ref="E367:AR367" si="125">E228+0</f>
        <v>173.54100000000003</v>
      </c>
      <c r="F367" s="121">
        <f t="shared" ca="1" si="125"/>
        <v>173.54100000000003</v>
      </c>
      <c r="G367" s="121">
        <f t="shared" ca="1" si="125"/>
        <v>173.54100000000003</v>
      </c>
      <c r="H367" s="121">
        <f t="shared" ca="1" si="125"/>
        <v>376.00549999999993</v>
      </c>
      <c r="I367" s="121">
        <f t="shared" ca="1" si="125"/>
        <v>376.00549999999993</v>
      </c>
      <c r="J367" s="121">
        <f t="shared" ca="1" si="125"/>
        <v>382.02916072643973</v>
      </c>
      <c r="K367" s="121">
        <f t="shared" ca="1" si="125"/>
        <v>867.01947717098426</v>
      </c>
      <c r="L367" s="121">
        <f t="shared" ca="1" si="125"/>
        <v>880.90925052188754</v>
      </c>
      <c r="M367" s="121">
        <f t="shared" ca="1" si="125"/>
        <v>895.02153998554195</v>
      </c>
      <c r="N367" s="121">
        <f t="shared" ca="1" si="125"/>
        <v>910.11148602172034</v>
      </c>
      <c r="O367" s="121">
        <f t="shared" ca="1" si="125"/>
        <v>925.45584657330608</v>
      </c>
      <c r="P367" s="121">
        <f t="shared" ca="1" si="125"/>
        <v>1071.3112566103873</v>
      </c>
      <c r="Q367" s="121">
        <f t="shared" ca="1" si="125"/>
        <v>1089.3734241985128</v>
      </c>
      <c r="R367" s="121">
        <f t="shared" ca="1" si="125"/>
        <v>1107.5085842918015</v>
      </c>
      <c r="S367" s="121">
        <f t="shared" ca="1" si="125"/>
        <v>1125.945646399867</v>
      </c>
      <c r="T367" s="121">
        <f t="shared" ca="1" si="125"/>
        <v>1144.6896363855105</v>
      </c>
      <c r="U367" s="121">
        <f t="shared" ca="1" si="125"/>
        <v>1163.745663778737</v>
      </c>
      <c r="V367" s="121">
        <f t="shared" ca="1" si="125"/>
        <v>1183.48515433138</v>
      </c>
      <c r="W367" s="121">
        <f t="shared" ca="1" si="125"/>
        <v>1203.5594667436492</v>
      </c>
      <c r="X367" s="121">
        <f t="shared" ca="1" si="125"/>
        <v>1223.9742802744579</v>
      </c>
      <c r="Y367" s="121">
        <f t="shared" ca="1" si="125"/>
        <v>1244.7353705144899</v>
      </c>
      <c r="Z367" s="121">
        <f t="shared" ca="1" si="125"/>
        <v>1265.5892170749607</v>
      </c>
      <c r="AA367" s="121">
        <f t="shared" ca="1" si="125"/>
        <v>1286.7924414442971</v>
      </c>
      <c r="AB367" s="121">
        <f t="shared" ca="1" si="125"/>
        <v>1308.3508969720465</v>
      </c>
      <c r="AC367" s="121">
        <f t="shared" ca="1" si="125"/>
        <v>1330.270535072659</v>
      </c>
      <c r="AD367" s="121">
        <f t="shared" ca="1" si="125"/>
        <v>1352.3393422762726</v>
      </c>
      <c r="AE367" s="121">
        <f t="shared" ca="1" si="125"/>
        <v>1374.7742646711572</v>
      </c>
      <c r="AF367" s="121">
        <f t="shared" ca="1" si="125"/>
        <v>1397.5813760034853</v>
      </c>
      <c r="AG367" s="121">
        <f t="shared" ca="1" si="125"/>
        <v>1420.7668507811384</v>
      </c>
      <c r="AH367" s="121">
        <f t="shared" ca="1" si="125"/>
        <v>1444.2429395558297</v>
      </c>
      <c r="AI367" s="121">
        <f t="shared" ca="1" si="125"/>
        <v>1468.1069362718238</v>
      </c>
      <c r="AJ367" s="121">
        <f t="shared" ca="1" si="125"/>
        <v>1492.3652505390155</v>
      </c>
      <c r="AK367" s="121">
        <f t="shared" ca="1" si="125"/>
        <v>1517.0243978767062</v>
      </c>
      <c r="AL367" s="121">
        <f t="shared" ca="1" si="125"/>
        <v>1541.8829396415813</v>
      </c>
      <c r="AM367" s="121">
        <f t="shared" ca="1" si="125"/>
        <v>1567.1488229756101</v>
      </c>
      <c r="AN367" s="121">
        <f t="shared" ca="1" si="125"/>
        <v>1592.8287227334783</v>
      </c>
      <c r="AO367" s="121">
        <f t="shared" ca="1" si="125"/>
        <v>1618.9294231465915</v>
      </c>
      <c r="AP367" s="121">
        <f t="shared" ca="1" si="125"/>
        <v>1645.2455738238682</v>
      </c>
      <c r="AQ367" s="121">
        <f t="shared" ca="1" si="125"/>
        <v>1671.9895008924866</v>
      </c>
      <c r="AR367" s="121">
        <f t="shared" ca="1" si="125"/>
        <v>1699.1681579773597</v>
      </c>
      <c r="AT367" s="96"/>
    </row>
    <row r="368" spans="1:46" s="1" customFormat="1" outlineLevel="1" x14ac:dyDescent="0.2">
      <c r="A368" s="114" t="s">
        <v>231</v>
      </c>
      <c r="B368" s="144">
        <f>Деятельность_УК!B40</f>
        <v>0</v>
      </c>
      <c r="C368" s="16" t="str">
        <f>Параметры!$B$64</f>
        <v>тыс. руб.</v>
      </c>
      <c r="D368" s="40"/>
      <c r="E368" s="356">
        <f>IF(Параметры!E$36=1,$B368,D368)</f>
        <v>0</v>
      </c>
      <c r="F368" s="356">
        <f>IF(Параметры!F$36=1,$B368,E368)</f>
        <v>0</v>
      </c>
      <c r="G368" s="356">
        <f>IF(Параметры!G$36=1,$B368,F368)</f>
        <v>0</v>
      </c>
      <c r="H368" s="356">
        <f>IF(Параметры!H$36=1,$B368,G368)</f>
        <v>0</v>
      </c>
      <c r="I368" s="356">
        <f>IF(Параметры!I$36=1,$B368,H368)</f>
        <v>0</v>
      </c>
      <c r="J368" s="356">
        <f>IF(Параметры!J$36=1,$B368,I368)</f>
        <v>0</v>
      </c>
      <c r="K368" s="356">
        <f>IF(Параметры!K$36=1,$B368,J368)</f>
        <v>0</v>
      </c>
      <c r="L368" s="356">
        <f>IF(Параметры!L$36=1,$B368,K368)</f>
        <v>0</v>
      </c>
      <c r="M368" s="356">
        <f>IF(Параметры!M$36=1,$B368,L368)</f>
        <v>0</v>
      </c>
      <c r="N368" s="356">
        <f>IF(Параметры!N$36=1,$B368,M368)</f>
        <v>0</v>
      </c>
      <c r="O368" s="356">
        <f>IF(Параметры!O$36=1,$B368,N368)</f>
        <v>0</v>
      </c>
      <c r="P368" s="356">
        <f>IF(Параметры!P$36=1,$B368,O368)</f>
        <v>0</v>
      </c>
      <c r="Q368" s="356">
        <f>IF(Параметры!Q$36=1,$B368,P368)</f>
        <v>0</v>
      </c>
      <c r="R368" s="356">
        <f>IF(Параметры!R$36=1,$B368,Q368)</f>
        <v>0</v>
      </c>
      <c r="S368" s="356">
        <f>IF(Параметры!S$36=1,$B368,R368)</f>
        <v>0</v>
      </c>
      <c r="T368" s="356">
        <f>IF(Параметры!T$36=1,$B368,S368)</f>
        <v>0</v>
      </c>
      <c r="U368" s="356">
        <f>IF(Параметры!U$36=1,$B368,T368)</f>
        <v>0</v>
      </c>
      <c r="V368" s="356">
        <f>IF(Параметры!V$36=1,$B368,U368)</f>
        <v>0</v>
      </c>
      <c r="W368" s="356">
        <f>IF(Параметры!W$36=1,$B368,V368)</f>
        <v>0</v>
      </c>
      <c r="X368" s="356">
        <f>IF(Параметры!X$36=1,$B368,W368)</f>
        <v>0</v>
      </c>
      <c r="Y368" s="356">
        <f>IF(Параметры!Y$36=1,$B368,X368)</f>
        <v>0</v>
      </c>
      <c r="Z368" s="356">
        <f>IF(Параметры!Z$36=1,$B368,Y368)</f>
        <v>0</v>
      </c>
      <c r="AA368" s="356">
        <f>IF(Параметры!AA$36=1,$B368,Z368)</f>
        <v>0</v>
      </c>
      <c r="AB368" s="356">
        <f>IF(Параметры!AB$36=1,$B368,AA368)</f>
        <v>0</v>
      </c>
      <c r="AC368" s="356">
        <f>IF(Параметры!AC$36=1,$B368,AB368)</f>
        <v>0</v>
      </c>
      <c r="AD368" s="356">
        <f>IF(Параметры!AD$36=1,$B368,AC368)</f>
        <v>0</v>
      </c>
      <c r="AE368" s="356">
        <f>IF(Параметры!AE$36=1,$B368,AD368)</f>
        <v>0</v>
      </c>
      <c r="AF368" s="356">
        <f>IF(Параметры!AF$36=1,$B368,AE368)</f>
        <v>0</v>
      </c>
      <c r="AG368" s="356">
        <f>IF(Параметры!AG$36=1,$B368,AF368)</f>
        <v>0</v>
      </c>
      <c r="AH368" s="356">
        <f>IF(Параметры!AH$36=1,$B368,AG368)</f>
        <v>0</v>
      </c>
      <c r="AI368" s="356">
        <f>IF(Параметры!AI$36=1,$B368,AH368)</f>
        <v>0</v>
      </c>
      <c r="AJ368" s="356">
        <f>IF(Параметры!AJ$36=1,$B368,AI368)</f>
        <v>0</v>
      </c>
      <c r="AK368" s="356">
        <f>IF(Параметры!AK$36=1,$B368,AJ368)</f>
        <v>0</v>
      </c>
      <c r="AL368" s="356">
        <f>IF(Параметры!AL$36=1,$B368,AK368)</f>
        <v>0</v>
      </c>
      <c r="AM368" s="356">
        <f>IF(Параметры!AM$36=1,$B368,AL368)</f>
        <v>0</v>
      </c>
      <c r="AN368" s="356">
        <f>IF(Параметры!AN$36=1,$B368,AM368)</f>
        <v>0</v>
      </c>
      <c r="AO368" s="356">
        <f>IF(Параметры!AO$36=1,$B368,AN368)</f>
        <v>0</v>
      </c>
      <c r="AP368" s="356">
        <f>IF(Параметры!AP$36=1,$B368,AO368)</f>
        <v>0</v>
      </c>
      <c r="AQ368" s="356">
        <f>IF(Параметры!AQ$36=1,$B368,AP368)</f>
        <v>0</v>
      </c>
      <c r="AR368" s="356">
        <f>IF(Параметры!AR$36=1,$B368,AQ368)</f>
        <v>0</v>
      </c>
      <c r="AT368" s="96"/>
    </row>
    <row r="369" spans="1:46" s="1" customFormat="1" outlineLevel="1" x14ac:dyDescent="0.2">
      <c r="A369" s="114" t="s">
        <v>232</v>
      </c>
      <c r="B369" s="114"/>
      <c r="C369" s="16" t="str">
        <f>Параметры!$B$64</f>
        <v>тыс. руб.</v>
      </c>
      <c r="D369" s="40"/>
      <c r="E369" s="121">
        <f>IF(Параметры!E$36=1,E368-$B368,E368-D368)</f>
        <v>0</v>
      </c>
      <c r="F369" s="121">
        <f>IF(Параметры!F$36=1,F368-$B368,F368-E368)</f>
        <v>0</v>
      </c>
      <c r="G369" s="121">
        <f>IF(Параметры!G$36=1,G368-$B368,G368-F368)</f>
        <v>0</v>
      </c>
      <c r="H369" s="121">
        <f>IF(Параметры!H$36=1,H368-$B368,H368-G368)</f>
        <v>0</v>
      </c>
      <c r="I369" s="121">
        <f>IF(Параметры!I$36=1,I368-$B368,I368-H368)</f>
        <v>0</v>
      </c>
      <c r="J369" s="121">
        <f>IF(Параметры!J$36=1,J368-$B368,J368-I368)</f>
        <v>0</v>
      </c>
      <c r="K369" s="121">
        <f>IF(Параметры!K$36=1,K368-$B368,K368-J368)</f>
        <v>0</v>
      </c>
      <c r="L369" s="121">
        <f>IF(Параметры!L$36=1,L368-$B368,L368-K368)</f>
        <v>0</v>
      </c>
      <c r="M369" s="121">
        <f>IF(Параметры!M$36=1,M368-$B368,M368-L368)</f>
        <v>0</v>
      </c>
      <c r="N369" s="121">
        <f>IF(Параметры!N$36=1,N368-$B368,N368-M368)</f>
        <v>0</v>
      </c>
      <c r="O369" s="121">
        <f>IF(Параметры!O$36=1,O368-$B368,O368-N368)</f>
        <v>0</v>
      </c>
      <c r="P369" s="121">
        <f>IF(Параметры!P$36=1,P368-$B368,P368-O368)</f>
        <v>0</v>
      </c>
      <c r="Q369" s="121">
        <f>IF(Параметры!Q$36=1,Q368-$B368,Q368-P368)</f>
        <v>0</v>
      </c>
      <c r="R369" s="121">
        <f>IF(Параметры!R$36=1,R368-$B368,R368-Q368)</f>
        <v>0</v>
      </c>
      <c r="S369" s="121">
        <f>IF(Параметры!S$36=1,S368-$B368,S368-R368)</f>
        <v>0</v>
      </c>
      <c r="T369" s="121">
        <f>IF(Параметры!T$36=1,T368-$B368,T368-S368)</f>
        <v>0</v>
      </c>
      <c r="U369" s="121">
        <f>IF(Параметры!U$36=1,U368-$B368,U368-T368)</f>
        <v>0</v>
      </c>
      <c r="V369" s="121">
        <f>IF(Параметры!V$36=1,V368-$B368,V368-U368)</f>
        <v>0</v>
      </c>
      <c r="W369" s="121">
        <f>IF(Параметры!W$36=1,W368-$B368,W368-V368)</f>
        <v>0</v>
      </c>
      <c r="X369" s="121">
        <f>IF(Параметры!X$36=1,X368-$B368,X368-W368)</f>
        <v>0</v>
      </c>
      <c r="Y369" s="121">
        <f>IF(Параметры!Y$36=1,Y368-$B368,Y368-X368)</f>
        <v>0</v>
      </c>
      <c r="Z369" s="121">
        <f>IF(Параметры!Z$36=1,Z368-$B368,Z368-Y368)</f>
        <v>0</v>
      </c>
      <c r="AA369" s="121">
        <f>IF(Параметры!AA$36=1,AA368-$B368,AA368-Z368)</f>
        <v>0</v>
      </c>
      <c r="AB369" s="121">
        <f>IF(Параметры!AB$36=1,AB368-$B368,AB368-AA368)</f>
        <v>0</v>
      </c>
      <c r="AC369" s="121">
        <f>IF(Параметры!AC$36=1,AC368-$B368,AC368-AB368)</f>
        <v>0</v>
      </c>
      <c r="AD369" s="121">
        <f>IF(Параметры!AD$36=1,AD368-$B368,AD368-AC368)</f>
        <v>0</v>
      </c>
      <c r="AE369" s="121">
        <f>IF(Параметры!AE$36=1,AE368-$B368,AE368-AD368)</f>
        <v>0</v>
      </c>
      <c r="AF369" s="121">
        <f>IF(Параметры!AF$36=1,AF368-$B368,AF368-AE368)</f>
        <v>0</v>
      </c>
      <c r="AG369" s="121">
        <f>IF(Параметры!AG$36=1,AG368-$B368,AG368-AF368)</f>
        <v>0</v>
      </c>
      <c r="AH369" s="121">
        <f>IF(Параметры!AH$36=1,AH368-$B368,AH368-AG368)</f>
        <v>0</v>
      </c>
      <c r="AI369" s="121">
        <f>IF(Параметры!AI$36=1,AI368-$B368,AI368-AH368)</f>
        <v>0</v>
      </c>
      <c r="AJ369" s="121">
        <f>IF(Параметры!AJ$36=1,AJ368-$B368,AJ368-AI368)</f>
        <v>0</v>
      </c>
      <c r="AK369" s="121">
        <f>IF(Параметры!AK$36=1,AK368-$B368,AK368-AJ368)</f>
        <v>0</v>
      </c>
      <c r="AL369" s="121">
        <f>IF(Параметры!AL$36=1,AL368-$B368,AL368-AK368)</f>
        <v>0</v>
      </c>
      <c r="AM369" s="121">
        <f>IF(Параметры!AM$36=1,AM368-$B368,AM368-AL368)</f>
        <v>0</v>
      </c>
      <c r="AN369" s="121">
        <f>IF(Параметры!AN$36=1,AN368-$B368,AN368-AM368)</f>
        <v>0</v>
      </c>
      <c r="AO369" s="121">
        <f>IF(Параметры!AO$36=1,AO368-$B368,AO368-AN368)</f>
        <v>0</v>
      </c>
      <c r="AP369" s="121">
        <f>IF(Параметры!AP$36=1,AP368-$B368,AP368-AO368)</f>
        <v>0</v>
      </c>
      <c r="AQ369" s="121">
        <f>IF(Параметры!AQ$36=1,AQ368-$B368,AQ368-AP368)</f>
        <v>0</v>
      </c>
      <c r="AR369" s="121">
        <f>IF(Параметры!AR$36=1,AR368-$B368,AR368-AQ368)</f>
        <v>0</v>
      </c>
      <c r="AT369" s="96"/>
    </row>
    <row r="370" spans="1:46" s="1" customFormat="1" x14ac:dyDescent="0.2">
      <c r="A370" s="106"/>
      <c r="B370" s="132"/>
      <c r="C370" s="11"/>
      <c r="D370" s="15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T370" s="96"/>
    </row>
    <row r="371" spans="1:46" collapsed="1" x14ac:dyDescent="0.2">
      <c r="A371" s="44" t="s">
        <v>223</v>
      </c>
      <c r="C371" s="10" t="str">
        <f>Параметры!$B$64</f>
        <v>тыс. руб.</v>
      </c>
      <c r="E371" s="82">
        <f t="shared" ref="E371:AR371" ca="1" si="126">E372+E373</f>
        <v>1416.8699124915588</v>
      </c>
      <c r="F371" s="82">
        <f t="shared" ca="1" si="126"/>
        <v>1416.8699124915588</v>
      </c>
      <c r="G371" s="82">
        <f t="shared" ca="1" si="126"/>
        <v>4026.8910453040585</v>
      </c>
      <c r="H371" s="82">
        <f t="shared" ca="1" si="126"/>
        <v>6727.7822099290588</v>
      </c>
      <c r="I371" s="82">
        <f t="shared" ca="1" si="126"/>
        <v>1540.7781864915587</v>
      </c>
      <c r="J371" s="82">
        <f t="shared" ca="1" si="126"/>
        <v>1544.4646668561397</v>
      </c>
      <c r="K371" s="82">
        <f t="shared" ca="1" si="126"/>
        <v>1841.2787405202012</v>
      </c>
      <c r="L371" s="82">
        <f t="shared" ca="1" si="126"/>
        <v>1849.7792818109538</v>
      </c>
      <c r="M371" s="82">
        <f t="shared" ca="1" si="126"/>
        <v>1858.4160029627105</v>
      </c>
      <c r="N371" s="82">
        <f t="shared" ca="1" si="126"/>
        <v>1867.6510499368515</v>
      </c>
      <c r="O371" s="82">
        <f t="shared" ca="1" si="126"/>
        <v>1877.0417985944218</v>
      </c>
      <c r="P371" s="82">
        <f t="shared" ca="1" si="126"/>
        <v>1966.3053095371158</v>
      </c>
      <c r="Q371" s="82">
        <f t="shared" ca="1" si="126"/>
        <v>1977.3593561010484</v>
      </c>
      <c r="R371" s="82">
        <f t="shared" ca="1" si="126"/>
        <v>1988.4580740781412</v>
      </c>
      <c r="S371" s="82">
        <f t="shared" ca="1" si="126"/>
        <v>1999.7415560882773</v>
      </c>
      <c r="T371" s="82">
        <f t="shared" ca="1" si="126"/>
        <v>2011.2128779594912</v>
      </c>
      <c r="U371" s="82">
        <f t="shared" ca="1" si="126"/>
        <v>2022.8751667241459</v>
      </c>
      <c r="V371" s="82">
        <f t="shared" ca="1" si="126"/>
        <v>2034.9557349423635</v>
      </c>
      <c r="W371" s="82">
        <f t="shared" ca="1" si="126"/>
        <v>2047.2412141386721</v>
      </c>
      <c r="X371" s="82">
        <f t="shared" ca="1" si="126"/>
        <v>2059.7350800195272</v>
      </c>
      <c r="Y371" s="82">
        <f t="shared" ca="1" si="126"/>
        <v>2072.4408672464265</v>
      </c>
      <c r="Z371" s="82">
        <f t="shared" ca="1" si="126"/>
        <v>2085.2034213414345</v>
      </c>
      <c r="AA371" s="82">
        <f t="shared" ca="1" si="126"/>
        <v>2098.1797946554684</v>
      </c>
      <c r="AB371" s="82">
        <f t="shared" ca="1" si="126"/>
        <v>2111.3735694384513</v>
      </c>
      <c r="AC371" s="82">
        <f t="shared" ca="1" si="126"/>
        <v>10349.522198865041</v>
      </c>
      <c r="AD371" s="82">
        <f t="shared" ca="1" si="126"/>
        <v>17058.947085674117</v>
      </c>
      <c r="AE371" s="82">
        <f t="shared" ca="1" si="126"/>
        <v>18151.251909529292</v>
      </c>
      <c r="AF371" s="82">
        <f t="shared" ca="1" si="126"/>
        <v>19263.350578519228</v>
      </c>
      <c r="AG371" s="82">
        <f t="shared" ca="1" si="126"/>
        <v>46255.169888078875</v>
      </c>
      <c r="AH371" s="82">
        <f t="shared" ca="1" si="126"/>
        <v>47345.0710327692</v>
      </c>
      <c r="AI371" s="82">
        <f t="shared" ca="1" si="126"/>
        <v>48460.200374504471</v>
      </c>
      <c r="AJ371" s="82">
        <f t="shared" ca="1" si="126"/>
        <v>49601.052807964632</v>
      </c>
      <c r="AK371" s="82">
        <f t="shared" ca="1" si="126"/>
        <v>87645.829008166344</v>
      </c>
      <c r="AL371" s="82">
        <f t="shared" ca="1" si="126"/>
        <v>49734.538547976481</v>
      </c>
      <c r="AM371" s="82">
        <f t="shared" ca="1" si="126"/>
        <v>50842.81075028576</v>
      </c>
      <c r="AN371" s="82">
        <f t="shared" ca="1" si="126"/>
        <v>51885.746395755203</v>
      </c>
      <c r="AO371" s="82">
        <f t="shared" ca="1" si="126"/>
        <v>2120875.4110194501</v>
      </c>
      <c r="AP371" s="82">
        <f t="shared" ca="1" si="126"/>
        <v>45877.849749106033</v>
      </c>
      <c r="AQ371" s="82">
        <f t="shared" ca="1" si="126"/>
        <v>49119.20787707634</v>
      </c>
      <c r="AR371" s="82">
        <f t="shared" ca="1" si="126"/>
        <v>49465.707261161857</v>
      </c>
    </row>
    <row r="372" spans="1:46" s="1" customFormat="1" outlineLevel="1" x14ac:dyDescent="0.2">
      <c r="A372" s="114" t="s">
        <v>234</v>
      </c>
      <c r="B372" s="114"/>
      <c r="C372" s="16" t="str">
        <f>Параметры!$B$64</f>
        <v>тыс. руб.</v>
      </c>
      <c r="D372" s="40"/>
      <c r="E372" s="121">
        <f ca="1">E711</f>
        <v>1416.8699124915588</v>
      </c>
      <c r="F372" s="121">
        <f t="shared" ref="F372:AR372" ca="1" si="127">F711</f>
        <v>1416.8699124915588</v>
      </c>
      <c r="G372" s="121">
        <f t="shared" ca="1" si="127"/>
        <v>4026.8910453040585</v>
      </c>
      <c r="H372" s="121">
        <f t="shared" ca="1" si="127"/>
        <v>6727.7822099290588</v>
      </c>
      <c r="I372" s="121">
        <f t="shared" ca="1" si="127"/>
        <v>1540.7781864915587</v>
      </c>
      <c r="J372" s="121">
        <f t="shared" ca="1" si="127"/>
        <v>1544.4646668561397</v>
      </c>
      <c r="K372" s="121">
        <f t="shared" ca="1" si="127"/>
        <v>1841.2787405202012</v>
      </c>
      <c r="L372" s="121">
        <f t="shared" ca="1" si="127"/>
        <v>1849.7792818109538</v>
      </c>
      <c r="M372" s="121">
        <f t="shared" ca="1" si="127"/>
        <v>1858.4160029627105</v>
      </c>
      <c r="N372" s="121">
        <f t="shared" ca="1" si="127"/>
        <v>1867.6510499368515</v>
      </c>
      <c r="O372" s="121">
        <f t="shared" ca="1" si="127"/>
        <v>1877.0417985944218</v>
      </c>
      <c r="P372" s="121">
        <f t="shared" ca="1" si="127"/>
        <v>1966.3053095371158</v>
      </c>
      <c r="Q372" s="121">
        <f t="shared" ca="1" si="127"/>
        <v>1977.3593561010484</v>
      </c>
      <c r="R372" s="121">
        <f t="shared" ca="1" si="127"/>
        <v>1988.4580740781412</v>
      </c>
      <c r="S372" s="121">
        <f t="shared" ca="1" si="127"/>
        <v>1999.7415560882773</v>
      </c>
      <c r="T372" s="121">
        <f t="shared" ca="1" si="127"/>
        <v>2011.2128779594912</v>
      </c>
      <c r="U372" s="121">
        <f t="shared" ca="1" si="127"/>
        <v>2022.8751667241459</v>
      </c>
      <c r="V372" s="121">
        <f t="shared" ca="1" si="127"/>
        <v>2034.9557349423635</v>
      </c>
      <c r="W372" s="121">
        <f t="shared" ca="1" si="127"/>
        <v>2047.2412141386721</v>
      </c>
      <c r="X372" s="121">
        <f t="shared" ca="1" si="127"/>
        <v>2059.7350800195272</v>
      </c>
      <c r="Y372" s="121">
        <f t="shared" ca="1" si="127"/>
        <v>2072.4408672464265</v>
      </c>
      <c r="Z372" s="121">
        <f t="shared" ca="1" si="127"/>
        <v>2085.2034213414345</v>
      </c>
      <c r="AA372" s="121">
        <f t="shared" ca="1" si="127"/>
        <v>2098.1797946554684</v>
      </c>
      <c r="AB372" s="121">
        <f t="shared" ca="1" si="127"/>
        <v>2111.3735694384513</v>
      </c>
      <c r="AC372" s="121">
        <f t="shared" ca="1" si="127"/>
        <v>10349.522198865041</v>
      </c>
      <c r="AD372" s="121">
        <f t="shared" ca="1" si="127"/>
        <v>17058.947085674117</v>
      </c>
      <c r="AE372" s="121">
        <f t="shared" ca="1" si="127"/>
        <v>18151.251909529292</v>
      </c>
      <c r="AF372" s="121">
        <f t="shared" ca="1" si="127"/>
        <v>19263.350578519228</v>
      </c>
      <c r="AG372" s="121">
        <f t="shared" ca="1" si="127"/>
        <v>46255.169888078875</v>
      </c>
      <c r="AH372" s="121">
        <f t="shared" ca="1" si="127"/>
        <v>47345.0710327692</v>
      </c>
      <c r="AI372" s="121">
        <f t="shared" ca="1" si="127"/>
        <v>48460.200374504471</v>
      </c>
      <c r="AJ372" s="121">
        <f t="shared" ca="1" si="127"/>
        <v>49601.052807964632</v>
      </c>
      <c r="AK372" s="121">
        <f t="shared" ca="1" si="127"/>
        <v>87645.829008166344</v>
      </c>
      <c r="AL372" s="121">
        <f t="shared" ca="1" si="127"/>
        <v>49734.538547976481</v>
      </c>
      <c r="AM372" s="121">
        <f t="shared" ca="1" si="127"/>
        <v>50842.81075028576</v>
      </c>
      <c r="AN372" s="121">
        <f t="shared" ca="1" si="127"/>
        <v>51885.746395755203</v>
      </c>
      <c r="AO372" s="121">
        <f t="shared" ca="1" si="127"/>
        <v>2120875.4110194501</v>
      </c>
      <c r="AP372" s="121">
        <f t="shared" ca="1" si="127"/>
        <v>45877.849749106033</v>
      </c>
      <c r="AQ372" s="121">
        <f t="shared" ca="1" si="127"/>
        <v>49119.20787707634</v>
      </c>
      <c r="AR372" s="121">
        <f t="shared" ca="1" si="127"/>
        <v>49465.707261161857</v>
      </c>
      <c r="AT372" s="96"/>
    </row>
    <row r="373" spans="1:46" s="1" customFormat="1" outlineLevel="1" x14ac:dyDescent="0.2">
      <c r="A373" s="114" t="s">
        <v>231</v>
      </c>
      <c r="B373" s="144">
        <f>Деятельность_УК!B39</f>
        <v>0</v>
      </c>
      <c r="C373" s="16" t="str">
        <f>Параметры!$B$64</f>
        <v>тыс. руб.</v>
      </c>
      <c r="D373" s="40"/>
      <c r="E373" s="356">
        <f>IF(Параметры!E$36=1,$B373,D373)</f>
        <v>0</v>
      </c>
      <c r="F373" s="356">
        <f>IF(Параметры!F$36=1,$B373,E373)</f>
        <v>0</v>
      </c>
      <c r="G373" s="356">
        <f>IF(Параметры!G$36=1,$B373,F373)</f>
        <v>0</v>
      </c>
      <c r="H373" s="356">
        <f>IF(Параметры!H$36=1,$B373,G373)</f>
        <v>0</v>
      </c>
      <c r="I373" s="356">
        <f>IF(Параметры!I$36=1,$B373,H373)</f>
        <v>0</v>
      </c>
      <c r="J373" s="356">
        <f>IF(Параметры!J$36=1,$B373,I373)</f>
        <v>0</v>
      </c>
      <c r="K373" s="356">
        <f>IF(Параметры!K$36=1,$B373,J373)</f>
        <v>0</v>
      </c>
      <c r="L373" s="356">
        <f>IF(Параметры!L$36=1,$B373,K373)</f>
        <v>0</v>
      </c>
      <c r="M373" s="356">
        <f>IF(Параметры!M$36=1,$B373,L373)</f>
        <v>0</v>
      </c>
      <c r="N373" s="356">
        <f>IF(Параметры!N$36=1,$B373,M373)</f>
        <v>0</v>
      </c>
      <c r="O373" s="356">
        <f>IF(Параметры!O$36=1,$B373,N373)</f>
        <v>0</v>
      </c>
      <c r="P373" s="356">
        <f>IF(Параметры!P$36=1,$B373,O373)</f>
        <v>0</v>
      </c>
      <c r="Q373" s="356">
        <f>IF(Параметры!Q$36=1,$B373,P373)</f>
        <v>0</v>
      </c>
      <c r="R373" s="356">
        <f>IF(Параметры!R$36=1,$B373,Q373)</f>
        <v>0</v>
      </c>
      <c r="S373" s="356">
        <f>IF(Параметры!S$36=1,$B373,R373)</f>
        <v>0</v>
      </c>
      <c r="T373" s="356">
        <f>IF(Параметры!T$36=1,$B373,S373)</f>
        <v>0</v>
      </c>
      <c r="U373" s="356">
        <f>IF(Параметры!U$36=1,$B373,T373)</f>
        <v>0</v>
      </c>
      <c r="V373" s="356">
        <f>IF(Параметры!V$36=1,$B373,U373)</f>
        <v>0</v>
      </c>
      <c r="W373" s="356">
        <f>IF(Параметры!W$36=1,$B373,V373)</f>
        <v>0</v>
      </c>
      <c r="X373" s="356">
        <f>IF(Параметры!X$36=1,$B373,W373)</f>
        <v>0</v>
      </c>
      <c r="Y373" s="356">
        <f>IF(Параметры!Y$36=1,$B373,X373)</f>
        <v>0</v>
      </c>
      <c r="Z373" s="356">
        <f>IF(Параметры!Z$36=1,$B373,Y373)</f>
        <v>0</v>
      </c>
      <c r="AA373" s="356">
        <f>IF(Параметры!AA$36=1,$B373,Z373)</f>
        <v>0</v>
      </c>
      <c r="AB373" s="356">
        <f>IF(Параметры!AB$36=1,$B373,AA373)</f>
        <v>0</v>
      </c>
      <c r="AC373" s="356">
        <f>IF(Параметры!AC$36=1,$B373,AB373)</f>
        <v>0</v>
      </c>
      <c r="AD373" s="356">
        <f>IF(Параметры!AD$36=1,$B373,AC373)</f>
        <v>0</v>
      </c>
      <c r="AE373" s="356">
        <f>IF(Параметры!AE$36=1,$B373,AD373)</f>
        <v>0</v>
      </c>
      <c r="AF373" s="356">
        <f>IF(Параметры!AF$36=1,$B373,AE373)</f>
        <v>0</v>
      </c>
      <c r="AG373" s="356">
        <f>IF(Параметры!AG$36=1,$B373,AF373)</f>
        <v>0</v>
      </c>
      <c r="AH373" s="356">
        <f>IF(Параметры!AH$36=1,$B373,AG373)</f>
        <v>0</v>
      </c>
      <c r="AI373" s="356">
        <f>IF(Параметры!AI$36=1,$B373,AH373)</f>
        <v>0</v>
      </c>
      <c r="AJ373" s="356">
        <f>IF(Параметры!AJ$36=1,$B373,AI373)</f>
        <v>0</v>
      </c>
      <c r="AK373" s="356">
        <f>IF(Параметры!AK$36=1,$B373,AJ373)</f>
        <v>0</v>
      </c>
      <c r="AL373" s="356">
        <f>IF(Параметры!AL$36=1,$B373,AK373)</f>
        <v>0</v>
      </c>
      <c r="AM373" s="356">
        <f>IF(Параметры!AM$36=1,$B373,AL373)</f>
        <v>0</v>
      </c>
      <c r="AN373" s="356">
        <f>IF(Параметры!AN$36=1,$B373,AM373)</f>
        <v>0</v>
      </c>
      <c r="AO373" s="356">
        <f>IF(Параметры!AO$36=1,$B373,AN373)</f>
        <v>0</v>
      </c>
      <c r="AP373" s="356">
        <f>IF(Параметры!AP$36=1,$B373,AO373)</f>
        <v>0</v>
      </c>
      <c r="AQ373" s="356">
        <f>IF(Параметры!AQ$36=1,$B373,AP373)</f>
        <v>0</v>
      </c>
      <c r="AR373" s="356">
        <f>IF(Параметры!AR$36=1,$B373,AQ373)</f>
        <v>0</v>
      </c>
      <c r="AT373" s="96"/>
    </row>
    <row r="374" spans="1:46" s="1" customFormat="1" outlineLevel="1" x14ac:dyDescent="0.2">
      <c r="A374" s="114" t="s">
        <v>232</v>
      </c>
      <c r="B374" s="114"/>
      <c r="C374" s="16" t="str">
        <f>Параметры!$B$64</f>
        <v>тыс. руб.</v>
      </c>
      <c r="D374" s="40"/>
      <c r="E374" s="121">
        <f>IF(Параметры!E$36=1,E373-$B373,E373-D373)</f>
        <v>0</v>
      </c>
      <c r="F374" s="121">
        <f>IF(Параметры!F$36=1,F373-$B373,F373-E373)</f>
        <v>0</v>
      </c>
      <c r="G374" s="121">
        <f>IF(Параметры!G$36=1,G373-$B373,G373-F373)</f>
        <v>0</v>
      </c>
      <c r="H374" s="121">
        <f>IF(Параметры!H$36=1,H373-$B373,H373-G373)</f>
        <v>0</v>
      </c>
      <c r="I374" s="121">
        <f>IF(Параметры!I$36=1,I373-$B373,I373-H373)</f>
        <v>0</v>
      </c>
      <c r="J374" s="121">
        <f>IF(Параметры!J$36=1,J373-$B373,J373-I373)</f>
        <v>0</v>
      </c>
      <c r="K374" s="121">
        <f>IF(Параметры!K$36=1,K373-$B373,K373-J373)</f>
        <v>0</v>
      </c>
      <c r="L374" s="121">
        <f>IF(Параметры!L$36=1,L373-$B373,L373-K373)</f>
        <v>0</v>
      </c>
      <c r="M374" s="121">
        <f>IF(Параметры!M$36=1,M373-$B373,M373-L373)</f>
        <v>0</v>
      </c>
      <c r="N374" s="121">
        <f>IF(Параметры!N$36=1,N373-$B373,N373-M373)</f>
        <v>0</v>
      </c>
      <c r="O374" s="121">
        <f>IF(Параметры!O$36=1,O373-$B373,O373-N373)</f>
        <v>0</v>
      </c>
      <c r="P374" s="121">
        <f>IF(Параметры!P$36=1,P373-$B373,P373-O373)</f>
        <v>0</v>
      </c>
      <c r="Q374" s="121">
        <f>IF(Параметры!Q$36=1,Q373-$B373,Q373-P373)</f>
        <v>0</v>
      </c>
      <c r="R374" s="121">
        <f>IF(Параметры!R$36=1,R373-$B373,R373-Q373)</f>
        <v>0</v>
      </c>
      <c r="S374" s="121">
        <f>IF(Параметры!S$36=1,S373-$B373,S373-R373)</f>
        <v>0</v>
      </c>
      <c r="T374" s="121">
        <f>IF(Параметры!T$36=1,T373-$B373,T373-S373)</f>
        <v>0</v>
      </c>
      <c r="U374" s="121">
        <f>IF(Параметры!U$36=1,U373-$B373,U373-T373)</f>
        <v>0</v>
      </c>
      <c r="V374" s="121">
        <f>IF(Параметры!V$36=1,V373-$B373,V373-U373)</f>
        <v>0</v>
      </c>
      <c r="W374" s="121">
        <f>IF(Параметры!W$36=1,W373-$B373,W373-V373)</f>
        <v>0</v>
      </c>
      <c r="X374" s="121">
        <f>IF(Параметры!X$36=1,X373-$B373,X373-W373)</f>
        <v>0</v>
      </c>
      <c r="Y374" s="121">
        <f>IF(Параметры!Y$36=1,Y373-$B373,Y373-X373)</f>
        <v>0</v>
      </c>
      <c r="Z374" s="121">
        <f>IF(Параметры!Z$36=1,Z373-$B373,Z373-Y373)</f>
        <v>0</v>
      </c>
      <c r="AA374" s="121">
        <f>IF(Параметры!AA$36=1,AA373-$B373,AA373-Z373)</f>
        <v>0</v>
      </c>
      <c r="AB374" s="121">
        <f>IF(Параметры!AB$36=1,AB373-$B373,AB373-AA373)</f>
        <v>0</v>
      </c>
      <c r="AC374" s="121">
        <f>IF(Параметры!AC$36=1,AC373-$B373,AC373-AB373)</f>
        <v>0</v>
      </c>
      <c r="AD374" s="121">
        <f>IF(Параметры!AD$36=1,AD373-$B373,AD373-AC373)</f>
        <v>0</v>
      </c>
      <c r="AE374" s="121">
        <f>IF(Параметры!AE$36=1,AE373-$B373,AE373-AD373)</f>
        <v>0</v>
      </c>
      <c r="AF374" s="121">
        <f>IF(Параметры!AF$36=1,AF373-$B373,AF373-AE373)</f>
        <v>0</v>
      </c>
      <c r="AG374" s="121">
        <f>IF(Параметры!AG$36=1,AG373-$B373,AG373-AF373)</f>
        <v>0</v>
      </c>
      <c r="AH374" s="121">
        <f>IF(Параметры!AH$36=1,AH373-$B373,AH373-AG373)</f>
        <v>0</v>
      </c>
      <c r="AI374" s="121">
        <f>IF(Параметры!AI$36=1,AI373-$B373,AI373-AH373)</f>
        <v>0</v>
      </c>
      <c r="AJ374" s="121">
        <f>IF(Параметры!AJ$36=1,AJ373-$B373,AJ373-AI373)</f>
        <v>0</v>
      </c>
      <c r="AK374" s="121">
        <f>IF(Параметры!AK$36=1,AK373-$B373,AK373-AJ373)</f>
        <v>0</v>
      </c>
      <c r="AL374" s="121">
        <f>IF(Параметры!AL$36=1,AL373-$B373,AL373-AK373)</f>
        <v>0</v>
      </c>
      <c r="AM374" s="121">
        <f>IF(Параметры!AM$36=1,AM373-$B373,AM373-AL373)</f>
        <v>0</v>
      </c>
      <c r="AN374" s="121">
        <f>IF(Параметры!AN$36=1,AN373-$B373,AN373-AM373)</f>
        <v>0</v>
      </c>
      <c r="AO374" s="121">
        <f>IF(Параметры!AO$36=1,AO373-$B373,AO373-AN373)</f>
        <v>0</v>
      </c>
      <c r="AP374" s="121">
        <f>IF(Параметры!AP$36=1,AP373-$B373,AP373-AO373)</f>
        <v>0</v>
      </c>
      <c r="AQ374" s="121">
        <f>IF(Параметры!AQ$36=1,AQ373-$B373,AQ373-AP373)</f>
        <v>0</v>
      </c>
      <c r="AR374" s="121">
        <f>IF(Параметры!AR$36=1,AR373-$B373,AR373-AQ373)</f>
        <v>0</v>
      </c>
      <c r="AT374" s="96"/>
    </row>
    <row r="375" spans="1:46" s="1" customFormat="1" x14ac:dyDescent="0.2">
      <c r="A375" s="114"/>
      <c r="B375" s="114"/>
      <c r="C375" s="16"/>
      <c r="D375" s="40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21"/>
      <c r="AM375" s="121"/>
      <c r="AN375" s="121"/>
      <c r="AO375" s="121"/>
      <c r="AP375" s="121"/>
      <c r="AQ375" s="121"/>
      <c r="AR375" s="121"/>
      <c r="AT375" s="96"/>
    </row>
    <row r="376" spans="1:46" collapsed="1" x14ac:dyDescent="0.2">
      <c r="A376" s="44" t="s">
        <v>241</v>
      </c>
      <c r="C376" s="10" t="str">
        <f>Параметры!$B$64</f>
        <v>тыс. руб.</v>
      </c>
      <c r="E376" s="82">
        <f t="shared" ref="E376:AR376" si="128">E377+0</f>
        <v>0</v>
      </c>
      <c r="F376" s="82">
        <f t="shared" si="128"/>
        <v>0</v>
      </c>
      <c r="G376" s="82">
        <f t="shared" si="128"/>
        <v>0</v>
      </c>
      <c r="H376" s="82">
        <f t="shared" si="128"/>
        <v>0</v>
      </c>
      <c r="I376" s="82">
        <f t="shared" si="128"/>
        <v>0</v>
      </c>
      <c r="J376" s="82">
        <f t="shared" si="128"/>
        <v>0</v>
      </c>
      <c r="K376" s="82">
        <f t="shared" si="128"/>
        <v>0</v>
      </c>
      <c r="L376" s="82">
        <f t="shared" si="128"/>
        <v>0</v>
      </c>
      <c r="M376" s="82">
        <f t="shared" si="128"/>
        <v>0</v>
      </c>
      <c r="N376" s="82">
        <f t="shared" si="128"/>
        <v>0</v>
      </c>
      <c r="O376" s="82">
        <f t="shared" si="128"/>
        <v>0</v>
      </c>
      <c r="P376" s="82">
        <f t="shared" si="128"/>
        <v>0</v>
      </c>
      <c r="Q376" s="82">
        <f t="shared" si="128"/>
        <v>0</v>
      </c>
      <c r="R376" s="82">
        <f t="shared" si="128"/>
        <v>0</v>
      </c>
      <c r="S376" s="82">
        <f t="shared" si="128"/>
        <v>0</v>
      </c>
      <c r="T376" s="82">
        <f t="shared" si="128"/>
        <v>0</v>
      </c>
      <c r="U376" s="82">
        <f t="shared" si="128"/>
        <v>0</v>
      </c>
      <c r="V376" s="82">
        <f t="shared" si="128"/>
        <v>0</v>
      </c>
      <c r="W376" s="82">
        <f t="shared" si="128"/>
        <v>0</v>
      </c>
      <c r="X376" s="82">
        <f t="shared" si="128"/>
        <v>0</v>
      </c>
      <c r="Y376" s="82">
        <f t="shared" si="128"/>
        <v>0</v>
      </c>
      <c r="Z376" s="82">
        <f t="shared" si="128"/>
        <v>0</v>
      </c>
      <c r="AA376" s="82">
        <f t="shared" si="128"/>
        <v>0</v>
      </c>
      <c r="AB376" s="82">
        <f t="shared" si="128"/>
        <v>0</v>
      </c>
      <c r="AC376" s="82">
        <f t="shared" si="128"/>
        <v>0</v>
      </c>
      <c r="AD376" s="82">
        <f t="shared" si="128"/>
        <v>0</v>
      </c>
      <c r="AE376" s="82">
        <f t="shared" si="128"/>
        <v>0</v>
      </c>
      <c r="AF376" s="82">
        <f t="shared" si="128"/>
        <v>0</v>
      </c>
      <c r="AG376" s="82">
        <f t="shared" si="128"/>
        <v>0</v>
      </c>
      <c r="AH376" s="82">
        <f t="shared" si="128"/>
        <v>0</v>
      </c>
      <c r="AI376" s="82">
        <f t="shared" si="128"/>
        <v>0</v>
      </c>
      <c r="AJ376" s="82">
        <f t="shared" si="128"/>
        <v>0</v>
      </c>
      <c r="AK376" s="82">
        <f t="shared" si="128"/>
        <v>0</v>
      </c>
      <c r="AL376" s="82">
        <f t="shared" si="128"/>
        <v>0</v>
      </c>
      <c r="AM376" s="82">
        <f t="shared" si="128"/>
        <v>0</v>
      </c>
      <c r="AN376" s="82">
        <f t="shared" si="128"/>
        <v>0</v>
      </c>
      <c r="AO376" s="82">
        <f t="shared" si="128"/>
        <v>0</v>
      </c>
      <c r="AP376" s="82">
        <f t="shared" si="128"/>
        <v>0</v>
      </c>
      <c r="AQ376" s="82">
        <f t="shared" si="128"/>
        <v>0</v>
      </c>
      <c r="AR376" s="82">
        <f t="shared" si="128"/>
        <v>0</v>
      </c>
    </row>
    <row r="377" spans="1:46" s="1" customFormat="1" outlineLevel="1" x14ac:dyDescent="0.2">
      <c r="A377" s="114" t="s">
        <v>231</v>
      </c>
      <c r="B377" s="144">
        <f>Деятельность_УК!B38</f>
        <v>0</v>
      </c>
      <c r="C377" s="16" t="str">
        <f>Параметры!$B$64</f>
        <v>тыс. руб.</v>
      </c>
      <c r="D377" s="40"/>
      <c r="E377" s="356">
        <f>IF(Параметры!E$36=1,$B377,D377)</f>
        <v>0</v>
      </c>
      <c r="F377" s="356">
        <f>IF(Параметры!F$36=1,$B377,E377)</f>
        <v>0</v>
      </c>
      <c r="G377" s="356">
        <f>IF(Параметры!G$36=1,$B377,F377)</f>
        <v>0</v>
      </c>
      <c r="H377" s="356">
        <f>IF(Параметры!H$36=1,$B377,G377)</f>
        <v>0</v>
      </c>
      <c r="I377" s="356">
        <f>IF(Параметры!I$36=1,$B377,H377)</f>
        <v>0</v>
      </c>
      <c r="J377" s="356">
        <f>IF(Параметры!J$36=1,$B377,I377)</f>
        <v>0</v>
      </c>
      <c r="K377" s="356">
        <f>IF(Параметры!K$36=1,$B377,J377)</f>
        <v>0</v>
      </c>
      <c r="L377" s="356">
        <f>IF(Параметры!L$36=1,$B377,K377)</f>
        <v>0</v>
      </c>
      <c r="M377" s="356">
        <f>IF(Параметры!M$36=1,$B377,L377)</f>
        <v>0</v>
      </c>
      <c r="N377" s="356">
        <f>IF(Параметры!N$36=1,$B377,M377)</f>
        <v>0</v>
      </c>
      <c r="O377" s="356">
        <f>IF(Параметры!O$36=1,$B377,N377)</f>
        <v>0</v>
      </c>
      <c r="P377" s="356">
        <f>IF(Параметры!P$36=1,$B377,O377)</f>
        <v>0</v>
      </c>
      <c r="Q377" s="356">
        <f>IF(Параметры!Q$36=1,$B377,P377)</f>
        <v>0</v>
      </c>
      <c r="R377" s="356">
        <f>IF(Параметры!R$36=1,$B377,Q377)</f>
        <v>0</v>
      </c>
      <c r="S377" s="356">
        <f>IF(Параметры!S$36=1,$B377,R377)</f>
        <v>0</v>
      </c>
      <c r="T377" s="356">
        <f>IF(Параметры!T$36=1,$B377,S377)</f>
        <v>0</v>
      </c>
      <c r="U377" s="356">
        <f>IF(Параметры!U$36=1,$B377,T377)</f>
        <v>0</v>
      </c>
      <c r="V377" s="356">
        <f>IF(Параметры!V$36=1,$B377,U377)</f>
        <v>0</v>
      </c>
      <c r="W377" s="356">
        <f>IF(Параметры!W$36=1,$B377,V377)</f>
        <v>0</v>
      </c>
      <c r="X377" s="356">
        <f>IF(Параметры!X$36=1,$B377,W377)</f>
        <v>0</v>
      </c>
      <c r="Y377" s="356">
        <f>IF(Параметры!Y$36=1,$B377,X377)</f>
        <v>0</v>
      </c>
      <c r="Z377" s="356">
        <f>IF(Параметры!Z$36=1,$B377,Y377)</f>
        <v>0</v>
      </c>
      <c r="AA377" s="356">
        <f>IF(Параметры!AA$36=1,$B377,Z377)</f>
        <v>0</v>
      </c>
      <c r="AB377" s="356">
        <f>IF(Параметры!AB$36=1,$B377,AA377)</f>
        <v>0</v>
      </c>
      <c r="AC377" s="356">
        <f>IF(Параметры!AC$36=1,$B377,AB377)</f>
        <v>0</v>
      </c>
      <c r="AD377" s="356">
        <f>IF(Параметры!AD$36=1,$B377,AC377)</f>
        <v>0</v>
      </c>
      <c r="AE377" s="356">
        <f>IF(Параметры!AE$36=1,$B377,AD377)</f>
        <v>0</v>
      </c>
      <c r="AF377" s="356">
        <f>IF(Параметры!AF$36=1,$B377,AE377)</f>
        <v>0</v>
      </c>
      <c r="AG377" s="356">
        <f>IF(Параметры!AG$36=1,$B377,AF377)</f>
        <v>0</v>
      </c>
      <c r="AH377" s="356">
        <f>IF(Параметры!AH$36=1,$B377,AG377)</f>
        <v>0</v>
      </c>
      <c r="AI377" s="356">
        <f>IF(Параметры!AI$36=1,$B377,AH377)</f>
        <v>0</v>
      </c>
      <c r="AJ377" s="356">
        <f>IF(Параметры!AJ$36=1,$B377,AI377)</f>
        <v>0</v>
      </c>
      <c r="AK377" s="356">
        <f>IF(Параметры!AK$36=1,$B377,AJ377)</f>
        <v>0</v>
      </c>
      <c r="AL377" s="356">
        <f>IF(Параметры!AL$36=1,$B377,AK377)</f>
        <v>0</v>
      </c>
      <c r="AM377" s="356">
        <f>IF(Параметры!AM$36=1,$B377,AL377)</f>
        <v>0</v>
      </c>
      <c r="AN377" s="356">
        <f>IF(Параметры!AN$36=1,$B377,AM377)</f>
        <v>0</v>
      </c>
      <c r="AO377" s="356">
        <f>IF(Параметры!AO$36=1,$B377,AN377)</f>
        <v>0</v>
      </c>
      <c r="AP377" s="356">
        <f>IF(Параметры!AP$36=1,$B377,AO377)</f>
        <v>0</v>
      </c>
      <c r="AQ377" s="356">
        <f>IF(Параметры!AQ$36=1,$B377,AP377)</f>
        <v>0</v>
      </c>
      <c r="AR377" s="356">
        <f>IF(Параметры!AR$36=1,$B377,AQ377)</f>
        <v>0</v>
      </c>
      <c r="AT377" s="96"/>
    </row>
    <row r="378" spans="1:46" s="1" customFormat="1" outlineLevel="1" x14ac:dyDescent="0.2">
      <c r="A378" s="114" t="s">
        <v>232</v>
      </c>
      <c r="B378" s="114"/>
      <c r="C378" s="16" t="str">
        <f>Параметры!$B$64</f>
        <v>тыс. руб.</v>
      </c>
      <c r="D378" s="40"/>
      <c r="E378" s="121">
        <f>IF(Параметры!E$36=1,E377-$B377,E377-D377)</f>
        <v>0</v>
      </c>
      <c r="F378" s="121">
        <f>IF(Параметры!F$36=1,F377-$B377,F377-E377)</f>
        <v>0</v>
      </c>
      <c r="G378" s="121">
        <f>IF(Параметры!G$36=1,G377-$B377,G377-F377)</f>
        <v>0</v>
      </c>
      <c r="H378" s="121">
        <f>IF(Параметры!H$36=1,H377-$B377,H377-G377)</f>
        <v>0</v>
      </c>
      <c r="I378" s="121">
        <f>IF(Параметры!I$36=1,I377-$B377,I377-H377)</f>
        <v>0</v>
      </c>
      <c r="J378" s="121">
        <f>IF(Параметры!J$36=1,J377-$B377,J377-I377)</f>
        <v>0</v>
      </c>
      <c r="K378" s="121">
        <f>IF(Параметры!K$36=1,K377-$B377,K377-J377)</f>
        <v>0</v>
      </c>
      <c r="L378" s="121">
        <f>IF(Параметры!L$36=1,L377-$B377,L377-K377)</f>
        <v>0</v>
      </c>
      <c r="M378" s="121">
        <f>IF(Параметры!M$36=1,M377-$B377,M377-L377)</f>
        <v>0</v>
      </c>
      <c r="N378" s="121">
        <f>IF(Параметры!N$36=1,N377-$B377,N377-M377)</f>
        <v>0</v>
      </c>
      <c r="O378" s="121">
        <f>IF(Параметры!O$36=1,O377-$B377,O377-N377)</f>
        <v>0</v>
      </c>
      <c r="P378" s="121">
        <f>IF(Параметры!P$36=1,P377-$B377,P377-O377)</f>
        <v>0</v>
      </c>
      <c r="Q378" s="121">
        <f>IF(Параметры!Q$36=1,Q377-$B377,Q377-P377)</f>
        <v>0</v>
      </c>
      <c r="R378" s="121">
        <f>IF(Параметры!R$36=1,R377-$B377,R377-Q377)</f>
        <v>0</v>
      </c>
      <c r="S378" s="121">
        <f>IF(Параметры!S$36=1,S377-$B377,S377-R377)</f>
        <v>0</v>
      </c>
      <c r="T378" s="121">
        <f>IF(Параметры!T$36=1,T377-$B377,T377-S377)</f>
        <v>0</v>
      </c>
      <c r="U378" s="121">
        <f>IF(Параметры!U$36=1,U377-$B377,U377-T377)</f>
        <v>0</v>
      </c>
      <c r="V378" s="121">
        <f>IF(Параметры!V$36=1,V377-$B377,V377-U377)</f>
        <v>0</v>
      </c>
      <c r="W378" s="121">
        <f>IF(Параметры!W$36=1,W377-$B377,W377-V377)</f>
        <v>0</v>
      </c>
      <c r="X378" s="121">
        <f>IF(Параметры!X$36=1,X377-$B377,X377-W377)</f>
        <v>0</v>
      </c>
      <c r="Y378" s="121">
        <f>IF(Параметры!Y$36=1,Y377-$B377,Y377-X377)</f>
        <v>0</v>
      </c>
      <c r="Z378" s="121">
        <f>IF(Параметры!Z$36=1,Z377-$B377,Z377-Y377)</f>
        <v>0</v>
      </c>
      <c r="AA378" s="121">
        <f>IF(Параметры!AA$36=1,AA377-$B377,AA377-Z377)</f>
        <v>0</v>
      </c>
      <c r="AB378" s="121">
        <f>IF(Параметры!AB$36=1,AB377-$B377,AB377-AA377)</f>
        <v>0</v>
      </c>
      <c r="AC378" s="121">
        <f>IF(Параметры!AC$36=1,AC377-$B377,AC377-AB377)</f>
        <v>0</v>
      </c>
      <c r="AD378" s="121">
        <f>IF(Параметры!AD$36=1,AD377-$B377,AD377-AC377)</f>
        <v>0</v>
      </c>
      <c r="AE378" s="121">
        <f>IF(Параметры!AE$36=1,AE377-$B377,AE377-AD377)</f>
        <v>0</v>
      </c>
      <c r="AF378" s="121">
        <f>IF(Параметры!AF$36=1,AF377-$B377,AF377-AE377)</f>
        <v>0</v>
      </c>
      <c r="AG378" s="121">
        <f>IF(Параметры!AG$36=1,AG377-$B377,AG377-AF377)</f>
        <v>0</v>
      </c>
      <c r="AH378" s="121">
        <f>IF(Параметры!AH$36=1,AH377-$B377,AH377-AG377)</f>
        <v>0</v>
      </c>
      <c r="AI378" s="121">
        <f>IF(Параметры!AI$36=1,AI377-$B377,AI377-AH377)</f>
        <v>0</v>
      </c>
      <c r="AJ378" s="121">
        <f>IF(Параметры!AJ$36=1,AJ377-$B377,AJ377-AI377)</f>
        <v>0</v>
      </c>
      <c r="AK378" s="121">
        <f>IF(Параметры!AK$36=1,AK377-$B377,AK377-AJ377)</f>
        <v>0</v>
      </c>
      <c r="AL378" s="121">
        <f>IF(Параметры!AL$36=1,AL377-$B377,AL377-AK377)</f>
        <v>0</v>
      </c>
      <c r="AM378" s="121">
        <f>IF(Параметры!AM$36=1,AM377-$B377,AM377-AL377)</f>
        <v>0</v>
      </c>
      <c r="AN378" s="121">
        <f>IF(Параметры!AN$36=1,AN377-$B377,AN377-AM377)</f>
        <v>0</v>
      </c>
      <c r="AO378" s="121">
        <f>IF(Параметры!AO$36=1,AO377-$B377,AO377-AN377)</f>
        <v>0</v>
      </c>
      <c r="AP378" s="121">
        <f>IF(Параметры!AP$36=1,AP377-$B377,AP377-AO377)</f>
        <v>0</v>
      </c>
      <c r="AQ378" s="121">
        <f>IF(Параметры!AQ$36=1,AQ377-$B377,AQ377-AP377)</f>
        <v>0</v>
      </c>
      <c r="AR378" s="121">
        <f>IF(Параметры!AR$36=1,AR377-$B377,AR377-AQ377)</f>
        <v>0</v>
      </c>
      <c r="AT378" s="96"/>
    </row>
    <row r="379" spans="1:46" s="1" customFormat="1" x14ac:dyDescent="0.2">
      <c r="A379" s="114"/>
      <c r="B379" s="114"/>
      <c r="C379" s="16"/>
      <c r="D379" s="40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21"/>
      <c r="AM379" s="121"/>
      <c r="AN379" s="121"/>
      <c r="AO379" s="121"/>
      <c r="AP379" s="121"/>
      <c r="AQ379" s="121"/>
      <c r="AR379" s="121"/>
      <c r="AT379" s="96"/>
    </row>
    <row r="380" spans="1:46" s="1" customFormat="1" x14ac:dyDescent="0.2">
      <c r="A380" s="44" t="s">
        <v>276</v>
      </c>
      <c r="B380" s="114"/>
      <c r="C380" s="10" t="str">
        <f>Параметры!$B$64</f>
        <v>тыс. руб.</v>
      </c>
      <c r="D380" s="40"/>
      <c r="E380" s="82">
        <f t="shared" ref="E380:AR380" si="129">E330+E340+E345+E350+E360</f>
        <v>0</v>
      </c>
      <c r="F380" s="82">
        <f t="shared" si="129"/>
        <v>0</v>
      </c>
      <c r="G380" s="82">
        <f t="shared" si="129"/>
        <v>0</v>
      </c>
      <c r="H380" s="82">
        <f t="shared" si="129"/>
        <v>0</v>
      </c>
      <c r="I380" s="82">
        <f t="shared" si="129"/>
        <v>0</v>
      </c>
      <c r="J380" s="82">
        <f t="shared" si="129"/>
        <v>0</v>
      </c>
      <c r="K380" s="82">
        <f t="shared" si="129"/>
        <v>0</v>
      </c>
      <c r="L380" s="82">
        <f t="shared" si="129"/>
        <v>0</v>
      </c>
      <c r="M380" s="82">
        <f t="shared" si="129"/>
        <v>0</v>
      </c>
      <c r="N380" s="82">
        <f t="shared" si="129"/>
        <v>0</v>
      </c>
      <c r="O380" s="82">
        <f t="shared" si="129"/>
        <v>0</v>
      </c>
      <c r="P380" s="82">
        <f t="shared" si="129"/>
        <v>0</v>
      </c>
      <c r="Q380" s="82">
        <f t="shared" si="129"/>
        <v>0</v>
      </c>
      <c r="R380" s="82">
        <f t="shared" si="129"/>
        <v>0</v>
      </c>
      <c r="S380" s="82">
        <f t="shared" si="129"/>
        <v>0</v>
      </c>
      <c r="T380" s="82">
        <f t="shared" si="129"/>
        <v>0</v>
      </c>
      <c r="U380" s="82">
        <f t="shared" si="129"/>
        <v>0</v>
      </c>
      <c r="V380" s="82">
        <f t="shared" si="129"/>
        <v>0</v>
      </c>
      <c r="W380" s="82">
        <f t="shared" si="129"/>
        <v>0</v>
      </c>
      <c r="X380" s="82">
        <f t="shared" si="129"/>
        <v>0</v>
      </c>
      <c r="Y380" s="82">
        <f t="shared" si="129"/>
        <v>0</v>
      </c>
      <c r="Z380" s="82">
        <f t="shared" si="129"/>
        <v>0</v>
      </c>
      <c r="AA380" s="82">
        <f t="shared" si="129"/>
        <v>0</v>
      </c>
      <c r="AB380" s="82">
        <f t="shared" si="129"/>
        <v>0</v>
      </c>
      <c r="AC380" s="82">
        <f t="shared" si="129"/>
        <v>0</v>
      </c>
      <c r="AD380" s="82">
        <f t="shared" si="129"/>
        <v>0</v>
      </c>
      <c r="AE380" s="82">
        <f t="shared" si="129"/>
        <v>0</v>
      </c>
      <c r="AF380" s="82">
        <f t="shared" si="129"/>
        <v>0</v>
      </c>
      <c r="AG380" s="82">
        <f t="shared" si="129"/>
        <v>0</v>
      </c>
      <c r="AH380" s="82">
        <f t="shared" si="129"/>
        <v>0</v>
      </c>
      <c r="AI380" s="82">
        <f t="shared" si="129"/>
        <v>0</v>
      </c>
      <c r="AJ380" s="82">
        <f t="shared" si="129"/>
        <v>0</v>
      </c>
      <c r="AK380" s="82">
        <f t="shared" si="129"/>
        <v>0</v>
      </c>
      <c r="AL380" s="82">
        <f t="shared" si="129"/>
        <v>0</v>
      </c>
      <c r="AM380" s="82">
        <f t="shared" si="129"/>
        <v>0</v>
      </c>
      <c r="AN380" s="82">
        <f t="shared" si="129"/>
        <v>0</v>
      </c>
      <c r="AO380" s="82">
        <f t="shared" si="129"/>
        <v>0</v>
      </c>
      <c r="AP380" s="82">
        <f t="shared" si="129"/>
        <v>0</v>
      </c>
      <c r="AQ380" s="82">
        <f t="shared" si="129"/>
        <v>0</v>
      </c>
      <c r="AR380" s="82">
        <f t="shared" si="129"/>
        <v>0</v>
      </c>
      <c r="AT380" s="96"/>
    </row>
    <row r="381" spans="1:46" s="1" customFormat="1" x14ac:dyDescent="0.2">
      <c r="A381" s="44" t="s">
        <v>277</v>
      </c>
      <c r="B381" s="114"/>
      <c r="C381" s="10" t="str">
        <f>Параметры!$B$64</f>
        <v>тыс. руб.</v>
      </c>
      <c r="D381" s="40"/>
      <c r="E381" s="82">
        <f t="shared" ref="E381:AR381" ca="1" si="130">E335+E355+E365+E371+E376</f>
        <v>1590.4109124915587</v>
      </c>
      <c r="F381" s="82">
        <f t="shared" ca="1" si="130"/>
        <v>1590.4109124915587</v>
      </c>
      <c r="G381" s="82">
        <f t="shared" ca="1" si="130"/>
        <v>4200.4320453040582</v>
      </c>
      <c r="H381" s="82">
        <f t="shared" ca="1" si="130"/>
        <v>7103.787709929059</v>
      </c>
      <c r="I381" s="82">
        <f t="shared" ca="1" si="130"/>
        <v>1916.7836864915587</v>
      </c>
      <c r="J381" s="82">
        <f t="shared" ca="1" si="130"/>
        <v>1926.4938275825793</v>
      </c>
      <c r="K381" s="82">
        <f t="shared" ca="1" si="130"/>
        <v>2708.2982176911855</v>
      </c>
      <c r="L381" s="82">
        <f t="shared" ca="1" si="130"/>
        <v>2730.6885323328415</v>
      </c>
      <c r="M381" s="82">
        <f t="shared" ca="1" si="130"/>
        <v>2753.4375429482525</v>
      </c>
      <c r="N381" s="82">
        <f t="shared" ca="1" si="130"/>
        <v>2777.7625359585718</v>
      </c>
      <c r="O381" s="82">
        <f t="shared" ca="1" si="130"/>
        <v>2802.497645167728</v>
      </c>
      <c r="P381" s="82">
        <f t="shared" ca="1" si="130"/>
        <v>3037.6165661475034</v>
      </c>
      <c r="Q381" s="82">
        <f t="shared" ca="1" si="130"/>
        <v>3066.7327802995615</v>
      </c>
      <c r="R381" s="82">
        <f t="shared" ca="1" si="130"/>
        <v>3095.9666583699427</v>
      </c>
      <c r="S381" s="82">
        <f t="shared" ca="1" si="130"/>
        <v>3125.6872024881441</v>
      </c>
      <c r="T381" s="82">
        <f t="shared" ca="1" si="130"/>
        <v>3155.9025143450017</v>
      </c>
      <c r="U381" s="82">
        <f t="shared" ca="1" si="130"/>
        <v>3186.6208305028831</v>
      </c>
      <c r="V381" s="82">
        <f t="shared" ca="1" si="130"/>
        <v>3218.4408892737438</v>
      </c>
      <c r="W381" s="82">
        <f t="shared" ca="1" si="130"/>
        <v>3250.8006808823211</v>
      </c>
      <c r="X381" s="82">
        <f t="shared" ca="1" si="130"/>
        <v>3283.7093602939849</v>
      </c>
      <c r="Y381" s="82">
        <f t="shared" ca="1" si="130"/>
        <v>3317.1762377609166</v>
      </c>
      <c r="Z381" s="82">
        <f t="shared" ca="1" si="130"/>
        <v>3350.7926384163952</v>
      </c>
      <c r="AA381" s="82">
        <f t="shared" ca="1" si="130"/>
        <v>3384.9722360997657</v>
      </c>
      <c r="AB381" s="82">
        <f t="shared" ca="1" si="130"/>
        <v>3419.7244664104978</v>
      </c>
      <c r="AC381" s="82">
        <f t="shared" ca="1" si="130"/>
        <v>11679.7927339377</v>
      </c>
      <c r="AD381" s="82">
        <f t="shared" ca="1" si="130"/>
        <v>18411.286427950388</v>
      </c>
      <c r="AE381" s="82">
        <f t="shared" ca="1" si="130"/>
        <v>19526.026174200448</v>
      </c>
      <c r="AF381" s="82">
        <f t="shared" ca="1" si="130"/>
        <v>20660.931954522712</v>
      </c>
      <c r="AG381" s="82">
        <f t="shared" ca="1" si="130"/>
        <v>47675.936738860015</v>
      </c>
      <c r="AH381" s="82">
        <f t="shared" ca="1" si="130"/>
        <v>48789.313972325028</v>
      </c>
      <c r="AI381" s="82">
        <f t="shared" ca="1" si="130"/>
        <v>49928.307310776298</v>
      </c>
      <c r="AJ381" s="82">
        <f t="shared" ca="1" si="130"/>
        <v>51093.418058503645</v>
      </c>
      <c r="AK381" s="82">
        <f t="shared" ca="1" si="130"/>
        <v>89162.853406043054</v>
      </c>
      <c r="AL381" s="82">
        <f t="shared" ca="1" si="130"/>
        <v>51276.421487618063</v>
      </c>
      <c r="AM381" s="82">
        <f t="shared" ca="1" si="130"/>
        <v>52409.959573261367</v>
      </c>
      <c r="AN381" s="82">
        <f t="shared" ca="1" si="130"/>
        <v>53478.575118488683</v>
      </c>
      <c r="AO381" s="82">
        <f t="shared" ca="1" si="130"/>
        <v>2122494.3404425965</v>
      </c>
      <c r="AP381" s="82">
        <f t="shared" ca="1" si="130"/>
        <v>47523.095322929905</v>
      </c>
      <c r="AQ381" s="82">
        <f t="shared" ca="1" si="130"/>
        <v>50791.197377968827</v>
      </c>
      <c r="AR381" s="82">
        <f t="shared" ca="1" si="130"/>
        <v>51164.875419139215</v>
      </c>
      <c r="AT381" s="96"/>
    </row>
    <row r="382" spans="1:46" s="1" customFormat="1" x14ac:dyDescent="0.2">
      <c r="A382" s="44" t="s">
        <v>278</v>
      </c>
      <c r="B382" s="114"/>
      <c r="C382" s="10" t="str">
        <f>Параметры!$B$64</f>
        <v>тыс. руб.</v>
      </c>
      <c r="D382" s="40"/>
      <c r="E382" s="82">
        <f t="shared" ref="E382:AR382" ca="1" si="131">E380-E381</f>
        <v>-1590.4109124915587</v>
      </c>
      <c r="F382" s="82">
        <f t="shared" ca="1" si="131"/>
        <v>-1590.4109124915587</v>
      </c>
      <c r="G382" s="82">
        <f t="shared" ca="1" si="131"/>
        <v>-4200.4320453040582</v>
      </c>
      <c r="H382" s="82">
        <f t="shared" ca="1" si="131"/>
        <v>-7103.787709929059</v>
      </c>
      <c r="I382" s="82">
        <f t="shared" ca="1" si="131"/>
        <v>-1916.7836864915587</v>
      </c>
      <c r="J382" s="82">
        <f t="shared" ca="1" si="131"/>
        <v>-1926.4938275825793</v>
      </c>
      <c r="K382" s="82">
        <f t="shared" ca="1" si="131"/>
        <v>-2708.2982176911855</v>
      </c>
      <c r="L382" s="82">
        <f t="shared" ca="1" si="131"/>
        <v>-2730.6885323328415</v>
      </c>
      <c r="M382" s="82">
        <f t="shared" ca="1" si="131"/>
        <v>-2753.4375429482525</v>
      </c>
      <c r="N382" s="82">
        <f t="shared" ca="1" si="131"/>
        <v>-2777.7625359585718</v>
      </c>
      <c r="O382" s="82">
        <f t="shared" ca="1" si="131"/>
        <v>-2802.497645167728</v>
      </c>
      <c r="P382" s="82">
        <f t="shared" ca="1" si="131"/>
        <v>-3037.6165661475034</v>
      </c>
      <c r="Q382" s="82">
        <f t="shared" ca="1" si="131"/>
        <v>-3066.7327802995615</v>
      </c>
      <c r="R382" s="82">
        <f t="shared" ca="1" si="131"/>
        <v>-3095.9666583699427</v>
      </c>
      <c r="S382" s="82">
        <f t="shared" ca="1" si="131"/>
        <v>-3125.6872024881441</v>
      </c>
      <c r="T382" s="82">
        <f t="shared" ca="1" si="131"/>
        <v>-3155.9025143450017</v>
      </c>
      <c r="U382" s="82">
        <f t="shared" ca="1" si="131"/>
        <v>-3186.6208305028831</v>
      </c>
      <c r="V382" s="82">
        <f t="shared" ca="1" si="131"/>
        <v>-3218.4408892737438</v>
      </c>
      <c r="W382" s="82">
        <f t="shared" ca="1" si="131"/>
        <v>-3250.8006808823211</v>
      </c>
      <c r="X382" s="82">
        <f t="shared" ca="1" si="131"/>
        <v>-3283.7093602939849</v>
      </c>
      <c r="Y382" s="82">
        <f t="shared" ca="1" si="131"/>
        <v>-3317.1762377609166</v>
      </c>
      <c r="Z382" s="82">
        <f t="shared" ca="1" si="131"/>
        <v>-3350.7926384163952</v>
      </c>
      <c r="AA382" s="82">
        <f t="shared" ca="1" si="131"/>
        <v>-3384.9722360997657</v>
      </c>
      <c r="AB382" s="82">
        <f t="shared" ca="1" si="131"/>
        <v>-3419.7244664104978</v>
      </c>
      <c r="AC382" s="82">
        <f t="shared" ca="1" si="131"/>
        <v>-11679.7927339377</v>
      </c>
      <c r="AD382" s="82">
        <f t="shared" ca="1" si="131"/>
        <v>-18411.286427950388</v>
      </c>
      <c r="AE382" s="82">
        <f t="shared" ca="1" si="131"/>
        <v>-19526.026174200448</v>
      </c>
      <c r="AF382" s="82">
        <f t="shared" ca="1" si="131"/>
        <v>-20660.931954522712</v>
      </c>
      <c r="AG382" s="82">
        <f t="shared" ca="1" si="131"/>
        <v>-47675.936738860015</v>
      </c>
      <c r="AH382" s="82">
        <f t="shared" ca="1" si="131"/>
        <v>-48789.313972325028</v>
      </c>
      <c r="AI382" s="82">
        <f t="shared" ca="1" si="131"/>
        <v>-49928.307310776298</v>
      </c>
      <c r="AJ382" s="82">
        <f t="shared" ca="1" si="131"/>
        <v>-51093.418058503645</v>
      </c>
      <c r="AK382" s="82">
        <f t="shared" ca="1" si="131"/>
        <v>-89162.853406043054</v>
      </c>
      <c r="AL382" s="82">
        <f t="shared" ca="1" si="131"/>
        <v>-51276.421487618063</v>
      </c>
      <c r="AM382" s="82">
        <f t="shared" ca="1" si="131"/>
        <v>-52409.959573261367</v>
      </c>
      <c r="AN382" s="82">
        <f t="shared" ca="1" si="131"/>
        <v>-53478.575118488683</v>
      </c>
      <c r="AO382" s="82">
        <f t="shared" ca="1" si="131"/>
        <v>-2122494.3404425965</v>
      </c>
      <c r="AP382" s="82">
        <f t="shared" ca="1" si="131"/>
        <v>-47523.095322929905</v>
      </c>
      <c r="AQ382" s="82">
        <f t="shared" ca="1" si="131"/>
        <v>-50791.197377968827</v>
      </c>
      <c r="AR382" s="82">
        <f t="shared" ca="1" si="131"/>
        <v>-51164.875419139215</v>
      </c>
      <c r="AT382" s="96"/>
    </row>
    <row r="383" spans="1:46" s="1" customFormat="1" x14ac:dyDescent="0.2">
      <c r="A383" s="44" t="s">
        <v>279</v>
      </c>
      <c r="B383" s="114"/>
      <c r="C383" s="10" t="str">
        <f>Параметры!$B$64</f>
        <v>тыс. руб.</v>
      </c>
      <c r="D383" s="40"/>
      <c r="E383" s="82">
        <f ca="1">E382-IF(Параметры!E$36=1,$B332+$B342+$B347+$B352+$B362-($B337+$B357+$B368+$B373+$B377),D382)</f>
        <v>-1590.4109124915587</v>
      </c>
      <c r="F383" s="82">
        <f ca="1">F382-IF(Параметры!F$36=1,$B332+$B342+$B347+$B352+$B362-($B337+$B357+$B368+$B373+$B377),E382)</f>
        <v>0</v>
      </c>
      <c r="G383" s="82">
        <f ca="1">G382-IF(Параметры!G$36=1,$B332+$B342+$B347+$B352+$B362-($B337+$B357+$B368+$B373+$B377),F382)</f>
        <v>-2610.0211328124997</v>
      </c>
      <c r="H383" s="82">
        <f ca="1">H382-IF(Параметры!H$36=1,$B332+$B342+$B347+$B352+$B362-($B337+$B357+$B368+$B373+$B377),G382)</f>
        <v>-2903.3556646250008</v>
      </c>
      <c r="I383" s="82">
        <f ca="1">I382-IF(Параметры!I$36=1,$B332+$B342+$B347+$B352+$B362-($B337+$B357+$B368+$B373+$B377),H382)</f>
        <v>5187.0040234375001</v>
      </c>
      <c r="J383" s="82">
        <f ca="1">J382-IF(Параметры!J$36=1,$B332+$B342+$B347+$B352+$B362-($B337+$B357+$B368+$B373+$B377),I382)</f>
        <v>-9.7101410910206596</v>
      </c>
      <c r="K383" s="82">
        <f ca="1">K382-IF(Параметры!K$36=1,$B332+$B342+$B347+$B352+$B362-($B337+$B357+$B368+$B373+$B377),J382)</f>
        <v>-781.80439010860619</v>
      </c>
      <c r="L383" s="82">
        <f ca="1">L382-IF(Параметры!L$36=1,$B332+$B342+$B347+$B352+$B362-($B337+$B357+$B368+$B373+$B377),K382)</f>
        <v>-22.390314641656005</v>
      </c>
      <c r="M383" s="82">
        <f ca="1">M382-IF(Параметры!M$36=1,$B332+$B342+$B347+$B352+$B362-($B337+$B357+$B368+$B373+$B377),L382)</f>
        <v>-22.749010615410953</v>
      </c>
      <c r="N383" s="82">
        <f ca="1">N382-IF(Параметры!N$36=1,$B332+$B342+$B347+$B352+$B362-($B337+$B357+$B368+$B373+$B377),M382)</f>
        <v>-24.324993010319304</v>
      </c>
      <c r="O383" s="82">
        <f ca="1">O382-IF(Параметры!O$36=1,$B332+$B342+$B347+$B352+$B362-($B337+$B357+$B368+$B373+$B377),N382)</f>
        <v>-24.735109209156235</v>
      </c>
      <c r="P383" s="82">
        <f ca="1">P382-IF(Параметры!P$36=1,$B332+$B342+$B347+$B352+$B362-($B337+$B357+$B368+$B373+$B377),O382)</f>
        <v>-235.11892097977534</v>
      </c>
      <c r="Q383" s="82">
        <f ca="1">Q382-IF(Параметры!Q$36=1,$B332+$B342+$B347+$B352+$B362-($B337+$B357+$B368+$B373+$B377),P382)</f>
        <v>-29.116214152058092</v>
      </c>
      <c r="R383" s="82">
        <f ca="1">R382-IF(Параметры!R$36=1,$B332+$B342+$B347+$B352+$B362-($B337+$B357+$B368+$B373+$B377),Q382)</f>
        <v>-29.233878070381252</v>
      </c>
      <c r="S383" s="82">
        <f ca="1">S382-IF(Параметры!S$36=1,$B332+$B342+$B347+$B352+$B362-($B337+$B357+$B368+$B373+$B377),R382)</f>
        <v>-29.72054411820136</v>
      </c>
      <c r="T383" s="82">
        <f ca="1">T382-IF(Параметры!T$36=1,$B332+$B342+$B347+$B352+$B362-($B337+$B357+$B368+$B373+$B377),S382)</f>
        <v>-30.215311856857625</v>
      </c>
      <c r="U383" s="82">
        <f ca="1">U382-IF(Параметры!U$36=1,$B332+$B342+$B347+$B352+$B362-($B337+$B357+$B368+$B373+$B377),T382)</f>
        <v>-30.718316157881418</v>
      </c>
      <c r="V383" s="82">
        <f ca="1">V382-IF(Параметры!V$36=1,$B332+$B342+$B347+$B352+$B362-($B337+$B357+$B368+$B373+$B377),U382)</f>
        <v>-31.820058770860669</v>
      </c>
      <c r="W383" s="82">
        <f ca="1">W382-IF(Параметры!W$36=1,$B332+$B342+$B347+$B352+$B362-($B337+$B357+$B368+$B373+$B377),V382)</f>
        <v>-32.359791608577325</v>
      </c>
      <c r="X383" s="82">
        <f ca="1">X382-IF(Параметры!X$36=1,$B332+$B342+$B347+$B352+$B362-($B337+$B357+$B368+$B373+$B377),W382)</f>
        <v>-32.908679411663798</v>
      </c>
      <c r="Y383" s="82">
        <f ca="1">Y382-IF(Параметры!Y$36=1,$B332+$B342+$B347+$B352+$B362-($B337+$B357+$B368+$B373+$B377),X382)</f>
        <v>-33.466877466931692</v>
      </c>
      <c r="Z383" s="82">
        <f ca="1">Z382-IF(Параметры!Z$36=1,$B332+$B342+$B347+$B352+$B362-($B337+$B357+$B368+$B373+$B377),Y382)</f>
        <v>-33.616400655478628</v>
      </c>
      <c r="AA383" s="82">
        <f ca="1">AA382-IF(Параметры!AA$36=1,$B332+$B342+$B347+$B352+$B362-($B337+$B357+$B368+$B373+$B377),Z382)</f>
        <v>-34.179597683370503</v>
      </c>
      <c r="AB383" s="82">
        <f ca="1">AB382-IF(Параметры!AB$36=1,$B332+$B342+$B347+$B352+$B362-($B337+$B357+$B368+$B373+$B377),AA382)</f>
        <v>-34.752230310732102</v>
      </c>
      <c r="AC383" s="82">
        <f ca="1">AC382-IF(Параметры!AC$36=1,$B332+$B342+$B347+$B352+$B362-($B337+$B357+$B368+$B373+$B377),AB382)</f>
        <v>-8260.0682675272019</v>
      </c>
      <c r="AD383" s="82">
        <f ca="1">AD382-IF(Параметры!AD$36=1,$B332+$B342+$B347+$B352+$B362-($B337+$B357+$B368+$B373+$B377),AC382)</f>
        <v>-6731.4936940126881</v>
      </c>
      <c r="AE383" s="82">
        <f ca="1">AE382-IF(Параметры!AE$36=1,$B332+$B342+$B347+$B352+$B362-($B337+$B357+$B368+$B373+$B377),AD382)</f>
        <v>-1114.7397462500594</v>
      </c>
      <c r="AF383" s="82">
        <f ca="1">AF382-IF(Параметры!AF$36=1,$B332+$B342+$B347+$B352+$B362-($B337+$B357+$B368+$B373+$B377),AE382)</f>
        <v>-1134.905780322264</v>
      </c>
      <c r="AG383" s="82">
        <f ca="1">AG382-IF(Параметры!AG$36=1,$B332+$B342+$B347+$B352+$B362-($B337+$B357+$B368+$B373+$B377),AF382)</f>
        <v>-27015.004784337303</v>
      </c>
      <c r="AH383" s="82">
        <f ca="1">AH382-IF(Параметры!AH$36=1,$B332+$B342+$B347+$B352+$B362-($B337+$B357+$B368+$B373+$B377),AG382)</f>
        <v>-1113.377233465013</v>
      </c>
      <c r="AI383" s="82">
        <f ca="1">AI382-IF(Параметры!AI$36=1,$B332+$B342+$B347+$B352+$B362-($B337+$B357+$B368+$B373+$B377),AH382)</f>
        <v>-1138.9933384512697</v>
      </c>
      <c r="AJ383" s="82">
        <f ca="1">AJ382-IF(Параметры!AJ$36=1,$B332+$B342+$B347+$B352+$B362-($B337+$B357+$B368+$B373+$B377),AI382)</f>
        <v>-1165.1107477273472</v>
      </c>
      <c r="AK383" s="82">
        <f ca="1">AK382-IF(Параметры!AK$36=1,$B332+$B342+$B347+$B352+$B362-($B337+$B357+$B368+$B373+$B377),AJ382)</f>
        <v>-38069.435347539409</v>
      </c>
      <c r="AL383" s="82">
        <f ca="1">AL382-IF(Параметры!AL$36=1,$B332+$B342+$B347+$B352+$B362-($B337+$B357+$B368+$B373+$B377),AK382)</f>
        <v>37886.431918424991</v>
      </c>
      <c r="AM383" s="82">
        <f ca="1">AM382-IF(Параметры!AM$36=1,$B332+$B342+$B347+$B352+$B362-($B337+$B357+$B368+$B373+$B377),AL382)</f>
        <v>-1133.5380856433039</v>
      </c>
      <c r="AN383" s="82">
        <f ca="1">AN382-IF(Параметры!AN$36=1,$B332+$B342+$B347+$B352+$B362-($B337+$B357+$B368+$B373+$B377),AM382)</f>
        <v>-1068.615545227316</v>
      </c>
      <c r="AO383" s="82">
        <f ca="1">AO382-IF(Параметры!AO$36=1,$B332+$B342+$B347+$B352+$B362-($B337+$B357+$B368+$B373+$B377),AN382)</f>
        <v>-2069015.7653241078</v>
      </c>
      <c r="AP383" s="82">
        <f ca="1">AP382-IF(Параметры!AP$36=1,$B332+$B342+$B347+$B352+$B362-($B337+$B357+$B368+$B373+$B377),AO382)</f>
        <v>2074971.2451196667</v>
      </c>
      <c r="AQ383" s="82">
        <f ca="1">AQ382-IF(Параметры!AQ$36=1,$B332+$B342+$B347+$B352+$B362-($B337+$B357+$B368+$B373+$B377),AP382)</f>
        <v>-3268.1020550389221</v>
      </c>
      <c r="AR383" s="82">
        <f ca="1">AR382-IF(Параметры!AR$36=1,$B332+$B342+$B347+$B352+$B362-($B337+$B357+$B368+$B373+$B377),AQ382)</f>
        <v>-373.67804117038759</v>
      </c>
      <c r="AT383" s="96"/>
    </row>
    <row r="384" spans="1:46" x14ac:dyDescent="0.2">
      <c r="A384" s="45"/>
      <c r="B384" s="46"/>
      <c r="C384" s="46"/>
      <c r="D384" s="47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73"/>
      <c r="AT384" s="91"/>
    </row>
    <row r="386" spans="1:46" ht="12" thickBot="1" x14ac:dyDescent="0.25"/>
    <row r="387" spans="1:46" s="43" customFormat="1" ht="25.5" customHeight="1" thickBot="1" x14ac:dyDescent="0.25">
      <c r="A387" s="481" t="s">
        <v>779</v>
      </c>
      <c r="B387" s="479"/>
      <c r="C387" s="490"/>
      <c r="D387" s="491"/>
      <c r="E387" s="479" t="str">
        <f>CHOOSE($D$2,Параметры!E$53,Параметры!E$54)</f>
        <v>1 кв. 2020</v>
      </c>
      <c r="F387" s="479" t="str">
        <f>CHOOSE($D$2,Параметры!F$53,Параметры!F$54)</f>
        <v>2 кв. 2020</v>
      </c>
      <c r="G387" s="479" t="str">
        <f>CHOOSE($D$2,Параметры!G$53,Параметры!G$54)</f>
        <v>3 кв. 2020</v>
      </c>
      <c r="H387" s="479" t="str">
        <f>CHOOSE($D$2,Параметры!H$53,Параметры!H$54)</f>
        <v>4 кв. 2020</v>
      </c>
      <c r="I387" s="479" t="str">
        <f>CHOOSE($D$2,Параметры!I$53,Параметры!I$54)</f>
        <v>1 кв. 2021</v>
      </c>
      <c r="J387" s="479" t="str">
        <f>CHOOSE($D$2,Параметры!J$53,Параметры!J$54)</f>
        <v>2 кв. 2021</v>
      </c>
      <c r="K387" s="479" t="str">
        <f>CHOOSE($D$2,Параметры!K$53,Параметры!K$54)</f>
        <v>3 кв. 2021</v>
      </c>
      <c r="L387" s="479" t="str">
        <f>CHOOSE($D$2,Параметры!L$53,Параметры!L$54)</f>
        <v>4 кв. 2021</v>
      </c>
      <c r="M387" s="479" t="str">
        <f>CHOOSE($D$2,Параметры!M$53,Параметры!M$54)</f>
        <v>1 кв. 2022</v>
      </c>
      <c r="N387" s="479" t="str">
        <f>CHOOSE($D$2,Параметры!N$53,Параметры!N$54)</f>
        <v>2 кв. 2022</v>
      </c>
      <c r="O387" s="479" t="str">
        <f>CHOOSE($D$2,Параметры!O$53,Параметры!O$54)</f>
        <v>3 кв. 2022</v>
      </c>
      <c r="P387" s="479" t="str">
        <f>CHOOSE($D$2,Параметры!P$53,Параметры!P$54)</f>
        <v>4 кв. 2022</v>
      </c>
      <c r="Q387" s="479" t="str">
        <f>CHOOSE($D$2,Параметры!Q$53,Параметры!Q$54)</f>
        <v>1 кв. 2023</v>
      </c>
      <c r="R387" s="479" t="str">
        <f>CHOOSE($D$2,Параметры!R$53,Параметры!R$54)</f>
        <v>2 кв. 2023</v>
      </c>
      <c r="S387" s="479" t="str">
        <f>CHOOSE($D$2,Параметры!S$53,Параметры!S$54)</f>
        <v>3 кв. 2023</v>
      </c>
      <c r="T387" s="479" t="str">
        <f>CHOOSE($D$2,Параметры!T$53,Параметры!T$54)</f>
        <v>4 кв. 2023</v>
      </c>
      <c r="U387" s="479" t="str">
        <f>CHOOSE($D$2,Параметры!U$53,Параметры!U$54)</f>
        <v>1 кв. 2024</v>
      </c>
      <c r="V387" s="479" t="str">
        <f>CHOOSE($D$2,Параметры!V$53,Параметры!V$54)</f>
        <v>2 кв. 2024</v>
      </c>
      <c r="W387" s="479" t="str">
        <f>CHOOSE($D$2,Параметры!W$53,Параметры!W$54)</f>
        <v>3 кв. 2024</v>
      </c>
      <c r="X387" s="479" t="str">
        <f>CHOOSE($D$2,Параметры!X$53,Параметры!X$54)</f>
        <v>4 кв. 2024</v>
      </c>
      <c r="Y387" s="479" t="str">
        <f>CHOOSE($D$2,Параметры!Y$53,Параметры!Y$54)</f>
        <v>1 кв. 2025</v>
      </c>
      <c r="Z387" s="479" t="str">
        <f>CHOOSE($D$2,Параметры!Z$53,Параметры!Z$54)</f>
        <v>2 кв. 2025</v>
      </c>
      <c r="AA387" s="479" t="str">
        <f>CHOOSE($D$2,Параметры!AA$53,Параметры!AA$54)</f>
        <v>3 кв. 2025</v>
      </c>
      <c r="AB387" s="479" t="str">
        <f>CHOOSE($D$2,Параметры!AB$53,Параметры!AB$54)</f>
        <v>4 кв. 2025</v>
      </c>
      <c r="AC387" s="479" t="str">
        <f>CHOOSE($D$2,Параметры!AC$53,Параметры!AC$54)</f>
        <v>1 кв. 2026</v>
      </c>
      <c r="AD387" s="479" t="str">
        <f>CHOOSE($D$2,Параметры!AD$53,Параметры!AD$54)</f>
        <v>2 кв. 2026</v>
      </c>
      <c r="AE387" s="479" t="str">
        <f>CHOOSE($D$2,Параметры!AE$53,Параметры!AE$54)</f>
        <v>3 кв. 2026</v>
      </c>
      <c r="AF387" s="479" t="str">
        <f>CHOOSE($D$2,Параметры!AF$53,Параметры!AF$54)</f>
        <v>4 кв. 2026</v>
      </c>
      <c r="AG387" s="479" t="str">
        <f>CHOOSE($D$2,Параметры!AG$53,Параметры!AG$54)</f>
        <v>1 кв. 2027</v>
      </c>
      <c r="AH387" s="479" t="str">
        <f>CHOOSE($D$2,Параметры!AH$53,Параметры!AH$54)</f>
        <v>2 кв. 2027</v>
      </c>
      <c r="AI387" s="479" t="str">
        <f>CHOOSE($D$2,Параметры!AI$53,Параметры!AI$54)</f>
        <v>3 кв. 2027</v>
      </c>
      <c r="AJ387" s="479" t="str">
        <f>CHOOSE($D$2,Параметры!AJ$53,Параметры!AJ$54)</f>
        <v>4 кв. 2027</v>
      </c>
      <c r="AK387" s="479" t="str">
        <f>CHOOSE($D$2,Параметры!AK$53,Параметры!AK$54)</f>
        <v>1 кв. 2028</v>
      </c>
      <c r="AL387" s="479" t="str">
        <f>CHOOSE($D$2,Параметры!AL$53,Параметры!AL$54)</f>
        <v>2 кв. 2028</v>
      </c>
      <c r="AM387" s="479" t="str">
        <f>CHOOSE($D$2,Параметры!AM$53,Параметры!AM$54)</f>
        <v>3 кв. 2028</v>
      </c>
      <c r="AN387" s="479" t="str">
        <f>CHOOSE($D$2,Параметры!AN$53,Параметры!AN$54)</f>
        <v>4 кв. 2028</v>
      </c>
      <c r="AO387" s="479" t="str">
        <f>CHOOSE($D$2,Параметры!AO$53,Параметры!AO$54)</f>
        <v>1 кв. 2029</v>
      </c>
      <c r="AP387" s="479" t="str">
        <f>CHOOSE($D$2,Параметры!AP$53,Параметры!AP$54)</f>
        <v>2 кв. 2029</v>
      </c>
      <c r="AQ387" s="479" t="str">
        <f>CHOOSE($D$2,Параметры!AQ$53,Параметры!AQ$54)</f>
        <v>3 кв. 2029</v>
      </c>
      <c r="AR387" s="479" t="str">
        <f>CHOOSE($D$2,Параметры!AR$53,Параметры!AR$54)</f>
        <v>4 кв. 2029</v>
      </c>
      <c r="AS387" s="479"/>
      <c r="AT387" s="479" t="s">
        <v>0</v>
      </c>
    </row>
    <row r="388" spans="1:46" ht="11.25" customHeight="1" x14ac:dyDescent="0.2">
      <c r="A388" s="146"/>
      <c r="B388" s="23"/>
      <c r="C388" s="2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21"/>
      <c r="AM388" s="121"/>
      <c r="AN388" s="121"/>
      <c r="AO388" s="121"/>
      <c r="AP388" s="121"/>
      <c r="AQ388" s="121"/>
      <c r="AR388" s="121"/>
      <c r="AS388" s="115"/>
      <c r="AT388" s="125"/>
    </row>
    <row r="389" spans="1:46" ht="11.25" customHeight="1" x14ac:dyDescent="0.2">
      <c r="A389" s="133" t="s">
        <v>645</v>
      </c>
      <c r="B389" s="46"/>
      <c r="C389" s="46"/>
      <c r="D389" s="47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73"/>
      <c r="AT389" s="91"/>
    </row>
    <row r="390" spans="1:46" ht="11.25" customHeight="1" x14ac:dyDescent="0.2">
      <c r="AS390" s="1"/>
    </row>
    <row r="391" spans="1:46" ht="11.25" customHeight="1" x14ac:dyDescent="0.2">
      <c r="A391" s="330" t="s">
        <v>775</v>
      </c>
      <c r="B391" s="225" t="s">
        <v>390</v>
      </c>
      <c r="C391" s="286">
        <v>1</v>
      </c>
      <c r="AS391" s="1"/>
    </row>
    <row r="392" spans="1:46" x14ac:dyDescent="0.2">
      <c r="A392" s="573" t="s">
        <v>743</v>
      </c>
      <c r="B392" s="306">
        <f ca="1">AT392</f>
        <v>480556.25</v>
      </c>
      <c r="C392" s="3" t="str">
        <f t="shared" ref="C392:C397" si="132">$C$398</f>
        <v>тыс. руб.</v>
      </c>
      <c r="E392" s="82">
        <f>ИД!F163*ИД!$C163/1.2*E$479</f>
        <v>240278.125</v>
      </c>
      <c r="F392" s="82">
        <f ca="1">ИД!G163*ИД!$C163/1.2*F$479</f>
        <v>240278.125</v>
      </c>
      <c r="G392" s="82">
        <f ca="1">ИД!H163*ИД!$C163/1.2*G$479</f>
        <v>0</v>
      </c>
      <c r="H392" s="82">
        <f ca="1">ИД!I163*ИД!$C163/1.2*H$479</f>
        <v>0</v>
      </c>
      <c r="I392" s="82">
        <f ca="1">ИД!J163*ИД!$C163/1.2*I$479</f>
        <v>0</v>
      </c>
      <c r="J392" s="82">
        <f ca="1">ИД!K163*ИД!$C163/1.2*J$479</f>
        <v>0</v>
      </c>
      <c r="K392" s="82">
        <f ca="1">ИД!L163*ИД!$C163/1.2*K$479</f>
        <v>0</v>
      </c>
      <c r="L392" s="82">
        <f ca="1">ИД!M163*ИД!$C163/1.2*L$479</f>
        <v>0</v>
      </c>
      <c r="M392" s="82">
        <f ca="1">ИД!N163*ИД!$C163/1.2*M$479</f>
        <v>0</v>
      </c>
      <c r="N392" s="82">
        <f ca="1">ИД!O163*ИД!$C163/1.2*N$479</f>
        <v>0</v>
      </c>
      <c r="O392" s="82">
        <f ca="1">ИД!P163*ИД!$C163/1.2*O$479</f>
        <v>0</v>
      </c>
      <c r="P392" s="82">
        <f ca="1">ИД!Q163*ИД!$C163/1.2*P$479</f>
        <v>0</v>
      </c>
      <c r="Q392" s="82">
        <f ca="1">ИД!R163*ИД!$C163/1.2*Q$479</f>
        <v>0</v>
      </c>
      <c r="R392" s="82">
        <f ca="1">ИД!S163*ИД!$C163/1.2*R$479</f>
        <v>0</v>
      </c>
      <c r="S392" s="82">
        <f ca="1">ИД!T163*ИД!$C163/1.2*S$479</f>
        <v>0</v>
      </c>
      <c r="T392" s="82">
        <f ca="1">ИД!U163*ИД!$C163/1.2*T$479</f>
        <v>0</v>
      </c>
      <c r="U392" s="82">
        <f ca="1">ИД!V163*ИД!$C163/1.2*U$479</f>
        <v>0</v>
      </c>
      <c r="V392" s="82">
        <f ca="1">ИД!W163*ИД!$C163/1.2*V$479</f>
        <v>0</v>
      </c>
      <c r="W392" s="82">
        <f ca="1">ИД!X163*ИД!$C163/1.2*W$479</f>
        <v>0</v>
      </c>
      <c r="X392" s="82">
        <f ca="1">ИД!Y163*ИД!$C163/1.2*X$479</f>
        <v>0</v>
      </c>
      <c r="Y392" s="82">
        <f ca="1">ИД!Z163*ИД!$C163/1.2*Y$479</f>
        <v>0</v>
      </c>
      <c r="Z392" s="82">
        <f ca="1">ИД!AA163*ИД!$C163/1.2*Z$479</f>
        <v>0</v>
      </c>
      <c r="AA392" s="82">
        <f ca="1">ИД!AB163*ИД!$C163/1.2*AA$479</f>
        <v>0</v>
      </c>
      <c r="AB392" s="82">
        <f ca="1">ИД!AC163*ИД!$C163/1.2*AB$479</f>
        <v>0</v>
      </c>
      <c r="AC392" s="82">
        <f ca="1">ИД!AD163*ИД!$C163/1.2*AC$479</f>
        <v>0</v>
      </c>
      <c r="AD392" s="82">
        <f ca="1">ИД!AE163*ИД!$C163/1.2*AD$479</f>
        <v>0</v>
      </c>
      <c r="AE392" s="82">
        <f ca="1">ИД!AF163*ИД!$C163/1.2*AE$479</f>
        <v>0</v>
      </c>
      <c r="AF392" s="82">
        <f ca="1">ИД!AG163*ИД!$C163/1.2*AF$479</f>
        <v>0</v>
      </c>
      <c r="AG392" s="82">
        <f ca="1">ИД!AH163*ИД!$C163/1.2*AG$479</f>
        <v>0</v>
      </c>
      <c r="AH392" s="82">
        <f ca="1">ИД!AI163*ИД!$C163/1.2*AH$479</f>
        <v>0</v>
      </c>
      <c r="AI392" s="82">
        <f ca="1">ИД!AJ163*ИД!$C163/1.2*AI$479</f>
        <v>0</v>
      </c>
      <c r="AJ392" s="82">
        <f ca="1">ИД!AK163*ИД!$C163/1.2*AJ$479</f>
        <v>0</v>
      </c>
      <c r="AK392" s="82">
        <f ca="1">ИД!AL163*ИД!$C163/1.2*AK$479</f>
        <v>0</v>
      </c>
      <c r="AL392" s="82">
        <f ca="1">ИД!AM163*ИД!$C163/1.2*AL$479</f>
        <v>0</v>
      </c>
      <c r="AM392" s="82">
        <f ca="1">ИД!AN163*ИД!$C163/1.2*AM$479</f>
        <v>0</v>
      </c>
      <c r="AN392" s="82">
        <f ca="1">ИД!AO163*ИД!$C163/1.2*AN$479</f>
        <v>0</v>
      </c>
      <c r="AO392" s="82">
        <f ca="1">ИД!AP163*ИД!$C163/1.2*AO$479</f>
        <v>0</v>
      </c>
      <c r="AP392" s="82">
        <f ca="1">ИД!AQ163*ИД!$C163/1.2*AP$479</f>
        <v>0</v>
      </c>
      <c r="AQ392" s="82">
        <f ca="1">ИД!AR163*ИД!$C163/1.2*AQ$479</f>
        <v>0</v>
      </c>
      <c r="AR392" s="82">
        <f ca="1">ИД!AS163*ИД!$C163/1.2*AR$479</f>
        <v>0</v>
      </c>
      <c r="AS392" s="1"/>
      <c r="AT392" s="30">
        <f t="shared" ref="AT392:AT398" ca="1" si="133">SUM(E392:AS392)</f>
        <v>480556.25</v>
      </c>
    </row>
    <row r="393" spans="1:46" x14ac:dyDescent="0.2">
      <c r="A393" s="573" t="str">
        <f>ИД!B164</f>
        <v>Бизнес-пространство с ЦОД</v>
      </c>
      <c r="B393" s="306">
        <f t="shared" ref="B393:B397" ca="1" si="134">AT393</f>
        <v>1681309.2740435256</v>
      </c>
      <c r="C393" s="3" t="str">
        <f t="shared" si="132"/>
        <v>тыс. руб.</v>
      </c>
      <c r="E393" s="82">
        <f>ИД!F164*ИД!$C164/1.2*E$479</f>
        <v>0</v>
      </c>
      <c r="F393" s="82">
        <f ca="1">ИД!G164*ИД!$C164/1.2*F$479</f>
        <v>0</v>
      </c>
      <c r="G393" s="82">
        <f ca="1">ИД!H164*ИД!$C164/1.2*G$479</f>
        <v>0</v>
      </c>
      <c r="H393" s="82">
        <f ca="1">ИД!I164*ИД!$C164/1.2*H$479</f>
        <v>0</v>
      </c>
      <c r="I393" s="82">
        <f ca="1">ИД!J164*ИД!$C164/1.2*I$479</f>
        <v>0</v>
      </c>
      <c r="J393" s="82">
        <f ca="1">ИД!K164*ИД!$C164/1.2*J$479</f>
        <v>0</v>
      </c>
      <c r="K393" s="82">
        <f ca="1">ИД!L164*ИД!$C164/1.2*K$479</f>
        <v>0</v>
      </c>
      <c r="L393" s="82">
        <f ca="1">ИД!M164*ИД!$C164/1.2*L$479</f>
        <v>0</v>
      </c>
      <c r="M393" s="82">
        <f ca="1">ИД!N164*ИД!$C164/1.2*M$479</f>
        <v>80028.037112721795</v>
      </c>
      <c r="N393" s="82">
        <f ca="1">ИД!O164*ИД!$C164/1.2*N$479</f>
        <v>162034.33621511681</v>
      </c>
      <c r="O393" s="82">
        <f ca="1">ИД!P164*ИД!$C164/1.2*O$479</f>
        <v>246055.57370811573</v>
      </c>
      <c r="P393" s="82">
        <f ca="1">ИД!Q164*ИД!$C164/1.2*P$479</f>
        <v>166064.51520511913</v>
      </c>
      <c r="Q393" s="82">
        <f ca="1">ИД!R164*ИД!$C164/1.2*Q$479</f>
        <v>168117.04035827931</v>
      </c>
      <c r="R393" s="82">
        <f ca="1">ИД!S164*ИД!$C164/1.2*R$479</f>
        <v>340301.03438632045</v>
      </c>
      <c r="S393" s="82">
        <f ca="1">ИД!T164*ИД!$C164/1.2*S$479</f>
        <v>344417.18030963588</v>
      </c>
      <c r="T393" s="82">
        <f ca="1">ИД!U164*ИД!$C164/1.2*T$479</f>
        <v>174291.55674821639</v>
      </c>
      <c r="U393" s="82">
        <f ca="1">ИД!V164*ИД!$C164/1.2*U$479</f>
        <v>0</v>
      </c>
      <c r="V393" s="82">
        <f ca="1">ИД!W164*ИД!$C164/1.2*V$479</f>
        <v>0</v>
      </c>
      <c r="W393" s="82">
        <f ca="1">ИД!X164*ИД!$C164/1.2*W$479</f>
        <v>0</v>
      </c>
      <c r="X393" s="82">
        <f ca="1">ИД!Y164*ИД!$C164/1.2*X$479</f>
        <v>0</v>
      </c>
      <c r="Y393" s="82">
        <f ca="1">ИД!Z164*ИД!$C164/1.2*Y$479</f>
        <v>0</v>
      </c>
      <c r="Z393" s="82">
        <f ca="1">ИД!AA164*ИД!$C164/1.2*Z$479</f>
        <v>0</v>
      </c>
      <c r="AA393" s="82">
        <f ca="1">ИД!AB164*ИД!$C164/1.2*AA$479</f>
        <v>0</v>
      </c>
      <c r="AB393" s="82">
        <f ca="1">ИД!AC164*ИД!$C164/1.2*AB$479</f>
        <v>0</v>
      </c>
      <c r="AC393" s="82">
        <f ca="1">ИД!AD164*ИД!$C164/1.2*AC$479</f>
        <v>0</v>
      </c>
      <c r="AD393" s="82">
        <f ca="1">ИД!AE164*ИД!$C164/1.2*AD$479</f>
        <v>0</v>
      </c>
      <c r="AE393" s="82">
        <f ca="1">ИД!AF164*ИД!$C164/1.2*AE$479</f>
        <v>0</v>
      </c>
      <c r="AF393" s="82">
        <f ca="1">ИД!AG164*ИД!$C164/1.2*AF$479</f>
        <v>0</v>
      </c>
      <c r="AG393" s="82">
        <f ca="1">ИД!AH164*ИД!$C164/1.2*AG$479</f>
        <v>0</v>
      </c>
      <c r="AH393" s="82">
        <f ca="1">ИД!AI164*ИД!$C164/1.2*AH$479</f>
        <v>0</v>
      </c>
      <c r="AI393" s="82">
        <f ca="1">ИД!AJ164*ИД!$C164/1.2*AI$479</f>
        <v>0</v>
      </c>
      <c r="AJ393" s="82">
        <f ca="1">ИД!AK164*ИД!$C164/1.2*AJ$479</f>
        <v>0</v>
      </c>
      <c r="AK393" s="82">
        <f ca="1">ИД!AL164*ИД!$C164/1.2*AK$479</f>
        <v>0</v>
      </c>
      <c r="AL393" s="82">
        <f ca="1">ИД!AM164*ИД!$C164/1.2*AL$479</f>
        <v>0</v>
      </c>
      <c r="AM393" s="82">
        <f ca="1">ИД!AN164*ИД!$C164/1.2*AM$479</f>
        <v>0</v>
      </c>
      <c r="AN393" s="82">
        <f ca="1">ИД!AO164*ИД!$C164/1.2*AN$479</f>
        <v>0</v>
      </c>
      <c r="AO393" s="82">
        <f ca="1">ИД!AP164*ИД!$C164/1.2*AO$479</f>
        <v>0</v>
      </c>
      <c r="AP393" s="82">
        <f ca="1">ИД!AQ164*ИД!$C164/1.2*AP$479</f>
        <v>0</v>
      </c>
      <c r="AQ393" s="82">
        <f ca="1">ИД!AR164*ИД!$C164/1.2*AQ$479</f>
        <v>0</v>
      </c>
      <c r="AR393" s="82">
        <f ca="1">ИД!AS164*ИД!$C164/1.2*AR$479</f>
        <v>0</v>
      </c>
      <c r="AS393" s="1"/>
      <c r="AT393" s="30">
        <f t="shared" ca="1" si="133"/>
        <v>1681309.2740435256</v>
      </c>
    </row>
    <row r="394" spans="1:46" x14ac:dyDescent="0.2">
      <c r="A394" s="573" t="str">
        <f>ИД!B165</f>
        <v>Корпус В1</v>
      </c>
      <c r="B394" s="306">
        <f t="shared" ca="1" si="134"/>
        <v>286272.36953887378</v>
      </c>
      <c r="C394" s="3" t="str">
        <f t="shared" si="132"/>
        <v>тыс. руб.</v>
      </c>
      <c r="E394" s="82">
        <f>ИД!F165*ИД!$C165/1.2*E$479</f>
        <v>0</v>
      </c>
      <c r="F394" s="82">
        <f ca="1">ИД!G165*ИД!$C165/1.2*F$479</f>
        <v>0</v>
      </c>
      <c r="G394" s="82">
        <f ca="1">ИД!H165*ИД!$C165/1.2*G$479</f>
        <v>0</v>
      </c>
      <c r="H394" s="82">
        <f ca="1">ИД!I165*ИД!$C165/1.2*H$479</f>
        <v>0</v>
      </c>
      <c r="I394" s="82">
        <f ca="1">ИД!J165*ИД!$C165/1.2*I$479</f>
        <v>0</v>
      </c>
      <c r="J394" s="82">
        <f ca="1">ИД!K165*ИД!$C165/1.2*J$479</f>
        <v>0</v>
      </c>
      <c r="K394" s="82">
        <f ca="1">ИД!L165*ИД!$C165/1.2*K$479</f>
        <v>0</v>
      </c>
      <c r="L394" s="82">
        <f ca="1">ИД!M165*ИД!$C165/1.2*L$479</f>
        <v>0</v>
      </c>
      <c r="M394" s="82">
        <f ca="1">ИД!N165*ИД!$C165/1.2*M$479</f>
        <v>28033.904626240805</v>
      </c>
      <c r="N394" s="82">
        <f ca="1">ИД!O165*ИД!$C165/1.2*N$479</f>
        <v>85141.194727154972</v>
      </c>
      <c r="O394" s="82">
        <f ca="1">ИД!P165*ИД!$C165/1.2*O$479</f>
        <v>114924.69780930055</v>
      </c>
      <c r="P394" s="82">
        <f ca="1">ИД!Q165*ИД!$C165/1.2*P$479</f>
        <v>58172.572376177472</v>
      </c>
      <c r="Q394" s="82">
        <f ca="1">ИД!R165*ИД!$C165/1.2*Q$479</f>
        <v>0</v>
      </c>
      <c r="R394" s="82">
        <f ca="1">ИД!S165*ИД!$C165/1.2*R$479</f>
        <v>0</v>
      </c>
      <c r="S394" s="82">
        <f ca="1">ИД!T165*ИД!$C165/1.2*S$479</f>
        <v>0</v>
      </c>
      <c r="T394" s="82">
        <f ca="1">ИД!U165*ИД!$C165/1.2*T$479</f>
        <v>0</v>
      </c>
      <c r="U394" s="82">
        <f ca="1">ИД!V165*ИД!$C165/1.2*U$479</f>
        <v>0</v>
      </c>
      <c r="V394" s="82">
        <f ca="1">ИД!W165*ИД!$C165/1.2*V$479</f>
        <v>0</v>
      </c>
      <c r="W394" s="82">
        <f ca="1">ИД!X165*ИД!$C165/1.2*W$479</f>
        <v>0</v>
      </c>
      <c r="X394" s="82">
        <f ca="1">ИД!Y165*ИД!$C165/1.2*X$479</f>
        <v>0</v>
      </c>
      <c r="Y394" s="82">
        <f ca="1">ИД!Z165*ИД!$C165/1.2*Y$479</f>
        <v>0</v>
      </c>
      <c r="Z394" s="82">
        <f ca="1">ИД!AA165*ИД!$C165/1.2*Z$479</f>
        <v>0</v>
      </c>
      <c r="AA394" s="82">
        <f ca="1">ИД!AB165*ИД!$C165/1.2*AA$479</f>
        <v>0</v>
      </c>
      <c r="AB394" s="82">
        <f ca="1">ИД!AC165*ИД!$C165/1.2*AB$479</f>
        <v>0</v>
      </c>
      <c r="AC394" s="82">
        <f ca="1">ИД!AD165*ИД!$C165/1.2*AC$479</f>
        <v>0</v>
      </c>
      <c r="AD394" s="82">
        <f ca="1">ИД!AE165*ИД!$C165/1.2*AD$479</f>
        <v>0</v>
      </c>
      <c r="AE394" s="82">
        <f ca="1">ИД!AF165*ИД!$C165/1.2*AE$479</f>
        <v>0</v>
      </c>
      <c r="AF394" s="82">
        <f ca="1">ИД!AG165*ИД!$C165/1.2*AF$479</f>
        <v>0</v>
      </c>
      <c r="AG394" s="82">
        <f ca="1">ИД!AH165*ИД!$C165/1.2*AG$479</f>
        <v>0</v>
      </c>
      <c r="AH394" s="82">
        <f ca="1">ИД!AI165*ИД!$C165/1.2*AH$479</f>
        <v>0</v>
      </c>
      <c r="AI394" s="82">
        <f ca="1">ИД!AJ165*ИД!$C165/1.2*AI$479</f>
        <v>0</v>
      </c>
      <c r="AJ394" s="82">
        <f ca="1">ИД!AK165*ИД!$C165/1.2*AJ$479</f>
        <v>0</v>
      </c>
      <c r="AK394" s="82">
        <f ca="1">ИД!AL165*ИД!$C165/1.2*AK$479</f>
        <v>0</v>
      </c>
      <c r="AL394" s="82">
        <f ca="1">ИД!AM165*ИД!$C165/1.2*AL$479</f>
        <v>0</v>
      </c>
      <c r="AM394" s="82">
        <f ca="1">ИД!AN165*ИД!$C165/1.2*AM$479</f>
        <v>0</v>
      </c>
      <c r="AN394" s="82">
        <f ca="1">ИД!AO165*ИД!$C165/1.2*AN$479</f>
        <v>0</v>
      </c>
      <c r="AO394" s="82">
        <f ca="1">ИД!AP165*ИД!$C165/1.2*AO$479</f>
        <v>0</v>
      </c>
      <c r="AP394" s="82">
        <f ca="1">ИД!AQ165*ИД!$C165/1.2*AP$479</f>
        <v>0</v>
      </c>
      <c r="AQ394" s="82">
        <f ca="1">ИД!AR165*ИД!$C165/1.2*AQ$479</f>
        <v>0</v>
      </c>
      <c r="AR394" s="82">
        <f ca="1">ИД!AS165*ИД!$C165/1.2*AR$479</f>
        <v>0</v>
      </c>
      <c r="AS394" s="1"/>
      <c r="AT394" s="30">
        <f t="shared" ca="1" si="133"/>
        <v>286272.36953887378</v>
      </c>
    </row>
    <row r="395" spans="1:46" x14ac:dyDescent="0.2">
      <c r="A395" s="573" t="str">
        <f>ИД!B166</f>
        <v>Корпус В2</v>
      </c>
      <c r="B395" s="306">
        <f t="shared" ca="1" si="134"/>
        <v>459693.95354167029</v>
      </c>
      <c r="C395" s="3" t="str">
        <f t="shared" si="132"/>
        <v>тыс. руб.</v>
      </c>
      <c r="E395" s="82">
        <f>ИД!F166*ИД!$C166/1.2*E$479</f>
        <v>0</v>
      </c>
      <c r="F395" s="82">
        <f ca="1">ИД!G166*ИД!$C166/1.2*F$479</f>
        <v>0</v>
      </c>
      <c r="G395" s="82">
        <f ca="1">ИД!H166*ИД!$C166/1.2*G$479</f>
        <v>0</v>
      </c>
      <c r="H395" s="82">
        <f ca="1">ИД!I166*ИД!$C166/1.2*H$479</f>
        <v>0</v>
      </c>
      <c r="I395" s="82">
        <f ca="1">ИД!J166*ИД!$C166/1.2*I$479</f>
        <v>45000</v>
      </c>
      <c r="J395" s="82">
        <f ca="1">ИД!K166*ИД!$C166/1.2*J$479</f>
        <v>136698.10159154984</v>
      </c>
      <c r="K395" s="82">
        <f ca="1">ИД!L166*ИД!$C166/1.2*K$479</f>
        <v>184556.7504072462</v>
      </c>
      <c r="L395" s="82">
        <f ca="1">ИД!M166*ИД!$C166/1.2*L$479</f>
        <v>93439.101542874254</v>
      </c>
      <c r="M395" s="82">
        <f ca="1">ИД!N166*ИД!$C166/1.2*M$479</f>
        <v>0</v>
      </c>
      <c r="N395" s="82">
        <f ca="1">ИД!O166*ИД!$C166/1.2*N$479</f>
        <v>0</v>
      </c>
      <c r="O395" s="82">
        <f ca="1">ИД!P166*ИД!$C166/1.2*O$479</f>
        <v>0</v>
      </c>
      <c r="P395" s="82">
        <f ca="1">ИД!Q166*ИД!$C166/1.2*P$479</f>
        <v>0</v>
      </c>
      <c r="Q395" s="82">
        <f ca="1">ИД!R166*ИД!$C166/1.2*Q$479</f>
        <v>0</v>
      </c>
      <c r="R395" s="82">
        <f ca="1">ИД!S166*ИД!$C166/1.2*R$479</f>
        <v>0</v>
      </c>
      <c r="S395" s="82">
        <f ca="1">ИД!T166*ИД!$C166/1.2*S$479</f>
        <v>0</v>
      </c>
      <c r="T395" s="82">
        <f ca="1">ИД!U166*ИД!$C166/1.2*T$479</f>
        <v>0</v>
      </c>
      <c r="U395" s="82">
        <f ca="1">ИД!V166*ИД!$C166/1.2*U$479</f>
        <v>0</v>
      </c>
      <c r="V395" s="82">
        <f ca="1">ИД!W166*ИД!$C166/1.2*V$479</f>
        <v>0</v>
      </c>
      <c r="W395" s="82">
        <f ca="1">ИД!X166*ИД!$C166/1.2*W$479</f>
        <v>0</v>
      </c>
      <c r="X395" s="82">
        <f ca="1">ИД!Y166*ИД!$C166/1.2*X$479</f>
        <v>0</v>
      </c>
      <c r="Y395" s="82">
        <f ca="1">ИД!Z166*ИД!$C166/1.2*Y$479</f>
        <v>0</v>
      </c>
      <c r="Z395" s="82">
        <f ca="1">ИД!AA166*ИД!$C166/1.2*Z$479</f>
        <v>0</v>
      </c>
      <c r="AA395" s="82">
        <f ca="1">ИД!AB166*ИД!$C166/1.2*AA$479</f>
        <v>0</v>
      </c>
      <c r="AB395" s="82">
        <f ca="1">ИД!AC166*ИД!$C166/1.2*AB$479</f>
        <v>0</v>
      </c>
      <c r="AC395" s="82">
        <f ca="1">ИД!AD166*ИД!$C166/1.2*AC$479</f>
        <v>0</v>
      </c>
      <c r="AD395" s="82">
        <f ca="1">ИД!AE166*ИД!$C166/1.2*AD$479</f>
        <v>0</v>
      </c>
      <c r="AE395" s="82">
        <f ca="1">ИД!AF166*ИД!$C166/1.2*AE$479</f>
        <v>0</v>
      </c>
      <c r="AF395" s="82">
        <f ca="1">ИД!AG166*ИД!$C166/1.2*AF$479</f>
        <v>0</v>
      </c>
      <c r="AG395" s="82">
        <f ca="1">ИД!AH166*ИД!$C166/1.2*AG$479</f>
        <v>0</v>
      </c>
      <c r="AH395" s="82">
        <f ca="1">ИД!AI166*ИД!$C166/1.2*AH$479</f>
        <v>0</v>
      </c>
      <c r="AI395" s="82">
        <f ca="1">ИД!AJ166*ИД!$C166/1.2*AI$479</f>
        <v>0</v>
      </c>
      <c r="AJ395" s="82">
        <f ca="1">ИД!AK166*ИД!$C166/1.2*AJ$479</f>
        <v>0</v>
      </c>
      <c r="AK395" s="82">
        <f ca="1">ИД!AL166*ИД!$C166/1.2*AK$479</f>
        <v>0</v>
      </c>
      <c r="AL395" s="82">
        <f ca="1">ИД!AM166*ИД!$C166/1.2*AL$479</f>
        <v>0</v>
      </c>
      <c r="AM395" s="82">
        <f ca="1">ИД!AN166*ИД!$C166/1.2*AM$479</f>
        <v>0</v>
      </c>
      <c r="AN395" s="82">
        <f ca="1">ИД!AO166*ИД!$C166/1.2*AN$479</f>
        <v>0</v>
      </c>
      <c r="AO395" s="82">
        <f ca="1">ИД!AP166*ИД!$C166/1.2*AO$479</f>
        <v>0</v>
      </c>
      <c r="AP395" s="82">
        <f ca="1">ИД!AQ166*ИД!$C166/1.2*AP$479</f>
        <v>0</v>
      </c>
      <c r="AQ395" s="82">
        <f ca="1">ИД!AR166*ИД!$C166/1.2*AQ$479</f>
        <v>0</v>
      </c>
      <c r="AR395" s="82">
        <f ca="1">ИД!AS166*ИД!$C166/1.2*AR$479</f>
        <v>0</v>
      </c>
      <c r="AS395" s="1"/>
      <c r="AT395" s="30">
        <f t="shared" ca="1" si="133"/>
        <v>459693.95354167029</v>
      </c>
    </row>
    <row r="396" spans="1:46" x14ac:dyDescent="0.2">
      <c r="A396" s="573" t="str">
        <f>ИД!B167</f>
        <v>Корпус В3</v>
      </c>
      <c r="B396" s="306">
        <f t="shared" ca="1" si="134"/>
        <v>615200.25903941935</v>
      </c>
      <c r="C396" s="3" t="str">
        <f t="shared" si="132"/>
        <v>тыс. руб.</v>
      </c>
      <c r="E396" s="82">
        <f>ИД!F167*ИД!$C167/1.2*E$479</f>
        <v>0</v>
      </c>
      <c r="F396" s="82">
        <f ca="1">ИД!G167*ИД!$C167/1.2*F$479</f>
        <v>0</v>
      </c>
      <c r="G396" s="82">
        <f ca="1">ИД!H167*ИД!$C167/1.2*G$479</f>
        <v>0</v>
      </c>
      <c r="H396" s="82">
        <f ca="1">ИД!I167*ИД!$C167/1.2*H$479</f>
        <v>0</v>
      </c>
      <c r="I396" s="82">
        <f ca="1">ИД!J167*ИД!$C167/1.2*I$479</f>
        <v>0</v>
      </c>
      <c r="J396" s="82">
        <f ca="1">ИД!K167*ИД!$C167/1.2*J$479</f>
        <v>0</v>
      </c>
      <c r="K396" s="82">
        <f ca="1">ИД!L167*ИД!$C167/1.2*K$479</f>
        <v>0</v>
      </c>
      <c r="L396" s="82">
        <f ca="1">ИД!M167*ИД!$C167/1.2*L$479</f>
        <v>0</v>
      </c>
      <c r="M396" s="82">
        <f ca="1">ИД!N167*ИД!$C167/1.2*M$479</f>
        <v>0</v>
      </c>
      <c r="N396" s="82">
        <f ca="1">ИД!O167*ИД!$C167/1.2*N$479</f>
        <v>0</v>
      </c>
      <c r="O396" s="82">
        <f ca="1">ИД!P167*ИД!$C167/1.2*O$479</f>
        <v>0</v>
      </c>
      <c r="P396" s="82">
        <f ca="1">ИД!Q167*ИД!$C167/1.2*P$479</f>
        <v>0</v>
      </c>
      <c r="Q396" s="82">
        <f ca="1">ИД!R167*ИД!$C167/1.2*Q$479</f>
        <v>60271.845339175125</v>
      </c>
      <c r="R396" s="82">
        <f ca="1">ИД!S167*ИД!$C167/1.2*R$479</f>
        <v>183002.60880380942</v>
      </c>
      <c r="S396" s="82">
        <f ca="1">ИД!T167*ИД!$C167/1.2*S$479</f>
        <v>246954.84740318719</v>
      </c>
      <c r="T396" s="82">
        <f ca="1">ИД!U167*ИД!$C167/1.2*T$479</f>
        <v>124970.95749324767</v>
      </c>
      <c r="U396" s="82">
        <f ca="1">ИД!V167*ИД!$C167/1.2*U$479</f>
        <v>0</v>
      </c>
      <c r="V396" s="82">
        <f ca="1">ИД!W167*ИД!$C167/1.2*V$479</f>
        <v>0</v>
      </c>
      <c r="W396" s="82">
        <f ca="1">ИД!X167*ИД!$C167/1.2*W$479</f>
        <v>0</v>
      </c>
      <c r="X396" s="82">
        <f ca="1">ИД!Y167*ИД!$C167/1.2*X$479</f>
        <v>0</v>
      </c>
      <c r="Y396" s="82">
        <f ca="1">ИД!Z167*ИД!$C167/1.2*Y$479</f>
        <v>0</v>
      </c>
      <c r="Z396" s="82">
        <f ca="1">ИД!AA167*ИД!$C167/1.2*Z$479</f>
        <v>0</v>
      </c>
      <c r="AA396" s="82">
        <f ca="1">ИД!AB167*ИД!$C167/1.2*AA$479</f>
        <v>0</v>
      </c>
      <c r="AB396" s="82">
        <f ca="1">ИД!AC167*ИД!$C167/1.2*AB$479</f>
        <v>0</v>
      </c>
      <c r="AC396" s="82">
        <f ca="1">ИД!AD167*ИД!$C167/1.2*AC$479</f>
        <v>0</v>
      </c>
      <c r="AD396" s="82">
        <f ca="1">ИД!AE167*ИД!$C167/1.2*AD$479</f>
        <v>0</v>
      </c>
      <c r="AE396" s="82">
        <f ca="1">ИД!AF167*ИД!$C167/1.2*AE$479</f>
        <v>0</v>
      </c>
      <c r="AF396" s="82">
        <f ca="1">ИД!AG167*ИД!$C167/1.2*AF$479</f>
        <v>0</v>
      </c>
      <c r="AG396" s="82">
        <f ca="1">ИД!AH167*ИД!$C167/1.2*AG$479</f>
        <v>0</v>
      </c>
      <c r="AH396" s="82">
        <f ca="1">ИД!AI167*ИД!$C167/1.2*AH$479</f>
        <v>0</v>
      </c>
      <c r="AI396" s="82">
        <f ca="1">ИД!AJ167*ИД!$C167/1.2*AI$479</f>
        <v>0</v>
      </c>
      <c r="AJ396" s="82">
        <f ca="1">ИД!AK167*ИД!$C167/1.2*AJ$479</f>
        <v>0</v>
      </c>
      <c r="AK396" s="82">
        <f ca="1">ИД!AL167*ИД!$C167/1.2*AK$479</f>
        <v>0</v>
      </c>
      <c r="AL396" s="82">
        <f ca="1">ИД!AM167*ИД!$C167/1.2*AL$479</f>
        <v>0</v>
      </c>
      <c r="AM396" s="82">
        <f ca="1">ИД!AN167*ИД!$C167/1.2*AM$479</f>
        <v>0</v>
      </c>
      <c r="AN396" s="82">
        <f ca="1">ИД!AO167*ИД!$C167/1.2*AN$479</f>
        <v>0</v>
      </c>
      <c r="AO396" s="82">
        <f ca="1">ИД!AP167*ИД!$C167/1.2*AO$479</f>
        <v>0</v>
      </c>
      <c r="AP396" s="82">
        <f ca="1">ИД!AQ167*ИД!$C167/1.2*AP$479</f>
        <v>0</v>
      </c>
      <c r="AQ396" s="82">
        <f ca="1">ИД!AR167*ИД!$C167/1.2*AQ$479</f>
        <v>0</v>
      </c>
      <c r="AR396" s="82">
        <f ca="1">ИД!AS167*ИД!$C167/1.2*AR$479</f>
        <v>0</v>
      </c>
      <c r="AS396" s="1"/>
      <c r="AT396" s="30">
        <f t="shared" ca="1" si="133"/>
        <v>615200.25903941935</v>
      </c>
    </row>
    <row r="397" spans="1:46" x14ac:dyDescent="0.2">
      <c r="A397" s="573" t="str">
        <f>ИД!B168</f>
        <v>Объект II очереди</v>
      </c>
      <c r="B397" s="306">
        <f t="shared" ca="1" si="134"/>
        <v>1144799.52759176</v>
      </c>
      <c r="C397" s="3" t="str">
        <f t="shared" si="132"/>
        <v>тыс. руб.</v>
      </c>
      <c r="E397" s="82">
        <f>ИД!F168*ИД!$C168/1.2*E$479</f>
        <v>0</v>
      </c>
      <c r="F397" s="82">
        <f ca="1">ИД!G168*ИД!$C168/1.2*F$479</f>
        <v>0</v>
      </c>
      <c r="G397" s="82">
        <f ca="1">ИД!H168*ИД!$C168/1.2*G$479</f>
        <v>0</v>
      </c>
      <c r="H397" s="82">
        <f ca="1">ИД!I168*ИД!$C168/1.2*H$479</f>
        <v>0</v>
      </c>
      <c r="I397" s="82">
        <f ca="1">ИД!J168*ИД!$C168/1.2*I$479</f>
        <v>0</v>
      </c>
      <c r="J397" s="82">
        <f ca="1">ИД!K168*ИД!$C168/1.2*J$479</f>
        <v>0</v>
      </c>
      <c r="K397" s="82">
        <f ca="1">ИД!L168*ИД!$C168/1.2*K$479</f>
        <v>0</v>
      </c>
      <c r="L397" s="82">
        <f ca="1">ИД!M168*ИД!$C168/1.2*L$479</f>
        <v>0</v>
      </c>
      <c r="M397" s="82">
        <f ca="1">ИД!N168*ИД!$C168/1.2*M$479</f>
        <v>54490.902117255566</v>
      </c>
      <c r="N397" s="82">
        <f ca="1">ИД!O168*ИД!$C168/1.2*N$479</f>
        <v>110328.79816727167</v>
      </c>
      <c r="O397" s="82">
        <f ca="1">ИД!P168*ИД!$C168/1.2*O$479</f>
        <v>167538.66102512093</v>
      </c>
      <c r="P397" s="82">
        <f ca="1">ИД!Q168*ИД!$C168/1.2*P$479</f>
        <v>113072.93755619496</v>
      </c>
      <c r="Q397" s="82">
        <f ca="1">ИД!R168*ИД!$C168/1.2*Q$479</f>
        <v>114470.4971021891</v>
      </c>
      <c r="R397" s="82">
        <f ca="1">ИД!S168*ИД!$C168/1.2*R$479</f>
        <v>231710.17338619739</v>
      </c>
      <c r="S397" s="82">
        <f ca="1">ИД!T168*ИД!$C168/1.2*S$479</f>
        <v>234512.84745768309</v>
      </c>
      <c r="T397" s="82">
        <f ca="1">ИД!U168*ИД!$C168/1.2*T$479</f>
        <v>118674.7107798474</v>
      </c>
      <c r="U397" s="82">
        <f ca="1">ИД!V168*ИД!$C168/1.2*U$479</f>
        <v>0</v>
      </c>
      <c r="V397" s="82">
        <f ca="1">ИД!W168*ИД!$C168/1.2*V$479</f>
        <v>0</v>
      </c>
      <c r="W397" s="82">
        <f ca="1">ИД!X168*ИД!$C168/1.2*W$479</f>
        <v>0</v>
      </c>
      <c r="X397" s="82">
        <f ca="1">ИД!Y168*ИД!$C168/1.2*X$479</f>
        <v>0</v>
      </c>
      <c r="Y397" s="82">
        <f ca="1">ИД!Z168*ИД!$C168/1.2*Y$479</f>
        <v>0</v>
      </c>
      <c r="Z397" s="82">
        <f ca="1">ИД!AA168*ИД!$C168/1.2*Z$479</f>
        <v>0</v>
      </c>
      <c r="AA397" s="82">
        <f ca="1">ИД!AB168*ИД!$C168/1.2*AA$479</f>
        <v>0</v>
      </c>
      <c r="AB397" s="82">
        <f ca="1">ИД!AC168*ИД!$C168/1.2*AB$479</f>
        <v>0</v>
      </c>
      <c r="AC397" s="82">
        <f ca="1">ИД!AD168*ИД!$C168/1.2*AC$479</f>
        <v>0</v>
      </c>
      <c r="AD397" s="82">
        <f ca="1">ИД!AE168*ИД!$C168/1.2*AD$479</f>
        <v>0</v>
      </c>
      <c r="AE397" s="82">
        <f ca="1">ИД!AF168*ИД!$C168/1.2*AE$479</f>
        <v>0</v>
      </c>
      <c r="AF397" s="82">
        <f ca="1">ИД!AG168*ИД!$C168/1.2*AF$479</f>
        <v>0</v>
      </c>
      <c r="AG397" s="82">
        <f ca="1">ИД!AH168*ИД!$C168/1.2*AG$479</f>
        <v>0</v>
      </c>
      <c r="AH397" s="82">
        <f ca="1">ИД!AI168*ИД!$C168/1.2*AH$479</f>
        <v>0</v>
      </c>
      <c r="AI397" s="82">
        <f ca="1">ИД!AJ168*ИД!$C168/1.2*AI$479</f>
        <v>0</v>
      </c>
      <c r="AJ397" s="82">
        <f ca="1">ИД!AK168*ИД!$C168/1.2*AJ$479</f>
        <v>0</v>
      </c>
      <c r="AK397" s="82">
        <f ca="1">ИД!AL168*ИД!$C168/1.2*AK$479</f>
        <v>0</v>
      </c>
      <c r="AL397" s="82">
        <f ca="1">ИД!AM168*ИД!$C168/1.2*AL$479</f>
        <v>0</v>
      </c>
      <c r="AM397" s="82">
        <f ca="1">ИД!AN168*ИД!$C168/1.2*AM$479</f>
        <v>0</v>
      </c>
      <c r="AN397" s="82">
        <f ca="1">ИД!AO168*ИД!$C168/1.2*AN$479</f>
        <v>0</v>
      </c>
      <c r="AO397" s="82">
        <f ca="1">ИД!AP168*ИД!$C168/1.2*AO$479</f>
        <v>0</v>
      </c>
      <c r="AP397" s="82">
        <f ca="1">ИД!AQ168*ИД!$C168/1.2*AP$479</f>
        <v>0</v>
      </c>
      <c r="AQ397" s="82">
        <f ca="1">ИД!AR168*ИД!$C168/1.2*AQ$479</f>
        <v>0</v>
      </c>
      <c r="AR397" s="82">
        <f ca="1">ИД!AS168*ИД!$C168/1.2*AR$479</f>
        <v>0</v>
      </c>
      <c r="AS397" s="1"/>
      <c r="AT397" s="30">
        <f t="shared" ca="1" si="133"/>
        <v>1144799.52759176</v>
      </c>
    </row>
    <row r="398" spans="1:46" ht="11.25" customHeight="1" collapsed="1" x14ac:dyDescent="0.2">
      <c r="A398" s="63" t="s">
        <v>46</v>
      </c>
      <c r="B398" s="5">
        <f ca="1">AT398</f>
        <v>4667831.633755249</v>
      </c>
      <c r="C398" s="3" t="str">
        <f>CHOOSE(C391,Параметры!$B$64,Параметры!$B$108,Параметры!$B$117)</f>
        <v>тыс. руб.</v>
      </c>
      <c r="E398" s="348">
        <f t="shared" ref="E398:AR398" si="135">SUM(E392:E397)</f>
        <v>240278.125</v>
      </c>
      <c r="F398" s="348">
        <f t="shared" ca="1" si="135"/>
        <v>240278.125</v>
      </c>
      <c r="G398" s="348">
        <f t="shared" ca="1" si="135"/>
        <v>0</v>
      </c>
      <c r="H398" s="348">
        <f t="shared" ca="1" si="135"/>
        <v>0</v>
      </c>
      <c r="I398" s="348">
        <f t="shared" ca="1" si="135"/>
        <v>45000</v>
      </c>
      <c r="J398" s="348">
        <f t="shared" ca="1" si="135"/>
        <v>136698.10159154984</v>
      </c>
      <c r="K398" s="348">
        <f t="shared" ca="1" si="135"/>
        <v>184556.7504072462</v>
      </c>
      <c r="L398" s="348">
        <f t="shared" ca="1" si="135"/>
        <v>93439.101542874254</v>
      </c>
      <c r="M398" s="348">
        <f t="shared" ca="1" si="135"/>
        <v>162552.84385621815</v>
      </c>
      <c r="N398" s="348">
        <f t="shared" ca="1" si="135"/>
        <v>357504.32910954347</v>
      </c>
      <c r="O398" s="348">
        <f t="shared" ca="1" si="135"/>
        <v>528518.93254253722</v>
      </c>
      <c r="P398" s="348">
        <f t="shared" ca="1" si="135"/>
        <v>337310.02513749152</v>
      </c>
      <c r="Q398" s="348">
        <f t="shared" ca="1" si="135"/>
        <v>342859.38279964356</v>
      </c>
      <c r="R398" s="348">
        <f t="shared" ca="1" si="135"/>
        <v>755013.81657632731</v>
      </c>
      <c r="S398" s="348">
        <f t="shared" ca="1" si="135"/>
        <v>825884.87517050619</v>
      </c>
      <c r="T398" s="348">
        <f t="shared" ca="1" si="135"/>
        <v>417937.22502131149</v>
      </c>
      <c r="U398" s="348">
        <f t="shared" ca="1" si="135"/>
        <v>0</v>
      </c>
      <c r="V398" s="348">
        <f t="shared" ca="1" si="135"/>
        <v>0</v>
      </c>
      <c r="W398" s="348">
        <f t="shared" ca="1" si="135"/>
        <v>0</v>
      </c>
      <c r="X398" s="348">
        <f t="shared" ca="1" si="135"/>
        <v>0</v>
      </c>
      <c r="Y398" s="348">
        <f t="shared" ca="1" si="135"/>
        <v>0</v>
      </c>
      <c r="Z398" s="348">
        <f t="shared" ca="1" si="135"/>
        <v>0</v>
      </c>
      <c r="AA398" s="348">
        <f t="shared" ca="1" si="135"/>
        <v>0</v>
      </c>
      <c r="AB398" s="348">
        <f t="shared" ca="1" si="135"/>
        <v>0</v>
      </c>
      <c r="AC398" s="348">
        <f t="shared" ca="1" si="135"/>
        <v>0</v>
      </c>
      <c r="AD398" s="348">
        <f t="shared" ca="1" si="135"/>
        <v>0</v>
      </c>
      <c r="AE398" s="348">
        <f t="shared" ca="1" si="135"/>
        <v>0</v>
      </c>
      <c r="AF398" s="348">
        <f t="shared" ca="1" si="135"/>
        <v>0</v>
      </c>
      <c r="AG398" s="348">
        <f t="shared" ca="1" si="135"/>
        <v>0</v>
      </c>
      <c r="AH398" s="348">
        <f t="shared" ca="1" si="135"/>
        <v>0</v>
      </c>
      <c r="AI398" s="348">
        <f t="shared" ca="1" si="135"/>
        <v>0</v>
      </c>
      <c r="AJ398" s="348">
        <f t="shared" ca="1" si="135"/>
        <v>0</v>
      </c>
      <c r="AK398" s="348">
        <f t="shared" ca="1" si="135"/>
        <v>0</v>
      </c>
      <c r="AL398" s="348">
        <f t="shared" ca="1" si="135"/>
        <v>0</v>
      </c>
      <c r="AM398" s="348">
        <f t="shared" ca="1" si="135"/>
        <v>0</v>
      </c>
      <c r="AN398" s="348">
        <f t="shared" ca="1" si="135"/>
        <v>0</v>
      </c>
      <c r="AO398" s="348">
        <f t="shared" ca="1" si="135"/>
        <v>0</v>
      </c>
      <c r="AP398" s="348">
        <f t="shared" ca="1" si="135"/>
        <v>0</v>
      </c>
      <c r="AQ398" s="348">
        <f t="shared" ca="1" si="135"/>
        <v>0</v>
      </c>
      <c r="AR398" s="348">
        <f t="shared" ca="1" si="135"/>
        <v>0</v>
      </c>
      <c r="AS398" s="90"/>
      <c r="AT398" s="30">
        <f t="shared" ca="1" si="133"/>
        <v>4667831.633755249</v>
      </c>
    </row>
    <row r="399" spans="1:46" ht="11.25" customHeight="1" outlineLevel="1" x14ac:dyDescent="0.2">
      <c r="A399" s="63" t="s">
        <v>47</v>
      </c>
      <c r="B399" s="347">
        <f>(1-SUM(ИД!F163:U163))*ИД!$C$163/1.2</f>
        <v>480556.25</v>
      </c>
      <c r="C399" s="3" t="str">
        <f>CHOOSE(C391,Параметры!$B$64,Параметры!$B$108,Параметры!$B$117)</f>
        <v>тыс. руб.</v>
      </c>
      <c r="AS399" s="1"/>
    </row>
    <row r="400" spans="1:46" ht="11.25" customHeight="1" outlineLevel="1" x14ac:dyDescent="0.2">
      <c r="A400" s="44" t="s">
        <v>777</v>
      </c>
      <c r="B400" s="3"/>
      <c r="C400" s="3"/>
      <c r="AS400" s="1"/>
    </row>
    <row r="401" spans="1:46" ht="11.25" customHeight="1" outlineLevel="1" x14ac:dyDescent="0.2">
      <c r="A401" s="247" t="str">
        <f>A392</f>
        <v>Корпус А4</v>
      </c>
      <c r="B401" s="306">
        <f t="shared" ref="B401:B407" ca="1" si="136">AT401</f>
        <v>961112.5</v>
      </c>
      <c r="C401" s="3" t="str">
        <f t="shared" ref="C401:C406" si="137">$C$398</f>
        <v>тыс. руб.</v>
      </c>
      <c r="E401" s="82">
        <f ca="1">($B392+$B399)*IF(ИД!$E163=Параметры!E$53,1,0)</f>
        <v>0</v>
      </c>
      <c r="F401" s="82">
        <f ca="1">($B392+$B399)*IF(ИД!$E163=Параметры!F$53,1,0)</f>
        <v>0</v>
      </c>
      <c r="G401" s="82">
        <f ca="1">($B392+$B399)*IF(ИД!$E163=Параметры!G$53,1,0)</f>
        <v>961112.5</v>
      </c>
      <c r="H401" s="82">
        <f ca="1">($B392+$B399)*IF(ИД!$E163=Параметры!H$53,1,0)</f>
        <v>0</v>
      </c>
      <c r="I401" s="82">
        <f ca="1">($B392+$B399)*IF(ИД!$E163=Параметры!I$53,1,0)</f>
        <v>0</v>
      </c>
      <c r="J401" s="82">
        <f ca="1">($B392+$B399)*IF(ИД!$E163=Параметры!J$53,1,0)</f>
        <v>0</v>
      </c>
      <c r="K401" s="82">
        <f ca="1">($B392+$B399)*IF(ИД!$E163=Параметры!K$53,1,0)</f>
        <v>0</v>
      </c>
      <c r="L401" s="82">
        <f ca="1">($B392+$B399)*IF(ИД!$E163=Параметры!L$53,1,0)</f>
        <v>0</v>
      </c>
      <c r="M401" s="82">
        <f ca="1">($B392+$B399)*IF(ИД!$E163=Параметры!M$53,1,0)</f>
        <v>0</v>
      </c>
      <c r="N401" s="82">
        <f ca="1">($B392+$B399)*IF(ИД!$E163=Параметры!N$53,1,0)</f>
        <v>0</v>
      </c>
      <c r="O401" s="82">
        <f ca="1">($B392+$B399)*IF(ИД!$E163=Параметры!O$53,1,0)</f>
        <v>0</v>
      </c>
      <c r="P401" s="82">
        <f ca="1">($B392+$B399)*IF(ИД!$E163=Параметры!P$53,1,0)</f>
        <v>0</v>
      </c>
      <c r="Q401" s="82">
        <f ca="1">($B392+$B399)*IF(ИД!$E163=Параметры!Q$53,1,0)</f>
        <v>0</v>
      </c>
      <c r="R401" s="82">
        <f ca="1">($B392+$B399)*IF(ИД!$E163=Параметры!R$53,1,0)</f>
        <v>0</v>
      </c>
      <c r="S401" s="82">
        <f ca="1">($B392+$B399)*IF(ИД!$E163=Параметры!S$53,1,0)</f>
        <v>0</v>
      </c>
      <c r="T401" s="82">
        <f ca="1">($B392+$B399)*IF(ИД!$E163=Параметры!T$53,1,0)</f>
        <v>0</v>
      </c>
      <c r="U401" s="82">
        <f ca="1">($B392+$B399)*IF(ИД!$E163=Параметры!U$53,1,0)</f>
        <v>0</v>
      </c>
      <c r="V401" s="82">
        <f ca="1">($B392+$B399)*IF(ИД!$E163=Параметры!V$53,1,0)</f>
        <v>0</v>
      </c>
      <c r="W401" s="82">
        <f ca="1">($B392+$B399)*IF(ИД!$E163=Параметры!W$53,1,0)</f>
        <v>0</v>
      </c>
      <c r="X401" s="82">
        <f ca="1">($B392+$B399)*IF(ИД!$E163=Параметры!X$53,1,0)</f>
        <v>0</v>
      </c>
      <c r="Y401" s="82">
        <f ca="1">($B392+$B399)*IF(ИД!$E163=Параметры!Y$53,1,0)</f>
        <v>0</v>
      </c>
      <c r="Z401" s="82">
        <f ca="1">($B392+$B399)*IF(ИД!$E163=Параметры!Z$53,1,0)</f>
        <v>0</v>
      </c>
      <c r="AA401" s="82">
        <f ca="1">($B392+$B399)*IF(ИД!$E163=Параметры!AA$53,1,0)</f>
        <v>0</v>
      </c>
      <c r="AB401" s="82">
        <f ca="1">($B392+$B399)*IF(ИД!$E163=Параметры!AB$53,1,0)</f>
        <v>0</v>
      </c>
      <c r="AC401" s="82">
        <f ca="1">($B392+$B399)*IF(ИД!$E163=Параметры!AC$53,1,0)</f>
        <v>0</v>
      </c>
      <c r="AD401" s="82">
        <f ca="1">($B392+$B399)*IF(ИД!$E163=Параметры!AD$53,1,0)</f>
        <v>0</v>
      </c>
      <c r="AE401" s="82">
        <f ca="1">($B392+$B399)*IF(ИД!$E163=Параметры!AE$53,1,0)</f>
        <v>0</v>
      </c>
      <c r="AF401" s="82">
        <f ca="1">($B392+$B399)*IF(ИД!$E163=Параметры!AF$53,1,0)</f>
        <v>0</v>
      </c>
      <c r="AG401" s="82">
        <f ca="1">($B392+$B399)*IF(ИД!$E163=Параметры!AG$53,1,0)</f>
        <v>0</v>
      </c>
      <c r="AH401" s="82">
        <f ca="1">($B392+$B399)*IF(ИД!$E163=Параметры!AH$53,1,0)</f>
        <v>0</v>
      </c>
      <c r="AI401" s="82">
        <f ca="1">($B392+$B399)*IF(ИД!$E163=Параметры!AI$53,1,0)</f>
        <v>0</v>
      </c>
      <c r="AJ401" s="82">
        <f ca="1">($B392+$B399)*IF(ИД!$E163=Параметры!AJ$53,1,0)</f>
        <v>0</v>
      </c>
      <c r="AK401" s="82">
        <f ca="1">($B392+$B399)*IF(ИД!$E163=Параметры!AK$53,1,0)</f>
        <v>0</v>
      </c>
      <c r="AL401" s="82">
        <f ca="1">($B392+$B399)*IF(ИД!$E163=Параметры!AL$53,1,0)</f>
        <v>0</v>
      </c>
      <c r="AM401" s="82">
        <f ca="1">($B392+$B399)*IF(ИД!$E163=Параметры!AM$53,1,0)</f>
        <v>0</v>
      </c>
      <c r="AN401" s="82">
        <f ca="1">($B392+$B399)*IF(ИД!$E163=Параметры!AN$53,1,0)</f>
        <v>0</v>
      </c>
      <c r="AO401" s="82">
        <f ca="1">($B392+$B399)*IF(ИД!$E163=Параметры!AO$53,1,0)</f>
        <v>0</v>
      </c>
      <c r="AP401" s="82">
        <f ca="1">($B392+$B399)*IF(ИД!$E163=Параметры!AP$53,1,0)</f>
        <v>0</v>
      </c>
      <c r="AQ401" s="82">
        <f ca="1">($B392+$B399)*IF(ИД!$E163=Параметры!AQ$53,1,0)</f>
        <v>0</v>
      </c>
      <c r="AR401" s="82">
        <f ca="1">($B392+$B399)*IF(ИД!$E163=Параметры!AR$53,1,0)</f>
        <v>0</v>
      </c>
      <c r="AS401" s="1"/>
      <c r="AT401" s="30">
        <f t="shared" ref="AT401:AT407" ca="1" si="138">SUM(E401:AS401)</f>
        <v>961112.5</v>
      </c>
    </row>
    <row r="402" spans="1:46" ht="11.25" customHeight="1" outlineLevel="1" x14ac:dyDescent="0.2">
      <c r="A402" s="247" t="str">
        <f t="shared" ref="A402:A406" si="139">A393</f>
        <v>Бизнес-пространство с ЦОД</v>
      </c>
      <c r="B402" s="306">
        <f t="shared" ca="1" si="136"/>
        <v>1681309.2740435256</v>
      </c>
      <c r="C402" s="3" t="str">
        <f t="shared" si="137"/>
        <v>тыс. руб.</v>
      </c>
      <c r="E402" s="82">
        <f ca="1">$B393*IF(ИД!$E164=Параметры!E$53,1,0)</f>
        <v>0</v>
      </c>
      <c r="F402" s="82">
        <f ca="1">$B393*IF(ИД!$E164=Параметры!F$53,1,0)</f>
        <v>0</v>
      </c>
      <c r="G402" s="82">
        <f ca="1">$B393*IF(ИД!$E164=Параметры!G$53,1,0)</f>
        <v>0</v>
      </c>
      <c r="H402" s="82">
        <f ca="1">$B393*IF(ИД!$E164=Параметры!H$53,1,0)</f>
        <v>0</v>
      </c>
      <c r="I402" s="82">
        <f ca="1">$B393*IF(ИД!$E164=Параметры!I$53,1,0)</f>
        <v>0</v>
      </c>
      <c r="J402" s="82">
        <f ca="1">$B393*IF(ИД!$E164=Параметры!J$53,1,0)</f>
        <v>0</v>
      </c>
      <c r="K402" s="82">
        <f ca="1">$B393*IF(ИД!$E164=Параметры!K$53,1,0)</f>
        <v>0</v>
      </c>
      <c r="L402" s="82">
        <f ca="1">$B393*IF(ИД!$E164=Параметры!L$53,1,0)</f>
        <v>0</v>
      </c>
      <c r="M402" s="82">
        <f ca="1">$B393*IF(ИД!$E164=Параметры!M$53,1,0)</f>
        <v>0</v>
      </c>
      <c r="N402" s="82">
        <f ca="1">$B393*IF(ИД!$E164=Параметры!N$53,1,0)</f>
        <v>0</v>
      </c>
      <c r="O402" s="82">
        <f ca="1">$B393*IF(ИД!$E164=Параметры!O$53,1,0)</f>
        <v>0</v>
      </c>
      <c r="P402" s="82">
        <f ca="1">$B393*IF(ИД!$E164=Параметры!P$53,1,0)</f>
        <v>0</v>
      </c>
      <c r="Q402" s="82">
        <f ca="1">$B393*IF(ИД!$E164=Параметры!Q$53,1,0)</f>
        <v>0</v>
      </c>
      <c r="R402" s="82">
        <f ca="1">$B393*IF(ИД!$E164=Параметры!R$53,1,0)</f>
        <v>0</v>
      </c>
      <c r="S402" s="82">
        <f ca="1">$B393*IF(ИД!$E164=Параметры!S$53,1,0)</f>
        <v>0</v>
      </c>
      <c r="T402" s="82">
        <f ca="1">$B393*IF(ИД!$E164=Параметры!T$53,1,0)</f>
        <v>0</v>
      </c>
      <c r="U402" s="82">
        <f ca="1">$B393*IF(ИД!$E164=Параметры!U$53,1,0)</f>
        <v>1681309.2740435256</v>
      </c>
      <c r="V402" s="82">
        <f ca="1">$B393*IF(ИД!$E164=Параметры!V$53,1,0)</f>
        <v>0</v>
      </c>
      <c r="W402" s="82">
        <f ca="1">$B393*IF(ИД!$E164=Параметры!W$53,1,0)</f>
        <v>0</v>
      </c>
      <c r="X402" s="82">
        <f ca="1">$B393*IF(ИД!$E164=Параметры!X$53,1,0)</f>
        <v>0</v>
      </c>
      <c r="Y402" s="82">
        <f ca="1">$B393*IF(ИД!$E164=Параметры!Y$53,1,0)</f>
        <v>0</v>
      </c>
      <c r="Z402" s="82">
        <f ca="1">$B393*IF(ИД!$E164=Параметры!Z$53,1,0)</f>
        <v>0</v>
      </c>
      <c r="AA402" s="82">
        <f ca="1">$B393*IF(ИД!$E164=Параметры!AA$53,1,0)</f>
        <v>0</v>
      </c>
      <c r="AB402" s="82">
        <f ca="1">$B393*IF(ИД!$E164=Параметры!AB$53,1,0)</f>
        <v>0</v>
      </c>
      <c r="AC402" s="82">
        <f ca="1">$B393*IF(ИД!$E164=Параметры!AC$53,1,0)</f>
        <v>0</v>
      </c>
      <c r="AD402" s="82">
        <f ca="1">$B393*IF(ИД!$E164=Параметры!AD$53,1,0)</f>
        <v>0</v>
      </c>
      <c r="AE402" s="82">
        <f ca="1">$B393*IF(ИД!$E164=Параметры!AE$53,1,0)</f>
        <v>0</v>
      </c>
      <c r="AF402" s="82">
        <f ca="1">$B393*IF(ИД!$E164=Параметры!AF$53,1,0)</f>
        <v>0</v>
      </c>
      <c r="AG402" s="82">
        <f ca="1">$B393*IF(ИД!$E164=Параметры!AG$53,1,0)</f>
        <v>0</v>
      </c>
      <c r="AH402" s="82">
        <f ca="1">$B393*IF(ИД!$E164=Параметры!AH$53,1,0)</f>
        <v>0</v>
      </c>
      <c r="AI402" s="82">
        <f ca="1">$B393*IF(ИД!$E164=Параметры!AI$53,1,0)</f>
        <v>0</v>
      </c>
      <c r="AJ402" s="82">
        <f ca="1">$B393*IF(ИД!$E164=Параметры!AJ$53,1,0)</f>
        <v>0</v>
      </c>
      <c r="AK402" s="82">
        <f ca="1">$B393*IF(ИД!$E164=Параметры!AK$53,1,0)</f>
        <v>0</v>
      </c>
      <c r="AL402" s="82">
        <f ca="1">$B393*IF(ИД!$E164=Параметры!AL$53,1,0)</f>
        <v>0</v>
      </c>
      <c r="AM402" s="82">
        <f ca="1">$B393*IF(ИД!$E164=Параметры!AM$53,1,0)</f>
        <v>0</v>
      </c>
      <c r="AN402" s="82">
        <f ca="1">$B393*IF(ИД!$E164=Параметры!AN$53,1,0)</f>
        <v>0</v>
      </c>
      <c r="AO402" s="82">
        <f ca="1">$B393*IF(ИД!$E164=Параметры!AO$53,1,0)</f>
        <v>0</v>
      </c>
      <c r="AP402" s="82">
        <f ca="1">$B393*IF(ИД!$E164=Параметры!AP$53,1,0)</f>
        <v>0</v>
      </c>
      <c r="AQ402" s="82">
        <f ca="1">$B393*IF(ИД!$E164=Параметры!AQ$53,1,0)</f>
        <v>0</v>
      </c>
      <c r="AR402" s="82">
        <f ca="1">$B393*IF(ИД!$E164=Параметры!AR$53,1,0)</f>
        <v>0</v>
      </c>
      <c r="AS402" s="1"/>
      <c r="AT402" s="30">
        <f t="shared" ca="1" si="138"/>
        <v>1681309.2740435256</v>
      </c>
    </row>
    <row r="403" spans="1:46" ht="11.25" customHeight="1" outlineLevel="1" x14ac:dyDescent="0.2">
      <c r="A403" s="247" t="str">
        <f t="shared" si="139"/>
        <v>Корпус В1</v>
      </c>
      <c r="B403" s="306">
        <f t="shared" ca="1" si="136"/>
        <v>286272.36953887378</v>
      </c>
      <c r="C403" s="3" t="str">
        <f t="shared" si="137"/>
        <v>тыс. руб.</v>
      </c>
      <c r="E403" s="82">
        <f ca="1">$B394*IF(ИД!$E165=Параметры!E$53,1,0)</f>
        <v>0</v>
      </c>
      <c r="F403" s="82">
        <f ca="1">$B394*IF(ИД!$E165=Параметры!F$53,1,0)</f>
        <v>0</v>
      </c>
      <c r="G403" s="82">
        <f ca="1">$B394*IF(ИД!$E165=Параметры!G$53,1,0)</f>
        <v>0</v>
      </c>
      <c r="H403" s="82">
        <f ca="1">$B394*IF(ИД!$E165=Параметры!H$53,1,0)</f>
        <v>0</v>
      </c>
      <c r="I403" s="82">
        <f ca="1">$B394*IF(ИД!$E165=Параметры!I$53,1,0)</f>
        <v>0</v>
      </c>
      <c r="J403" s="82">
        <f ca="1">$B394*IF(ИД!$E165=Параметры!J$53,1,0)</f>
        <v>0</v>
      </c>
      <c r="K403" s="82">
        <f ca="1">$B394*IF(ИД!$E165=Параметры!K$53,1,0)</f>
        <v>0</v>
      </c>
      <c r="L403" s="82">
        <f ca="1">$B394*IF(ИД!$E165=Параметры!L$53,1,0)</f>
        <v>0</v>
      </c>
      <c r="M403" s="82">
        <f ca="1">$B394*IF(ИД!$E165=Параметры!M$53,1,0)</f>
        <v>0</v>
      </c>
      <c r="N403" s="82">
        <f ca="1">$B394*IF(ИД!$E165=Параметры!N$53,1,0)</f>
        <v>0</v>
      </c>
      <c r="O403" s="82">
        <f ca="1">$B394*IF(ИД!$E165=Параметры!O$53,1,0)</f>
        <v>0</v>
      </c>
      <c r="P403" s="82">
        <f ca="1">$B394*IF(ИД!$E165=Параметры!P$53,1,0)</f>
        <v>0</v>
      </c>
      <c r="Q403" s="82">
        <f ca="1">$B394*IF(ИД!$E165=Параметры!Q$53,1,0)</f>
        <v>286272.36953887378</v>
      </c>
      <c r="R403" s="82">
        <f ca="1">$B394*IF(ИД!$E165=Параметры!R$53,1,0)</f>
        <v>0</v>
      </c>
      <c r="S403" s="82">
        <f ca="1">$B394*IF(ИД!$E165=Параметры!S$53,1,0)</f>
        <v>0</v>
      </c>
      <c r="T403" s="82">
        <f ca="1">$B394*IF(ИД!$E165=Параметры!T$53,1,0)</f>
        <v>0</v>
      </c>
      <c r="U403" s="82">
        <f ca="1">$B394*IF(ИД!$E165=Параметры!U$53,1,0)</f>
        <v>0</v>
      </c>
      <c r="V403" s="82">
        <f ca="1">$B394*IF(ИД!$E165=Параметры!V$53,1,0)</f>
        <v>0</v>
      </c>
      <c r="W403" s="82">
        <f ca="1">$B394*IF(ИД!$E165=Параметры!W$53,1,0)</f>
        <v>0</v>
      </c>
      <c r="X403" s="82">
        <f ca="1">$B394*IF(ИД!$E165=Параметры!X$53,1,0)</f>
        <v>0</v>
      </c>
      <c r="Y403" s="82">
        <f ca="1">$B394*IF(ИД!$E165=Параметры!Y$53,1,0)</f>
        <v>0</v>
      </c>
      <c r="Z403" s="82">
        <f ca="1">$B394*IF(ИД!$E165=Параметры!Z$53,1,0)</f>
        <v>0</v>
      </c>
      <c r="AA403" s="82">
        <f ca="1">$B394*IF(ИД!$E165=Параметры!AA$53,1,0)</f>
        <v>0</v>
      </c>
      <c r="AB403" s="82">
        <f ca="1">$B394*IF(ИД!$E165=Параметры!AB$53,1,0)</f>
        <v>0</v>
      </c>
      <c r="AC403" s="82">
        <f ca="1">$B394*IF(ИД!$E165=Параметры!AC$53,1,0)</f>
        <v>0</v>
      </c>
      <c r="AD403" s="82">
        <f ca="1">$B394*IF(ИД!$E165=Параметры!AD$53,1,0)</f>
        <v>0</v>
      </c>
      <c r="AE403" s="82">
        <f ca="1">$B394*IF(ИД!$E165=Параметры!AE$53,1,0)</f>
        <v>0</v>
      </c>
      <c r="AF403" s="82">
        <f ca="1">$B394*IF(ИД!$E165=Параметры!AF$53,1,0)</f>
        <v>0</v>
      </c>
      <c r="AG403" s="82">
        <f ca="1">$B394*IF(ИД!$E165=Параметры!AG$53,1,0)</f>
        <v>0</v>
      </c>
      <c r="AH403" s="82">
        <f ca="1">$B394*IF(ИД!$E165=Параметры!AH$53,1,0)</f>
        <v>0</v>
      </c>
      <c r="AI403" s="82">
        <f ca="1">$B394*IF(ИД!$E165=Параметры!AI$53,1,0)</f>
        <v>0</v>
      </c>
      <c r="AJ403" s="82">
        <f ca="1">$B394*IF(ИД!$E165=Параметры!AJ$53,1,0)</f>
        <v>0</v>
      </c>
      <c r="AK403" s="82">
        <f ca="1">$B394*IF(ИД!$E165=Параметры!AK$53,1,0)</f>
        <v>0</v>
      </c>
      <c r="AL403" s="82">
        <f ca="1">$B394*IF(ИД!$E165=Параметры!AL$53,1,0)</f>
        <v>0</v>
      </c>
      <c r="AM403" s="82">
        <f ca="1">$B394*IF(ИД!$E165=Параметры!AM$53,1,0)</f>
        <v>0</v>
      </c>
      <c r="AN403" s="82">
        <f ca="1">$B394*IF(ИД!$E165=Параметры!AN$53,1,0)</f>
        <v>0</v>
      </c>
      <c r="AO403" s="82">
        <f ca="1">$B394*IF(ИД!$E165=Параметры!AO$53,1,0)</f>
        <v>0</v>
      </c>
      <c r="AP403" s="82">
        <f ca="1">$B394*IF(ИД!$E165=Параметры!AP$53,1,0)</f>
        <v>0</v>
      </c>
      <c r="AQ403" s="82">
        <f ca="1">$B394*IF(ИД!$E165=Параметры!AQ$53,1,0)</f>
        <v>0</v>
      </c>
      <c r="AR403" s="82">
        <f ca="1">$B394*IF(ИД!$E165=Параметры!AR$53,1,0)</f>
        <v>0</v>
      </c>
      <c r="AS403" s="1"/>
      <c r="AT403" s="30">
        <f t="shared" ca="1" si="138"/>
        <v>286272.36953887378</v>
      </c>
    </row>
    <row r="404" spans="1:46" ht="11.25" customHeight="1" outlineLevel="1" x14ac:dyDescent="0.2">
      <c r="A404" s="247" t="str">
        <f t="shared" si="139"/>
        <v>Корпус В2</v>
      </c>
      <c r="B404" s="306">
        <f t="shared" ca="1" si="136"/>
        <v>459693.95354167029</v>
      </c>
      <c r="C404" s="3" t="str">
        <f t="shared" si="137"/>
        <v>тыс. руб.</v>
      </c>
      <c r="E404" s="82">
        <f ca="1">$B395*IF(ИД!$E166=Параметры!E$53,1,0)</f>
        <v>0</v>
      </c>
      <c r="F404" s="82">
        <f ca="1">$B395*IF(ИД!$E166=Параметры!F$53,1,0)</f>
        <v>0</v>
      </c>
      <c r="G404" s="82">
        <f ca="1">$B395*IF(ИД!$E166=Параметры!G$53,1,0)</f>
        <v>0</v>
      </c>
      <c r="H404" s="82">
        <f ca="1">$B395*IF(ИД!$E166=Параметры!H$53,1,0)</f>
        <v>0</v>
      </c>
      <c r="I404" s="82">
        <f ca="1">$B395*IF(ИД!$E166=Параметры!I$53,1,0)</f>
        <v>0</v>
      </c>
      <c r="J404" s="82">
        <f ca="1">$B395*IF(ИД!$E166=Параметры!J$53,1,0)</f>
        <v>0</v>
      </c>
      <c r="K404" s="82">
        <f ca="1">$B395*IF(ИД!$E166=Параметры!K$53,1,0)</f>
        <v>0</v>
      </c>
      <c r="L404" s="82">
        <f ca="1">$B395*IF(ИД!$E166=Параметры!L$53,1,0)</f>
        <v>0</v>
      </c>
      <c r="M404" s="82">
        <f ca="1">$B395*IF(ИД!$E166=Параметры!M$53,1,0)</f>
        <v>459693.95354167029</v>
      </c>
      <c r="N404" s="82">
        <f ca="1">$B395*IF(ИД!$E166=Параметры!N$53,1,0)</f>
        <v>0</v>
      </c>
      <c r="O404" s="82">
        <f ca="1">$B395*IF(ИД!$E166=Параметры!O$53,1,0)</f>
        <v>0</v>
      </c>
      <c r="P404" s="82">
        <f ca="1">$B395*IF(ИД!$E166=Параметры!P$53,1,0)</f>
        <v>0</v>
      </c>
      <c r="Q404" s="82">
        <f ca="1">$B395*IF(ИД!$E166=Параметры!Q$53,1,0)</f>
        <v>0</v>
      </c>
      <c r="R404" s="82">
        <f ca="1">$B395*IF(ИД!$E166=Параметры!R$53,1,0)</f>
        <v>0</v>
      </c>
      <c r="S404" s="82">
        <f ca="1">$B395*IF(ИД!$E166=Параметры!S$53,1,0)</f>
        <v>0</v>
      </c>
      <c r="T404" s="82">
        <f ca="1">$B395*IF(ИД!$E166=Параметры!T$53,1,0)</f>
        <v>0</v>
      </c>
      <c r="U404" s="82">
        <f ca="1">$B395*IF(ИД!$E166=Параметры!U$53,1,0)</f>
        <v>0</v>
      </c>
      <c r="V404" s="82">
        <f ca="1">$B395*IF(ИД!$E166=Параметры!V$53,1,0)</f>
        <v>0</v>
      </c>
      <c r="W404" s="82">
        <f ca="1">$B395*IF(ИД!$E166=Параметры!W$53,1,0)</f>
        <v>0</v>
      </c>
      <c r="X404" s="82">
        <f ca="1">$B395*IF(ИД!$E166=Параметры!X$53,1,0)</f>
        <v>0</v>
      </c>
      <c r="Y404" s="82">
        <f ca="1">$B395*IF(ИД!$E166=Параметры!Y$53,1,0)</f>
        <v>0</v>
      </c>
      <c r="Z404" s="82">
        <f ca="1">$B395*IF(ИД!$E166=Параметры!Z$53,1,0)</f>
        <v>0</v>
      </c>
      <c r="AA404" s="82">
        <f ca="1">$B395*IF(ИД!$E166=Параметры!AA$53,1,0)</f>
        <v>0</v>
      </c>
      <c r="AB404" s="82">
        <f ca="1">$B395*IF(ИД!$E166=Параметры!AB$53,1,0)</f>
        <v>0</v>
      </c>
      <c r="AC404" s="82">
        <f ca="1">$B395*IF(ИД!$E166=Параметры!AC$53,1,0)</f>
        <v>0</v>
      </c>
      <c r="AD404" s="82">
        <f ca="1">$B395*IF(ИД!$E166=Параметры!AD$53,1,0)</f>
        <v>0</v>
      </c>
      <c r="AE404" s="82">
        <f ca="1">$B395*IF(ИД!$E166=Параметры!AE$53,1,0)</f>
        <v>0</v>
      </c>
      <c r="AF404" s="82">
        <f ca="1">$B395*IF(ИД!$E166=Параметры!AF$53,1,0)</f>
        <v>0</v>
      </c>
      <c r="AG404" s="82">
        <f ca="1">$B395*IF(ИД!$E166=Параметры!AG$53,1,0)</f>
        <v>0</v>
      </c>
      <c r="AH404" s="82">
        <f ca="1">$B395*IF(ИД!$E166=Параметры!AH$53,1,0)</f>
        <v>0</v>
      </c>
      <c r="AI404" s="82">
        <f ca="1">$B395*IF(ИД!$E166=Параметры!AI$53,1,0)</f>
        <v>0</v>
      </c>
      <c r="AJ404" s="82">
        <f ca="1">$B395*IF(ИД!$E166=Параметры!AJ$53,1,0)</f>
        <v>0</v>
      </c>
      <c r="AK404" s="82">
        <f ca="1">$B395*IF(ИД!$E166=Параметры!AK$53,1,0)</f>
        <v>0</v>
      </c>
      <c r="AL404" s="82">
        <f ca="1">$B395*IF(ИД!$E166=Параметры!AL$53,1,0)</f>
        <v>0</v>
      </c>
      <c r="AM404" s="82">
        <f ca="1">$B395*IF(ИД!$E166=Параметры!AM$53,1,0)</f>
        <v>0</v>
      </c>
      <c r="AN404" s="82">
        <f ca="1">$B395*IF(ИД!$E166=Параметры!AN$53,1,0)</f>
        <v>0</v>
      </c>
      <c r="AO404" s="82">
        <f ca="1">$B395*IF(ИД!$E166=Параметры!AO$53,1,0)</f>
        <v>0</v>
      </c>
      <c r="AP404" s="82">
        <f ca="1">$B395*IF(ИД!$E166=Параметры!AP$53,1,0)</f>
        <v>0</v>
      </c>
      <c r="AQ404" s="82">
        <f ca="1">$B395*IF(ИД!$E166=Параметры!AQ$53,1,0)</f>
        <v>0</v>
      </c>
      <c r="AR404" s="82">
        <f ca="1">$B395*IF(ИД!$E166=Параметры!AR$53,1,0)</f>
        <v>0</v>
      </c>
      <c r="AS404" s="1"/>
      <c r="AT404" s="30">
        <f t="shared" ca="1" si="138"/>
        <v>459693.95354167029</v>
      </c>
    </row>
    <row r="405" spans="1:46" ht="11.25" customHeight="1" outlineLevel="1" x14ac:dyDescent="0.2">
      <c r="A405" s="247" t="str">
        <f t="shared" si="139"/>
        <v>Корпус В3</v>
      </c>
      <c r="B405" s="306">
        <f t="shared" ca="1" si="136"/>
        <v>615200.25903941935</v>
      </c>
      <c r="C405" s="3" t="str">
        <f t="shared" si="137"/>
        <v>тыс. руб.</v>
      </c>
      <c r="E405" s="82">
        <f ca="1">$B396*IF(ИД!$E167=Параметры!E$53,1,0)</f>
        <v>0</v>
      </c>
      <c r="F405" s="82">
        <f ca="1">$B396*IF(ИД!$E167=Параметры!F$53,1,0)</f>
        <v>0</v>
      </c>
      <c r="G405" s="82">
        <f ca="1">$B396*IF(ИД!$E167=Параметры!G$53,1,0)</f>
        <v>0</v>
      </c>
      <c r="H405" s="82">
        <f ca="1">$B396*IF(ИД!$E167=Параметры!H$53,1,0)</f>
        <v>0</v>
      </c>
      <c r="I405" s="82">
        <f ca="1">$B396*IF(ИД!$E167=Параметры!I$53,1,0)</f>
        <v>0</v>
      </c>
      <c r="J405" s="82">
        <f ca="1">$B396*IF(ИД!$E167=Параметры!J$53,1,0)</f>
        <v>0</v>
      </c>
      <c r="K405" s="82">
        <f ca="1">$B396*IF(ИД!$E167=Параметры!K$53,1,0)</f>
        <v>0</v>
      </c>
      <c r="L405" s="82">
        <f ca="1">$B396*IF(ИД!$E167=Параметры!L$53,1,0)</f>
        <v>0</v>
      </c>
      <c r="M405" s="82">
        <f ca="1">$B396*IF(ИД!$E167=Параметры!M$53,1,0)</f>
        <v>0</v>
      </c>
      <c r="N405" s="82">
        <f ca="1">$B396*IF(ИД!$E167=Параметры!N$53,1,0)</f>
        <v>0</v>
      </c>
      <c r="O405" s="82">
        <f ca="1">$B396*IF(ИД!$E167=Параметры!O$53,1,0)</f>
        <v>0</v>
      </c>
      <c r="P405" s="82">
        <f ca="1">$B396*IF(ИД!$E167=Параметры!P$53,1,0)</f>
        <v>0</v>
      </c>
      <c r="Q405" s="82">
        <f ca="1">$B396*IF(ИД!$E167=Параметры!Q$53,1,0)</f>
        <v>0</v>
      </c>
      <c r="R405" s="82">
        <f ca="1">$B396*IF(ИД!$E167=Параметры!R$53,1,0)</f>
        <v>0</v>
      </c>
      <c r="S405" s="82">
        <f ca="1">$B396*IF(ИД!$E167=Параметры!S$53,1,0)</f>
        <v>0</v>
      </c>
      <c r="T405" s="82">
        <f ca="1">$B396*IF(ИД!$E167=Параметры!T$53,1,0)</f>
        <v>0</v>
      </c>
      <c r="U405" s="82">
        <f ca="1">$B396*IF(ИД!$E167=Параметры!U$53,1,0)</f>
        <v>615200.25903941935</v>
      </c>
      <c r="V405" s="82">
        <f ca="1">$B396*IF(ИД!$E167=Параметры!V$53,1,0)</f>
        <v>0</v>
      </c>
      <c r="W405" s="82">
        <f ca="1">$B396*IF(ИД!$E167=Параметры!W$53,1,0)</f>
        <v>0</v>
      </c>
      <c r="X405" s="82">
        <f ca="1">$B396*IF(ИД!$E167=Параметры!X$53,1,0)</f>
        <v>0</v>
      </c>
      <c r="Y405" s="82">
        <f ca="1">$B396*IF(ИД!$E167=Параметры!Y$53,1,0)</f>
        <v>0</v>
      </c>
      <c r="Z405" s="82">
        <f ca="1">$B396*IF(ИД!$E167=Параметры!Z$53,1,0)</f>
        <v>0</v>
      </c>
      <c r="AA405" s="82">
        <f ca="1">$B396*IF(ИД!$E167=Параметры!AA$53,1,0)</f>
        <v>0</v>
      </c>
      <c r="AB405" s="82">
        <f ca="1">$B396*IF(ИД!$E167=Параметры!AB$53,1,0)</f>
        <v>0</v>
      </c>
      <c r="AC405" s="82">
        <f ca="1">$B396*IF(ИД!$E167=Параметры!AC$53,1,0)</f>
        <v>0</v>
      </c>
      <c r="AD405" s="82">
        <f ca="1">$B396*IF(ИД!$E167=Параметры!AD$53,1,0)</f>
        <v>0</v>
      </c>
      <c r="AE405" s="82">
        <f ca="1">$B396*IF(ИД!$E167=Параметры!AE$53,1,0)</f>
        <v>0</v>
      </c>
      <c r="AF405" s="82">
        <f ca="1">$B396*IF(ИД!$E167=Параметры!AF$53,1,0)</f>
        <v>0</v>
      </c>
      <c r="AG405" s="82">
        <f ca="1">$B396*IF(ИД!$E167=Параметры!AG$53,1,0)</f>
        <v>0</v>
      </c>
      <c r="AH405" s="82">
        <f ca="1">$B396*IF(ИД!$E167=Параметры!AH$53,1,0)</f>
        <v>0</v>
      </c>
      <c r="AI405" s="82">
        <f ca="1">$B396*IF(ИД!$E167=Параметры!AI$53,1,0)</f>
        <v>0</v>
      </c>
      <c r="AJ405" s="82">
        <f ca="1">$B396*IF(ИД!$E167=Параметры!AJ$53,1,0)</f>
        <v>0</v>
      </c>
      <c r="AK405" s="82">
        <f ca="1">$B396*IF(ИД!$E167=Параметры!AK$53,1,0)</f>
        <v>0</v>
      </c>
      <c r="AL405" s="82">
        <f ca="1">$B396*IF(ИД!$E167=Параметры!AL$53,1,0)</f>
        <v>0</v>
      </c>
      <c r="AM405" s="82">
        <f ca="1">$B396*IF(ИД!$E167=Параметры!AM$53,1,0)</f>
        <v>0</v>
      </c>
      <c r="AN405" s="82">
        <f ca="1">$B396*IF(ИД!$E167=Параметры!AN$53,1,0)</f>
        <v>0</v>
      </c>
      <c r="AO405" s="82">
        <f ca="1">$B396*IF(ИД!$E167=Параметры!AO$53,1,0)</f>
        <v>0</v>
      </c>
      <c r="AP405" s="82">
        <f ca="1">$B396*IF(ИД!$E167=Параметры!AP$53,1,0)</f>
        <v>0</v>
      </c>
      <c r="AQ405" s="82">
        <f ca="1">$B396*IF(ИД!$E167=Параметры!AQ$53,1,0)</f>
        <v>0</v>
      </c>
      <c r="AR405" s="82">
        <f ca="1">$B396*IF(ИД!$E167=Параметры!AR$53,1,0)</f>
        <v>0</v>
      </c>
      <c r="AS405" s="1"/>
      <c r="AT405" s="30">
        <f t="shared" ca="1" si="138"/>
        <v>615200.25903941935</v>
      </c>
    </row>
    <row r="406" spans="1:46" ht="11.25" customHeight="1" outlineLevel="1" x14ac:dyDescent="0.2">
      <c r="A406" s="247" t="str">
        <f t="shared" si="139"/>
        <v>Объект II очереди</v>
      </c>
      <c r="B406" s="306">
        <f t="shared" ca="1" si="136"/>
        <v>1144799.52759176</v>
      </c>
      <c r="C406" s="3" t="str">
        <f t="shared" si="137"/>
        <v>тыс. руб.</v>
      </c>
      <c r="E406" s="82">
        <f ca="1">$B397*IF(ИД!$E168=Параметры!E$53,1,0)</f>
        <v>0</v>
      </c>
      <c r="F406" s="82">
        <f ca="1">$B397*IF(ИД!$E168=Параметры!F$53,1,0)</f>
        <v>0</v>
      </c>
      <c r="G406" s="82">
        <f ca="1">$B397*IF(ИД!$E168=Параметры!G$53,1,0)</f>
        <v>0</v>
      </c>
      <c r="H406" s="82">
        <f ca="1">$B397*IF(ИД!$E168=Параметры!H$53,1,0)</f>
        <v>0</v>
      </c>
      <c r="I406" s="82">
        <f ca="1">$B397*IF(ИД!$E168=Параметры!I$53,1,0)</f>
        <v>0</v>
      </c>
      <c r="J406" s="82">
        <f ca="1">$B397*IF(ИД!$E168=Параметры!J$53,1,0)</f>
        <v>0</v>
      </c>
      <c r="K406" s="82">
        <f ca="1">$B397*IF(ИД!$E168=Параметры!K$53,1,0)</f>
        <v>0</v>
      </c>
      <c r="L406" s="82">
        <f ca="1">$B397*IF(ИД!$E168=Параметры!L$53,1,0)</f>
        <v>0</v>
      </c>
      <c r="M406" s="82">
        <f ca="1">$B397*IF(ИД!$E168=Параметры!M$53,1,0)</f>
        <v>0</v>
      </c>
      <c r="N406" s="82">
        <f ca="1">$B397*IF(ИД!$E168=Параметры!N$53,1,0)</f>
        <v>0</v>
      </c>
      <c r="O406" s="82">
        <f ca="1">$B397*IF(ИД!$E168=Параметры!O$53,1,0)</f>
        <v>0</v>
      </c>
      <c r="P406" s="82">
        <f ca="1">$B397*IF(ИД!$E168=Параметры!P$53,1,0)</f>
        <v>0</v>
      </c>
      <c r="Q406" s="82">
        <f ca="1">$B397*IF(ИД!$E168=Параметры!Q$53,1,0)</f>
        <v>0</v>
      </c>
      <c r="R406" s="82">
        <f ca="1">$B397*IF(ИД!$E168=Параметры!R$53,1,0)</f>
        <v>0</v>
      </c>
      <c r="S406" s="82">
        <f ca="1">$B397*IF(ИД!$E168=Параметры!S$53,1,0)</f>
        <v>0</v>
      </c>
      <c r="T406" s="82">
        <f ca="1">$B397*IF(ИД!$E168=Параметры!T$53,1,0)</f>
        <v>0</v>
      </c>
      <c r="U406" s="82">
        <f ca="1">$B397*IF(ИД!$E168=Параметры!U$53,1,0)</f>
        <v>1144799.52759176</v>
      </c>
      <c r="V406" s="82">
        <f ca="1">$B397*IF(ИД!$E168=Параметры!V$53,1,0)</f>
        <v>0</v>
      </c>
      <c r="W406" s="82">
        <f ca="1">$B397*IF(ИД!$E168=Параметры!W$53,1,0)</f>
        <v>0</v>
      </c>
      <c r="X406" s="82">
        <f ca="1">$B397*IF(ИД!$E168=Параметры!X$53,1,0)</f>
        <v>0</v>
      </c>
      <c r="Y406" s="82">
        <f ca="1">$B397*IF(ИД!$E168=Параметры!Y$53,1,0)</f>
        <v>0</v>
      </c>
      <c r="Z406" s="82">
        <f ca="1">$B397*IF(ИД!$E168=Параметры!Z$53,1,0)</f>
        <v>0</v>
      </c>
      <c r="AA406" s="82">
        <f ca="1">$B397*IF(ИД!$E168=Параметры!AA$53,1,0)</f>
        <v>0</v>
      </c>
      <c r="AB406" s="82">
        <f ca="1">$B397*IF(ИД!$E168=Параметры!AB$53,1,0)</f>
        <v>0</v>
      </c>
      <c r="AC406" s="82">
        <f ca="1">$B397*IF(ИД!$E168=Параметры!AC$53,1,0)</f>
        <v>0</v>
      </c>
      <c r="AD406" s="82">
        <f ca="1">$B397*IF(ИД!$E168=Параметры!AD$53,1,0)</f>
        <v>0</v>
      </c>
      <c r="AE406" s="82">
        <f ca="1">$B397*IF(ИД!$E168=Параметры!AE$53,1,0)</f>
        <v>0</v>
      </c>
      <c r="AF406" s="82">
        <f ca="1">$B397*IF(ИД!$E168=Параметры!AF$53,1,0)</f>
        <v>0</v>
      </c>
      <c r="AG406" s="82">
        <f ca="1">$B397*IF(ИД!$E168=Параметры!AG$53,1,0)</f>
        <v>0</v>
      </c>
      <c r="AH406" s="82">
        <f ca="1">$B397*IF(ИД!$E168=Параметры!AH$53,1,0)</f>
        <v>0</v>
      </c>
      <c r="AI406" s="82">
        <f ca="1">$B397*IF(ИД!$E168=Параметры!AI$53,1,0)</f>
        <v>0</v>
      </c>
      <c r="AJ406" s="82">
        <f ca="1">$B397*IF(ИД!$E168=Параметры!AJ$53,1,0)</f>
        <v>0</v>
      </c>
      <c r="AK406" s="82">
        <f ca="1">$B397*IF(ИД!$E168=Параметры!AK$53,1,0)</f>
        <v>0</v>
      </c>
      <c r="AL406" s="82">
        <f ca="1">$B397*IF(ИД!$E168=Параметры!AL$53,1,0)</f>
        <v>0</v>
      </c>
      <c r="AM406" s="82">
        <f ca="1">$B397*IF(ИД!$E168=Параметры!AM$53,1,0)</f>
        <v>0</v>
      </c>
      <c r="AN406" s="82">
        <f ca="1">$B397*IF(ИД!$E168=Параметры!AN$53,1,0)</f>
        <v>0</v>
      </c>
      <c r="AO406" s="82">
        <f ca="1">$B397*IF(ИД!$E168=Параметры!AO$53,1,0)</f>
        <v>0</v>
      </c>
      <c r="AP406" s="82">
        <f ca="1">$B397*IF(ИД!$E168=Параметры!AP$53,1,0)</f>
        <v>0</v>
      </c>
      <c r="AQ406" s="82">
        <f ca="1">$B397*IF(ИД!$E168=Параметры!AQ$53,1,0)</f>
        <v>0</v>
      </c>
      <c r="AR406" s="82">
        <f ca="1">$B397*IF(ИД!$E168=Параметры!AR$53,1,0)</f>
        <v>0</v>
      </c>
      <c r="AS406" s="1"/>
      <c r="AT406" s="30">
        <f t="shared" ca="1" si="138"/>
        <v>1144799.52759176</v>
      </c>
    </row>
    <row r="407" spans="1:46" ht="11.25" customHeight="1" outlineLevel="1" x14ac:dyDescent="0.2">
      <c r="A407" s="63" t="s">
        <v>778</v>
      </c>
      <c r="B407" s="5">
        <f t="shared" ca="1" si="136"/>
        <v>5148387.883755248</v>
      </c>
      <c r="C407" s="3" t="str">
        <f>CHOOSE(C391,Параметры!$B$64,Параметры!$B$108,Параметры!$B$117)</f>
        <v>тыс. руб.</v>
      </c>
      <c r="E407" s="348">
        <f ca="1">SUM(E401:E406)</f>
        <v>0</v>
      </c>
      <c r="F407" s="348">
        <f t="shared" ref="F407:AR407" ca="1" si="140">SUM(F401:F406)</f>
        <v>0</v>
      </c>
      <c r="G407" s="348">
        <f t="shared" ca="1" si="140"/>
        <v>961112.5</v>
      </c>
      <c r="H407" s="348">
        <f t="shared" ca="1" si="140"/>
        <v>0</v>
      </c>
      <c r="I407" s="348">
        <f t="shared" ca="1" si="140"/>
        <v>0</v>
      </c>
      <c r="J407" s="348">
        <f t="shared" ca="1" si="140"/>
        <v>0</v>
      </c>
      <c r="K407" s="348">
        <f t="shared" ca="1" si="140"/>
        <v>0</v>
      </c>
      <c r="L407" s="348">
        <f t="shared" ca="1" si="140"/>
        <v>0</v>
      </c>
      <c r="M407" s="348">
        <f t="shared" ca="1" si="140"/>
        <v>459693.95354167029</v>
      </c>
      <c r="N407" s="348">
        <f t="shared" ca="1" si="140"/>
        <v>0</v>
      </c>
      <c r="O407" s="348">
        <f t="shared" ca="1" si="140"/>
        <v>0</v>
      </c>
      <c r="P407" s="348">
        <f t="shared" ca="1" si="140"/>
        <v>0</v>
      </c>
      <c r="Q407" s="348">
        <f t="shared" ca="1" si="140"/>
        <v>286272.36953887378</v>
      </c>
      <c r="R407" s="348">
        <f t="shared" ca="1" si="140"/>
        <v>0</v>
      </c>
      <c r="S407" s="348">
        <f t="shared" ca="1" si="140"/>
        <v>0</v>
      </c>
      <c r="T407" s="348">
        <f t="shared" ca="1" si="140"/>
        <v>0</v>
      </c>
      <c r="U407" s="348">
        <f t="shared" ca="1" si="140"/>
        <v>3441309.0606747046</v>
      </c>
      <c r="V407" s="348">
        <f t="shared" ca="1" si="140"/>
        <v>0</v>
      </c>
      <c r="W407" s="348">
        <f t="shared" ca="1" si="140"/>
        <v>0</v>
      </c>
      <c r="X407" s="348">
        <f t="shared" ca="1" si="140"/>
        <v>0</v>
      </c>
      <c r="Y407" s="348">
        <f t="shared" ca="1" si="140"/>
        <v>0</v>
      </c>
      <c r="Z407" s="348">
        <f t="shared" ca="1" si="140"/>
        <v>0</v>
      </c>
      <c r="AA407" s="348">
        <f t="shared" ca="1" si="140"/>
        <v>0</v>
      </c>
      <c r="AB407" s="348">
        <f t="shared" ca="1" si="140"/>
        <v>0</v>
      </c>
      <c r="AC407" s="348">
        <f t="shared" ca="1" si="140"/>
        <v>0</v>
      </c>
      <c r="AD407" s="348">
        <f t="shared" ca="1" si="140"/>
        <v>0</v>
      </c>
      <c r="AE407" s="348">
        <f t="shared" ca="1" si="140"/>
        <v>0</v>
      </c>
      <c r="AF407" s="348">
        <f t="shared" ca="1" si="140"/>
        <v>0</v>
      </c>
      <c r="AG407" s="348">
        <f t="shared" ca="1" si="140"/>
        <v>0</v>
      </c>
      <c r="AH407" s="348">
        <f t="shared" ca="1" si="140"/>
        <v>0</v>
      </c>
      <c r="AI407" s="348">
        <f t="shared" ca="1" si="140"/>
        <v>0</v>
      </c>
      <c r="AJ407" s="348">
        <f t="shared" ca="1" si="140"/>
        <v>0</v>
      </c>
      <c r="AK407" s="348">
        <f t="shared" ca="1" si="140"/>
        <v>0</v>
      </c>
      <c r="AL407" s="348">
        <f t="shared" ca="1" si="140"/>
        <v>0</v>
      </c>
      <c r="AM407" s="348">
        <f t="shared" ca="1" si="140"/>
        <v>0</v>
      </c>
      <c r="AN407" s="348">
        <f t="shared" ca="1" si="140"/>
        <v>0</v>
      </c>
      <c r="AO407" s="348">
        <f t="shared" ca="1" si="140"/>
        <v>0</v>
      </c>
      <c r="AP407" s="348">
        <f t="shared" ca="1" si="140"/>
        <v>0</v>
      </c>
      <c r="AQ407" s="348">
        <f t="shared" ca="1" si="140"/>
        <v>0</v>
      </c>
      <c r="AR407" s="348">
        <f t="shared" ca="1" si="140"/>
        <v>0</v>
      </c>
      <c r="AS407" s="90"/>
      <c r="AT407" s="30">
        <f t="shared" ca="1" si="138"/>
        <v>5148387.883755248</v>
      </c>
    </row>
    <row r="408" spans="1:46" ht="11.25" customHeight="1" outlineLevel="1" x14ac:dyDescent="0.2">
      <c r="A408" s="63" t="s">
        <v>49</v>
      </c>
      <c r="B408" s="347">
        <f>ИД!D173</f>
        <v>20</v>
      </c>
      <c r="C408" s="3" t="s">
        <v>2</v>
      </c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30"/>
    </row>
    <row r="409" spans="1:46" ht="11.25" customHeight="1" outlineLevel="1" x14ac:dyDescent="0.2">
      <c r="A409" s="63" t="s">
        <v>52</v>
      </c>
      <c r="B409" s="4"/>
      <c r="C409" s="3" t="s">
        <v>1</v>
      </c>
      <c r="E409" s="355">
        <f>Параметры!E$136</f>
        <v>0.2</v>
      </c>
      <c r="F409" s="355">
        <f>Параметры!F$136</f>
        <v>0.2</v>
      </c>
      <c r="G409" s="355">
        <f>Параметры!G$136</f>
        <v>0.2</v>
      </c>
      <c r="H409" s="355">
        <f>Параметры!H$136</f>
        <v>0.2</v>
      </c>
      <c r="I409" s="355">
        <f>Параметры!I$136</f>
        <v>0.2</v>
      </c>
      <c r="J409" s="355">
        <f>Параметры!J$136</f>
        <v>0.2</v>
      </c>
      <c r="K409" s="355">
        <f>Параметры!K$136</f>
        <v>0.2</v>
      </c>
      <c r="L409" s="355">
        <f>Параметры!L$136</f>
        <v>0.2</v>
      </c>
      <c r="M409" s="355">
        <f>Параметры!M$136</f>
        <v>0.2</v>
      </c>
      <c r="N409" s="355">
        <f>Параметры!N$136</f>
        <v>0.2</v>
      </c>
      <c r="O409" s="355">
        <f>Параметры!O$136</f>
        <v>0.2</v>
      </c>
      <c r="P409" s="355">
        <f>Параметры!P$136</f>
        <v>0.2</v>
      </c>
      <c r="Q409" s="355">
        <f>Параметры!Q$136</f>
        <v>0.2</v>
      </c>
      <c r="R409" s="355">
        <f>Параметры!R$136</f>
        <v>0.2</v>
      </c>
      <c r="S409" s="355">
        <f>Параметры!S$136</f>
        <v>0.2</v>
      </c>
      <c r="T409" s="355">
        <f>Параметры!T$136</f>
        <v>0.2</v>
      </c>
      <c r="U409" s="355">
        <f>Параметры!U$136</f>
        <v>0.2</v>
      </c>
      <c r="V409" s="355">
        <f>Параметры!V$136</f>
        <v>0.2</v>
      </c>
      <c r="W409" s="355">
        <f>Параметры!W$136</f>
        <v>0.2</v>
      </c>
      <c r="X409" s="355">
        <f>Параметры!X$136</f>
        <v>0.2</v>
      </c>
      <c r="Y409" s="355">
        <f>Параметры!Y$136</f>
        <v>0.2</v>
      </c>
      <c r="Z409" s="355">
        <f>Параметры!Z$136</f>
        <v>0.2</v>
      </c>
      <c r="AA409" s="355">
        <f>Параметры!AA$136</f>
        <v>0.2</v>
      </c>
      <c r="AB409" s="355">
        <f>Параметры!AB$136</f>
        <v>0.2</v>
      </c>
      <c r="AC409" s="355">
        <f>Параметры!AC$136</f>
        <v>0.2</v>
      </c>
      <c r="AD409" s="355">
        <f>Параметры!AD$136</f>
        <v>0.2</v>
      </c>
      <c r="AE409" s="355">
        <f>Параметры!AE$136</f>
        <v>0.2</v>
      </c>
      <c r="AF409" s="355">
        <f>Параметры!AF$136</f>
        <v>0.2</v>
      </c>
      <c r="AG409" s="355">
        <f>Параметры!AG$136</f>
        <v>0.2</v>
      </c>
      <c r="AH409" s="355">
        <f>Параметры!AH$136</f>
        <v>0.2</v>
      </c>
      <c r="AI409" s="355">
        <f>Параметры!AI$136</f>
        <v>0.2</v>
      </c>
      <c r="AJ409" s="355">
        <f>Параметры!AJ$136</f>
        <v>0.2</v>
      </c>
      <c r="AK409" s="355">
        <f>Параметры!AK$136</f>
        <v>0.2</v>
      </c>
      <c r="AL409" s="355">
        <f>Параметры!AL$136</f>
        <v>0.2</v>
      </c>
      <c r="AM409" s="355">
        <f>Параметры!AM$136</f>
        <v>0.2</v>
      </c>
      <c r="AN409" s="355">
        <f>Параметры!AN$136</f>
        <v>0.2</v>
      </c>
      <c r="AO409" s="355">
        <f>Параметры!AO$136</f>
        <v>0.2</v>
      </c>
      <c r="AP409" s="355">
        <f>Параметры!AP$136</f>
        <v>0.2</v>
      </c>
      <c r="AQ409" s="355">
        <f>Параметры!AQ$136</f>
        <v>0.2</v>
      </c>
      <c r="AR409" s="355">
        <f>Параметры!AR$136</f>
        <v>0.2</v>
      </c>
      <c r="AS409" s="109"/>
    </row>
    <row r="410" spans="1:46" ht="11.25" customHeight="1" outlineLevel="1" x14ac:dyDescent="0.2">
      <c r="A410" s="44" t="s">
        <v>1012</v>
      </c>
      <c r="B410" s="4"/>
      <c r="C410" s="3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0"/>
      <c r="AN410" s="40"/>
      <c r="AO410" s="40"/>
      <c r="AP410" s="40"/>
      <c r="AQ410" s="40"/>
      <c r="AR410" s="40"/>
      <c r="AS410" s="109"/>
    </row>
    <row r="411" spans="1:46" ht="11.25" customHeight="1" outlineLevel="1" x14ac:dyDescent="0.2">
      <c r="A411" s="247" t="str">
        <f t="shared" ref="A411:A416" si="141">A392</f>
        <v>Корпус А4</v>
      </c>
      <c r="B411" s="306">
        <f t="shared" ref="B411:B416" si="142">MAX(E411:AR411)</f>
        <v>0</v>
      </c>
      <c r="C411" s="3" t="s">
        <v>520</v>
      </c>
      <c r="E411" s="145">
        <v>0</v>
      </c>
      <c r="F411" s="145">
        <v>0</v>
      </c>
      <c r="G411" s="145">
        <v>0</v>
      </c>
      <c r="H411" s="145">
        <v>0</v>
      </c>
      <c r="I411" s="145">
        <v>0</v>
      </c>
      <c r="J411" s="145">
        <v>0</v>
      </c>
      <c r="K411" s="145">
        <v>0</v>
      </c>
      <c r="L411" s="145">
        <v>0</v>
      </c>
      <c r="M411" s="145">
        <v>0</v>
      </c>
      <c r="N411" s="145">
        <v>0</v>
      </c>
      <c r="O411" s="145">
        <v>0</v>
      </c>
      <c r="P411" s="145">
        <v>0</v>
      </c>
      <c r="Q411" s="145">
        <v>0</v>
      </c>
      <c r="R411" s="145">
        <v>0</v>
      </c>
      <c r="S411" s="145">
        <v>0</v>
      </c>
      <c r="T411" s="145">
        <v>0</v>
      </c>
      <c r="U411" s="145">
        <v>0</v>
      </c>
      <c r="V411" s="145">
        <v>0</v>
      </c>
      <c r="W411" s="145">
        <v>0</v>
      </c>
      <c r="X411" s="145">
        <v>0</v>
      </c>
      <c r="Y411" s="145">
        <v>0</v>
      </c>
      <c r="Z411" s="145">
        <v>0</v>
      </c>
      <c r="AA411" s="145">
        <v>0</v>
      </c>
      <c r="AB411" s="145">
        <v>0</v>
      </c>
      <c r="AC411" s="145">
        <v>0</v>
      </c>
      <c r="AD411" s="145">
        <v>0</v>
      </c>
      <c r="AE411" s="145">
        <v>0</v>
      </c>
      <c r="AF411" s="145">
        <v>0</v>
      </c>
      <c r="AG411" s="145">
        <v>0</v>
      </c>
      <c r="AH411" s="145">
        <v>0</v>
      </c>
      <c r="AI411" s="145">
        <v>0</v>
      </c>
      <c r="AJ411" s="145">
        <v>0</v>
      </c>
      <c r="AK411" s="145">
        <v>0</v>
      </c>
      <c r="AL411" s="145">
        <v>0</v>
      </c>
      <c r="AM411" s="145">
        <v>0</v>
      </c>
      <c r="AN411" s="145">
        <v>0</v>
      </c>
      <c r="AO411" s="145">
        <v>0</v>
      </c>
      <c r="AP411" s="145">
        <v>0</v>
      </c>
      <c r="AQ411" s="145">
        <v>0</v>
      </c>
      <c r="AR411" s="145">
        <v>0</v>
      </c>
      <c r="AS411" s="109"/>
    </row>
    <row r="412" spans="1:46" ht="11.25" customHeight="1" outlineLevel="1" x14ac:dyDescent="0.2">
      <c r="A412" s="247" t="str">
        <f t="shared" si="141"/>
        <v>Бизнес-пространство с ЦОД</v>
      </c>
      <c r="B412" s="306">
        <f t="shared" si="142"/>
        <v>24365</v>
      </c>
      <c r="C412" s="3" t="s">
        <v>520</v>
      </c>
      <c r="E412" s="111">
        <f>ИД!D69</f>
        <v>0</v>
      </c>
      <c r="F412" s="111">
        <f>ИД!E69</f>
        <v>0</v>
      </c>
      <c r="G412" s="111">
        <f>ИД!F69</f>
        <v>0</v>
      </c>
      <c r="H412" s="111">
        <f>ИД!G69</f>
        <v>0</v>
      </c>
      <c r="I412" s="111">
        <f>ИД!H69</f>
        <v>0</v>
      </c>
      <c r="J412" s="111">
        <f>ИД!I69</f>
        <v>0</v>
      </c>
      <c r="K412" s="111">
        <f>ИД!J69</f>
        <v>0</v>
      </c>
      <c r="L412" s="111">
        <f>ИД!K69</f>
        <v>0</v>
      </c>
      <c r="M412" s="111">
        <f>ИД!L69</f>
        <v>0</v>
      </c>
      <c r="N412" s="111">
        <f>ИД!M69</f>
        <v>0</v>
      </c>
      <c r="O412" s="111">
        <f>ИД!N69</f>
        <v>0</v>
      </c>
      <c r="P412" s="111">
        <f>ИД!O69</f>
        <v>0</v>
      </c>
      <c r="Q412" s="111">
        <f>ИД!P69</f>
        <v>0</v>
      </c>
      <c r="R412" s="111">
        <f>ИД!Q69</f>
        <v>0</v>
      </c>
      <c r="S412" s="111">
        <f>ИД!R69</f>
        <v>0</v>
      </c>
      <c r="T412" s="111">
        <f>ИД!S69</f>
        <v>0</v>
      </c>
      <c r="U412" s="111">
        <f>ИД!T69</f>
        <v>24365</v>
      </c>
      <c r="V412" s="111">
        <f>ИД!U69</f>
        <v>24365</v>
      </c>
      <c r="W412" s="111">
        <f>ИД!V69</f>
        <v>24365</v>
      </c>
      <c r="X412" s="111">
        <f>ИД!W69</f>
        <v>24365</v>
      </c>
      <c r="Y412" s="111">
        <f>ИД!X69</f>
        <v>24365</v>
      </c>
      <c r="Z412" s="111">
        <f>ИД!Y69</f>
        <v>24365</v>
      </c>
      <c r="AA412" s="111">
        <f>ИД!Z69</f>
        <v>24365</v>
      </c>
      <c r="AB412" s="111">
        <f>ИД!AA69</f>
        <v>24365</v>
      </c>
      <c r="AC412" s="111">
        <f>ИД!AB69</f>
        <v>24365</v>
      </c>
      <c r="AD412" s="111">
        <f>ИД!AC69</f>
        <v>24365</v>
      </c>
      <c r="AE412" s="111">
        <f>ИД!AD69</f>
        <v>24365</v>
      </c>
      <c r="AF412" s="111">
        <f>ИД!AE69</f>
        <v>24365</v>
      </c>
      <c r="AG412" s="111">
        <f>ИД!AF69</f>
        <v>24365</v>
      </c>
      <c r="AH412" s="111">
        <f>ИД!AG69</f>
        <v>24365</v>
      </c>
      <c r="AI412" s="111">
        <f>ИД!AH69</f>
        <v>24365</v>
      </c>
      <c r="AJ412" s="111">
        <f>ИД!AI69</f>
        <v>24365</v>
      </c>
      <c r="AK412" s="111">
        <f>ИД!AJ69</f>
        <v>24365</v>
      </c>
      <c r="AL412" s="111">
        <f>ИД!AK69</f>
        <v>24365</v>
      </c>
      <c r="AM412" s="111">
        <f>ИД!AL69</f>
        <v>24365</v>
      </c>
      <c r="AN412" s="111">
        <f>ИД!AM69</f>
        <v>24365</v>
      </c>
      <c r="AO412" s="111">
        <f>ИД!AN69</f>
        <v>24365</v>
      </c>
      <c r="AP412" s="111">
        <f>ИД!AO69</f>
        <v>24365</v>
      </c>
      <c r="AQ412" s="111">
        <f>ИД!AP69</f>
        <v>24365</v>
      </c>
      <c r="AR412" s="111">
        <f>ИД!AQ69</f>
        <v>24365</v>
      </c>
      <c r="AS412" s="109"/>
    </row>
    <row r="413" spans="1:46" ht="11.25" customHeight="1" outlineLevel="1" x14ac:dyDescent="0.2">
      <c r="A413" s="247" t="str">
        <f t="shared" si="141"/>
        <v>Корпус В1</v>
      </c>
      <c r="B413" s="306">
        <f t="shared" si="142"/>
        <v>3610</v>
      </c>
      <c r="C413" s="3" t="s">
        <v>520</v>
      </c>
      <c r="E413" s="111">
        <f>ИД!D70</f>
        <v>0</v>
      </c>
      <c r="F413" s="111">
        <f>ИД!E70</f>
        <v>0</v>
      </c>
      <c r="G413" s="111">
        <f>ИД!F70</f>
        <v>0</v>
      </c>
      <c r="H413" s="111">
        <f>ИД!G70</f>
        <v>0</v>
      </c>
      <c r="I413" s="111">
        <f>ИД!H70</f>
        <v>0</v>
      </c>
      <c r="J413" s="111">
        <f>ИД!I70</f>
        <v>0</v>
      </c>
      <c r="K413" s="111">
        <f>ИД!J70</f>
        <v>0</v>
      </c>
      <c r="L413" s="111">
        <f>ИД!K70</f>
        <v>0</v>
      </c>
      <c r="M413" s="111">
        <f>ИД!L70</f>
        <v>0</v>
      </c>
      <c r="N413" s="111">
        <f>ИД!M70</f>
        <v>0</v>
      </c>
      <c r="O413" s="111">
        <f>ИД!N70</f>
        <v>0</v>
      </c>
      <c r="P413" s="111">
        <f>ИД!O70</f>
        <v>0</v>
      </c>
      <c r="Q413" s="111">
        <f>ИД!P70</f>
        <v>3610</v>
      </c>
      <c r="R413" s="111">
        <f>ИД!Q70</f>
        <v>3610</v>
      </c>
      <c r="S413" s="111">
        <f>ИД!R70</f>
        <v>3610</v>
      </c>
      <c r="T413" s="111">
        <f>ИД!S70</f>
        <v>3610</v>
      </c>
      <c r="U413" s="111">
        <f>ИД!T70</f>
        <v>3610</v>
      </c>
      <c r="V413" s="111">
        <f>ИД!U70</f>
        <v>3610</v>
      </c>
      <c r="W413" s="111">
        <f>ИД!V70</f>
        <v>3610</v>
      </c>
      <c r="X413" s="111">
        <f>ИД!W70</f>
        <v>3610</v>
      </c>
      <c r="Y413" s="111">
        <f>ИД!X70</f>
        <v>3610</v>
      </c>
      <c r="Z413" s="111">
        <f>ИД!Y70</f>
        <v>3610</v>
      </c>
      <c r="AA413" s="111">
        <f>ИД!Z70</f>
        <v>3610</v>
      </c>
      <c r="AB413" s="111">
        <f>ИД!AA70</f>
        <v>3610</v>
      </c>
      <c r="AC413" s="111">
        <f>ИД!AB70</f>
        <v>3610</v>
      </c>
      <c r="AD413" s="111">
        <f>ИД!AC70</f>
        <v>3610</v>
      </c>
      <c r="AE413" s="111">
        <f>ИД!AD70</f>
        <v>3610</v>
      </c>
      <c r="AF413" s="111">
        <f>ИД!AE70</f>
        <v>3610</v>
      </c>
      <c r="AG413" s="111">
        <f>ИД!AF70</f>
        <v>3610</v>
      </c>
      <c r="AH413" s="111">
        <f>ИД!AG70</f>
        <v>3610</v>
      </c>
      <c r="AI413" s="111">
        <f>ИД!AH70</f>
        <v>3610</v>
      </c>
      <c r="AJ413" s="111">
        <f>ИД!AI70</f>
        <v>3610</v>
      </c>
      <c r="AK413" s="111">
        <f>ИД!AJ70</f>
        <v>3610</v>
      </c>
      <c r="AL413" s="111">
        <f>ИД!AK70</f>
        <v>3610</v>
      </c>
      <c r="AM413" s="111">
        <f>ИД!AL70</f>
        <v>3610</v>
      </c>
      <c r="AN413" s="111">
        <f>ИД!AM70</f>
        <v>3610</v>
      </c>
      <c r="AO413" s="111">
        <f>ИД!AN70</f>
        <v>3610</v>
      </c>
      <c r="AP413" s="111">
        <f>ИД!AO70</f>
        <v>3610</v>
      </c>
      <c r="AQ413" s="111">
        <f>ИД!AP70</f>
        <v>3610</v>
      </c>
      <c r="AR413" s="111">
        <f>ИД!AQ70</f>
        <v>3610</v>
      </c>
      <c r="AS413" s="109"/>
    </row>
    <row r="414" spans="1:46" ht="11.25" customHeight="1" outlineLevel="1" x14ac:dyDescent="0.2">
      <c r="A414" s="247" t="str">
        <f t="shared" si="141"/>
        <v>Корпус В2</v>
      </c>
      <c r="B414" s="306">
        <f t="shared" si="142"/>
        <v>0</v>
      </c>
      <c r="C414" s="3" t="s">
        <v>520</v>
      </c>
      <c r="E414" s="145">
        <v>0</v>
      </c>
      <c r="F414" s="145">
        <v>0</v>
      </c>
      <c r="G414" s="145">
        <v>0</v>
      </c>
      <c r="H414" s="145">
        <v>0</v>
      </c>
      <c r="I414" s="145">
        <v>0</v>
      </c>
      <c r="J414" s="145">
        <v>0</v>
      </c>
      <c r="K414" s="145">
        <v>0</v>
      </c>
      <c r="L414" s="145">
        <v>0</v>
      </c>
      <c r="M414" s="145">
        <v>0</v>
      </c>
      <c r="N414" s="145">
        <v>0</v>
      </c>
      <c r="O414" s="145">
        <v>0</v>
      </c>
      <c r="P414" s="145">
        <v>0</v>
      </c>
      <c r="Q414" s="145">
        <v>0</v>
      </c>
      <c r="R414" s="145">
        <v>0</v>
      </c>
      <c r="S414" s="145">
        <v>0</v>
      </c>
      <c r="T414" s="145">
        <v>0</v>
      </c>
      <c r="U414" s="145">
        <v>0</v>
      </c>
      <c r="V414" s="145">
        <v>0</v>
      </c>
      <c r="W414" s="145">
        <v>0</v>
      </c>
      <c r="X414" s="145">
        <v>0</v>
      </c>
      <c r="Y414" s="145">
        <v>0</v>
      </c>
      <c r="Z414" s="145">
        <v>0</v>
      </c>
      <c r="AA414" s="145">
        <v>0</v>
      </c>
      <c r="AB414" s="145">
        <v>0</v>
      </c>
      <c r="AC414" s="145">
        <v>0</v>
      </c>
      <c r="AD414" s="145">
        <v>0</v>
      </c>
      <c r="AE414" s="145">
        <v>0</v>
      </c>
      <c r="AF414" s="145">
        <v>0</v>
      </c>
      <c r="AG414" s="145">
        <v>0</v>
      </c>
      <c r="AH414" s="145">
        <v>0</v>
      </c>
      <c r="AI414" s="145">
        <v>0</v>
      </c>
      <c r="AJ414" s="145">
        <v>0</v>
      </c>
      <c r="AK414" s="145">
        <v>0</v>
      </c>
      <c r="AL414" s="145">
        <v>0</v>
      </c>
      <c r="AM414" s="145">
        <v>0</v>
      </c>
      <c r="AN414" s="145">
        <v>0</v>
      </c>
      <c r="AO414" s="145">
        <v>0</v>
      </c>
      <c r="AP414" s="145">
        <v>0</v>
      </c>
      <c r="AQ414" s="145">
        <v>0</v>
      </c>
      <c r="AR414" s="145">
        <v>0</v>
      </c>
      <c r="AS414" s="109"/>
    </row>
    <row r="415" spans="1:46" ht="11.25" customHeight="1" outlineLevel="1" x14ac:dyDescent="0.2">
      <c r="A415" s="247" t="str">
        <f t="shared" si="141"/>
        <v>Корпус В3</v>
      </c>
      <c r="B415" s="306">
        <f t="shared" si="142"/>
        <v>8630</v>
      </c>
      <c r="C415" s="3" t="s">
        <v>520</v>
      </c>
      <c r="E415" s="111">
        <f>ИД!D71</f>
        <v>0</v>
      </c>
      <c r="F415" s="111">
        <f>ИД!E71</f>
        <v>0</v>
      </c>
      <c r="G415" s="111">
        <f>ИД!F71</f>
        <v>0</v>
      </c>
      <c r="H415" s="111">
        <f>ИД!G71</f>
        <v>0</v>
      </c>
      <c r="I415" s="111">
        <f>ИД!H71</f>
        <v>0</v>
      </c>
      <c r="J415" s="111">
        <f>ИД!I71</f>
        <v>0</v>
      </c>
      <c r="K415" s="111">
        <f>ИД!J71</f>
        <v>0</v>
      </c>
      <c r="L415" s="111">
        <f>ИД!K71</f>
        <v>0</v>
      </c>
      <c r="M415" s="111">
        <f>ИД!L71</f>
        <v>0</v>
      </c>
      <c r="N415" s="111">
        <f>ИД!M71</f>
        <v>0</v>
      </c>
      <c r="O415" s="111">
        <f>ИД!N71</f>
        <v>0</v>
      </c>
      <c r="P415" s="111">
        <f>ИД!O71</f>
        <v>0</v>
      </c>
      <c r="Q415" s="111">
        <f>ИД!P71</f>
        <v>0</v>
      </c>
      <c r="R415" s="111">
        <f>ИД!Q71</f>
        <v>0</v>
      </c>
      <c r="S415" s="111">
        <f>ИД!R71</f>
        <v>0</v>
      </c>
      <c r="T415" s="111">
        <f>ИД!S71</f>
        <v>0</v>
      </c>
      <c r="U415" s="111">
        <f>ИД!T71</f>
        <v>8630</v>
      </c>
      <c r="V415" s="111">
        <f>ИД!U71</f>
        <v>8630</v>
      </c>
      <c r="W415" s="111">
        <f>ИД!V71</f>
        <v>8630</v>
      </c>
      <c r="X415" s="111">
        <f>ИД!W71</f>
        <v>8630</v>
      </c>
      <c r="Y415" s="111">
        <f>ИД!X71</f>
        <v>8630</v>
      </c>
      <c r="Z415" s="111">
        <f>ИД!Y71</f>
        <v>8630</v>
      </c>
      <c r="AA415" s="111">
        <f>ИД!Z71</f>
        <v>8630</v>
      </c>
      <c r="AB415" s="111">
        <f>ИД!AA71</f>
        <v>8630</v>
      </c>
      <c r="AC415" s="111">
        <f>ИД!AB71</f>
        <v>8630</v>
      </c>
      <c r="AD415" s="111">
        <f>ИД!AC71</f>
        <v>8630</v>
      </c>
      <c r="AE415" s="111">
        <f>ИД!AD71</f>
        <v>8630</v>
      </c>
      <c r="AF415" s="111">
        <f>ИД!AE71</f>
        <v>8630</v>
      </c>
      <c r="AG415" s="111">
        <f>ИД!AF71</f>
        <v>8630</v>
      </c>
      <c r="AH415" s="111">
        <f>ИД!AG71</f>
        <v>8630</v>
      </c>
      <c r="AI415" s="111">
        <f>ИД!AH71</f>
        <v>8630</v>
      </c>
      <c r="AJ415" s="111">
        <f>ИД!AI71</f>
        <v>8630</v>
      </c>
      <c r="AK415" s="111">
        <f>ИД!AJ71</f>
        <v>8630</v>
      </c>
      <c r="AL415" s="111">
        <f>ИД!AK71</f>
        <v>8630</v>
      </c>
      <c r="AM415" s="111">
        <f>ИД!AL71</f>
        <v>8630</v>
      </c>
      <c r="AN415" s="111">
        <f>ИД!AM71</f>
        <v>8630</v>
      </c>
      <c r="AO415" s="111">
        <f>ИД!AN71</f>
        <v>8630</v>
      </c>
      <c r="AP415" s="111">
        <f>ИД!AO71</f>
        <v>8630</v>
      </c>
      <c r="AQ415" s="111">
        <f>ИД!AP71</f>
        <v>8630</v>
      </c>
      <c r="AR415" s="111">
        <f>ИД!AQ71</f>
        <v>8630</v>
      </c>
      <c r="AS415" s="109"/>
    </row>
    <row r="416" spans="1:46" ht="11.25" customHeight="1" outlineLevel="1" x14ac:dyDescent="0.2">
      <c r="A416" s="247" t="str">
        <f t="shared" si="141"/>
        <v>Объект II очереди</v>
      </c>
      <c r="B416" s="306">
        <f t="shared" si="142"/>
        <v>22255</v>
      </c>
      <c r="C416" s="3" t="s">
        <v>520</v>
      </c>
      <c r="E416" s="111">
        <f>ИД!D72</f>
        <v>0</v>
      </c>
      <c r="F416" s="111">
        <f>ИД!E72</f>
        <v>0</v>
      </c>
      <c r="G416" s="111">
        <f>ИД!F72</f>
        <v>0</v>
      </c>
      <c r="H416" s="111">
        <f>ИД!G72</f>
        <v>0</v>
      </c>
      <c r="I416" s="111">
        <f>ИД!H72</f>
        <v>0</v>
      </c>
      <c r="J416" s="111">
        <f>ИД!I72</f>
        <v>0</v>
      </c>
      <c r="K416" s="111">
        <f>ИД!J72</f>
        <v>0</v>
      </c>
      <c r="L416" s="111">
        <f>ИД!K72</f>
        <v>0</v>
      </c>
      <c r="M416" s="111">
        <f>ИД!L72</f>
        <v>0</v>
      </c>
      <c r="N416" s="111">
        <f>ИД!M72</f>
        <v>0</v>
      </c>
      <c r="O416" s="111">
        <f>ИД!N72</f>
        <v>0</v>
      </c>
      <c r="P416" s="111">
        <f>ИД!O72</f>
        <v>0</v>
      </c>
      <c r="Q416" s="111">
        <f>ИД!P72</f>
        <v>0</v>
      </c>
      <c r="R416" s="111">
        <f>ИД!Q72</f>
        <v>0</v>
      </c>
      <c r="S416" s="111">
        <f>ИД!R72</f>
        <v>0</v>
      </c>
      <c r="T416" s="111">
        <f>ИД!S72</f>
        <v>0</v>
      </c>
      <c r="U416" s="111">
        <f>ИД!T72</f>
        <v>22255</v>
      </c>
      <c r="V416" s="111">
        <f>ИД!U72</f>
        <v>22255</v>
      </c>
      <c r="W416" s="111">
        <f>ИД!V72</f>
        <v>22255</v>
      </c>
      <c r="X416" s="111">
        <f>ИД!W72</f>
        <v>22255</v>
      </c>
      <c r="Y416" s="111">
        <f>ИД!X72</f>
        <v>22255</v>
      </c>
      <c r="Z416" s="111">
        <f>ИД!Y72</f>
        <v>22255</v>
      </c>
      <c r="AA416" s="111">
        <f>ИД!Z72</f>
        <v>22255</v>
      </c>
      <c r="AB416" s="111">
        <f>ИД!AA72</f>
        <v>22255</v>
      </c>
      <c r="AC416" s="111">
        <f>ИД!AB72</f>
        <v>22255</v>
      </c>
      <c r="AD416" s="111">
        <f>ИД!AC72</f>
        <v>22255</v>
      </c>
      <c r="AE416" s="111">
        <f>ИД!AD72</f>
        <v>22255</v>
      </c>
      <c r="AF416" s="111">
        <f>ИД!AE72</f>
        <v>22255</v>
      </c>
      <c r="AG416" s="111">
        <f>ИД!AF72</f>
        <v>22255</v>
      </c>
      <c r="AH416" s="111">
        <f>ИД!AG72</f>
        <v>22255</v>
      </c>
      <c r="AI416" s="111">
        <f>ИД!AH72</f>
        <v>22255</v>
      </c>
      <c r="AJ416" s="111">
        <f>ИД!AI72</f>
        <v>22255</v>
      </c>
      <c r="AK416" s="111">
        <f>ИД!AJ72</f>
        <v>22255</v>
      </c>
      <c r="AL416" s="111">
        <f>ИД!AK72</f>
        <v>22255</v>
      </c>
      <c r="AM416" s="111">
        <f>ИД!AL72</f>
        <v>22255</v>
      </c>
      <c r="AN416" s="111">
        <f>ИД!AM72</f>
        <v>22255</v>
      </c>
      <c r="AO416" s="111">
        <f>ИД!AN72</f>
        <v>22255</v>
      </c>
      <c r="AP416" s="111">
        <f>ИД!AO72</f>
        <v>22255</v>
      </c>
      <c r="AQ416" s="111">
        <f>ИД!AP72</f>
        <v>22255</v>
      </c>
      <c r="AR416" s="111">
        <f>ИД!AQ72</f>
        <v>22255</v>
      </c>
      <c r="AS416" s="109"/>
    </row>
    <row r="417" spans="1:46" ht="11.25" customHeight="1" outlineLevel="1" x14ac:dyDescent="0.2">
      <c r="A417" s="63" t="s">
        <v>780</v>
      </c>
      <c r="B417" s="4"/>
      <c r="C417" s="3" t="s">
        <v>520</v>
      </c>
      <c r="E417" s="111">
        <f>SUM(E411:E416)</f>
        <v>0</v>
      </c>
      <c r="F417" s="111">
        <f t="shared" ref="F417:AR417" si="143">SUM(F411:F416)</f>
        <v>0</v>
      </c>
      <c r="G417" s="111">
        <f t="shared" si="143"/>
        <v>0</v>
      </c>
      <c r="H417" s="111">
        <f t="shared" si="143"/>
        <v>0</v>
      </c>
      <c r="I417" s="111">
        <f t="shared" si="143"/>
        <v>0</v>
      </c>
      <c r="J417" s="111">
        <f t="shared" si="143"/>
        <v>0</v>
      </c>
      <c r="K417" s="111">
        <f t="shared" si="143"/>
        <v>0</v>
      </c>
      <c r="L417" s="111">
        <f t="shared" si="143"/>
        <v>0</v>
      </c>
      <c r="M417" s="111">
        <f t="shared" si="143"/>
        <v>0</v>
      </c>
      <c r="N417" s="111">
        <f t="shared" si="143"/>
        <v>0</v>
      </c>
      <c r="O417" s="111">
        <f t="shared" si="143"/>
        <v>0</v>
      </c>
      <c r="P417" s="111">
        <f t="shared" si="143"/>
        <v>0</v>
      </c>
      <c r="Q417" s="111">
        <f t="shared" si="143"/>
        <v>3610</v>
      </c>
      <c r="R417" s="111">
        <f t="shared" si="143"/>
        <v>3610</v>
      </c>
      <c r="S417" s="111">
        <f t="shared" si="143"/>
        <v>3610</v>
      </c>
      <c r="T417" s="111">
        <f t="shared" si="143"/>
        <v>3610</v>
      </c>
      <c r="U417" s="111">
        <f t="shared" si="143"/>
        <v>58860</v>
      </c>
      <c r="V417" s="111">
        <f t="shared" si="143"/>
        <v>58860</v>
      </c>
      <c r="W417" s="111">
        <f t="shared" si="143"/>
        <v>58860</v>
      </c>
      <c r="X417" s="111">
        <f t="shared" si="143"/>
        <v>58860</v>
      </c>
      <c r="Y417" s="111">
        <f t="shared" si="143"/>
        <v>58860</v>
      </c>
      <c r="Z417" s="111">
        <f t="shared" si="143"/>
        <v>58860</v>
      </c>
      <c r="AA417" s="111">
        <f t="shared" si="143"/>
        <v>58860</v>
      </c>
      <c r="AB417" s="111">
        <f t="shared" si="143"/>
        <v>58860</v>
      </c>
      <c r="AC417" s="111">
        <f t="shared" si="143"/>
        <v>58860</v>
      </c>
      <c r="AD417" s="111">
        <f t="shared" si="143"/>
        <v>58860</v>
      </c>
      <c r="AE417" s="111">
        <f t="shared" si="143"/>
        <v>58860</v>
      </c>
      <c r="AF417" s="111">
        <f t="shared" si="143"/>
        <v>58860</v>
      </c>
      <c r="AG417" s="111">
        <f t="shared" si="143"/>
        <v>58860</v>
      </c>
      <c r="AH417" s="111">
        <f t="shared" si="143"/>
        <v>58860</v>
      </c>
      <c r="AI417" s="111">
        <f t="shared" si="143"/>
        <v>58860</v>
      </c>
      <c r="AJ417" s="111">
        <f t="shared" si="143"/>
        <v>58860</v>
      </c>
      <c r="AK417" s="111">
        <f t="shared" si="143"/>
        <v>58860</v>
      </c>
      <c r="AL417" s="111">
        <f t="shared" si="143"/>
        <v>58860</v>
      </c>
      <c r="AM417" s="111">
        <f t="shared" si="143"/>
        <v>58860</v>
      </c>
      <c r="AN417" s="111">
        <f t="shared" si="143"/>
        <v>58860</v>
      </c>
      <c r="AO417" s="111">
        <f t="shared" si="143"/>
        <v>58860</v>
      </c>
      <c r="AP417" s="111">
        <f t="shared" si="143"/>
        <v>58860</v>
      </c>
      <c r="AQ417" s="111">
        <f t="shared" si="143"/>
        <v>58860</v>
      </c>
      <c r="AR417" s="111">
        <f t="shared" si="143"/>
        <v>58860</v>
      </c>
      <c r="AS417" s="109"/>
    </row>
    <row r="418" spans="1:46" ht="11.25" customHeight="1" outlineLevel="1" x14ac:dyDescent="0.2">
      <c r="A418" s="44" t="s">
        <v>781</v>
      </c>
      <c r="B418" s="4"/>
      <c r="C418" s="3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09"/>
    </row>
    <row r="419" spans="1:46" ht="11.25" customHeight="1" outlineLevel="1" x14ac:dyDescent="0.2">
      <c r="A419" s="247" t="str">
        <f>A411</f>
        <v>Корпус А4</v>
      </c>
      <c r="B419" s="306">
        <f t="shared" ref="B419:B424" ca="1" si="144">MAX(E419:AR419)</f>
        <v>0</v>
      </c>
      <c r="C419" s="3" t="s">
        <v>520</v>
      </c>
      <c r="E419" s="111">
        <f ca="1">IF(ИД!$C$103*4&lt;E$2,OFFSET(E411,0,-ИД!$C$103*4),0)</f>
        <v>0</v>
      </c>
      <c r="F419" s="111">
        <f ca="1">IF(ИД!$C$103*4&lt;F$2,OFFSET(F411,0,-ИД!$C$103*4),0)</f>
        <v>0</v>
      </c>
      <c r="G419" s="111">
        <f ca="1">IF(ИД!$C$103*4&lt;G$2,OFFSET(G411,0,-ИД!$C$103*4),0)</f>
        <v>0</v>
      </c>
      <c r="H419" s="111">
        <f ca="1">IF(ИД!$C$103*4&lt;H$2,OFFSET(H411,0,-ИД!$C$103*4),0)</f>
        <v>0</v>
      </c>
      <c r="I419" s="111">
        <f ca="1">IF(ИД!$C$103*4&lt;I$2,OFFSET(I411,0,-ИД!$C$103*4),0)</f>
        <v>0</v>
      </c>
      <c r="J419" s="111">
        <f ca="1">IF(ИД!$C$103*4&lt;J$2,OFFSET(J411,0,-ИД!$C$103*4),0)</f>
        <v>0</v>
      </c>
      <c r="K419" s="111">
        <f ca="1">IF(ИД!$C$103*4&lt;K$2,OFFSET(K411,0,-ИД!$C$103*4),0)</f>
        <v>0</v>
      </c>
      <c r="L419" s="111">
        <f ca="1">IF(ИД!$C$103*4&lt;L$2,OFFSET(L411,0,-ИД!$C$103*4),0)</f>
        <v>0</v>
      </c>
      <c r="M419" s="111">
        <f ca="1">IF(ИД!$C$103*4&lt;M$2,OFFSET(M411,0,-ИД!$C$103*4),0)</f>
        <v>0</v>
      </c>
      <c r="N419" s="111">
        <f ca="1">IF(ИД!$C$103*4&lt;N$2,OFFSET(N411,0,-ИД!$C$103*4),0)</f>
        <v>0</v>
      </c>
      <c r="O419" s="111">
        <f ca="1">IF(ИД!$C$103*4&lt;O$2,OFFSET(O411,0,-ИД!$C$103*4),0)</f>
        <v>0</v>
      </c>
      <c r="P419" s="111">
        <f ca="1">IF(ИД!$C$103*4&lt;P$2,OFFSET(P411,0,-ИД!$C$103*4),0)</f>
        <v>0</v>
      </c>
      <c r="Q419" s="111">
        <f ca="1">IF(ИД!$C$103*4&lt;Q$2,OFFSET(Q411,0,-ИД!$C$103*4),0)</f>
        <v>0</v>
      </c>
      <c r="R419" s="111">
        <f ca="1">IF(ИД!$C$103*4&lt;R$2,OFFSET(R411,0,-ИД!$C$103*4),0)</f>
        <v>0</v>
      </c>
      <c r="S419" s="111">
        <f ca="1">IF(ИД!$C$103*4&lt;S$2,OFFSET(S411,0,-ИД!$C$103*4),0)</f>
        <v>0</v>
      </c>
      <c r="T419" s="111">
        <f ca="1">IF(ИД!$C$103*4&lt;T$2,OFFSET(T411,0,-ИД!$C$103*4),0)</f>
        <v>0</v>
      </c>
      <c r="U419" s="111">
        <f ca="1">IF(ИД!$C$103*4&lt;U$2,OFFSET(U411,0,-ИД!$C$103*4),0)</f>
        <v>0</v>
      </c>
      <c r="V419" s="111">
        <f ca="1">IF(ИД!$C$103*4&lt;V$2,OFFSET(V411,0,-ИД!$C$103*4),0)</f>
        <v>0</v>
      </c>
      <c r="W419" s="111">
        <f ca="1">IF(ИД!$C$103*4&lt;W$2,OFFSET(W411,0,-ИД!$C$103*4),0)</f>
        <v>0</v>
      </c>
      <c r="X419" s="111">
        <f ca="1">IF(ИД!$C$103*4&lt;X$2,OFFSET(X411,0,-ИД!$C$103*4),0)</f>
        <v>0</v>
      </c>
      <c r="Y419" s="111">
        <f ca="1">IF(ИД!$C$103*4&lt;Y$2,OFFSET(Y411,0,-ИД!$C$103*4),0)</f>
        <v>0</v>
      </c>
      <c r="Z419" s="111">
        <f ca="1">IF(ИД!$C$103*4&lt;Z$2,OFFSET(Z411,0,-ИД!$C$103*4),0)</f>
        <v>0</v>
      </c>
      <c r="AA419" s="111">
        <f ca="1">IF(ИД!$C$103*4&lt;AA$2,OFFSET(AA411,0,-ИД!$C$103*4),0)</f>
        <v>0</v>
      </c>
      <c r="AB419" s="111">
        <f ca="1">IF(ИД!$C$103*4&lt;AB$2,OFFSET(AB411,0,-ИД!$C$103*4),0)</f>
        <v>0</v>
      </c>
      <c r="AC419" s="111">
        <f ca="1">IF(ИД!$C$103*4&lt;AC$2,OFFSET(AC411,0,-ИД!$C$103*4),0)</f>
        <v>0</v>
      </c>
      <c r="AD419" s="111">
        <f ca="1">IF(ИД!$C$103*4&lt;AD$2,OFFSET(AD411,0,-ИД!$C$103*4),0)</f>
        <v>0</v>
      </c>
      <c r="AE419" s="111">
        <f ca="1">IF(ИД!$C$103*4&lt;AE$2,OFFSET(AE411,0,-ИД!$C$103*4),0)</f>
        <v>0</v>
      </c>
      <c r="AF419" s="111">
        <f ca="1">IF(ИД!$C$103*4&lt;AF$2,OFFSET(AF411,0,-ИД!$C$103*4),0)</f>
        <v>0</v>
      </c>
      <c r="AG419" s="111">
        <f ca="1">IF(ИД!$C$103*4&lt;AG$2,OFFSET(AG411,0,-ИД!$C$103*4),0)</f>
        <v>0</v>
      </c>
      <c r="AH419" s="111">
        <f ca="1">IF(ИД!$C$103*4&lt;AH$2,OFFSET(AH411,0,-ИД!$C$103*4),0)</f>
        <v>0</v>
      </c>
      <c r="AI419" s="111">
        <f ca="1">IF(ИД!$C$103*4&lt;AI$2,OFFSET(AI411,0,-ИД!$C$103*4),0)</f>
        <v>0</v>
      </c>
      <c r="AJ419" s="111">
        <f ca="1">IF(ИД!$C$103*4&lt;AJ$2,OFFSET(AJ411,0,-ИД!$C$103*4),0)</f>
        <v>0</v>
      </c>
      <c r="AK419" s="111">
        <f ca="1">IF(ИД!$C$103*4&lt;AK$2,OFFSET(AK411,0,-ИД!$C$103*4),0)</f>
        <v>0</v>
      </c>
      <c r="AL419" s="111">
        <f ca="1">IF(ИД!$C$103*4&lt;AL$2,OFFSET(AL411,0,-ИД!$C$103*4),0)</f>
        <v>0</v>
      </c>
      <c r="AM419" s="111">
        <f ca="1">IF(ИД!$C$103*4&lt;AM$2,OFFSET(AM411,0,-ИД!$C$103*4),0)</f>
        <v>0</v>
      </c>
      <c r="AN419" s="111">
        <f ca="1">IF(ИД!$C$103*4&lt;AN$2,OFFSET(AN411,0,-ИД!$C$103*4),0)</f>
        <v>0</v>
      </c>
      <c r="AO419" s="111">
        <f ca="1">IF(ИД!$C$103*4&lt;AO$2,OFFSET(AO411,0,-ИД!$C$103*4),0)</f>
        <v>0</v>
      </c>
      <c r="AP419" s="111">
        <f ca="1">IF(ИД!$C$103*4&lt;AP$2,OFFSET(AP411,0,-ИД!$C$103*4),0)</f>
        <v>0</v>
      </c>
      <c r="AQ419" s="111">
        <f ca="1">IF(ИД!$C$103*4&lt;AQ$2,OFFSET(AQ411,0,-ИД!$C$103*4),0)</f>
        <v>0</v>
      </c>
      <c r="AR419" s="111">
        <f ca="1">IF(ИД!$C$103*4&lt;AR$2,OFFSET(AR411,0,-ИД!$C$103*4),0)</f>
        <v>0</v>
      </c>
      <c r="AS419" s="109"/>
    </row>
    <row r="420" spans="1:46" ht="11.25" customHeight="1" outlineLevel="1" x14ac:dyDescent="0.2">
      <c r="A420" s="247" t="str">
        <f t="shared" ref="A420:A424" si="145">A412</f>
        <v>Бизнес-пространство с ЦОД</v>
      </c>
      <c r="B420" s="306">
        <f t="shared" ca="1" si="144"/>
        <v>24365</v>
      </c>
      <c r="C420" s="3" t="s">
        <v>520</v>
      </c>
      <c r="E420" s="111">
        <f ca="1">IF(ИД!$C$103*4&lt;E$2,OFFSET(E412,0,-ИД!$C$103*4),0)</f>
        <v>0</v>
      </c>
      <c r="F420" s="111">
        <f ca="1">IF(ИД!$C$103*4&lt;F$2,OFFSET(F412,0,-ИД!$C$103*4),0)</f>
        <v>0</v>
      </c>
      <c r="G420" s="111">
        <f ca="1">IF(ИД!$C$103*4&lt;G$2,OFFSET(G412,0,-ИД!$C$103*4),0)</f>
        <v>0</v>
      </c>
      <c r="H420" s="111">
        <f ca="1">IF(ИД!$C$103*4&lt;H$2,OFFSET(H412,0,-ИД!$C$103*4),0)</f>
        <v>0</v>
      </c>
      <c r="I420" s="111">
        <f ca="1">IF(ИД!$C$103*4&lt;I$2,OFFSET(I412,0,-ИД!$C$103*4),0)</f>
        <v>0</v>
      </c>
      <c r="J420" s="111">
        <f ca="1">IF(ИД!$C$103*4&lt;J$2,OFFSET(J412,0,-ИД!$C$103*4),0)</f>
        <v>0</v>
      </c>
      <c r="K420" s="111">
        <f ca="1">IF(ИД!$C$103*4&lt;K$2,OFFSET(K412,0,-ИД!$C$103*4),0)</f>
        <v>0</v>
      </c>
      <c r="L420" s="111">
        <f ca="1">IF(ИД!$C$103*4&lt;L$2,OFFSET(L412,0,-ИД!$C$103*4),0)</f>
        <v>0</v>
      </c>
      <c r="M420" s="111">
        <f ca="1">IF(ИД!$C$103*4&lt;M$2,OFFSET(M412,0,-ИД!$C$103*4),0)</f>
        <v>0</v>
      </c>
      <c r="N420" s="111">
        <f ca="1">IF(ИД!$C$103*4&lt;N$2,OFFSET(N412,0,-ИД!$C$103*4),0)</f>
        <v>0</v>
      </c>
      <c r="O420" s="111">
        <f ca="1">IF(ИД!$C$103*4&lt;O$2,OFFSET(O412,0,-ИД!$C$103*4),0)</f>
        <v>0</v>
      </c>
      <c r="P420" s="111">
        <f ca="1">IF(ИД!$C$103*4&lt;P$2,OFFSET(P412,0,-ИД!$C$103*4),0)</f>
        <v>0</v>
      </c>
      <c r="Q420" s="111">
        <f ca="1">IF(ИД!$C$103*4&lt;Q$2,OFFSET(Q412,0,-ИД!$C$103*4),0)</f>
        <v>0</v>
      </c>
      <c r="R420" s="111">
        <f ca="1">IF(ИД!$C$103*4&lt;R$2,OFFSET(R412,0,-ИД!$C$103*4),0)</f>
        <v>0</v>
      </c>
      <c r="S420" s="111">
        <f ca="1">IF(ИД!$C$103*4&lt;S$2,OFFSET(S412,0,-ИД!$C$103*4),0)</f>
        <v>0</v>
      </c>
      <c r="T420" s="111">
        <f ca="1">IF(ИД!$C$103*4&lt;T$2,OFFSET(T412,0,-ИД!$C$103*4),0)</f>
        <v>0</v>
      </c>
      <c r="U420" s="111">
        <f ca="1">IF(ИД!$C$103*4&lt;U$2,OFFSET(U412,0,-ИД!$C$103*4),0)</f>
        <v>0</v>
      </c>
      <c r="V420" s="111">
        <f ca="1">IF(ИД!$C$103*4&lt;V$2,OFFSET(V412,0,-ИД!$C$103*4),0)</f>
        <v>0</v>
      </c>
      <c r="W420" s="111">
        <f ca="1">IF(ИД!$C$103*4&lt;W$2,OFFSET(W412,0,-ИД!$C$103*4),0)</f>
        <v>0</v>
      </c>
      <c r="X420" s="111">
        <f ca="1">IF(ИД!$C$103*4&lt;X$2,OFFSET(X412,0,-ИД!$C$103*4),0)</f>
        <v>0</v>
      </c>
      <c r="Y420" s="111">
        <f ca="1">IF(ИД!$C$103*4&lt;Y$2,OFFSET(Y412,0,-ИД!$C$103*4),0)</f>
        <v>0</v>
      </c>
      <c r="Z420" s="111">
        <f ca="1">IF(ИД!$C$103*4&lt;Z$2,OFFSET(Z412,0,-ИД!$C$103*4),0)</f>
        <v>0</v>
      </c>
      <c r="AA420" s="111">
        <f ca="1">IF(ИД!$C$103*4&lt;AA$2,OFFSET(AA412,0,-ИД!$C$103*4),0)</f>
        <v>0</v>
      </c>
      <c r="AB420" s="111">
        <f ca="1">IF(ИД!$C$103*4&lt;AB$2,OFFSET(AB412,0,-ИД!$C$103*4),0)</f>
        <v>0</v>
      </c>
      <c r="AC420" s="111">
        <f ca="1">IF(ИД!$C$103*4&lt;AC$2,OFFSET(AC412,0,-ИД!$C$103*4),0)</f>
        <v>0</v>
      </c>
      <c r="AD420" s="111">
        <f ca="1">IF(ИД!$C$103*4&lt;AD$2,OFFSET(AD412,0,-ИД!$C$103*4),0)</f>
        <v>0</v>
      </c>
      <c r="AE420" s="111">
        <f ca="1">IF(ИД!$C$103*4&lt;AE$2,OFFSET(AE412,0,-ИД!$C$103*4),0)</f>
        <v>0</v>
      </c>
      <c r="AF420" s="111">
        <f ca="1">IF(ИД!$C$103*4&lt;AF$2,OFFSET(AF412,0,-ИД!$C$103*4),0)</f>
        <v>0</v>
      </c>
      <c r="AG420" s="111">
        <f ca="1">IF(ИД!$C$103*4&lt;AG$2,OFFSET(AG412,0,-ИД!$C$103*4),0)</f>
        <v>0</v>
      </c>
      <c r="AH420" s="111">
        <f ca="1">IF(ИД!$C$103*4&lt;AH$2,OFFSET(AH412,0,-ИД!$C$103*4),0)</f>
        <v>0</v>
      </c>
      <c r="AI420" s="111">
        <f ca="1">IF(ИД!$C$103*4&lt;AI$2,OFFSET(AI412,0,-ИД!$C$103*4),0)</f>
        <v>0</v>
      </c>
      <c r="AJ420" s="111">
        <f ca="1">IF(ИД!$C$103*4&lt;AJ$2,OFFSET(AJ412,0,-ИД!$C$103*4),0)</f>
        <v>0</v>
      </c>
      <c r="AK420" s="111">
        <f ca="1">IF(ИД!$C$103*4&lt;AK$2,OFFSET(AK412,0,-ИД!$C$103*4),0)</f>
        <v>0</v>
      </c>
      <c r="AL420" s="111">
        <f ca="1">IF(ИД!$C$103*4&lt;AL$2,OFFSET(AL412,0,-ИД!$C$103*4),0)</f>
        <v>0</v>
      </c>
      <c r="AM420" s="111">
        <f ca="1">IF(ИД!$C$103*4&lt;AM$2,OFFSET(AM412,0,-ИД!$C$103*4),0)</f>
        <v>0</v>
      </c>
      <c r="AN420" s="111">
        <f ca="1">IF(ИД!$C$103*4&lt;AN$2,OFFSET(AN412,0,-ИД!$C$103*4),0)</f>
        <v>0</v>
      </c>
      <c r="AO420" s="111">
        <f ca="1">IF(ИД!$C$103*4&lt;AO$2,OFFSET(AO412,0,-ИД!$C$103*4),0)</f>
        <v>24365</v>
      </c>
      <c r="AP420" s="111">
        <f ca="1">IF(ИД!$C$103*4&lt;AP$2,OFFSET(AP412,0,-ИД!$C$103*4),0)</f>
        <v>24365</v>
      </c>
      <c r="AQ420" s="111">
        <f ca="1">IF(ИД!$C$103*4&lt;AQ$2,OFFSET(AQ412,0,-ИД!$C$103*4),0)</f>
        <v>24365</v>
      </c>
      <c r="AR420" s="111">
        <f ca="1">IF(ИД!$C$103*4&lt;AR$2,OFFSET(AR412,0,-ИД!$C$103*4),0)</f>
        <v>24365</v>
      </c>
      <c r="AS420" s="109"/>
    </row>
    <row r="421" spans="1:46" ht="11.25" customHeight="1" outlineLevel="1" x14ac:dyDescent="0.2">
      <c r="A421" s="247" t="str">
        <f t="shared" si="145"/>
        <v>Корпус В1</v>
      </c>
      <c r="B421" s="306">
        <f t="shared" ca="1" si="144"/>
        <v>3610</v>
      </c>
      <c r="C421" s="3" t="s">
        <v>520</v>
      </c>
      <c r="E421" s="111">
        <f ca="1">IF(ИД!$C$103*4&lt;E$2,OFFSET(E413,0,-ИД!$C$103*4),0)</f>
        <v>0</v>
      </c>
      <c r="F421" s="111">
        <f ca="1">IF(ИД!$C$103*4&lt;F$2,OFFSET(F413,0,-ИД!$C$103*4),0)</f>
        <v>0</v>
      </c>
      <c r="G421" s="111">
        <f ca="1">IF(ИД!$C$103*4&lt;G$2,OFFSET(G413,0,-ИД!$C$103*4),0)</f>
        <v>0</v>
      </c>
      <c r="H421" s="111">
        <f ca="1">IF(ИД!$C$103*4&lt;H$2,OFFSET(H413,0,-ИД!$C$103*4),0)</f>
        <v>0</v>
      </c>
      <c r="I421" s="111">
        <f ca="1">IF(ИД!$C$103*4&lt;I$2,OFFSET(I413,0,-ИД!$C$103*4),0)</f>
        <v>0</v>
      </c>
      <c r="J421" s="111">
        <f ca="1">IF(ИД!$C$103*4&lt;J$2,OFFSET(J413,0,-ИД!$C$103*4),0)</f>
        <v>0</v>
      </c>
      <c r="K421" s="111">
        <f ca="1">IF(ИД!$C$103*4&lt;K$2,OFFSET(K413,0,-ИД!$C$103*4),0)</f>
        <v>0</v>
      </c>
      <c r="L421" s="111">
        <f ca="1">IF(ИД!$C$103*4&lt;L$2,OFFSET(L413,0,-ИД!$C$103*4),0)</f>
        <v>0</v>
      </c>
      <c r="M421" s="111">
        <f ca="1">IF(ИД!$C$103*4&lt;M$2,OFFSET(M413,0,-ИД!$C$103*4),0)</f>
        <v>0</v>
      </c>
      <c r="N421" s="111">
        <f ca="1">IF(ИД!$C$103*4&lt;N$2,OFFSET(N413,0,-ИД!$C$103*4),0)</f>
        <v>0</v>
      </c>
      <c r="O421" s="111">
        <f ca="1">IF(ИД!$C$103*4&lt;O$2,OFFSET(O413,0,-ИД!$C$103*4),0)</f>
        <v>0</v>
      </c>
      <c r="P421" s="111">
        <f ca="1">IF(ИД!$C$103*4&lt;P$2,OFFSET(P413,0,-ИД!$C$103*4),0)</f>
        <v>0</v>
      </c>
      <c r="Q421" s="111">
        <f ca="1">IF(ИД!$C$103*4&lt;Q$2,OFFSET(Q413,0,-ИД!$C$103*4),0)</f>
        <v>0</v>
      </c>
      <c r="R421" s="111">
        <f ca="1">IF(ИД!$C$103*4&lt;R$2,OFFSET(R413,0,-ИД!$C$103*4),0)</f>
        <v>0</v>
      </c>
      <c r="S421" s="111">
        <f ca="1">IF(ИД!$C$103*4&lt;S$2,OFFSET(S413,0,-ИД!$C$103*4),0)</f>
        <v>0</v>
      </c>
      <c r="T421" s="111">
        <f ca="1">IF(ИД!$C$103*4&lt;T$2,OFFSET(T413,0,-ИД!$C$103*4),0)</f>
        <v>0</v>
      </c>
      <c r="U421" s="111">
        <f ca="1">IF(ИД!$C$103*4&lt;U$2,OFFSET(U413,0,-ИД!$C$103*4),0)</f>
        <v>0</v>
      </c>
      <c r="V421" s="111">
        <f ca="1">IF(ИД!$C$103*4&lt;V$2,OFFSET(V413,0,-ИД!$C$103*4),0)</f>
        <v>0</v>
      </c>
      <c r="W421" s="111">
        <f ca="1">IF(ИД!$C$103*4&lt;W$2,OFFSET(W413,0,-ИД!$C$103*4),0)</f>
        <v>0</v>
      </c>
      <c r="X421" s="111">
        <f ca="1">IF(ИД!$C$103*4&lt;X$2,OFFSET(X413,0,-ИД!$C$103*4),0)</f>
        <v>0</v>
      </c>
      <c r="Y421" s="111">
        <f ca="1">IF(ИД!$C$103*4&lt;Y$2,OFFSET(Y413,0,-ИД!$C$103*4),0)</f>
        <v>0</v>
      </c>
      <c r="Z421" s="111">
        <f ca="1">IF(ИД!$C$103*4&lt;Z$2,OFFSET(Z413,0,-ИД!$C$103*4),0)</f>
        <v>0</v>
      </c>
      <c r="AA421" s="111">
        <f ca="1">IF(ИД!$C$103*4&lt;AA$2,OFFSET(AA413,0,-ИД!$C$103*4),0)</f>
        <v>0</v>
      </c>
      <c r="AB421" s="111">
        <f ca="1">IF(ИД!$C$103*4&lt;AB$2,OFFSET(AB413,0,-ИД!$C$103*4),0)</f>
        <v>0</v>
      </c>
      <c r="AC421" s="111">
        <f ca="1">IF(ИД!$C$103*4&lt;AC$2,OFFSET(AC413,0,-ИД!$C$103*4),0)</f>
        <v>0</v>
      </c>
      <c r="AD421" s="111">
        <f ca="1">IF(ИД!$C$103*4&lt;AD$2,OFFSET(AD413,0,-ИД!$C$103*4),0)</f>
        <v>0</v>
      </c>
      <c r="AE421" s="111">
        <f ca="1">IF(ИД!$C$103*4&lt;AE$2,OFFSET(AE413,0,-ИД!$C$103*4),0)</f>
        <v>0</v>
      </c>
      <c r="AF421" s="111">
        <f ca="1">IF(ИД!$C$103*4&lt;AF$2,OFFSET(AF413,0,-ИД!$C$103*4),0)</f>
        <v>0</v>
      </c>
      <c r="AG421" s="111">
        <f ca="1">IF(ИД!$C$103*4&lt;AG$2,OFFSET(AG413,0,-ИД!$C$103*4),0)</f>
        <v>0</v>
      </c>
      <c r="AH421" s="111">
        <f ca="1">IF(ИД!$C$103*4&lt;AH$2,OFFSET(AH413,0,-ИД!$C$103*4),0)</f>
        <v>0</v>
      </c>
      <c r="AI421" s="111">
        <f ca="1">IF(ИД!$C$103*4&lt;AI$2,OFFSET(AI413,0,-ИД!$C$103*4),0)</f>
        <v>0</v>
      </c>
      <c r="AJ421" s="111">
        <f ca="1">IF(ИД!$C$103*4&lt;AJ$2,OFFSET(AJ413,0,-ИД!$C$103*4),0)</f>
        <v>0</v>
      </c>
      <c r="AK421" s="111">
        <f ca="1">IF(ИД!$C$103*4&lt;AK$2,OFFSET(AK413,0,-ИД!$C$103*4),0)</f>
        <v>3610</v>
      </c>
      <c r="AL421" s="111">
        <f ca="1">IF(ИД!$C$103*4&lt;AL$2,OFFSET(AL413,0,-ИД!$C$103*4),0)</f>
        <v>3610</v>
      </c>
      <c r="AM421" s="111">
        <f ca="1">IF(ИД!$C$103*4&lt;AM$2,OFFSET(AM413,0,-ИД!$C$103*4),0)</f>
        <v>3610</v>
      </c>
      <c r="AN421" s="111">
        <f ca="1">IF(ИД!$C$103*4&lt;AN$2,OFFSET(AN413,0,-ИД!$C$103*4),0)</f>
        <v>3610</v>
      </c>
      <c r="AO421" s="111">
        <f ca="1">IF(ИД!$C$103*4&lt;AO$2,OFFSET(AO413,0,-ИД!$C$103*4),0)</f>
        <v>3610</v>
      </c>
      <c r="AP421" s="111">
        <f ca="1">IF(ИД!$C$103*4&lt;AP$2,OFFSET(AP413,0,-ИД!$C$103*4),0)</f>
        <v>3610</v>
      </c>
      <c r="AQ421" s="111">
        <f ca="1">IF(ИД!$C$103*4&lt;AQ$2,OFFSET(AQ413,0,-ИД!$C$103*4),0)</f>
        <v>3610</v>
      </c>
      <c r="AR421" s="111">
        <f ca="1">IF(ИД!$C$103*4&lt;AR$2,OFFSET(AR413,0,-ИД!$C$103*4),0)</f>
        <v>3610</v>
      </c>
      <c r="AS421" s="109"/>
    </row>
    <row r="422" spans="1:46" ht="11.25" customHeight="1" outlineLevel="1" x14ac:dyDescent="0.2">
      <c r="A422" s="247" t="str">
        <f t="shared" si="145"/>
        <v>Корпус В2</v>
      </c>
      <c r="B422" s="306">
        <f t="shared" ca="1" si="144"/>
        <v>0</v>
      </c>
      <c r="C422" s="3" t="s">
        <v>520</v>
      </c>
      <c r="E422" s="111">
        <f ca="1">IF(ИД!$C$103*4&lt;E$2,OFFSET(E414,0,-ИД!$C$103*4),0)</f>
        <v>0</v>
      </c>
      <c r="F422" s="111">
        <f ca="1">IF(ИД!$C$103*4&lt;F$2,OFFSET(F414,0,-ИД!$C$103*4),0)</f>
        <v>0</v>
      </c>
      <c r="G422" s="111">
        <f ca="1">IF(ИД!$C$103*4&lt;G$2,OFFSET(G414,0,-ИД!$C$103*4),0)</f>
        <v>0</v>
      </c>
      <c r="H422" s="111">
        <f ca="1">IF(ИД!$C$103*4&lt;H$2,OFFSET(H414,0,-ИД!$C$103*4),0)</f>
        <v>0</v>
      </c>
      <c r="I422" s="111">
        <f ca="1">IF(ИД!$C$103*4&lt;I$2,OFFSET(I414,0,-ИД!$C$103*4),0)</f>
        <v>0</v>
      </c>
      <c r="J422" s="111">
        <f ca="1">IF(ИД!$C$103*4&lt;J$2,OFFSET(J414,0,-ИД!$C$103*4),0)</f>
        <v>0</v>
      </c>
      <c r="K422" s="111">
        <f ca="1">IF(ИД!$C$103*4&lt;K$2,OFFSET(K414,0,-ИД!$C$103*4),0)</f>
        <v>0</v>
      </c>
      <c r="L422" s="111">
        <f ca="1">IF(ИД!$C$103*4&lt;L$2,OFFSET(L414,0,-ИД!$C$103*4),0)</f>
        <v>0</v>
      </c>
      <c r="M422" s="111">
        <f ca="1">IF(ИД!$C$103*4&lt;M$2,OFFSET(M414,0,-ИД!$C$103*4),0)</f>
        <v>0</v>
      </c>
      <c r="N422" s="111">
        <f ca="1">IF(ИД!$C$103*4&lt;N$2,OFFSET(N414,0,-ИД!$C$103*4),0)</f>
        <v>0</v>
      </c>
      <c r="O422" s="111">
        <f ca="1">IF(ИД!$C$103*4&lt;O$2,OFFSET(O414,0,-ИД!$C$103*4),0)</f>
        <v>0</v>
      </c>
      <c r="P422" s="111">
        <f ca="1">IF(ИД!$C$103*4&lt;P$2,OFFSET(P414,0,-ИД!$C$103*4),0)</f>
        <v>0</v>
      </c>
      <c r="Q422" s="111">
        <f ca="1">IF(ИД!$C$103*4&lt;Q$2,OFFSET(Q414,0,-ИД!$C$103*4),0)</f>
        <v>0</v>
      </c>
      <c r="R422" s="111">
        <f ca="1">IF(ИД!$C$103*4&lt;R$2,OFFSET(R414,0,-ИД!$C$103*4),0)</f>
        <v>0</v>
      </c>
      <c r="S422" s="111">
        <f ca="1">IF(ИД!$C$103*4&lt;S$2,OFFSET(S414,0,-ИД!$C$103*4),0)</f>
        <v>0</v>
      </c>
      <c r="T422" s="111">
        <f ca="1">IF(ИД!$C$103*4&lt;T$2,OFFSET(T414,0,-ИД!$C$103*4),0)</f>
        <v>0</v>
      </c>
      <c r="U422" s="111">
        <f ca="1">IF(ИД!$C$103*4&lt;U$2,OFFSET(U414,0,-ИД!$C$103*4),0)</f>
        <v>0</v>
      </c>
      <c r="V422" s="111">
        <f ca="1">IF(ИД!$C$103*4&lt;V$2,OFFSET(V414,0,-ИД!$C$103*4),0)</f>
        <v>0</v>
      </c>
      <c r="W422" s="111">
        <f ca="1">IF(ИД!$C$103*4&lt;W$2,OFFSET(W414,0,-ИД!$C$103*4),0)</f>
        <v>0</v>
      </c>
      <c r="X422" s="111">
        <f ca="1">IF(ИД!$C$103*4&lt;X$2,OFFSET(X414,0,-ИД!$C$103*4),0)</f>
        <v>0</v>
      </c>
      <c r="Y422" s="111">
        <f ca="1">IF(ИД!$C$103*4&lt;Y$2,OFFSET(Y414,0,-ИД!$C$103*4),0)</f>
        <v>0</v>
      </c>
      <c r="Z422" s="111">
        <f ca="1">IF(ИД!$C$103*4&lt;Z$2,OFFSET(Z414,0,-ИД!$C$103*4),0)</f>
        <v>0</v>
      </c>
      <c r="AA422" s="111">
        <f ca="1">IF(ИД!$C$103*4&lt;AA$2,OFFSET(AA414,0,-ИД!$C$103*4),0)</f>
        <v>0</v>
      </c>
      <c r="AB422" s="111">
        <f ca="1">IF(ИД!$C$103*4&lt;AB$2,OFFSET(AB414,0,-ИД!$C$103*4),0)</f>
        <v>0</v>
      </c>
      <c r="AC422" s="111">
        <f ca="1">IF(ИД!$C$103*4&lt;AC$2,OFFSET(AC414,0,-ИД!$C$103*4),0)</f>
        <v>0</v>
      </c>
      <c r="AD422" s="111">
        <f ca="1">IF(ИД!$C$103*4&lt;AD$2,OFFSET(AD414,0,-ИД!$C$103*4),0)</f>
        <v>0</v>
      </c>
      <c r="AE422" s="111">
        <f ca="1">IF(ИД!$C$103*4&lt;AE$2,OFFSET(AE414,0,-ИД!$C$103*4),0)</f>
        <v>0</v>
      </c>
      <c r="AF422" s="111">
        <f ca="1">IF(ИД!$C$103*4&lt;AF$2,OFFSET(AF414,0,-ИД!$C$103*4),0)</f>
        <v>0</v>
      </c>
      <c r="AG422" s="111">
        <f ca="1">IF(ИД!$C$103*4&lt;AG$2,OFFSET(AG414,0,-ИД!$C$103*4),0)</f>
        <v>0</v>
      </c>
      <c r="AH422" s="111">
        <f ca="1">IF(ИД!$C$103*4&lt;AH$2,OFFSET(AH414,0,-ИД!$C$103*4),0)</f>
        <v>0</v>
      </c>
      <c r="AI422" s="111">
        <f ca="1">IF(ИД!$C$103*4&lt;AI$2,OFFSET(AI414,0,-ИД!$C$103*4),0)</f>
        <v>0</v>
      </c>
      <c r="AJ422" s="111">
        <f ca="1">IF(ИД!$C$103*4&lt;AJ$2,OFFSET(AJ414,0,-ИД!$C$103*4),0)</f>
        <v>0</v>
      </c>
      <c r="AK422" s="111">
        <f ca="1">IF(ИД!$C$103*4&lt;AK$2,OFFSET(AK414,0,-ИД!$C$103*4),0)</f>
        <v>0</v>
      </c>
      <c r="AL422" s="111">
        <f ca="1">IF(ИД!$C$103*4&lt;AL$2,OFFSET(AL414,0,-ИД!$C$103*4),0)</f>
        <v>0</v>
      </c>
      <c r="AM422" s="111">
        <f ca="1">IF(ИД!$C$103*4&lt;AM$2,OFFSET(AM414,0,-ИД!$C$103*4),0)</f>
        <v>0</v>
      </c>
      <c r="AN422" s="111">
        <f ca="1">IF(ИД!$C$103*4&lt;AN$2,OFFSET(AN414,0,-ИД!$C$103*4),0)</f>
        <v>0</v>
      </c>
      <c r="AO422" s="111">
        <f ca="1">IF(ИД!$C$103*4&lt;AO$2,OFFSET(AO414,0,-ИД!$C$103*4),0)</f>
        <v>0</v>
      </c>
      <c r="AP422" s="111">
        <f ca="1">IF(ИД!$C$103*4&lt;AP$2,OFFSET(AP414,0,-ИД!$C$103*4),0)</f>
        <v>0</v>
      </c>
      <c r="AQ422" s="111">
        <f ca="1">IF(ИД!$C$103*4&lt;AQ$2,OFFSET(AQ414,0,-ИД!$C$103*4),0)</f>
        <v>0</v>
      </c>
      <c r="AR422" s="111">
        <f ca="1">IF(ИД!$C$103*4&lt;AR$2,OFFSET(AR414,0,-ИД!$C$103*4),0)</f>
        <v>0</v>
      </c>
      <c r="AS422" s="109"/>
    </row>
    <row r="423" spans="1:46" ht="11.25" customHeight="1" outlineLevel="1" x14ac:dyDescent="0.2">
      <c r="A423" s="247" t="str">
        <f t="shared" si="145"/>
        <v>Корпус В3</v>
      </c>
      <c r="B423" s="306">
        <f t="shared" ca="1" si="144"/>
        <v>8630</v>
      </c>
      <c r="C423" s="3" t="s">
        <v>520</v>
      </c>
      <c r="E423" s="111">
        <f ca="1">IF(ИД!$C$103*4&lt;E$2,OFFSET(E415,0,-ИД!$C$103*4),0)</f>
        <v>0</v>
      </c>
      <c r="F423" s="111">
        <f ca="1">IF(ИД!$C$103*4&lt;F$2,OFFSET(F415,0,-ИД!$C$103*4),0)</f>
        <v>0</v>
      </c>
      <c r="G423" s="111">
        <f ca="1">IF(ИД!$C$103*4&lt;G$2,OFFSET(G415,0,-ИД!$C$103*4),0)</f>
        <v>0</v>
      </c>
      <c r="H423" s="111">
        <f ca="1">IF(ИД!$C$103*4&lt;H$2,OFFSET(H415,0,-ИД!$C$103*4),0)</f>
        <v>0</v>
      </c>
      <c r="I423" s="111">
        <f ca="1">IF(ИД!$C$103*4&lt;I$2,OFFSET(I415,0,-ИД!$C$103*4),0)</f>
        <v>0</v>
      </c>
      <c r="J423" s="111">
        <f ca="1">IF(ИД!$C$103*4&lt;J$2,OFFSET(J415,0,-ИД!$C$103*4),0)</f>
        <v>0</v>
      </c>
      <c r="K423" s="111">
        <f ca="1">IF(ИД!$C$103*4&lt;K$2,OFFSET(K415,0,-ИД!$C$103*4),0)</f>
        <v>0</v>
      </c>
      <c r="L423" s="111">
        <f ca="1">IF(ИД!$C$103*4&lt;L$2,OFFSET(L415,0,-ИД!$C$103*4),0)</f>
        <v>0</v>
      </c>
      <c r="M423" s="111">
        <f ca="1">IF(ИД!$C$103*4&lt;M$2,OFFSET(M415,0,-ИД!$C$103*4),0)</f>
        <v>0</v>
      </c>
      <c r="N423" s="111">
        <f ca="1">IF(ИД!$C$103*4&lt;N$2,OFFSET(N415,0,-ИД!$C$103*4),0)</f>
        <v>0</v>
      </c>
      <c r="O423" s="111">
        <f ca="1">IF(ИД!$C$103*4&lt;O$2,OFFSET(O415,0,-ИД!$C$103*4),0)</f>
        <v>0</v>
      </c>
      <c r="P423" s="111">
        <f ca="1">IF(ИД!$C$103*4&lt;P$2,OFFSET(P415,0,-ИД!$C$103*4),0)</f>
        <v>0</v>
      </c>
      <c r="Q423" s="111">
        <f ca="1">IF(ИД!$C$103*4&lt;Q$2,OFFSET(Q415,0,-ИД!$C$103*4),0)</f>
        <v>0</v>
      </c>
      <c r="R423" s="111">
        <f ca="1">IF(ИД!$C$103*4&lt;R$2,OFFSET(R415,0,-ИД!$C$103*4),0)</f>
        <v>0</v>
      </c>
      <c r="S423" s="111">
        <f ca="1">IF(ИД!$C$103*4&lt;S$2,OFFSET(S415,0,-ИД!$C$103*4),0)</f>
        <v>0</v>
      </c>
      <c r="T423" s="111">
        <f ca="1">IF(ИД!$C$103*4&lt;T$2,OFFSET(T415,0,-ИД!$C$103*4),0)</f>
        <v>0</v>
      </c>
      <c r="U423" s="111">
        <f ca="1">IF(ИД!$C$103*4&lt;U$2,OFFSET(U415,0,-ИД!$C$103*4),0)</f>
        <v>0</v>
      </c>
      <c r="V423" s="111">
        <f ca="1">IF(ИД!$C$103*4&lt;V$2,OFFSET(V415,0,-ИД!$C$103*4),0)</f>
        <v>0</v>
      </c>
      <c r="W423" s="111">
        <f ca="1">IF(ИД!$C$103*4&lt;W$2,OFFSET(W415,0,-ИД!$C$103*4),0)</f>
        <v>0</v>
      </c>
      <c r="X423" s="111">
        <f ca="1">IF(ИД!$C$103*4&lt;X$2,OFFSET(X415,0,-ИД!$C$103*4),0)</f>
        <v>0</v>
      </c>
      <c r="Y423" s="111">
        <f ca="1">IF(ИД!$C$103*4&lt;Y$2,OFFSET(Y415,0,-ИД!$C$103*4),0)</f>
        <v>0</v>
      </c>
      <c r="Z423" s="111">
        <f ca="1">IF(ИД!$C$103*4&lt;Z$2,OFFSET(Z415,0,-ИД!$C$103*4),0)</f>
        <v>0</v>
      </c>
      <c r="AA423" s="111">
        <f ca="1">IF(ИД!$C$103*4&lt;AA$2,OFFSET(AA415,0,-ИД!$C$103*4),0)</f>
        <v>0</v>
      </c>
      <c r="AB423" s="111">
        <f ca="1">IF(ИД!$C$103*4&lt;AB$2,OFFSET(AB415,0,-ИД!$C$103*4),0)</f>
        <v>0</v>
      </c>
      <c r="AC423" s="111">
        <f ca="1">IF(ИД!$C$103*4&lt;AC$2,OFFSET(AC415,0,-ИД!$C$103*4),0)</f>
        <v>0</v>
      </c>
      <c r="AD423" s="111">
        <f ca="1">IF(ИД!$C$103*4&lt;AD$2,OFFSET(AD415,0,-ИД!$C$103*4),0)</f>
        <v>0</v>
      </c>
      <c r="AE423" s="111">
        <f ca="1">IF(ИД!$C$103*4&lt;AE$2,OFFSET(AE415,0,-ИД!$C$103*4),0)</f>
        <v>0</v>
      </c>
      <c r="AF423" s="111">
        <f ca="1">IF(ИД!$C$103*4&lt;AF$2,OFFSET(AF415,0,-ИД!$C$103*4),0)</f>
        <v>0</v>
      </c>
      <c r="AG423" s="111">
        <f ca="1">IF(ИД!$C$103*4&lt;AG$2,OFFSET(AG415,0,-ИД!$C$103*4),0)</f>
        <v>0</v>
      </c>
      <c r="AH423" s="111">
        <f ca="1">IF(ИД!$C$103*4&lt;AH$2,OFFSET(AH415,0,-ИД!$C$103*4),0)</f>
        <v>0</v>
      </c>
      <c r="AI423" s="111">
        <f ca="1">IF(ИД!$C$103*4&lt;AI$2,OFFSET(AI415,0,-ИД!$C$103*4),0)</f>
        <v>0</v>
      </c>
      <c r="AJ423" s="111">
        <f ca="1">IF(ИД!$C$103*4&lt;AJ$2,OFFSET(AJ415,0,-ИД!$C$103*4),0)</f>
        <v>0</v>
      </c>
      <c r="AK423" s="111">
        <f ca="1">IF(ИД!$C$103*4&lt;AK$2,OFFSET(AK415,0,-ИД!$C$103*4),0)</f>
        <v>0</v>
      </c>
      <c r="AL423" s="111">
        <f ca="1">IF(ИД!$C$103*4&lt;AL$2,OFFSET(AL415,0,-ИД!$C$103*4),0)</f>
        <v>0</v>
      </c>
      <c r="AM423" s="111">
        <f ca="1">IF(ИД!$C$103*4&lt;AM$2,OFFSET(AM415,0,-ИД!$C$103*4),0)</f>
        <v>0</v>
      </c>
      <c r="AN423" s="111">
        <f ca="1">IF(ИД!$C$103*4&lt;AN$2,OFFSET(AN415,0,-ИД!$C$103*4),0)</f>
        <v>0</v>
      </c>
      <c r="AO423" s="111">
        <f ca="1">IF(ИД!$C$103*4&lt;AO$2,OFFSET(AO415,0,-ИД!$C$103*4),0)</f>
        <v>8630</v>
      </c>
      <c r="AP423" s="111">
        <f ca="1">IF(ИД!$C$103*4&lt;AP$2,OFFSET(AP415,0,-ИД!$C$103*4),0)</f>
        <v>8630</v>
      </c>
      <c r="AQ423" s="111">
        <f ca="1">IF(ИД!$C$103*4&lt;AQ$2,OFFSET(AQ415,0,-ИД!$C$103*4),0)</f>
        <v>8630</v>
      </c>
      <c r="AR423" s="111">
        <f ca="1">IF(ИД!$C$103*4&lt;AR$2,OFFSET(AR415,0,-ИД!$C$103*4),0)</f>
        <v>8630</v>
      </c>
      <c r="AS423" s="109"/>
    </row>
    <row r="424" spans="1:46" ht="11.25" customHeight="1" outlineLevel="1" x14ac:dyDescent="0.2">
      <c r="A424" s="247" t="str">
        <f t="shared" si="145"/>
        <v>Объект II очереди</v>
      </c>
      <c r="B424" s="306">
        <f t="shared" ca="1" si="144"/>
        <v>22255</v>
      </c>
      <c r="C424" s="3" t="s">
        <v>520</v>
      </c>
      <c r="E424" s="111">
        <f ca="1">IF(ИД!$C$103*4&lt;E$2,OFFSET(E416,0,-ИД!$C$103*4),0)</f>
        <v>0</v>
      </c>
      <c r="F424" s="111">
        <f ca="1">IF(ИД!$C$103*4&lt;F$2,OFFSET(F416,0,-ИД!$C$103*4),0)</f>
        <v>0</v>
      </c>
      <c r="G424" s="111">
        <f ca="1">IF(ИД!$C$103*4&lt;G$2,OFFSET(G416,0,-ИД!$C$103*4),0)</f>
        <v>0</v>
      </c>
      <c r="H424" s="111">
        <f ca="1">IF(ИД!$C$103*4&lt;H$2,OFFSET(H416,0,-ИД!$C$103*4),0)</f>
        <v>0</v>
      </c>
      <c r="I424" s="111">
        <f ca="1">IF(ИД!$C$103*4&lt;I$2,OFFSET(I416,0,-ИД!$C$103*4),0)</f>
        <v>0</v>
      </c>
      <c r="J424" s="111">
        <f ca="1">IF(ИД!$C$103*4&lt;J$2,OFFSET(J416,0,-ИД!$C$103*4),0)</f>
        <v>0</v>
      </c>
      <c r="K424" s="111">
        <f ca="1">IF(ИД!$C$103*4&lt;K$2,OFFSET(K416,0,-ИД!$C$103*4),0)</f>
        <v>0</v>
      </c>
      <c r="L424" s="111">
        <f ca="1">IF(ИД!$C$103*4&lt;L$2,OFFSET(L416,0,-ИД!$C$103*4),0)</f>
        <v>0</v>
      </c>
      <c r="M424" s="111">
        <f ca="1">IF(ИД!$C$103*4&lt;M$2,OFFSET(M416,0,-ИД!$C$103*4),0)</f>
        <v>0</v>
      </c>
      <c r="N424" s="111">
        <f ca="1">IF(ИД!$C$103*4&lt;N$2,OFFSET(N416,0,-ИД!$C$103*4),0)</f>
        <v>0</v>
      </c>
      <c r="O424" s="111">
        <f ca="1">IF(ИД!$C$103*4&lt;O$2,OFFSET(O416,0,-ИД!$C$103*4),0)</f>
        <v>0</v>
      </c>
      <c r="P424" s="111">
        <f ca="1">IF(ИД!$C$103*4&lt;P$2,OFFSET(P416,0,-ИД!$C$103*4),0)</f>
        <v>0</v>
      </c>
      <c r="Q424" s="111">
        <f ca="1">IF(ИД!$C$103*4&lt;Q$2,OFFSET(Q416,0,-ИД!$C$103*4),0)</f>
        <v>0</v>
      </c>
      <c r="R424" s="111">
        <f ca="1">IF(ИД!$C$103*4&lt;R$2,OFFSET(R416,0,-ИД!$C$103*4),0)</f>
        <v>0</v>
      </c>
      <c r="S424" s="111">
        <f ca="1">IF(ИД!$C$103*4&lt;S$2,OFFSET(S416,0,-ИД!$C$103*4),0)</f>
        <v>0</v>
      </c>
      <c r="T424" s="111">
        <f ca="1">IF(ИД!$C$103*4&lt;T$2,OFFSET(T416,0,-ИД!$C$103*4),0)</f>
        <v>0</v>
      </c>
      <c r="U424" s="111">
        <f ca="1">IF(ИД!$C$103*4&lt;U$2,OFFSET(U416,0,-ИД!$C$103*4),0)</f>
        <v>0</v>
      </c>
      <c r="V424" s="111">
        <f ca="1">IF(ИД!$C$103*4&lt;V$2,OFFSET(V416,0,-ИД!$C$103*4),0)</f>
        <v>0</v>
      </c>
      <c r="W424" s="111">
        <f ca="1">IF(ИД!$C$103*4&lt;W$2,OFFSET(W416,0,-ИД!$C$103*4),0)</f>
        <v>0</v>
      </c>
      <c r="X424" s="111">
        <f ca="1">IF(ИД!$C$103*4&lt;X$2,OFFSET(X416,0,-ИД!$C$103*4),0)</f>
        <v>0</v>
      </c>
      <c r="Y424" s="111">
        <f ca="1">IF(ИД!$C$103*4&lt;Y$2,OFFSET(Y416,0,-ИД!$C$103*4),0)</f>
        <v>0</v>
      </c>
      <c r="Z424" s="111">
        <f ca="1">IF(ИД!$C$103*4&lt;Z$2,OFFSET(Z416,0,-ИД!$C$103*4),0)</f>
        <v>0</v>
      </c>
      <c r="AA424" s="111">
        <f ca="1">IF(ИД!$C$103*4&lt;AA$2,OFFSET(AA416,0,-ИД!$C$103*4),0)</f>
        <v>0</v>
      </c>
      <c r="AB424" s="111">
        <f ca="1">IF(ИД!$C$103*4&lt;AB$2,OFFSET(AB416,0,-ИД!$C$103*4),0)</f>
        <v>0</v>
      </c>
      <c r="AC424" s="111">
        <f ca="1">IF(ИД!$C$103*4&lt;AC$2,OFFSET(AC416,0,-ИД!$C$103*4),0)</f>
        <v>0</v>
      </c>
      <c r="AD424" s="111">
        <f ca="1">IF(ИД!$C$103*4&lt;AD$2,OFFSET(AD416,0,-ИД!$C$103*4),0)</f>
        <v>0</v>
      </c>
      <c r="AE424" s="111">
        <f ca="1">IF(ИД!$C$103*4&lt;AE$2,OFFSET(AE416,0,-ИД!$C$103*4),0)</f>
        <v>0</v>
      </c>
      <c r="AF424" s="111">
        <f ca="1">IF(ИД!$C$103*4&lt;AF$2,OFFSET(AF416,0,-ИД!$C$103*4),0)</f>
        <v>0</v>
      </c>
      <c r="AG424" s="111">
        <f ca="1">IF(ИД!$C$103*4&lt;AG$2,OFFSET(AG416,0,-ИД!$C$103*4),0)</f>
        <v>0</v>
      </c>
      <c r="AH424" s="111">
        <f ca="1">IF(ИД!$C$103*4&lt;AH$2,OFFSET(AH416,0,-ИД!$C$103*4),0)</f>
        <v>0</v>
      </c>
      <c r="AI424" s="111">
        <f ca="1">IF(ИД!$C$103*4&lt;AI$2,OFFSET(AI416,0,-ИД!$C$103*4),0)</f>
        <v>0</v>
      </c>
      <c r="AJ424" s="111">
        <f ca="1">IF(ИД!$C$103*4&lt;AJ$2,OFFSET(AJ416,0,-ИД!$C$103*4),0)</f>
        <v>0</v>
      </c>
      <c r="AK424" s="111">
        <f ca="1">IF(ИД!$C$103*4&lt;AK$2,OFFSET(AK416,0,-ИД!$C$103*4),0)</f>
        <v>0</v>
      </c>
      <c r="AL424" s="111">
        <f ca="1">IF(ИД!$C$103*4&lt;AL$2,OFFSET(AL416,0,-ИД!$C$103*4),0)</f>
        <v>0</v>
      </c>
      <c r="AM424" s="111">
        <f ca="1">IF(ИД!$C$103*4&lt;AM$2,OFFSET(AM416,0,-ИД!$C$103*4),0)</f>
        <v>0</v>
      </c>
      <c r="AN424" s="111">
        <f ca="1">IF(ИД!$C$103*4&lt;AN$2,OFFSET(AN416,0,-ИД!$C$103*4),0)</f>
        <v>0</v>
      </c>
      <c r="AO424" s="111">
        <f ca="1">IF(ИД!$C$103*4&lt;AO$2,OFFSET(AO416,0,-ИД!$C$103*4),0)</f>
        <v>22255</v>
      </c>
      <c r="AP424" s="111">
        <f ca="1">IF(ИД!$C$103*4&lt;AP$2,OFFSET(AP416,0,-ИД!$C$103*4),0)</f>
        <v>22255</v>
      </c>
      <c r="AQ424" s="111">
        <f ca="1">IF(ИД!$C$103*4&lt;AQ$2,OFFSET(AQ416,0,-ИД!$C$103*4),0)</f>
        <v>22255</v>
      </c>
      <c r="AR424" s="111">
        <f ca="1">IF(ИД!$C$103*4&lt;AR$2,OFFSET(AR416,0,-ИД!$C$103*4),0)</f>
        <v>22255</v>
      </c>
      <c r="AS424" s="109"/>
    </row>
    <row r="425" spans="1:46" ht="11.25" customHeight="1" outlineLevel="1" x14ac:dyDescent="0.2">
      <c r="A425" s="63" t="s">
        <v>782</v>
      </c>
      <c r="B425" s="4"/>
      <c r="C425" s="3" t="s">
        <v>520</v>
      </c>
      <c r="E425" s="111">
        <f ca="1">SUM(E419:E424)</f>
        <v>0</v>
      </c>
      <c r="F425" s="111">
        <f t="shared" ref="F425:AR425" ca="1" si="146">SUM(F419:F424)</f>
        <v>0</v>
      </c>
      <c r="G425" s="111">
        <f t="shared" ca="1" si="146"/>
        <v>0</v>
      </c>
      <c r="H425" s="111">
        <f t="shared" ca="1" si="146"/>
        <v>0</v>
      </c>
      <c r="I425" s="111">
        <f t="shared" ca="1" si="146"/>
        <v>0</v>
      </c>
      <c r="J425" s="111">
        <f t="shared" ca="1" si="146"/>
        <v>0</v>
      </c>
      <c r="K425" s="111">
        <f t="shared" ca="1" si="146"/>
        <v>0</v>
      </c>
      <c r="L425" s="111">
        <f t="shared" ca="1" si="146"/>
        <v>0</v>
      </c>
      <c r="M425" s="111">
        <f t="shared" ca="1" si="146"/>
        <v>0</v>
      </c>
      <c r="N425" s="111">
        <f t="shared" ca="1" si="146"/>
        <v>0</v>
      </c>
      <c r="O425" s="111">
        <f t="shared" ca="1" si="146"/>
        <v>0</v>
      </c>
      <c r="P425" s="111">
        <f t="shared" ca="1" si="146"/>
        <v>0</v>
      </c>
      <c r="Q425" s="111">
        <f t="shared" ca="1" si="146"/>
        <v>0</v>
      </c>
      <c r="R425" s="111">
        <f t="shared" ca="1" si="146"/>
        <v>0</v>
      </c>
      <c r="S425" s="111">
        <f t="shared" ca="1" si="146"/>
        <v>0</v>
      </c>
      <c r="T425" s="111">
        <f t="shared" ca="1" si="146"/>
        <v>0</v>
      </c>
      <c r="U425" s="111">
        <f t="shared" ca="1" si="146"/>
        <v>0</v>
      </c>
      <c r="V425" s="111">
        <f t="shared" ca="1" si="146"/>
        <v>0</v>
      </c>
      <c r="W425" s="111">
        <f t="shared" ca="1" si="146"/>
        <v>0</v>
      </c>
      <c r="X425" s="111">
        <f t="shared" ca="1" si="146"/>
        <v>0</v>
      </c>
      <c r="Y425" s="111">
        <f t="shared" ca="1" si="146"/>
        <v>0</v>
      </c>
      <c r="Z425" s="111">
        <f t="shared" ca="1" si="146"/>
        <v>0</v>
      </c>
      <c r="AA425" s="111">
        <f t="shared" ca="1" si="146"/>
        <v>0</v>
      </c>
      <c r="AB425" s="111">
        <f t="shared" ca="1" si="146"/>
        <v>0</v>
      </c>
      <c r="AC425" s="111">
        <f t="shared" ca="1" si="146"/>
        <v>0</v>
      </c>
      <c r="AD425" s="111">
        <f t="shared" ca="1" si="146"/>
        <v>0</v>
      </c>
      <c r="AE425" s="111">
        <f t="shared" ca="1" si="146"/>
        <v>0</v>
      </c>
      <c r="AF425" s="111">
        <f t="shared" ca="1" si="146"/>
        <v>0</v>
      </c>
      <c r="AG425" s="111">
        <f t="shared" ca="1" si="146"/>
        <v>0</v>
      </c>
      <c r="AH425" s="111">
        <f t="shared" ca="1" si="146"/>
        <v>0</v>
      </c>
      <c r="AI425" s="111">
        <f t="shared" ca="1" si="146"/>
        <v>0</v>
      </c>
      <c r="AJ425" s="111">
        <f t="shared" ca="1" si="146"/>
        <v>0</v>
      </c>
      <c r="AK425" s="111">
        <f t="shared" ca="1" si="146"/>
        <v>3610</v>
      </c>
      <c r="AL425" s="111">
        <f t="shared" ca="1" si="146"/>
        <v>3610</v>
      </c>
      <c r="AM425" s="111">
        <f t="shared" ca="1" si="146"/>
        <v>3610</v>
      </c>
      <c r="AN425" s="111">
        <f t="shared" ca="1" si="146"/>
        <v>3610</v>
      </c>
      <c r="AO425" s="111">
        <f t="shared" ca="1" si="146"/>
        <v>58860</v>
      </c>
      <c r="AP425" s="111">
        <f t="shared" ca="1" si="146"/>
        <v>58860</v>
      </c>
      <c r="AQ425" s="111">
        <f t="shared" ca="1" si="146"/>
        <v>58860</v>
      </c>
      <c r="AR425" s="111">
        <f t="shared" ca="1" si="146"/>
        <v>58860</v>
      </c>
      <c r="AS425" s="109"/>
    </row>
    <row r="426" spans="1:46" outlineLevel="1" x14ac:dyDescent="0.2">
      <c r="A426" s="61" t="s">
        <v>983</v>
      </c>
      <c r="B426" s="4"/>
      <c r="C426" s="3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  <c r="AM426" s="40"/>
      <c r="AN426" s="40"/>
      <c r="AO426" s="40"/>
      <c r="AP426" s="40"/>
      <c r="AQ426" s="40"/>
      <c r="AR426" s="40"/>
      <c r="AS426" s="109"/>
    </row>
    <row r="427" spans="1:46" outlineLevel="1" x14ac:dyDescent="0.2">
      <c r="A427" s="247" t="str">
        <f>A419</f>
        <v>Корпус А4</v>
      </c>
      <c r="B427" s="306">
        <f ca="1">AT427*Графики_УК!$D$401</f>
        <v>0</v>
      </c>
      <c r="C427" s="3" t="str">
        <f t="shared" ref="C427:C432" si="147">$C$398</f>
        <v>тыс. руб.</v>
      </c>
      <c r="E427" s="111">
        <v>0</v>
      </c>
      <c r="F427" s="111">
        <f ca="1">F$479*(-E419+F419)*ИД!$D95/1.2</f>
        <v>0</v>
      </c>
      <c r="G427" s="111">
        <f ca="1">G$479*(-F419+G419)*ИД!$D95/1.2</f>
        <v>0</v>
      </c>
      <c r="H427" s="111">
        <f ca="1">H$479*(-G419+H419)*ИД!$D95/1.2</f>
        <v>0</v>
      </c>
      <c r="I427" s="111">
        <f ca="1">I$479*(-H419+I419)*ИД!$D95/1.2</f>
        <v>0</v>
      </c>
      <c r="J427" s="111">
        <f ca="1">J$479*(-I419+J419)*ИД!$D95/1.2</f>
        <v>0</v>
      </c>
      <c r="K427" s="111">
        <f ca="1">K$479*(-J419+K419)*ИД!$D95/1.2</f>
        <v>0</v>
      </c>
      <c r="L427" s="111">
        <f ca="1">L$479*(-K419+L419)*ИД!$D95/1.2</f>
        <v>0</v>
      </c>
      <c r="M427" s="111">
        <f ca="1">M$479*(-L419+M419)*ИД!$D95/1.2</f>
        <v>0</v>
      </c>
      <c r="N427" s="111">
        <f ca="1">N$479*(-M419+N419)*ИД!$D95/1.2</f>
        <v>0</v>
      </c>
      <c r="O427" s="111">
        <f ca="1">O$479*(-N419+O419)*ИД!$D95/1.2</f>
        <v>0</v>
      </c>
      <c r="P427" s="111">
        <f ca="1">P$479*(-O419+P419)*ИД!$D95/1.2</f>
        <v>0</v>
      </c>
      <c r="Q427" s="111">
        <f ca="1">Q$479*(-P419+Q419)*ИД!$D95/1.2</f>
        <v>0</v>
      </c>
      <c r="R427" s="111">
        <f ca="1">R$479*(-Q419+R419)*ИД!$D95/1.2</f>
        <v>0</v>
      </c>
      <c r="S427" s="111">
        <f ca="1">S$479*(-R419+S419)*ИД!$D95/1.2</f>
        <v>0</v>
      </c>
      <c r="T427" s="111">
        <f ca="1">T$479*(-S419+T419)*ИД!$D95/1.2</f>
        <v>0</v>
      </c>
      <c r="U427" s="111">
        <f ca="1">U$479*(-T419+U419)*ИД!$D95/1.2</f>
        <v>0</v>
      </c>
      <c r="V427" s="111">
        <f ca="1">V$479*(-U419+V419)*ИД!$D95/1.2</f>
        <v>0</v>
      </c>
      <c r="W427" s="111">
        <f ca="1">W$479*(-V419+W419)*ИД!$D95/1.2</f>
        <v>0</v>
      </c>
      <c r="X427" s="111">
        <f ca="1">X$479*(-W419+X419)*ИД!$D95/1.2</f>
        <v>0</v>
      </c>
      <c r="Y427" s="111">
        <f ca="1">Y$479*(-X419+Y419)*ИД!$D95/1.2</f>
        <v>0</v>
      </c>
      <c r="Z427" s="111">
        <f ca="1">Z$479*(-Y419+Z419)*ИД!$D95/1.2</f>
        <v>0</v>
      </c>
      <c r="AA427" s="111">
        <f ca="1">AA$479*(-Z419+AA419)*ИД!$D95/1.2</f>
        <v>0</v>
      </c>
      <c r="AB427" s="111">
        <f ca="1">AB$479*(-AA419+AB419)*ИД!$D95/1.2</f>
        <v>0</v>
      </c>
      <c r="AC427" s="111">
        <f ca="1">AC$479*(-AB419+AC419)*ИД!$D95/1.2</f>
        <v>0</v>
      </c>
      <c r="AD427" s="111">
        <f ca="1">AD$479*(-AC419+AD419)*ИД!$D95/1.2</f>
        <v>0</v>
      </c>
      <c r="AE427" s="111">
        <f ca="1">AE$479*(-AD419+AE419)*ИД!$D95/1.2</f>
        <v>0</v>
      </c>
      <c r="AF427" s="111">
        <f ca="1">AF$479*(-AE419+AF419)*ИД!$D95/1.2</f>
        <v>0</v>
      </c>
      <c r="AG427" s="111">
        <f ca="1">AG$479*(-AF419+AG419)*ИД!$D95/1.2</f>
        <v>0</v>
      </c>
      <c r="AH427" s="111">
        <f ca="1">AH$479*(-AG419+AH419)*ИД!$D95/1.2</f>
        <v>0</v>
      </c>
      <c r="AI427" s="111">
        <f ca="1">AI$479*(-AH419+AI419)*ИД!$D95/1.2</f>
        <v>0</v>
      </c>
      <c r="AJ427" s="111">
        <f ca="1">AJ$479*(-AI419+AJ419)*ИД!$D95/1.2</f>
        <v>0</v>
      </c>
      <c r="AK427" s="111">
        <f ca="1">AK$479*(-AJ419+AK419)*ИД!$D95/1.2</f>
        <v>0</v>
      </c>
      <c r="AL427" s="111">
        <f ca="1">AL$479*(-AK419+AL419)*ИД!$D95/1.2</f>
        <v>0</v>
      </c>
      <c r="AM427" s="111">
        <f ca="1">AM$479*(-AL419+AM419)*ИД!$D95/1.2</f>
        <v>0</v>
      </c>
      <c r="AN427" s="111">
        <f ca="1">AN$479*(-AM419+AN419)*ИД!$D95/1.2</f>
        <v>0</v>
      </c>
      <c r="AO427" s="111">
        <f ca="1">AO$479*(-AN419+AO419)*ИД!$D95/1.2</f>
        <v>0</v>
      </c>
      <c r="AP427" s="111">
        <f ca="1">AP$479*(-AO419+AP419)*ИД!$D95/1.2</f>
        <v>0</v>
      </c>
      <c r="AQ427" s="111">
        <f ca="1">AQ$479*(-AP419+AQ419)*ИД!$D95/1.2</f>
        <v>0</v>
      </c>
      <c r="AR427" s="111">
        <f ca="1">AR$479*(-AQ419+AR419)*ИД!$D95/1.2</f>
        <v>0</v>
      </c>
      <c r="AS427" s="109"/>
      <c r="AT427" s="30">
        <f t="shared" ref="AT427:AT433" ca="1" si="148">SUM(E427:AS427)</f>
        <v>0</v>
      </c>
    </row>
    <row r="428" spans="1:46" ht="11.25" customHeight="1" outlineLevel="1" x14ac:dyDescent="0.2">
      <c r="A428" s="247" t="str">
        <f t="shared" ref="A428:A432" si="149">A420</f>
        <v>Бизнес-пространство с ЦОД</v>
      </c>
      <c r="B428" s="306">
        <f ca="1">AT428*Графики_УК!$D$401</f>
        <v>3244896.9071227531</v>
      </c>
      <c r="C428" s="3" t="str">
        <f t="shared" si="147"/>
        <v>тыс. руб.</v>
      </c>
      <c r="E428" s="111">
        <v>0</v>
      </c>
      <c r="F428" s="111">
        <f ca="1">F$479*(-E420+F420)*ИД!$D96/1.2</f>
        <v>0</v>
      </c>
      <c r="G428" s="111">
        <f ca="1">G$479*(-F420+G420)*ИД!$D96/1.2</f>
        <v>0</v>
      </c>
      <c r="H428" s="111">
        <f ca="1">H$479*(-G420+H420)*ИД!$D96/1.2</f>
        <v>0</v>
      </c>
      <c r="I428" s="111">
        <f ca="1">I$479*(-H420+I420)*ИД!$D96/1.2</f>
        <v>0</v>
      </c>
      <c r="J428" s="111">
        <f ca="1">J$479*(-I420+J420)*ИД!$D96/1.2</f>
        <v>0</v>
      </c>
      <c r="K428" s="111">
        <f ca="1">K$479*(-J420+K420)*ИД!$D96/1.2</f>
        <v>0</v>
      </c>
      <c r="L428" s="111">
        <f ca="1">L$479*(-K420+L420)*ИД!$D96/1.2</f>
        <v>0</v>
      </c>
      <c r="M428" s="111">
        <f ca="1">M$479*(-L420+M420)*ИД!$D96/1.2</f>
        <v>0</v>
      </c>
      <c r="N428" s="111">
        <f ca="1">N$479*(-M420+N420)*ИД!$D96/1.2</f>
        <v>0</v>
      </c>
      <c r="O428" s="111">
        <f ca="1">O$479*(-N420+O420)*ИД!$D96/1.2</f>
        <v>0</v>
      </c>
      <c r="P428" s="111">
        <f ca="1">P$479*(-O420+P420)*ИД!$D96/1.2</f>
        <v>0</v>
      </c>
      <c r="Q428" s="111">
        <f ca="1">Q$479*(-P420+Q420)*ИД!$D96/1.2</f>
        <v>0</v>
      </c>
      <c r="R428" s="111">
        <f ca="1">R$479*(-Q420+R420)*ИД!$D96/1.2</f>
        <v>0</v>
      </c>
      <c r="S428" s="111">
        <f ca="1">S$479*(-R420+S420)*ИД!$D96/1.2</f>
        <v>0</v>
      </c>
      <c r="T428" s="111">
        <f ca="1">T$479*(-S420+T420)*ИД!$D96/1.2</f>
        <v>0</v>
      </c>
      <c r="U428" s="111">
        <f ca="1">U$479*(-T420+U420)*ИД!$D96/1.2</f>
        <v>0</v>
      </c>
      <c r="V428" s="111">
        <f ca="1">V$479*(-U420+V420)*ИД!$D96/1.2</f>
        <v>0</v>
      </c>
      <c r="W428" s="111">
        <f ca="1">W$479*(-V420+W420)*ИД!$D96/1.2</f>
        <v>0</v>
      </c>
      <c r="X428" s="111">
        <f ca="1">X$479*(-W420+X420)*ИД!$D96/1.2</f>
        <v>0</v>
      </c>
      <c r="Y428" s="111">
        <f ca="1">Y$479*(-X420+Y420)*ИД!$D96/1.2</f>
        <v>0</v>
      </c>
      <c r="Z428" s="111">
        <f ca="1">Z$479*(-Y420+Z420)*ИД!$D96/1.2</f>
        <v>0</v>
      </c>
      <c r="AA428" s="111">
        <f ca="1">AA$479*(-Z420+AA420)*ИД!$D96/1.2</f>
        <v>0</v>
      </c>
      <c r="AB428" s="111">
        <f ca="1">AB$479*(-AA420+AB420)*ИД!$D96/1.2</f>
        <v>0</v>
      </c>
      <c r="AC428" s="111">
        <f ca="1">AC$479*(-AB420+AC420)*ИД!$D96/1.2</f>
        <v>0</v>
      </c>
      <c r="AD428" s="111">
        <f ca="1">AD$479*(-AC420+AD420)*ИД!$D96/1.2</f>
        <v>0</v>
      </c>
      <c r="AE428" s="111">
        <f ca="1">AE$479*(-AD420+AE420)*ИД!$D96/1.2</f>
        <v>0</v>
      </c>
      <c r="AF428" s="111">
        <f ca="1">AF$479*(-AE420+AF420)*ИД!$D96/1.2</f>
        <v>0</v>
      </c>
      <c r="AG428" s="111">
        <f ca="1">AG$479*(-AF420+AG420)*ИД!$D96/1.2</f>
        <v>0</v>
      </c>
      <c r="AH428" s="111">
        <f ca="1">AH$479*(-AG420+AH420)*ИД!$D96/1.2</f>
        <v>0</v>
      </c>
      <c r="AI428" s="111">
        <f ca="1">AI$479*(-AH420+AI420)*ИД!$D96/1.2</f>
        <v>0</v>
      </c>
      <c r="AJ428" s="111">
        <f ca="1">AJ$479*(-AI420+AJ420)*ИД!$D96/1.2</f>
        <v>0</v>
      </c>
      <c r="AK428" s="111">
        <f ca="1">AK$479*(-AJ420+AK420)*ИД!$D96/1.2</f>
        <v>0</v>
      </c>
      <c r="AL428" s="111">
        <f ca="1">AL$479*(-AK420+AL420)*ИД!$D96/1.2</f>
        <v>0</v>
      </c>
      <c r="AM428" s="111">
        <f ca="1">AM$479*(-AL420+AM420)*ИД!$D96/1.2</f>
        <v>0</v>
      </c>
      <c r="AN428" s="111">
        <f ca="1">AN$479*(-AM420+AN420)*ИД!$D96/1.2</f>
        <v>0</v>
      </c>
      <c r="AO428" s="111">
        <f ca="1">AO$479*(-AN420+AO420)*ИД!$D96/1.2</f>
        <v>3244896.9071227531</v>
      </c>
      <c r="AP428" s="111">
        <f ca="1">AP$479*(-AO420+AP420)*ИД!$D96/1.2</f>
        <v>0</v>
      </c>
      <c r="AQ428" s="111">
        <f ca="1">AQ$479*(-AP420+AQ420)*ИД!$D96/1.2</f>
        <v>0</v>
      </c>
      <c r="AR428" s="111">
        <f ca="1">AR$479*(-AQ420+AR420)*ИД!$D96/1.2</f>
        <v>0</v>
      </c>
      <c r="AS428" s="109"/>
      <c r="AT428" s="30">
        <f t="shared" ca="1" si="148"/>
        <v>3244896.9071227531</v>
      </c>
    </row>
    <row r="429" spans="1:46" ht="11.25" customHeight="1" outlineLevel="1" x14ac:dyDescent="0.2">
      <c r="A429" s="247" t="str">
        <f t="shared" si="149"/>
        <v>Корпус В1</v>
      </c>
      <c r="B429" s="306">
        <f ca="1">AT429*Графики_УК!$D$401</f>
        <v>409429.66220429027</v>
      </c>
      <c r="C429" s="3" t="str">
        <f t="shared" si="147"/>
        <v>тыс. руб.</v>
      </c>
      <c r="E429" s="111">
        <v>0</v>
      </c>
      <c r="F429" s="111">
        <f ca="1">F$479*(-E421+F421)*ИД!$D97/1.2</f>
        <v>0</v>
      </c>
      <c r="G429" s="111">
        <f ca="1">G$479*(-F421+G421)*ИД!$D97/1.2</f>
        <v>0</v>
      </c>
      <c r="H429" s="111">
        <f ca="1">H$479*(-G421+H421)*ИД!$D97/1.2</f>
        <v>0</v>
      </c>
      <c r="I429" s="111">
        <f ca="1">I$479*(-H421+I421)*ИД!$D97/1.2</f>
        <v>0</v>
      </c>
      <c r="J429" s="111">
        <f ca="1">J$479*(-I421+J421)*ИД!$D97/1.2</f>
        <v>0</v>
      </c>
      <c r="K429" s="111">
        <f ca="1">K$479*(-J421+K421)*ИД!$D97/1.2</f>
        <v>0</v>
      </c>
      <c r="L429" s="111">
        <f ca="1">L$479*(-K421+L421)*ИД!$D97/1.2</f>
        <v>0</v>
      </c>
      <c r="M429" s="111">
        <f ca="1">M$479*(-L421+M421)*ИД!$D97/1.2</f>
        <v>0</v>
      </c>
      <c r="N429" s="111">
        <f ca="1">N$479*(-M421+N421)*ИД!$D97/1.2</f>
        <v>0</v>
      </c>
      <c r="O429" s="111">
        <f ca="1">O$479*(-N421+O421)*ИД!$D97/1.2</f>
        <v>0</v>
      </c>
      <c r="P429" s="111">
        <f ca="1">P$479*(-O421+P421)*ИД!$D97/1.2</f>
        <v>0</v>
      </c>
      <c r="Q429" s="111">
        <f ca="1">Q$479*(-P421+Q421)*ИД!$D97/1.2</f>
        <v>0</v>
      </c>
      <c r="R429" s="111">
        <f ca="1">R$479*(-Q421+R421)*ИД!$D97/1.2</f>
        <v>0</v>
      </c>
      <c r="S429" s="111">
        <f ca="1">S$479*(-R421+S421)*ИД!$D97/1.2</f>
        <v>0</v>
      </c>
      <c r="T429" s="111">
        <f ca="1">T$479*(-S421+T421)*ИД!$D97/1.2</f>
        <v>0</v>
      </c>
      <c r="U429" s="111">
        <f ca="1">U$479*(-T421+U421)*ИД!$D97/1.2</f>
        <v>0</v>
      </c>
      <c r="V429" s="111">
        <f ca="1">V$479*(-U421+V421)*ИД!$D97/1.2</f>
        <v>0</v>
      </c>
      <c r="W429" s="111">
        <f ca="1">W$479*(-V421+W421)*ИД!$D97/1.2</f>
        <v>0</v>
      </c>
      <c r="X429" s="111">
        <f ca="1">X$479*(-W421+X421)*ИД!$D97/1.2</f>
        <v>0</v>
      </c>
      <c r="Y429" s="111">
        <f ca="1">Y$479*(-X421+Y421)*ИД!$D97/1.2</f>
        <v>0</v>
      </c>
      <c r="Z429" s="111">
        <f ca="1">Z$479*(-Y421+Z421)*ИД!$D97/1.2</f>
        <v>0</v>
      </c>
      <c r="AA429" s="111">
        <f ca="1">AA$479*(-Z421+AA421)*ИД!$D97/1.2</f>
        <v>0</v>
      </c>
      <c r="AB429" s="111">
        <f ca="1">AB$479*(-AA421+AB421)*ИД!$D97/1.2</f>
        <v>0</v>
      </c>
      <c r="AC429" s="111">
        <f ca="1">AC$479*(-AB421+AC421)*ИД!$D97/1.2</f>
        <v>0</v>
      </c>
      <c r="AD429" s="111">
        <f ca="1">AD$479*(-AC421+AD421)*ИД!$D97/1.2</f>
        <v>0</v>
      </c>
      <c r="AE429" s="111">
        <f ca="1">AE$479*(-AD421+AE421)*ИД!$D97/1.2</f>
        <v>0</v>
      </c>
      <c r="AF429" s="111">
        <f ca="1">AF$479*(-AE421+AF421)*ИД!$D97/1.2</f>
        <v>0</v>
      </c>
      <c r="AG429" s="111">
        <f ca="1">AG$479*(-AF421+AG421)*ИД!$D97/1.2</f>
        <v>0</v>
      </c>
      <c r="AH429" s="111">
        <f ca="1">AH$479*(-AG421+AH421)*ИД!$D97/1.2</f>
        <v>0</v>
      </c>
      <c r="AI429" s="111">
        <f ca="1">AI$479*(-AH421+AI421)*ИД!$D97/1.2</f>
        <v>0</v>
      </c>
      <c r="AJ429" s="111">
        <f ca="1">AJ$479*(-AI421+AJ421)*ИД!$D97/1.2</f>
        <v>0</v>
      </c>
      <c r="AK429" s="111">
        <f ca="1">AK$479*(-AJ421+AK421)*ИД!$D97/1.2</f>
        <v>409429.66220429027</v>
      </c>
      <c r="AL429" s="111">
        <f ca="1">AL$479*(-AK421+AL421)*ИД!$D97/1.2</f>
        <v>0</v>
      </c>
      <c r="AM429" s="111">
        <f ca="1">AM$479*(-AL421+AM421)*ИД!$D97/1.2</f>
        <v>0</v>
      </c>
      <c r="AN429" s="111">
        <f ca="1">AN$479*(-AM421+AN421)*ИД!$D97/1.2</f>
        <v>0</v>
      </c>
      <c r="AO429" s="111">
        <f ca="1">AO$479*(-AN421+AO421)*ИД!$D97/1.2</f>
        <v>0</v>
      </c>
      <c r="AP429" s="111">
        <f ca="1">AP$479*(-AO421+AP421)*ИД!$D97/1.2</f>
        <v>0</v>
      </c>
      <c r="AQ429" s="111">
        <f ca="1">AQ$479*(-AP421+AQ421)*ИД!$D97/1.2</f>
        <v>0</v>
      </c>
      <c r="AR429" s="111">
        <f ca="1">AR$479*(-AQ421+AR421)*ИД!$D97/1.2</f>
        <v>0</v>
      </c>
      <c r="AS429" s="109"/>
      <c r="AT429" s="30">
        <f t="shared" ca="1" si="148"/>
        <v>409429.66220429027</v>
      </c>
    </row>
    <row r="430" spans="1:46" ht="11.25" customHeight="1" outlineLevel="1" x14ac:dyDescent="0.2">
      <c r="A430" s="247" t="str">
        <f t="shared" si="149"/>
        <v>Корпус В2</v>
      </c>
      <c r="B430" s="306">
        <f ca="1">AT430*Графики_УК!$D$401</f>
        <v>0</v>
      </c>
      <c r="C430" s="3" t="str">
        <f t="shared" si="147"/>
        <v>тыс. руб.</v>
      </c>
      <c r="E430" s="111">
        <v>0</v>
      </c>
      <c r="F430" s="111">
        <f ca="1">F$479*(-E422+F422)*ИД!$D98/1.2</f>
        <v>0</v>
      </c>
      <c r="G430" s="111">
        <f ca="1">G$479*(-F422+G422)*ИД!$D98/1.2</f>
        <v>0</v>
      </c>
      <c r="H430" s="111">
        <f ca="1">H$479*(-G422+H422)*ИД!$D98/1.2</f>
        <v>0</v>
      </c>
      <c r="I430" s="111">
        <f ca="1">I$479*(-H422+I422)*ИД!$D98/1.2</f>
        <v>0</v>
      </c>
      <c r="J430" s="111">
        <f ca="1">J$479*(-I422+J422)*ИД!$D98/1.2</f>
        <v>0</v>
      </c>
      <c r="K430" s="111">
        <f ca="1">K$479*(-J422+K422)*ИД!$D98/1.2</f>
        <v>0</v>
      </c>
      <c r="L430" s="111">
        <f ca="1">L$479*(-K422+L422)*ИД!$D98/1.2</f>
        <v>0</v>
      </c>
      <c r="M430" s="111">
        <f ca="1">M$479*(-L422+M422)*ИД!$D98/1.2</f>
        <v>0</v>
      </c>
      <c r="N430" s="111">
        <f ca="1">N$479*(-M422+N422)*ИД!$D98/1.2</f>
        <v>0</v>
      </c>
      <c r="O430" s="111">
        <f ca="1">O$479*(-N422+O422)*ИД!$D98/1.2</f>
        <v>0</v>
      </c>
      <c r="P430" s="111">
        <f ca="1">P$479*(-O422+P422)*ИД!$D98/1.2</f>
        <v>0</v>
      </c>
      <c r="Q430" s="111">
        <f ca="1">Q$479*(-P422+Q422)*ИД!$D98/1.2</f>
        <v>0</v>
      </c>
      <c r="R430" s="111">
        <f ca="1">R$479*(-Q422+R422)*ИД!$D98/1.2</f>
        <v>0</v>
      </c>
      <c r="S430" s="111">
        <f ca="1">S$479*(-R422+S422)*ИД!$D98/1.2</f>
        <v>0</v>
      </c>
      <c r="T430" s="111">
        <f ca="1">T$479*(-S422+T422)*ИД!$D98/1.2</f>
        <v>0</v>
      </c>
      <c r="U430" s="111">
        <f ca="1">U$479*(-T422+U422)*ИД!$D98/1.2</f>
        <v>0</v>
      </c>
      <c r="V430" s="111">
        <f ca="1">V$479*(-U422+V422)*ИД!$D98/1.2</f>
        <v>0</v>
      </c>
      <c r="W430" s="111">
        <f ca="1">W$479*(-V422+W422)*ИД!$D98/1.2</f>
        <v>0</v>
      </c>
      <c r="X430" s="111">
        <f ca="1">X$479*(-W422+X422)*ИД!$D98/1.2</f>
        <v>0</v>
      </c>
      <c r="Y430" s="111">
        <f ca="1">Y$479*(-X422+Y422)*ИД!$D98/1.2</f>
        <v>0</v>
      </c>
      <c r="Z430" s="111">
        <f ca="1">Z$479*(-Y422+Z422)*ИД!$D98/1.2</f>
        <v>0</v>
      </c>
      <c r="AA430" s="111">
        <f ca="1">AA$479*(-Z422+AA422)*ИД!$D98/1.2</f>
        <v>0</v>
      </c>
      <c r="AB430" s="111">
        <f ca="1">AB$479*(-AA422+AB422)*ИД!$D98/1.2</f>
        <v>0</v>
      </c>
      <c r="AC430" s="111">
        <f ca="1">AC$479*(-AB422+AC422)*ИД!$D98/1.2</f>
        <v>0</v>
      </c>
      <c r="AD430" s="111">
        <f ca="1">AD$479*(-AC422+AD422)*ИД!$D98/1.2</f>
        <v>0</v>
      </c>
      <c r="AE430" s="111">
        <f ca="1">AE$479*(-AD422+AE422)*ИД!$D98/1.2</f>
        <v>0</v>
      </c>
      <c r="AF430" s="111">
        <f ca="1">AF$479*(-AE422+AF422)*ИД!$D98/1.2</f>
        <v>0</v>
      </c>
      <c r="AG430" s="111">
        <f ca="1">AG$479*(-AF422+AG422)*ИД!$D98/1.2</f>
        <v>0</v>
      </c>
      <c r="AH430" s="111">
        <f ca="1">AH$479*(-AG422+AH422)*ИД!$D98/1.2</f>
        <v>0</v>
      </c>
      <c r="AI430" s="111">
        <f ca="1">AI$479*(-AH422+AI422)*ИД!$D98/1.2</f>
        <v>0</v>
      </c>
      <c r="AJ430" s="111">
        <f ca="1">AJ$479*(-AI422+AJ422)*ИД!$D98/1.2</f>
        <v>0</v>
      </c>
      <c r="AK430" s="111">
        <f ca="1">AK$479*(-AJ422+AK422)*ИД!$D98/1.2</f>
        <v>0</v>
      </c>
      <c r="AL430" s="111">
        <f ca="1">AL$479*(-AK422+AL422)*ИД!$D98/1.2</f>
        <v>0</v>
      </c>
      <c r="AM430" s="111">
        <f ca="1">AM$479*(-AL422+AM422)*ИД!$D98/1.2</f>
        <v>0</v>
      </c>
      <c r="AN430" s="111">
        <f ca="1">AN$479*(-AM422+AN422)*ИД!$D98/1.2</f>
        <v>0</v>
      </c>
      <c r="AO430" s="111">
        <f ca="1">AO$479*(-AN422+AO422)*ИД!$D98/1.2</f>
        <v>0</v>
      </c>
      <c r="AP430" s="111">
        <f ca="1">AP$479*(-AO422+AP422)*ИД!$D98/1.2</f>
        <v>0</v>
      </c>
      <c r="AQ430" s="111">
        <f ca="1">AQ$479*(-AP422+AQ422)*ИД!$D98/1.2</f>
        <v>0</v>
      </c>
      <c r="AR430" s="111">
        <f ca="1">AR$479*(-AQ422+AR422)*ИД!$D98/1.2</f>
        <v>0</v>
      </c>
      <c r="AS430" s="109"/>
      <c r="AT430" s="30">
        <f t="shared" ca="1" si="148"/>
        <v>0</v>
      </c>
    </row>
    <row r="431" spans="1:46" ht="11.25" customHeight="1" outlineLevel="1" x14ac:dyDescent="0.2">
      <c r="A431" s="247" t="str">
        <f t="shared" si="149"/>
        <v>Корпус В3</v>
      </c>
      <c r="B431" s="306">
        <f ca="1">AT431*Графики_УК!$D$401</f>
        <v>1023949.8200585777</v>
      </c>
      <c r="C431" s="3" t="str">
        <f t="shared" si="147"/>
        <v>тыс. руб.</v>
      </c>
      <c r="E431" s="111">
        <v>0</v>
      </c>
      <c r="F431" s="111">
        <f ca="1">F$479*(-E423+F423)*ИД!$D99/1.2</f>
        <v>0</v>
      </c>
      <c r="G431" s="111">
        <f ca="1">G$479*(-F423+G423)*ИД!$D99/1.2</f>
        <v>0</v>
      </c>
      <c r="H431" s="111">
        <f ca="1">H$479*(-G423+H423)*ИД!$D99/1.2</f>
        <v>0</v>
      </c>
      <c r="I431" s="111">
        <f ca="1">I$479*(-H423+I423)*ИД!$D99/1.2</f>
        <v>0</v>
      </c>
      <c r="J431" s="111">
        <f ca="1">J$479*(-I423+J423)*ИД!$D99/1.2</f>
        <v>0</v>
      </c>
      <c r="K431" s="111">
        <f ca="1">K$479*(-J423+K423)*ИД!$D99/1.2</f>
        <v>0</v>
      </c>
      <c r="L431" s="111">
        <f ca="1">L$479*(-K423+L423)*ИД!$D99/1.2</f>
        <v>0</v>
      </c>
      <c r="M431" s="111">
        <f ca="1">M$479*(-L423+M423)*ИД!$D99/1.2</f>
        <v>0</v>
      </c>
      <c r="N431" s="111">
        <f ca="1">N$479*(-M423+N423)*ИД!$D99/1.2</f>
        <v>0</v>
      </c>
      <c r="O431" s="111">
        <f ca="1">O$479*(-N423+O423)*ИД!$D99/1.2</f>
        <v>0</v>
      </c>
      <c r="P431" s="111">
        <f ca="1">P$479*(-O423+P423)*ИД!$D99/1.2</f>
        <v>0</v>
      </c>
      <c r="Q431" s="111">
        <f ca="1">Q$479*(-P423+Q423)*ИД!$D99/1.2</f>
        <v>0</v>
      </c>
      <c r="R431" s="111">
        <f ca="1">R$479*(-Q423+R423)*ИД!$D99/1.2</f>
        <v>0</v>
      </c>
      <c r="S431" s="111">
        <f ca="1">S$479*(-R423+S423)*ИД!$D99/1.2</f>
        <v>0</v>
      </c>
      <c r="T431" s="111">
        <f ca="1">T$479*(-S423+T423)*ИД!$D99/1.2</f>
        <v>0</v>
      </c>
      <c r="U431" s="111">
        <f ca="1">U$479*(-T423+U423)*ИД!$D99/1.2</f>
        <v>0</v>
      </c>
      <c r="V431" s="111">
        <f ca="1">V$479*(-U423+V423)*ИД!$D99/1.2</f>
        <v>0</v>
      </c>
      <c r="W431" s="111">
        <f ca="1">W$479*(-V423+W423)*ИД!$D99/1.2</f>
        <v>0</v>
      </c>
      <c r="X431" s="111">
        <f ca="1">X$479*(-W423+X423)*ИД!$D99/1.2</f>
        <v>0</v>
      </c>
      <c r="Y431" s="111">
        <f ca="1">Y$479*(-X423+Y423)*ИД!$D99/1.2</f>
        <v>0</v>
      </c>
      <c r="Z431" s="111">
        <f ca="1">Z$479*(-Y423+Z423)*ИД!$D99/1.2</f>
        <v>0</v>
      </c>
      <c r="AA431" s="111">
        <f ca="1">AA$479*(-Z423+AA423)*ИД!$D99/1.2</f>
        <v>0</v>
      </c>
      <c r="AB431" s="111">
        <f ca="1">AB$479*(-AA423+AB423)*ИД!$D99/1.2</f>
        <v>0</v>
      </c>
      <c r="AC431" s="111">
        <f ca="1">AC$479*(-AB423+AC423)*ИД!$D99/1.2</f>
        <v>0</v>
      </c>
      <c r="AD431" s="111">
        <f ca="1">AD$479*(-AC423+AD423)*ИД!$D99/1.2</f>
        <v>0</v>
      </c>
      <c r="AE431" s="111">
        <f ca="1">AE$479*(-AD423+AE423)*ИД!$D99/1.2</f>
        <v>0</v>
      </c>
      <c r="AF431" s="111">
        <f ca="1">AF$479*(-AE423+AF423)*ИД!$D99/1.2</f>
        <v>0</v>
      </c>
      <c r="AG431" s="111">
        <f ca="1">AG$479*(-AF423+AG423)*ИД!$D99/1.2</f>
        <v>0</v>
      </c>
      <c r="AH431" s="111">
        <f ca="1">AH$479*(-AG423+AH423)*ИД!$D99/1.2</f>
        <v>0</v>
      </c>
      <c r="AI431" s="111">
        <f ca="1">AI$479*(-AH423+AI423)*ИД!$D99/1.2</f>
        <v>0</v>
      </c>
      <c r="AJ431" s="111">
        <f ca="1">AJ$479*(-AI423+AJ423)*ИД!$D99/1.2</f>
        <v>0</v>
      </c>
      <c r="AK431" s="111">
        <f ca="1">AK$479*(-AJ423+AK423)*ИД!$D99/1.2</f>
        <v>0</v>
      </c>
      <c r="AL431" s="111">
        <f ca="1">AL$479*(-AK423+AL423)*ИД!$D99/1.2</f>
        <v>0</v>
      </c>
      <c r="AM431" s="111">
        <f ca="1">AM$479*(-AL423+AM423)*ИД!$D99/1.2</f>
        <v>0</v>
      </c>
      <c r="AN431" s="111">
        <f ca="1">AN$479*(-AM423+AN423)*ИД!$D99/1.2</f>
        <v>0</v>
      </c>
      <c r="AO431" s="111">
        <f ca="1">AO$479*(-AN423+AO423)*ИД!$D99/1.2</f>
        <v>1023949.8200585777</v>
      </c>
      <c r="AP431" s="111">
        <f ca="1">AP$479*(-AO423+AP423)*ИД!$D99/1.2</f>
        <v>0</v>
      </c>
      <c r="AQ431" s="111">
        <f ca="1">AQ$479*(-AP423+AQ423)*ИД!$D99/1.2</f>
        <v>0</v>
      </c>
      <c r="AR431" s="111">
        <f ca="1">AR$479*(-AQ423+AR423)*ИД!$D99/1.2</f>
        <v>0</v>
      </c>
      <c r="AS431" s="109"/>
      <c r="AT431" s="30">
        <f t="shared" ca="1" si="148"/>
        <v>1023949.8200585777</v>
      </c>
    </row>
    <row r="432" spans="1:46" ht="11.25" customHeight="1" outlineLevel="1" x14ac:dyDescent="0.2">
      <c r="A432" s="247" t="str">
        <f t="shared" si="149"/>
        <v>Объект II очереди</v>
      </c>
      <c r="B432" s="306">
        <f ca="1">AT432*Графики_УК!$D$401</f>
        <v>2107854.2302858843</v>
      </c>
      <c r="C432" s="3" t="str">
        <f t="shared" si="147"/>
        <v>тыс. руб.</v>
      </c>
      <c r="E432" s="111">
        <v>0</v>
      </c>
      <c r="F432" s="111">
        <f ca="1">F$479*(-E424+F424)*ИД!$D100/1.2</f>
        <v>0</v>
      </c>
      <c r="G432" s="111">
        <f ca="1">G$479*(-F424+G424)*ИД!$D100/1.2</f>
        <v>0</v>
      </c>
      <c r="H432" s="111">
        <f ca="1">H$479*(-G424+H424)*ИД!$D100/1.2</f>
        <v>0</v>
      </c>
      <c r="I432" s="111">
        <f ca="1">I$479*(-H424+I424)*ИД!$D100/1.2</f>
        <v>0</v>
      </c>
      <c r="J432" s="111">
        <f ca="1">J$479*(-I424+J424)*ИД!$D100/1.2</f>
        <v>0</v>
      </c>
      <c r="K432" s="111">
        <f ca="1">K$479*(-J424+K424)*ИД!$D100/1.2</f>
        <v>0</v>
      </c>
      <c r="L432" s="111">
        <f ca="1">L$479*(-K424+L424)*ИД!$D100/1.2</f>
        <v>0</v>
      </c>
      <c r="M432" s="111">
        <f ca="1">M$479*(-L424+M424)*ИД!$D100/1.2</f>
        <v>0</v>
      </c>
      <c r="N432" s="111">
        <f ca="1">N$479*(-M424+N424)*ИД!$D100/1.2</f>
        <v>0</v>
      </c>
      <c r="O432" s="111">
        <f ca="1">O$479*(-N424+O424)*ИД!$D100/1.2</f>
        <v>0</v>
      </c>
      <c r="P432" s="111">
        <f ca="1">P$479*(-O424+P424)*ИД!$D100/1.2</f>
        <v>0</v>
      </c>
      <c r="Q432" s="111">
        <f ca="1">Q$479*(-P424+Q424)*ИД!$D100/1.2</f>
        <v>0</v>
      </c>
      <c r="R432" s="111">
        <f ca="1">R$479*(-Q424+R424)*ИД!$D100/1.2</f>
        <v>0</v>
      </c>
      <c r="S432" s="111">
        <f ca="1">S$479*(-R424+S424)*ИД!$D100/1.2</f>
        <v>0</v>
      </c>
      <c r="T432" s="111">
        <f ca="1">T$479*(-S424+T424)*ИД!$D100/1.2</f>
        <v>0</v>
      </c>
      <c r="U432" s="111">
        <f ca="1">U$479*(-T424+U424)*ИД!$D100/1.2</f>
        <v>0</v>
      </c>
      <c r="V432" s="111">
        <f ca="1">V$479*(-U424+V424)*ИД!$D100/1.2</f>
        <v>0</v>
      </c>
      <c r="W432" s="111">
        <f ca="1">W$479*(-V424+W424)*ИД!$D100/1.2</f>
        <v>0</v>
      </c>
      <c r="X432" s="111">
        <f ca="1">X$479*(-W424+X424)*ИД!$D100/1.2</f>
        <v>0</v>
      </c>
      <c r="Y432" s="111">
        <f ca="1">Y$479*(-X424+Y424)*ИД!$D100/1.2</f>
        <v>0</v>
      </c>
      <c r="Z432" s="111">
        <f ca="1">Z$479*(-Y424+Z424)*ИД!$D100/1.2</f>
        <v>0</v>
      </c>
      <c r="AA432" s="111">
        <f ca="1">AA$479*(-Z424+AA424)*ИД!$D100/1.2</f>
        <v>0</v>
      </c>
      <c r="AB432" s="111">
        <f ca="1">AB$479*(-AA424+AB424)*ИД!$D100/1.2</f>
        <v>0</v>
      </c>
      <c r="AC432" s="111">
        <f ca="1">AC$479*(-AB424+AC424)*ИД!$D100/1.2</f>
        <v>0</v>
      </c>
      <c r="AD432" s="111">
        <f ca="1">AD$479*(-AC424+AD424)*ИД!$D100/1.2</f>
        <v>0</v>
      </c>
      <c r="AE432" s="111">
        <f ca="1">AE$479*(-AD424+AE424)*ИД!$D100/1.2</f>
        <v>0</v>
      </c>
      <c r="AF432" s="111">
        <f ca="1">AF$479*(-AE424+AF424)*ИД!$D100/1.2</f>
        <v>0</v>
      </c>
      <c r="AG432" s="111">
        <f ca="1">AG$479*(-AF424+AG424)*ИД!$D100/1.2</f>
        <v>0</v>
      </c>
      <c r="AH432" s="111">
        <f ca="1">AH$479*(-AG424+AH424)*ИД!$D100/1.2</f>
        <v>0</v>
      </c>
      <c r="AI432" s="111">
        <f ca="1">AI$479*(-AH424+AI424)*ИД!$D100/1.2</f>
        <v>0</v>
      </c>
      <c r="AJ432" s="111">
        <f ca="1">AJ$479*(-AI424+AJ424)*ИД!$D100/1.2</f>
        <v>0</v>
      </c>
      <c r="AK432" s="111">
        <f ca="1">AK$479*(-AJ424+AK424)*ИД!$D100/1.2</f>
        <v>0</v>
      </c>
      <c r="AL432" s="111">
        <f ca="1">AL$479*(-AK424+AL424)*ИД!$D100/1.2</f>
        <v>0</v>
      </c>
      <c r="AM432" s="111">
        <f ca="1">AM$479*(-AL424+AM424)*ИД!$D100/1.2</f>
        <v>0</v>
      </c>
      <c r="AN432" s="111">
        <f ca="1">AN$479*(-AM424+AN424)*ИД!$D100/1.2</f>
        <v>0</v>
      </c>
      <c r="AO432" s="111">
        <f ca="1">AO$479*(-AN424+AO424)*ИД!$D100/1.2</f>
        <v>2107854.2302858843</v>
      </c>
      <c r="AP432" s="111">
        <f ca="1">AP$479*(-AO424+AP424)*ИД!$D100/1.2</f>
        <v>0</v>
      </c>
      <c r="AQ432" s="111">
        <f ca="1">AQ$479*(-AP424+AQ424)*ИД!$D100/1.2</f>
        <v>0</v>
      </c>
      <c r="AR432" s="111">
        <f ca="1">AR$479*(-AQ424+AR424)*ИД!$D100/1.2</f>
        <v>0</v>
      </c>
      <c r="AS432" s="109"/>
      <c r="AT432" s="30">
        <f t="shared" ca="1" si="148"/>
        <v>2107854.2302858843</v>
      </c>
    </row>
    <row r="433" spans="1:46" ht="22.5" outlineLevel="1" x14ac:dyDescent="0.2">
      <c r="A433" s="154" t="s">
        <v>785</v>
      </c>
      <c r="B433" s="5">
        <f ca="1">SUM(E433:AS433)</f>
        <v>6786130.6196715049</v>
      </c>
      <c r="C433" s="3" t="str">
        <f>CHOOSE(C391,Параметры!$B$64,Параметры!$B$108,Параметры!$B$117)</f>
        <v>тыс. руб.</v>
      </c>
      <c r="E433" s="121">
        <f>SUM(E427:E432)</f>
        <v>0</v>
      </c>
      <c r="F433" s="121">
        <f t="shared" ref="F433:AR433" ca="1" si="150">SUM(F427:F432)</f>
        <v>0</v>
      </c>
      <c r="G433" s="121">
        <f t="shared" ca="1" si="150"/>
        <v>0</v>
      </c>
      <c r="H433" s="121">
        <f t="shared" ca="1" si="150"/>
        <v>0</v>
      </c>
      <c r="I433" s="121">
        <f t="shared" ca="1" si="150"/>
        <v>0</v>
      </c>
      <c r="J433" s="121">
        <f t="shared" ca="1" si="150"/>
        <v>0</v>
      </c>
      <c r="K433" s="121">
        <f t="shared" ca="1" si="150"/>
        <v>0</v>
      </c>
      <c r="L433" s="121">
        <f t="shared" ca="1" si="150"/>
        <v>0</v>
      </c>
      <c r="M433" s="121">
        <f t="shared" ca="1" si="150"/>
        <v>0</v>
      </c>
      <c r="N433" s="121">
        <f t="shared" ca="1" si="150"/>
        <v>0</v>
      </c>
      <c r="O433" s="121">
        <f t="shared" ca="1" si="150"/>
        <v>0</v>
      </c>
      <c r="P433" s="121">
        <f t="shared" ca="1" si="150"/>
        <v>0</v>
      </c>
      <c r="Q433" s="121">
        <f t="shared" ca="1" si="150"/>
        <v>0</v>
      </c>
      <c r="R433" s="121">
        <f t="shared" ca="1" si="150"/>
        <v>0</v>
      </c>
      <c r="S433" s="121">
        <f t="shared" ca="1" si="150"/>
        <v>0</v>
      </c>
      <c r="T433" s="121">
        <f t="shared" ca="1" si="150"/>
        <v>0</v>
      </c>
      <c r="U433" s="121">
        <f t="shared" ca="1" si="150"/>
        <v>0</v>
      </c>
      <c r="V433" s="121">
        <f t="shared" ca="1" si="150"/>
        <v>0</v>
      </c>
      <c r="W433" s="121">
        <f t="shared" ca="1" si="150"/>
        <v>0</v>
      </c>
      <c r="X433" s="121">
        <f t="shared" ca="1" si="150"/>
        <v>0</v>
      </c>
      <c r="Y433" s="121">
        <f t="shared" ca="1" si="150"/>
        <v>0</v>
      </c>
      <c r="Z433" s="121">
        <f t="shared" ca="1" si="150"/>
        <v>0</v>
      </c>
      <c r="AA433" s="121">
        <f t="shared" ca="1" si="150"/>
        <v>0</v>
      </c>
      <c r="AB433" s="121">
        <f t="shared" ca="1" si="150"/>
        <v>0</v>
      </c>
      <c r="AC433" s="121">
        <f t="shared" ca="1" si="150"/>
        <v>0</v>
      </c>
      <c r="AD433" s="121">
        <f t="shared" ca="1" si="150"/>
        <v>0</v>
      </c>
      <c r="AE433" s="121">
        <f t="shared" ca="1" si="150"/>
        <v>0</v>
      </c>
      <c r="AF433" s="121">
        <f t="shared" ca="1" si="150"/>
        <v>0</v>
      </c>
      <c r="AG433" s="121">
        <f t="shared" ca="1" si="150"/>
        <v>0</v>
      </c>
      <c r="AH433" s="121">
        <f t="shared" ca="1" si="150"/>
        <v>0</v>
      </c>
      <c r="AI433" s="121">
        <f t="shared" ca="1" si="150"/>
        <v>0</v>
      </c>
      <c r="AJ433" s="121">
        <f t="shared" ca="1" si="150"/>
        <v>0</v>
      </c>
      <c r="AK433" s="121">
        <f t="shared" ca="1" si="150"/>
        <v>409429.66220429027</v>
      </c>
      <c r="AL433" s="121">
        <f t="shared" ca="1" si="150"/>
        <v>0</v>
      </c>
      <c r="AM433" s="121">
        <f t="shared" ca="1" si="150"/>
        <v>0</v>
      </c>
      <c r="AN433" s="121">
        <f t="shared" ca="1" si="150"/>
        <v>0</v>
      </c>
      <c r="AO433" s="121">
        <f t="shared" ca="1" si="150"/>
        <v>6376700.9574672151</v>
      </c>
      <c r="AP433" s="121">
        <f t="shared" ca="1" si="150"/>
        <v>0</v>
      </c>
      <c r="AQ433" s="121">
        <f t="shared" ca="1" si="150"/>
        <v>0</v>
      </c>
      <c r="AR433" s="121">
        <f t="shared" ca="1" si="150"/>
        <v>0</v>
      </c>
      <c r="AS433" s="90"/>
      <c r="AT433" s="30">
        <f t="shared" ca="1" si="148"/>
        <v>6786130.6196715049</v>
      </c>
    </row>
    <row r="434" spans="1:46" ht="11.25" customHeight="1" outlineLevel="1" x14ac:dyDescent="0.2">
      <c r="A434" s="63" t="s">
        <v>557</v>
      </c>
      <c r="B434" s="4"/>
      <c r="C434" s="3" t="s">
        <v>1</v>
      </c>
      <c r="E434" s="470">
        <f t="shared" ref="E434:AR434" ca="1" si="151">(E420/$B412*$B402+E421/$B413*$B403+E423/$B415*$B405+E424/$B416*$B406)/$B$407</f>
        <v>0</v>
      </c>
      <c r="F434" s="470">
        <f t="shared" ca="1" si="151"/>
        <v>0</v>
      </c>
      <c r="G434" s="470">
        <f t="shared" ca="1" si="151"/>
        <v>0</v>
      </c>
      <c r="H434" s="470">
        <f t="shared" ca="1" si="151"/>
        <v>0</v>
      </c>
      <c r="I434" s="470">
        <f t="shared" ca="1" si="151"/>
        <v>0</v>
      </c>
      <c r="J434" s="470">
        <f t="shared" ca="1" si="151"/>
        <v>0</v>
      </c>
      <c r="K434" s="470">
        <f t="shared" ca="1" si="151"/>
        <v>0</v>
      </c>
      <c r="L434" s="470">
        <f t="shared" ca="1" si="151"/>
        <v>0</v>
      </c>
      <c r="M434" s="470">
        <f t="shared" ca="1" si="151"/>
        <v>0</v>
      </c>
      <c r="N434" s="470">
        <f t="shared" ca="1" si="151"/>
        <v>0</v>
      </c>
      <c r="O434" s="470">
        <f t="shared" ca="1" si="151"/>
        <v>0</v>
      </c>
      <c r="P434" s="470">
        <f t="shared" ca="1" si="151"/>
        <v>0</v>
      </c>
      <c r="Q434" s="470">
        <f t="shared" ca="1" si="151"/>
        <v>0</v>
      </c>
      <c r="R434" s="470">
        <f t="shared" ca="1" si="151"/>
        <v>0</v>
      </c>
      <c r="S434" s="470">
        <f t="shared" ca="1" si="151"/>
        <v>0</v>
      </c>
      <c r="T434" s="470">
        <f t="shared" ca="1" si="151"/>
        <v>0</v>
      </c>
      <c r="U434" s="470">
        <f t="shared" ca="1" si="151"/>
        <v>0</v>
      </c>
      <c r="V434" s="470">
        <f t="shared" ca="1" si="151"/>
        <v>0</v>
      </c>
      <c r="W434" s="470">
        <f t="shared" ca="1" si="151"/>
        <v>0</v>
      </c>
      <c r="X434" s="470">
        <f t="shared" ca="1" si="151"/>
        <v>0</v>
      </c>
      <c r="Y434" s="470">
        <f t="shared" ca="1" si="151"/>
        <v>0</v>
      </c>
      <c r="Z434" s="470">
        <f t="shared" ca="1" si="151"/>
        <v>0</v>
      </c>
      <c r="AA434" s="470">
        <f t="shared" ca="1" si="151"/>
        <v>0</v>
      </c>
      <c r="AB434" s="470">
        <f t="shared" ca="1" si="151"/>
        <v>0</v>
      </c>
      <c r="AC434" s="470">
        <f t="shared" ca="1" si="151"/>
        <v>0</v>
      </c>
      <c r="AD434" s="470">
        <f t="shared" ca="1" si="151"/>
        <v>0</v>
      </c>
      <c r="AE434" s="470">
        <f t="shared" ca="1" si="151"/>
        <v>0</v>
      </c>
      <c r="AF434" s="470">
        <f t="shared" ca="1" si="151"/>
        <v>0</v>
      </c>
      <c r="AG434" s="470">
        <f t="shared" ca="1" si="151"/>
        <v>0</v>
      </c>
      <c r="AH434" s="470">
        <f t="shared" ca="1" si="151"/>
        <v>0</v>
      </c>
      <c r="AI434" s="470">
        <f t="shared" ca="1" si="151"/>
        <v>0</v>
      </c>
      <c r="AJ434" s="470">
        <f t="shared" ca="1" si="151"/>
        <v>0</v>
      </c>
      <c r="AK434" s="470">
        <f t="shared" ca="1" si="151"/>
        <v>5.5604273804262382E-2</v>
      </c>
      <c r="AL434" s="470">
        <f t="shared" ca="1" si="151"/>
        <v>5.5604273804262382E-2</v>
      </c>
      <c r="AM434" s="470">
        <f t="shared" ca="1" si="151"/>
        <v>5.5604273804262382E-2</v>
      </c>
      <c r="AN434" s="470">
        <f t="shared" ca="1" si="151"/>
        <v>5.5604273804262382E-2</v>
      </c>
      <c r="AO434" s="470">
        <f t="shared" ca="1" si="151"/>
        <v>0.7240288638653759</v>
      </c>
      <c r="AP434" s="470">
        <f t="shared" ca="1" si="151"/>
        <v>0.7240288638653759</v>
      </c>
      <c r="AQ434" s="470">
        <f t="shared" ca="1" si="151"/>
        <v>0.7240288638653759</v>
      </c>
      <c r="AR434" s="470">
        <f t="shared" ca="1" si="151"/>
        <v>0.7240288638653759</v>
      </c>
      <c r="AS434" s="109"/>
    </row>
    <row r="435" spans="1:46" ht="11.25" customHeight="1" outlineLevel="1" x14ac:dyDescent="0.2">
      <c r="A435" s="63" t="s">
        <v>54</v>
      </c>
      <c r="B435" s="5">
        <f ca="1">SUM(E435:AS435)</f>
        <v>6786130.6196715049</v>
      </c>
      <c r="C435" s="3" t="str">
        <f>CHOOSE(C391,Параметры!$B$64,Параметры!$B$108,Параметры!$B$117)</f>
        <v>тыс. руб.</v>
      </c>
      <c r="E435" s="473">
        <v>0</v>
      </c>
      <c r="F435" s="473">
        <f ca="1">IF(F420-E420&gt;0,$B428,0)+IF(F421-E421&gt;0,$B429,0)+IF(F423-E423&gt;0,$B431,0)+IF(F424-E424&gt;0,$B432,0)</f>
        <v>0</v>
      </c>
      <c r="G435" s="473">
        <f t="shared" ref="G435:AR435" ca="1" si="152">IF(G420-F420&gt;0,$B428,0)+IF(G421-F421&gt;0,$B429,0)+IF(G423-F423&gt;0,$B431,0)+IF(G424-F424&gt;0,$B432,0)</f>
        <v>0</v>
      </c>
      <c r="H435" s="473">
        <f t="shared" ca="1" si="152"/>
        <v>0</v>
      </c>
      <c r="I435" s="473">
        <f t="shared" ca="1" si="152"/>
        <v>0</v>
      </c>
      <c r="J435" s="473">
        <f t="shared" ca="1" si="152"/>
        <v>0</v>
      </c>
      <c r="K435" s="473">
        <f t="shared" ca="1" si="152"/>
        <v>0</v>
      </c>
      <c r="L435" s="473">
        <f t="shared" ca="1" si="152"/>
        <v>0</v>
      </c>
      <c r="M435" s="473">
        <f t="shared" ca="1" si="152"/>
        <v>0</v>
      </c>
      <c r="N435" s="473">
        <f t="shared" ca="1" si="152"/>
        <v>0</v>
      </c>
      <c r="O435" s="473">
        <f t="shared" ca="1" si="152"/>
        <v>0</v>
      </c>
      <c r="P435" s="473">
        <f t="shared" ca="1" si="152"/>
        <v>0</v>
      </c>
      <c r="Q435" s="473">
        <f t="shared" ca="1" si="152"/>
        <v>0</v>
      </c>
      <c r="R435" s="473">
        <f t="shared" ca="1" si="152"/>
        <v>0</v>
      </c>
      <c r="S435" s="473">
        <f t="shared" ca="1" si="152"/>
        <v>0</v>
      </c>
      <c r="T435" s="473">
        <f t="shared" ca="1" si="152"/>
        <v>0</v>
      </c>
      <c r="U435" s="473">
        <f t="shared" ca="1" si="152"/>
        <v>0</v>
      </c>
      <c r="V435" s="473">
        <f t="shared" ca="1" si="152"/>
        <v>0</v>
      </c>
      <c r="W435" s="473">
        <f t="shared" ca="1" si="152"/>
        <v>0</v>
      </c>
      <c r="X435" s="473">
        <f t="shared" ca="1" si="152"/>
        <v>0</v>
      </c>
      <c r="Y435" s="473">
        <f t="shared" ca="1" si="152"/>
        <v>0</v>
      </c>
      <c r="Z435" s="473">
        <f t="shared" ca="1" si="152"/>
        <v>0</v>
      </c>
      <c r="AA435" s="473">
        <f t="shared" ca="1" si="152"/>
        <v>0</v>
      </c>
      <c r="AB435" s="473">
        <f t="shared" ca="1" si="152"/>
        <v>0</v>
      </c>
      <c r="AC435" s="473">
        <f t="shared" ca="1" si="152"/>
        <v>0</v>
      </c>
      <c r="AD435" s="473">
        <f t="shared" ca="1" si="152"/>
        <v>0</v>
      </c>
      <c r="AE435" s="473">
        <f t="shared" ca="1" si="152"/>
        <v>0</v>
      </c>
      <c r="AF435" s="473">
        <f t="shared" ca="1" si="152"/>
        <v>0</v>
      </c>
      <c r="AG435" s="473">
        <f t="shared" ca="1" si="152"/>
        <v>0</v>
      </c>
      <c r="AH435" s="473">
        <f t="shared" ca="1" si="152"/>
        <v>0</v>
      </c>
      <c r="AI435" s="473">
        <f t="shared" ca="1" si="152"/>
        <v>0</v>
      </c>
      <c r="AJ435" s="473">
        <f t="shared" ca="1" si="152"/>
        <v>0</v>
      </c>
      <c r="AK435" s="473">
        <f t="shared" ca="1" si="152"/>
        <v>409429.66220429027</v>
      </c>
      <c r="AL435" s="473">
        <f t="shared" ca="1" si="152"/>
        <v>0</v>
      </c>
      <c r="AM435" s="473">
        <f t="shared" ca="1" si="152"/>
        <v>0</v>
      </c>
      <c r="AN435" s="473">
        <f t="shared" ca="1" si="152"/>
        <v>0</v>
      </c>
      <c r="AO435" s="473">
        <f t="shared" ca="1" si="152"/>
        <v>6376700.9574672151</v>
      </c>
      <c r="AP435" s="473">
        <f t="shared" ca="1" si="152"/>
        <v>0</v>
      </c>
      <c r="AQ435" s="473">
        <f t="shared" ca="1" si="152"/>
        <v>0</v>
      </c>
      <c r="AR435" s="473">
        <f t="shared" ca="1" si="152"/>
        <v>0</v>
      </c>
      <c r="AS435" s="90"/>
      <c r="AT435" s="30">
        <f ca="1">SUM(E435:AS435)</f>
        <v>6786130.6196715049</v>
      </c>
    </row>
    <row r="436" spans="1:46" ht="11.25" customHeight="1" outlineLevel="1" x14ac:dyDescent="0.2">
      <c r="A436" s="147" t="s">
        <v>786</v>
      </c>
      <c r="B436" s="2"/>
      <c r="C436" s="2" t="str">
        <f>CHOOSE(Параметры!$B$19,Параметры!$B$64,Параметры!$B$108,Параметры!$B$117)</f>
        <v>тыс. руб.</v>
      </c>
      <c r="E436" s="115">
        <f>E398*CHOOSE($C391,1,Параметры!E$109,Параметры!E$118)</f>
        <v>240278.125</v>
      </c>
      <c r="F436" s="115">
        <f ca="1">F398*CHOOSE($C391,1,Параметры!F$109,Параметры!F$118)</f>
        <v>240278.125</v>
      </c>
      <c r="G436" s="115">
        <f ca="1">G398*CHOOSE($C391,1,Параметры!G$109,Параметры!G$118)</f>
        <v>0</v>
      </c>
      <c r="H436" s="115">
        <f ca="1">H398*CHOOSE($C391,1,Параметры!H$109,Параметры!H$118)</f>
        <v>0</v>
      </c>
      <c r="I436" s="115">
        <f ca="1">I398*CHOOSE($C391,1,Параметры!I$109,Параметры!I$118)</f>
        <v>45000</v>
      </c>
      <c r="J436" s="115">
        <f ca="1">J398*CHOOSE($C391,1,Параметры!J$109,Параметры!J$118)</f>
        <v>136698.10159154984</v>
      </c>
      <c r="K436" s="115">
        <f ca="1">K398*CHOOSE($C391,1,Параметры!K$109,Параметры!K$118)</f>
        <v>184556.7504072462</v>
      </c>
      <c r="L436" s="115">
        <f ca="1">L398*CHOOSE($C391,1,Параметры!L$109,Параметры!L$118)</f>
        <v>93439.101542874254</v>
      </c>
      <c r="M436" s="115">
        <f ca="1">M398*CHOOSE($C391,1,Параметры!M$109,Параметры!M$118)</f>
        <v>162552.84385621815</v>
      </c>
      <c r="N436" s="115">
        <f ca="1">N398*CHOOSE($C391,1,Параметры!N$109,Параметры!N$118)</f>
        <v>357504.32910954347</v>
      </c>
      <c r="O436" s="115">
        <f ca="1">O398*CHOOSE($C391,1,Параметры!O$109,Параметры!O$118)</f>
        <v>528518.93254253722</v>
      </c>
      <c r="P436" s="115">
        <f ca="1">P398*CHOOSE($C391,1,Параметры!P$109,Параметры!P$118)</f>
        <v>337310.02513749152</v>
      </c>
      <c r="Q436" s="115">
        <f ca="1">Q398*CHOOSE($C391,1,Параметры!Q$109,Параметры!Q$118)</f>
        <v>342859.38279964356</v>
      </c>
      <c r="R436" s="115">
        <f ca="1">R398*CHOOSE($C391,1,Параметры!R$109,Параметры!R$118)</f>
        <v>755013.81657632731</v>
      </c>
      <c r="S436" s="115">
        <f ca="1">S398*CHOOSE($C391,1,Параметры!S$109,Параметры!S$118)</f>
        <v>825884.87517050619</v>
      </c>
      <c r="T436" s="115">
        <f ca="1">T398*CHOOSE($C391,1,Параметры!T$109,Параметры!T$118)</f>
        <v>417937.22502131149</v>
      </c>
      <c r="U436" s="115">
        <f ca="1">U398*CHOOSE($C391,1,Параметры!U$109,Параметры!U$118)</f>
        <v>0</v>
      </c>
      <c r="V436" s="115">
        <f ca="1">V398*CHOOSE($C391,1,Параметры!V$109,Параметры!V$118)</f>
        <v>0</v>
      </c>
      <c r="W436" s="115">
        <f ca="1">W398*CHOOSE($C391,1,Параметры!W$109,Параметры!W$118)</f>
        <v>0</v>
      </c>
      <c r="X436" s="115">
        <f ca="1">X398*CHOOSE($C391,1,Параметры!X$109,Параметры!X$118)</f>
        <v>0</v>
      </c>
      <c r="Y436" s="115">
        <f ca="1">Y398*CHOOSE($C391,1,Параметры!Y$109,Параметры!Y$118)</f>
        <v>0</v>
      </c>
      <c r="Z436" s="115">
        <f ca="1">Z398*CHOOSE($C391,1,Параметры!Z$109,Параметры!Z$118)</f>
        <v>0</v>
      </c>
      <c r="AA436" s="115">
        <f ca="1">AA398*CHOOSE($C391,1,Параметры!AA$109,Параметры!AA$118)</f>
        <v>0</v>
      </c>
      <c r="AB436" s="115">
        <f ca="1">AB398*CHOOSE($C391,1,Параметры!AB$109,Параметры!AB$118)</f>
        <v>0</v>
      </c>
      <c r="AC436" s="115">
        <f ca="1">AC398*CHOOSE($C391,1,Параметры!AC$109,Параметры!AC$118)</f>
        <v>0</v>
      </c>
      <c r="AD436" s="115">
        <f ca="1">AD398*CHOOSE($C391,1,Параметры!AD$109,Параметры!AD$118)</f>
        <v>0</v>
      </c>
      <c r="AE436" s="115">
        <f ca="1">AE398*CHOOSE($C391,1,Параметры!AE$109,Параметры!AE$118)</f>
        <v>0</v>
      </c>
      <c r="AF436" s="115">
        <f ca="1">AF398*CHOOSE($C391,1,Параметры!AF$109,Параметры!AF$118)</f>
        <v>0</v>
      </c>
      <c r="AG436" s="115">
        <f ca="1">AG398*CHOOSE($C391,1,Параметры!AG$109,Параметры!AG$118)</f>
        <v>0</v>
      </c>
      <c r="AH436" s="115">
        <f ca="1">AH398*CHOOSE($C391,1,Параметры!AH$109,Параметры!AH$118)</f>
        <v>0</v>
      </c>
      <c r="AI436" s="115">
        <f ca="1">AI398*CHOOSE($C391,1,Параметры!AI$109,Параметры!AI$118)</f>
        <v>0</v>
      </c>
      <c r="AJ436" s="115">
        <f ca="1">AJ398*CHOOSE($C391,1,Параметры!AJ$109,Параметры!AJ$118)</f>
        <v>0</v>
      </c>
      <c r="AK436" s="115">
        <f ca="1">AK398*CHOOSE($C391,1,Параметры!AK$109,Параметры!AK$118)</f>
        <v>0</v>
      </c>
      <c r="AL436" s="115">
        <f ca="1">AL398*CHOOSE($C391,1,Параметры!AL$109,Параметры!AL$118)</f>
        <v>0</v>
      </c>
      <c r="AM436" s="115">
        <f ca="1">AM398*CHOOSE($C391,1,Параметры!AM$109,Параметры!AM$118)</f>
        <v>0</v>
      </c>
      <c r="AN436" s="115">
        <f ca="1">AN398*CHOOSE($C391,1,Параметры!AN$109,Параметры!AN$118)</f>
        <v>0</v>
      </c>
      <c r="AO436" s="115">
        <f ca="1">AO398*CHOOSE($C391,1,Параметры!AO$109,Параметры!AO$118)</f>
        <v>0</v>
      </c>
      <c r="AP436" s="115">
        <f ca="1">AP398*CHOOSE($C391,1,Параметры!AP$109,Параметры!AP$118)</f>
        <v>0</v>
      </c>
      <c r="AQ436" s="115">
        <f ca="1">AQ398*CHOOSE($C391,1,Параметры!AQ$109,Параметры!AQ$118)</f>
        <v>0</v>
      </c>
      <c r="AR436" s="115">
        <f ca="1">AR398*CHOOSE($C391,1,Параметры!AR$109,Параметры!AR$118)</f>
        <v>0</v>
      </c>
      <c r="AS436" s="115"/>
      <c r="AT436" s="125">
        <f ca="1">SUM(E436:AS436)</f>
        <v>4667831.633755249</v>
      </c>
    </row>
    <row r="437" spans="1:46" ht="11.25" customHeight="1" outlineLevel="1" x14ac:dyDescent="0.2">
      <c r="A437" s="147" t="s">
        <v>404</v>
      </c>
      <c r="B437" s="144">
        <f>B399*CHOOSE(C391,1,Параметры!E$109,Параметры!E$118)</f>
        <v>480556.25</v>
      </c>
      <c r="C437" s="2" t="str">
        <f>CHOOSE(Параметры!$B$19,Параметры!$B$64,Параметры!$B$108,Параметры!$B$117)</f>
        <v>тыс. руб.</v>
      </c>
      <c r="E437" s="115">
        <f>B437</f>
        <v>480556.25</v>
      </c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  <c r="AH437" s="115"/>
      <c r="AI437" s="115"/>
      <c r="AJ437" s="115"/>
      <c r="AK437" s="115"/>
      <c r="AL437" s="115"/>
      <c r="AM437" s="115"/>
      <c r="AN437" s="115"/>
      <c r="AO437" s="115"/>
      <c r="AP437" s="115"/>
      <c r="AQ437" s="115"/>
      <c r="AR437" s="115"/>
      <c r="AS437" s="115"/>
      <c r="AT437" s="125"/>
    </row>
    <row r="438" spans="1:46" ht="11.25" customHeight="1" outlineLevel="1" x14ac:dyDescent="0.2">
      <c r="A438" s="147" t="s">
        <v>405</v>
      </c>
      <c r="B438" s="144">
        <f>B437*E409</f>
        <v>96111.25</v>
      </c>
      <c r="C438" s="2" t="str">
        <f>CHOOSE(Параметры!$B$19,Параметры!$B$64,Параметры!$B$108,Параметры!$B$117)</f>
        <v>тыс. руб.</v>
      </c>
      <c r="E438" s="115">
        <f>B438</f>
        <v>96111.25</v>
      </c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  <c r="AH438" s="115"/>
      <c r="AI438" s="115"/>
      <c r="AJ438" s="115"/>
      <c r="AK438" s="115"/>
      <c r="AL438" s="115"/>
      <c r="AM438" s="115"/>
      <c r="AN438" s="115"/>
      <c r="AO438" s="115"/>
      <c r="AP438" s="115"/>
      <c r="AQ438" s="115"/>
      <c r="AR438" s="115"/>
      <c r="AS438" s="115"/>
      <c r="AT438" s="125"/>
    </row>
    <row r="439" spans="1:46" ht="11.25" customHeight="1" outlineLevel="1" x14ac:dyDescent="0.2">
      <c r="A439" s="147" t="s">
        <v>406</v>
      </c>
      <c r="B439" s="415">
        <f ca="1">AT439</f>
        <v>5148387.883755248</v>
      </c>
      <c r="C439" s="2" t="str">
        <f>CHOOSE(Параметры!$B$19,Параметры!$B$64,Параметры!$B$108,Параметры!$B$117)</f>
        <v>тыс. руб.</v>
      </c>
      <c r="E439" s="115">
        <f ca="1">E407*CHOOSE($C391,1,Параметры!E$109,Параметры!E$118)</f>
        <v>0</v>
      </c>
      <c r="F439" s="115">
        <f ca="1">F407*CHOOSE($C391,1,Параметры!F$109,Параметры!F$118)</f>
        <v>0</v>
      </c>
      <c r="G439" s="115">
        <f ca="1">G407*CHOOSE($C391,1,Параметры!G$109,Параметры!G$118)</f>
        <v>961112.5</v>
      </c>
      <c r="H439" s="115">
        <f ca="1">H407*CHOOSE($C391,1,Параметры!H$109,Параметры!H$118)</f>
        <v>0</v>
      </c>
      <c r="I439" s="115">
        <f ca="1">I407*CHOOSE($C391,1,Параметры!I$109,Параметры!I$118)</f>
        <v>0</v>
      </c>
      <c r="J439" s="115">
        <f ca="1">J407*CHOOSE($C391,1,Параметры!J$109,Параметры!J$118)</f>
        <v>0</v>
      </c>
      <c r="K439" s="115">
        <f ca="1">K407*CHOOSE($C391,1,Параметры!K$109,Параметры!K$118)</f>
        <v>0</v>
      </c>
      <c r="L439" s="115">
        <f ca="1">L407*CHOOSE($C391,1,Параметры!L$109,Параметры!L$118)</f>
        <v>0</v>
      </c>
      <c r="M439" s="115">
        <f ca="1">M407*CHOOSE($C391,1,Параметры!M$109,Параметры!M$118)</f>
        <v>459693.95354167029</v>
      </c>
      <c r="N439" s="115">
        <f ca="1">N407*CHOOSE($C391,1,Параметры!N$109,Параметры!N$118)</f>
        <v>0</v>
      </c>
      <c r="O439" s="115">
        <f ca="1">O407*CHOOSE($C391,1,Параметры!O$109,Параметры!O$118)</f>
        <v>0</v>
      </c>
      <c r="P439" s="115">
        <f ca="1">P407*CHOOSE($C391,1,Параметры!P$109,Параметры!P$118)</f>
        <v>0</v>
      </c>
      <c r="Q439" s="115">
        <f ca="1">Q407*CHOOSE($C391,1,Параметры!Q$109,Параметры!Q$118)</f>
        <v>286272.36953887378</v>
      </c>
      <c r="R439" s="115">
        <f ca="1">R407*CHOOSE($C391,1,Параметры!R$109,Параметры!R$118)</f>
        <v>0</v>
      </c>
      <c r="S439" s="115">
        <f ca="1">S407*CHOOSE($C391,1,Параметры!S$109,Параметры!S$118)</f>
        <v>0</v>
      </c>
      <c r="T439" s="115">
        <f ca="1">T407*CHOOSE($C391,1,Параметры!T$109,Параметры!T$118)</f>
        <v>0</v>
      </c>
      <c r="U439" s="115">
        <f ca="1">U407*CHOOSE($C391,1,Параметры!U$109,Параметры!U$118)</f>
        <v>3441309.0606747046</v>
      </c>
      <c r="V439" s="115">
        <f ca="1">V407*CHOOSE($C391,1,Параметры!V$109,Параметры!V$118)</f>
        <v>0</v>
      </c>
      <c r="W439" s="115">
        <f ca="1">W407*CHOOSE($C391,1,Параметры!W$109,Параметры!W$118)</f>
        <v>0</v>
      </c>
      <c r="X439" s="115">
        <f ca="1">X407*CHOOSE($C391,1,Параметры!X$109,Параметры!X$118)</f>
        <v>0</v>
      </c>
      <c r="Y439" s="115">
        <f ca="1">Y407*CHOOSE($C391,1,Параметры!Y$109,Параметры!Y$118)</f>
        <v>0</v>
      </c>
      <c r="Z439" s="115">
        <f ca="1">Z407*CHOOSE($C391,1,Параметры!Z$109,Параметры!Z$118)</f>
        <v>0</v>
      </c>
      <c r="AA439" s="115">
        <f ca="1">AA407*CHOOSE($C391,1,Параметры!AA$109,Параметры!AA$118)</f>
        <v>0</v>
      </c>
      <c r="AB439" s="115">
        <f ca="1">AB407*CHOOSE($C391,1,Параметры!AB$109,Параметры!AB$118)</f>
        <v>0</v>
      </c>
      <c r="AC439" s="115">
        <f ca="1">AC407*CHOOSE($C391,1,Параметры!AC$109,Параметры!AC$118)</f>
        <v>0</v>
      </c>
      <c r="AD439" s="115">
        <f ca="1">AD407*CHOOSE($C391,1,Параметры!AD$109,Параметры!AD$118)</f>
        <v>0</v>
      </c>
      <c r="AE439" s="115">
        <f ca="1">AE407*CHOOSE($C391,1,Параметры!AE$109,Параметры!AE$118)</f>
        <v>0</v>
      </c>
      <c r="AF439" s="115">
        <f ca="1">AF407*CHOOSE($C391,1,Параметры!AF$109,Параметры!AF$118)</f>
        <v>0</v>
      </c>
      <c r="AG439" s="115">
        <f ca="1">AG407*CHOOSE($C391,1,Параметры!AG$109,Параметры!AG$118)</f>
        <v>0</v>
      </c>
      <c r="AH439" s="115">
        <f ca="1">AH407*CHOOSE($C391,1,Параметры!AH$109,Параметры!AH$118)</f>
        <v>0</v>
      </c>
      <c r="AI439" s="115">
        <f ca="1">AI407*CHOOSE($C391,1,Параметры!AI$109,Параметры!AI$118)</f>
        <v>0</v>
      </c>
      <c r="AJ439" s="115">
        <f ca="1">AJ407*CHOOSE($C391,1,Параметры!AJ$109,Параметры!AJ$118)</f>
        <v>0</v>
      </c>
      <c r="AK439" s="115">
        <f ca="1">AK407*CHOOSE($C391,1,Параметры!AK$109,Параметры!AK$118)</f>
        <v>0</v>
      </c>
      <c r="AL439" s="115">
        <f ca="1">AL407*CHOOSE($C391,1,Параметры!AL$109,Параметры!AL$118)</f>
        <v>0</v>
      </c>
      <c r="AM439" s="115">
        <f ca="1">AM407*CHOOSE($C391,1,Параметры!AM$109,Параметры!AM$118)</f>
        <v>0</v>
      </c>
      <c r="AN439" s="115">
        <f ca="1">AN407*CHOOSE($C391,1,Параметры!AN$109,Параметры!AN$118)</f>
        <v>0</v>
      </c>
      <c r="AO439" s="115">
        <f ca="1">AO407*CHOOSE($C391,1,Параметры!AO$109,Параметры!AO$118)</f>
        <v>0</v>
      </c>
      <c r="AP439" s="115">
        <f ca="1">AP407*CHOOSE($C391,1,Параметры!AP$109,Параметры!AP$118)</f>
        <v>0</v>
      </c>
      <c r="AQ439" s="115">
        <f ca="1">AQ407*CHOOSE($C391,1,Параметры!AQ$109,Параметры!AQ$118)</f>
        <v>0</v>
      </c>
      <c r="AR439" s="115">
        <f ca="1">AR407*CHOOSE($C391,1,Параметры!AR$109,Параметры!AR$118)</f>
        <v>0</v>
      </c>
      <c r="AS439" s="115"/>
      <c r="AT439" s="125">
        <f ca="1">SUM(E439:AS439)</f>
        <v>5148387.883755248</v>
      </c>
    </row>
    <row r="440" spans="1:46" ht="11.25" customHeight="1" outlineLevel="1" x14ac:dyDescent="0.2">
      <c r="A440" s="147" t="s">
        <v>558</v>
      </c>
      <c r="B440" s="415"/>
      <c r="C440" s="2" t="str">
        <f>CHOOSE(Параметры!$B$19,Параметры!$B$64,Параметры!$B$108,Параметры!$B$117)</f>
        <v>тыс. руб.</v>
      </c>
      <c r="E440" s="115">
        <f ca="1">IF(E$2=1,0,D440)+E439-SUM(D440,E439)</f>
        <v>0</v>
      </c>
      <c r="F440" s="115">
        <f ca="1">IF(F$2=1,0,E440)+F439</f>
        <v>0</v>
      </c>
      <c r="G440" s="115">
        <f t="shared" ref="G440:AR440" ca="1" si="153">IF(G$2=1,0,F440)+G439</f>
        <v>961112.5</v>
      </c>
      <c r="H440" s="115">
        <f t="shared" ca="1" si="153"/>
        <v>961112.5</v>
      </c>
      <c r="I440" s="115">
        <f t="shared" ca="1" si="153"/>
        <v>961112.5</v>
      </c>
      <c r="J440" s="115">
        <f t="shared" ca="1" si="153"/>
        <v>961112.5</v>
      </c>
      <c r="K440" s="115">
        <f t="shared" ca="1" si="153"/>
        <v>961112.5</v>
      </c>
      <c r="L440" s="115">
        <f t="shared" ca="1" si="153"/>
        <v>961112.5</v>
      </c>
      <c r="M440" s="115">
        <f t="shared" ca="1" si="153"/>
        <v>1420806.4535416702</v>
      </c>
      <c r="N440" s="115">
        <f t="shared" ca="1" si="153"/>
        <v>1420806.4535416702</v>
      </c>
      <c r="O440" s="115">
        <f t="shared" ca="1" si="153"/>
        <v>1420806.4535416702</v>
      </c>
      <c r="P440" s="115">
        <f t="shared" ca="1" si="153"/>
        <v>1420806.4535416702</v>
      </c>
      <c r="Q440" s="115">
        <f t="shared" ca="1" si="153"/>
        <v>1707078.8230805439</v>
      </c>
      <c r="R440" s="115">
        <f t="shared" ca="1" si="153"/>
        <v>1707078.8230805439</v>
      </c>
      <c r="S440" s="115">
        <f t="shared" ca="1" si="153"/>
        <v>1707078.8230805439</v>
      </c>
      <c r="T440" s="115">
        <f t="shared" ca="1" si="153"/>
        <v>1707078.8230805439</v>
      </c>
      <c r="U440" s="115">
        <f t="shared" ca="1" si="153"/>
        <v>5148387.883755248</v>
      </c>
      <c r="V440" s="115">
        <f t="shared" ca="1" si="153"/>
        <v>5148387.883755248</v>
      </c>
      <c r="W440" s="115">
        <f t="shared" ca="1" si="153"/>
        <v>5148387.883755248</v>
      </c>
      <c r="X440" s="115">
        <f t="shared" ca="1" si="153"/>
        <v>5148387.883755248</v>
      </c>
      <c r="Y440" s="115">
        <f t="shared" ca="1" si="153"/>
        <v>5148387.883755248</v>
      </c>
      <c r="Z440" s="115">
        <f t="shared" ca="1" si="153"/>
        <v>5148387.883755248</v>
      </c>
      <c r="AA440" s="115">
        <f t="shared" ca="1" si="153"/>
        <v>5148387.883755248</v>
      </c>
      <c r="AB440" s="115">
        <f t="shared" ca="1" si="153"/>
        <v>5148387.883755248</v>
      </c>
      <c r="AC440" s="115">
        <f t="shared" ca="1" si="153"/>
        <v>5148387.883755248</v>
      </c>
      <c r="AD440" s="115">
        <f t="shared" ca="1" si="153"/>
        <v>5148387.883755248</v>
      </c>
      <c r="AE440" s="115">
        <f t="shared" ca="1" si="153"/>
        <v>5148387.883755248</v>
      </c>
      <c r="AF440" s="115">
        <f t="shared" ca="1" si="153"/>
        <v>5148387.883755248</v>
      </c>
      <c r="AG440" s="115">
        <f t="shared" ca="1" si="153"/>
        <v>5148387.883755248</v>
      </c>
      <c r="AH440" s="115">
        <f t="shared" ca="1" si="153"/>
        <v>5148387.883755248</v>
      </c>
      <c r="AI440" s="115">
        <f t="shared" ca="1" si="153"/>
        <v>5148387.883755248</v>
      </c>
      <c r="AJ440" s="115">
        <f t="shared" ca="1" si="153"/>
        <v>5148387.883755248</v>
      </c>
      <c r="AK440" s="115">
        <f t="shared" ca="1" si="153"/>
        <v>5148387.883755248</v>
      </c>
      <c r="AL440" s="115">
        <f t="shared" ca="1" si="153"/>
        <v>5148387.883755248</v>
      </c>
      <c r="AM440" s="115">
        <f t="shared" ca="1" si="153"/>
        <v>5148387.883755248</v>
      </c>
      <c r="AN440" s="115">
        <f t="shared" ca="1" si="153"/>
        <v>5148387.883755248</v>
      </c>
      <c r="AO440" s="115">
        <f t="shared" ca="1" si="153"/>
        <v>5148387.883755248</v>
      </c>
      <c r="AP440" s="115">
        <f t="shared" ca="1" si="153"/>
        <v>5148387.883755248</v>
      </c>
      <c r="AQ440" s="115">
        <f t="shared" ca="1" si="153"/>
        <v>5148387.883755248</v>
      </c>
      <c r="AR440" s="115">
        <f t="shared" ca="1" si="153"/>
        <v>5148387.883755248</v>
      </c>
      <c r="AS440" s="115"/>
      <c r="AT440" s="125"/>
    </row>
    <row r="441" spans="1:46" ht="11.25" customHeight="1" outlineLevel="1" x14ac:dyDescent="0.2">
      <c r="A441" s="146" t="s">
        <v>43</v>
      </c>
      <c r="B441" s="40"/>
      <c r="C441" s="2" t="str">
        <f>CHOOSE(Параметры!$B$19,Параметры!$B$64,Параметры!$B$108,Параметры!$B$117)</f>
        <v>тыс. руб.</v>
      </c>
      <c r="E441" s="121">
        <f ca="1">MAX(SUM($E398:E398)+$B399-SUM($E407:E407),0)*CHOOSE($C391,1,Параметры!E$109,Параметры!E$118)</f>
        <v>720834.375</v>
      </c>
      <c r="F441" s="121">
        <f ca="1">MAX(SUM($E398:F398)+$B399-SUM($E407:F407),0)*CHOOSE($C391,1,Параметры!F$109,Параметры!F$118)</f>
        <v>961112.5</v>
      </c>
      <c r="G441" s="121">
        <f ca="1">MAX(SUM($E398:G398)+$B399-SUM($E407:G407),0)*CHOOSE($C391,1,Параметры!G$109,Параметры!G$118)</f>
        <v>0</v>
      </c>
      <c r="H441" s="121">
        <f ca="1">MAX(SUM($E398:H398)+$B399-SUM($E407:H407),0)*CHOOSE($C391,1,Параметры!H$109,Параметры!H$118)</f>
        <v>0</v>
      </c>
      <c r="I441" s="121">
        <f ca="1">MAX(SUM($E398:I398)+$B399-SUM($E407:I407),0)*CHOOSE($C391,1,Параметры!I$109,Параметры!I$118)</f>
        <v>45000</v>
      </c>
      <c r="J441" s="121">
        <f ca="1">MAX(SUM($E398:J398)+$B399-SUM($E407:J407),0)*CHOOSE($C391,1,Параметры!J$109,Параметры!J$118)</f>
        <v>181698.10159154981</v>
      </c>
      <c r="K441" s="121">
        <f ca="1">MAX(SUM($E398:K398)+$B399-SUM($E407:K407),0)*CHOOSE($C391,1,Параметры!K$109,Параметры!K$118)</f>
        <v>366254.85199879599</v>
      </c>
      <c r="L441" s="121">
        <f ca="1">MAX(SUM($E398:L398)+$B399-SUM($E407:L407),0)*CHOOSE($C391,1,Параметры!L$109,Параметры!L$118)</f>
        <v>459693.95354167023</v>
      </c>
      <c r="M441" s="121">
        <f ca="1">MAX(SUM($E398:M398)+$B399-SUM($E407:M407),0)*CHOOSE($C391,1,Параметры!M$109,Параметры!M$118)</f>
        <v>162552.84385621804</v>
      </c>
      <c r="N441" s="121">
        <f ca="1">MAX(SUM($E398:N398)+$B399-SUM($E407:N407),0)*CHOOSE($C391,1,Параметры!N$109,Параметры!N$118)</f>
        <v>520057.17296576151</v>
      </c>
      <c r="O441" s="121">
        <f ca="1">MAX(SUM($E398:O398)+$B399-SUM($E407:O407),0)*CHOOSE($C391,1,Параметры!O$109,Параметры!O$118)</f>
        <v>1048576.1055082988</v>
      </c>
      <c r="P441" s="121">
        <f ca="1">MAX(SUM($E398:P398)+$B399-SUM($E407:P407),0)*CHOOSE($C391,1,Параметры!P$109,Параметры!P$118)</f>
        <v>1385886.1306457904</v>
      </c>
      <c r="Q441" s="121">
        <f ca="1">MAX(SUM($E398:Q398)+$B399-SUM($E407:Q407),0)*CHOOSE($C391,1,Параметры!Q$109,Параметры!Q$118)</f>
        <v>1442473.1439065603</v>
      </c>
      <c r="R441" s="121">
        <f ca="1">MAX(SUM($E398:R398)+$B399-SUM($E407:R407),0)*CHOOSE($C391,1,Параметры!R$109,Параметры!R$118)</f>
        <v>2197486.9604828875</v>
      </c>
      <c r="S441" s="121">
        <f ca="1">MAX(SUM($E398:S398)+$B399-SUM($E407:S407),0)*CHOOSE($C391,1,Параметры!S$109,Параметры!S$118)</f>
        <v>3023371.835653394</v>
      </c>
      <c r="T441" s="121">
        <f ca="1">MAX(SUM($E398:T398)+$B399-SUM($E407:T407),0)*CHOOSE($C391,1,Параметры!T$109,Параметры!T$118)</f>
        <v>3441309.0606747051</v>
      </c>
      <c r="U441" s="121">
        <f ca="1">MAX(SUM($E398:U398)+$B399-SUM($E407:U407),0)*CHOOSE($C391,1,Параметры!U$109,Параметры!U$118)</f>
        <v>9.3132257461547852E-10</v>
      </c>
      <c r="V441" s="121">
        <f ca="1">MAX(SUM($E398:V398)+$B399-SUM($E407:V407),0)*CHOOSE($C391,1,Параметры!V$109,Параметры!V$118)</f>
        <v>9.3132257461547852E-10</v>
      </c>
      <c r="W441" s="121">
        <f ca="1">MAX(SUM($E398:W398)+$B399-SUM($E407:W407),0)*CHOOSE($C391,1,Параметры!W$109,Параметры!W$118)</f>
        <v>9.3132257461547852E-10</v>
      </c>
      <c r="X441" s="121">
        <f ca="1">MAX(SUM($E398:X398)+$B399-SUM($E407:X407),0)*CHOOSE($C391,1,Параметры!X$109,Параметры!X$118)</f>
        <v>9.3132257461547852E-10</v>
      </c>
      <c r="Y441" s="121">
        <f ca="1">MAX(SUM($E398:Y398)+$B399-SUM($E407:Y407),0)*CHOOSE($C391,1,Параметры!Y$109,Параметры!Y$118)</f>
        <v>9.3132257461547852E-10</v>
      </c>
      <c r="Z441" s="121">
        <f ca="1">MAX(SUM($E398:Z398)+$B399-SUM($E407:Z407),0)*CHOOSE($C391,1,Параметры!Z$109,Параметры!Z$118)</f>
        <v>9.3132257461547852E-10</v>
      </c>
      <c r="AA441" s="121">
        <f ca="1">MAX(SUM($E398:AA398)+$B399-SUM($E407:AA407),0)*CHOOSE($C391,1,Параметры!AA$109,Параметры!AA$118)</f>
        <v>9.3132257461547852E-10</v>
      </c>
      <c r="AB441" s="121">
        <f ca="1">MAX(SUM($E398:AB398)+$B399-SUM($E407:AB407),0)*CHOOSE($C391,1,Параметры!AB$109,Параметры!AB$118)</f>
        <v>9.3132257461547852E-10</v>
      </c>
      <c r="AC441" s="121">
        <f ca="1">MAX(SUM($E398:AC398)+$B399-SUM($E407:AC407),0)*CHOOSE($C391,1,Параметры!AC$109,Параметры!AC$118)</f>
        <v>9.3132257461547852E-10</v>
      </c>
      <c r="AD441" s="121">
        <f ca="1">MAX(SUM($E398:AD398)+$B399-SUM($E407:AD407),0)*CHOOSE($C391,1,Параметры!AD$109,Параметры!AD$118)</f>
        <v>9.3132257461547852E-10</v>
      </c>
      <c r="AE441" s="121">
        <f ca="1">MAX(SUM($E398:AE398)+$B399-SUM($E407:AE407),0)*CHOOSE($C391,1,Параметры!AE$109,Параметры!AE$118)</f>
        <v>9.3132257461547852E-10</v>
      </c>
      <c r="AF441" s="121">
        <f ca="1">MAX(SUM($E398:AF398)+$B399-SUM($E407:AF407),0)*CHOOSE($C391,1,Параметры!AF$109,Параметры!AF$118)</f>
        <v>9.3132257461547852E-10</v>
      </c>
      <c r="AG441" s="121">
        <f ca="1">MAX(SUM($E398:AG398)+$B399-SUM($E407:AG407),0)*CHOOSE($C391,1,Параметры!AG$109,Параметры!AG$118)</f>
        <v>9.3132257461547852E-10</v>
      </c>
      <c r="AH441" s="121">
        <f ca="1">MAX(SUM($E398:AH398)+$B399-SUM($E407:AH407),0)*CHOOSE($C391,1,Параметры!AH$109,Параметры!AH$118)</f>
        <v>9.3132257461547852E-10</v>
      </c>
      <c r="AI441" s="121">
        <f ca="1">MAX(SUM($E398:AI398)+$B399-SUM($E407:AI407),0)*CHOOSE($C391,1,Параметры!AI$109,Параметры!AI$118)</f>
        <v>9.3132257461547852E-10</v>
      </c>
      <c r="AJ441" s="121">
        <f ca="1">MAX(SUM($E398:AJ398)+$B399-SUM($E407:AJ407),0)*CHOOSE($C391,1,Параметры!AJ$109,Параметры!AJ$118)</f>
        <v>9.3132257461547852E-10</v>
      </c>
      <c r="AK441" s="121">
        <f ca="1">MAX(SUM($E398:AK398)+$B399-SUM($E407:AK407),0)*CHOOSE($C391,1,Параметры!AK$109,Параметры!AK$118)</f>
        <v>9.3132257461547852E-10</v>
      </c>
      <c r="AL441" s="121">
        <f ca="1">MAX(SUM($E398:AL398)+$B399-SUM($E407:AL407),0)*CHOOSE($C391,1,Параметры!AL$109,Параметры!AL$118)</f>
        <v>9.3132257461547852E-10</v>
      </c>
      <c r="AM441" s="121">
        <f ca="1">MAX(SUM($E398:AM398)+$B399-SUM($E407:AM407),0)*CHOOSE($C391,1,Параметры!AM$109,Параметры!AM$118)</f>
        <v>9.3132257461547852E-10</v>
      </c>
      <c r="AN441" s="121">
        <f ca="1">MAX(SUM($E398:AN398)+$B399-SUM($E407:AN407),0)*CHOOSE($C391,1,Параметры!AN$109,Параметры!AN$118)</f>
        <v>9.3132257461547852E-10</v>
      </c>
      <c r="AO441" s="121">
        <f ca="1">MAX(SUM($E398:AO398)+$B399-SUM($E407:AO407),0)*CHOOSE($C391,1,Параметры!AO$109,Параметры!AO$118)</f>
        <v>9.3132257461547852E-10</v>
      </c>
      <c r="AP441" s="121">
        <f ca="1">MAX(SUM($E398:AP398)+$B399-SUM($E407:AP407),0)*CHOOSE($C391,1,Параметры!AP$109,Параметры!AP$118)</f>
        <v>9.3132257461547852E-10</v>
      </c>
      <c r="AQ441" s="121">
        <f ca="1">MAX(SUM($E398:AQ398)+$B399-SUM($E407:AQ407),0)*CHOOSE($C391,1,Параметры!AQ$109,Параметры!AQ$118)</f>
        <v>9.3132257461547852E-10</v>
      </c>
      <c r="AR441" s="121">
        <f ca="1">MAX(SUM($E398:AR398)+$B399-SUM($E407:AR407),0)*CHOOSE($C391,1,Параметры!AR$109,Параметры!AR$118)</f>
        <v>9.3132257461547852E-10</v>
      </c>
      <c r="AS441" s="115"/>
      <c r="AT441" s="116"/>
    </row>
    <row r="442" spans="1:46" ht="11.25" customHeight="1" outlineLevel="1" x14ac:dyDescent="0.2">
      <c r="A442" s="146" t="s">
        <v>44</v>
      </c>
      <c r="B442" s="40"/>
      <c r="C442" s="2" t="str">
        <f>CHOOSE(Параметры!$B$19,Параметры!$B$64,Параметры!$B$108,Параметры!$B$117)</f>
        <v>тыс. руб.</v>
      </c>
      <c r="E442" s="121">
        <f ca="1">MAX(SUM($E407:E407)-SUM($E398:E398)-$B399,0)*CHOOSE($C391,1,Параметры!E$109,Параметры!E$118)</f>
        <v>0</v>
      </c>
      <c r="F442" s="121">
        <f ca="1">MAX(SUM($E407:F407)-SUM($E398:F398)-$B399,0)*CHOOSE($C391,1,Параметры!F$109,Параметры!F$118)</f>
        <v>0</v>
      </c>
      <c r="G442" s="121">
        <f ca="1">MAX(SUM($E407:G407)-SUM($E398:G398)-$B399,0)*CHOOSE($C391,1,Параметры!G$109,Параметры!G$118)</f>
        <v>0</v>
      </c>
      <c r="H442" s="121">
        <f ca="1">MAX(SUM($E407:H407)-SUM($E398:H398)-$B399,0)*CHOOSE($C391,1,Параметры!H$109,Параметры!H$118)</f>
        <v>0</v>
      </c>
      <c r="I442" s="121">
        <f ca="1">MAX(SUM($E407:I407)-SUM($E398:I398)-$B399,0)*CHOOSE($C391,1,Параметры!I$109,Параметры!I$118)</f>
        <v>0</v>
      </c>
      <c r="J442" s="121">
        <f ca="1">MAX(SUM($E407:J407)-SUM($E398:J398)-$B399,0)*CHOOSE($C391,1,Параметры!J$109,Параметры!J$118)</f>
        <v>0</v>
      </c>
      <c r="K442" s="121">
        <f ca="1">MAX(SUM($E407:K407)-SUM($E398:K398)-$B399,0)*CHOOSE($C391,1,Параметры!K$109,Параметры!K$118)</f>
        <v>0</v>
      </c>
      <c r="L442" s="121">
        <f ca="1">MAX(SUM($E407:L407)-SUM($E398:L398)-$B399,0)*CHOOSE($C391,1,Параметры!L$109,Параметры!L$118)</f>
        <v>0</v>
      </c>
      <c r="M442" s="121">
        <f ca="1">MAX(SUM($E407:M407)-SUM($E398:M398)-$B399,0)*CHOOSE($C391,1,Параметры!M$109,Параметры!M$118)</f>
        <v>0</v>
      </c>
      <c r="N442" s="121">
        <f ca="1">MAX(SUM($E407:N407)-SUM($E398:N398)-$B399,0)*CHOOSE($C391,1,Параметры!N$109,Параметры!N$118)</f>
        <v>0</v>
      </c>
      <c r="O442" s="121">
        <f ca="1">MAX(SUM($E407:O407)-SUM($E398:O398)-$B399,0)*CHOOSE($C391,1,Параметры!O$109,Параметры!O$118)</f>
        <v>0</v>
      </c>
      <c r="P442" s="121">
        <f ca="1">MAX(SUM($E407:P407)-SUM($E398:P398)-$B399,0)*CHOOSE($C391,1,Параметры!P$109,Параметры!P$118)</f>
        <v>0</v>
      </c>
      <c r="Q442" s="121">
        <f ca="1">MAX(SUM($E407:Q407)-SUM($E398:Q398)-$B399,0)*CHOOSE($C391,1,Параметры!Q$109,Параметры!Q$118)</f>
        <v>0</v>
      </c>
      <c r="R442" s="121">
        <f ca="1">MAX(SUM($E407:R407)-SUM($E398:R398)-$B399,0)*CHOOSE($C391,1,Параметры!R$109,Параметры!R$118)</f>
        <v>0</v>
      </c>
      <c r="S442" s="121">
        <f ca="1">MAX(SUM($E407:S407)-SUM($E398:S398)-$B399,0)*CHOOSE($C391,1,Параметры!S$109,Параметры!S$118)</f>
        <v>0</v>
      </c>
      <c r="T442" s="121">
        <f ca="1">MAX(SUM($E407:T407)-SUM($E398:T398)-$B399,0)*CHOOSE($C391,1,Параметры!T$109,Параметры!T$118)</f>
        <v>0</v>
      </c>
      <c r="U442" s="121">
        <f ca="1">MAX(SUM($E407:U407)-SUM($E398:U398)-$B399,0)*CHOOSE($C391,1,Параметры!U$109,Параметры!U$118)</f>
        <v>0</v>
      </c>
      <c r="V442" s="121">
        <f ca="1">MAX(SUM($E407:V407)-SUM($E398:V398)-$B399,0)*CHOOSE($C391,1,Параметры!V$109,Параметры!V$118)</f>
        <v>0</v>
      </c>
      <c r="W442" s="121">
        <f ca="1">MAX(SUM($E407:W407)-SUM($E398:W398)-$B399,0)*CHOOSE($C391,1,Параметры!W$109,Параметры!W$118)</f>
        <v>0</v>
      </c>
      <c r="X442" s="121">
        <f ca="1">MAX(SUM($E407:X407)-SUM($E398:X398)-$B399,0)*CHOOSE($C391,1,Параметры!X$109,Параметры!X$118)</f>
        <v>0</v>
      </c>
      <c r="Y442" s="121">
        <f ca="1">MAX(SUM($E407:Y407)-SUM($E398:Y398)-$B399,0)*CHOOSE($C391,1,Параметры!Y$109,Параметры!Y$118)</f>
        <v>0</v>
      </c>
      <c r="Z442" s="121">
        <f ca="1">MAX(SUM($E407:Z407)-SUM($E398:Z398)-$B399,0)*CHOOSE($C391,1,Параметры!Z$109,Параметры!Z$118)</f>
        <v>0</v>
      </c>
      <c r="AA442" s="121">
        <f ca="1">MAX(SUM($E407:AA407)-SUM($E398:AA398)-$B399,0)*CHOOSE($C391,1,Параметры!AA$109,Параметры!AA$118)</f>
        <v>0</v>
      </c>
      <c r="AB442" s="121">
        <f ca="1">MAX(SUM($E407:AB407)-SUM($E398:AB398)-$B399,0)*CHOOSE($C391,1,Параметры!AB$109,Параметры!AB$118)</f>
        <v>0</v>
      </c>
      <c r="AC442" s="121">
        <f ca="1">MAX(SUM($E407:AC407)-SUM($E398:AC398)-$B399,0)*CHOOSE($C391,1,Параметры!AC$109,Параметры!AC$118)</f>
        <v>0</v>
      </c>
      <c r="AD442" s="121">
        <f ca="1">MAX(SUM($E407:AD407)-SUM($E398:AD398)-$B399,0)*CHOOSE($C391,1,Параметры!AD$109,Параметры!AD$118)</f>
        <v>0</v>
      </c>
      <c r="AE442" s="121">
        <f ca="1">MAX(SUM($E407:AE407)-SUM($E398:AE398)-$B399,0)*CHOOSE($C391,1,Параметры!AE$109,Параметры!AE$118)</f>
        <v>0</v>
      </c>
      <c r="AF442" s="121">
        <f ca="1">MAX(SUM($E407:AF407)-SUM($E398:AF398)-$B399,0)*CHOOSE($C391,1,Параметры!AF$109,Параметры!AF$118)</f>
        <v>0</v>
      </c>
      <c r="AG442" s="121">
        <f ca="1">MAX(SUM($E407:AG407)-SUM($E398:AG398)-$B399,0)*CHOOSE($C391,1,Параметры!AG$109,Параметры!AG$118)</f>
        <v>0</v>
      </c>
      <c r="AH442" s="121">
        <f ca="1">MAX(SUM($E407:AH407)-SUM($E398:AH398)-$B399,0)*CHOOSE($C391,1,Параметры!AH$109,Параметры!AH$118)</f>
        <v>0</v>
      </c>
      <c r="AI442" s="121">
        <f ca="1">MAX(SUM($E407:AI407)-SUM($E398:AI398)-$B399,0)*CHOOSE($C391,1,Параметры!AI$109,Параметры!AI$118)</f>
        <v>0</v>
      </c>
      <c r="AJ442" s="121">
        <f ca="1">MAX(SUM($E407:AJ407)-SUM($E398:AJ398)-$B399,0)*CHOOSE($C391,1,Параметры!AJ$109,Параметры!AJ$118)</f>
        <v>0</v>
      </c>
      <c r="AK442" s="121">
        <f ca="1">MAX(SUM($E407:AK407)-SUM($E398:AK398)-$B399,0)*CHOOSE($C391,1,Параметры!AK$109,Параметры!AK$118)</f>
        <v>0</v>
      </c>
      <c r="AL442" s="121">
        <f ca="1">MAX(SUM($E407:AL407)-SUM($E398:AL398)-$B399,0)*CHOOSE($C391,1,Параметры!AL$109,Параметры!AL$118)</f>
        <v>0</v>
      </c>
      <c r="AM442" s="121">
        <f ca="1">MAX(SUM($E407:AM407)-SUM($E398:AM398)-$B399,0)*CHOOSE($C391,1,Параметры!AM$109,Параметры!AM$118)</f>
        <v>0</v>
      </c>
      <c r="AN442" s="121">
        <f ca="1">MAX(SUM($E407:AN407)-SUM($E398:AN398)-$B399,0)*CHOOSE($C391,1,Параметры!AN$109,Параметры!AN$118)</f>
        <v>0</v>
      </c>
      <c r="AO442" s="121">
        <f ca="1">MAX(SUM($E407:AO407)-SUM($E398:AO398)-$B399,0)*CHOOSE($C391,1,Параметры!AO$109,Параметры!AO$118)</f>
        <v>0</v>
      </c>
      <c r="AP442" s="121">
        <f ca="1">MAX(SUM($E407:AP407)-SUM($E398:AP398)-$B399,0)*CHOOSE($C391,1,Параметры!AP$109,Параметры!AP$118)</f>
        <v>0</v>
      </c>
      <c r="AQ442" s="121">
        <f ca="1">MAX(SUM($E407:AQ407)-SUM($E398:AQ398)-$B399,0)*CHOOSE($C391,1,Параметры!AQ$109,Параметры!AQ$118)</f>
        <v>0</v>
      </c>
      <c r="AR442" s="121">
        <f ca="1">MAX(SUM($E407:AR407)-SUM($E398:AR398)-$B399,0)*CHOOSE($C391,1,Параметры!AR$109,Параметры!AR$118)</f>
        <v>0</v>
      </c>
      <c r="AS442" s="115"/>
      <c r="AT442" s="116"/>
    </row>
    <row r="443" spans="1:46" ht="11.25" customHeight="1" outlineLevel="1" x14ac:dyDescent="0.2">
      <c r="A443" s="146" t="s">
        <v>69</v>
      </c>
      <c r="B443" s="40"/>
      <c r="C443" s="2" t="str">
        <f>CHOOSE(Параметры!$B$19,Параметры!$B$64,Параметры!$B$108,Параметры!$B$117)</f>
        <v>тыс. руб.</v>
      </c>
      <c r="E443" s="121">
        <f>MAX(SUM($E433:E433)-SUM($E435:E435),0)</f>
        <v>0</v>
      </c>
      <c r="F443" s="121">
        <f ca="1">MAX(SUM($E433:F433)-SUM($E435:F435),0)</f>
        <v>0</v>
      </c>
      <c r="G443" s="121">
        <f ca="1">MAX(SUM($E433:G433)-SUM($E435:G435),0)</f>
        <v>0</v>
      </c>
      <c r="H443" s="121">
        <f ca="1">MAX(SUM($E433:H433)-SUM($E435:H435),0)</f>
        <v>0</v>
      </c>
      <c r="I443" s="121">
        <f ca="1">MAX(SUM($E433:I433)-SUM($E435:I435),0)</f>
        <v>0</v>
      </c>
      <c r="J443" s="121">
        <f ca="1">MAX(SUM($E433:J433)-SUM($E435:J435),0)</f>
        <v>0</v>
      </c>
      <c r="K443" s="121">
        <f ca="1">MAX(SUM($E433:K433)-SUM($E435:K435),0)</f>
        <v>0</v>
      </c>
      <c r="L443" s="121">
        <f ca="1">MAX(SUM($E433:L433)-SUM($E435:L435),0)</f>
        <v>0</v>
      </c>
      <c r="M443" s="121">
        <f ca="1">MAX(SUM($E433:M433)-SUM($E435:M435),0)</f>
        <v>0</v>
      </c>
      <c r="N443" s="121">
        <f ca="1">MAX(SUM($E433:N433)-SUM($E435:N435),0)</f>
        <v>0</v>
      </c>
      <c r="O443" s="121">
        <f ca="1">MAX(SUM($E433:O433)-SUM($E435:O435),0)</f>
        <v>0</v>
      </c>
      <c r="P443" s="121">
        <f ca="1">MAX(SUM($E433:P433)-SUM($E435:P435),0)</f>
        <v>0</v>
      </c>
      <c r="Q443" s="121">
        <f ca="1">MAX(SUM($E433:Q433)-SUM($E435:Q435),0)</f>
        <v>0</v>
      </c>
      <c r="R443" s="121">
        <f ca="1">MAX(SUM($E433:R433)-SUM($E435:R435),0)</f>
        <v>0</v>
      </c>
      <c r="S443" s="121">
        <f ca="1">MAX(SUM($E433:S433)-SUM($E435:S435),0)</f>
        <v>0</v>
      </c>
      <c r="T443" s="121">
        <f ca="1">MAX(SUM($E433:T433)-SUM($E435:T435),0)</f>
        <v>0</v>
      </c>
      <c r="U443" s="121">
        <f ca="1">MAX(SUM($E433:U433)-SUM($E435:U435),0)</f>
        <v>0</v>
      </c>
      <c r="V443" s="121">
        <f ca="1">MAX(SUM($E433:V433)-SUM($E435:V435),0)</f>
        <v>0</v>
      </c>
      <c r="W443" s="121">
        <f ca="1">MAX(SUM($E433:W433)-SUM($E435:W435),0)</f>
        <v>0</v>
      </c>
      <c r="X443" s="121">
        <f ca="1">MAX(SUM($E433:X433)-SUM($E435:X435),0)</f>
        <v>0</v>
      </c>
      <c r="Y443" s="121">
        <f ca="1">MAX(SUM($E433:Y433)-SUM($E435:Y435),0)</f>
        <v>0</v>
      </c>
      <c r="Z443" s="121">
        <f ca="1">MAX(SUM($E433:Z433)-SUM($E435:Z435),0)</f>
        <v>0</v>
      </c>
      <c r="AA443" s="121">
        <f ca="1">MAX(SUM($E433:AA433)-SUM($E435:AA435),0)</f>
        <v>0</v>
      </c>
      <c r="AB443" s="121">
        <f ca="1">MAX(SUM($E433:AB433)-SUM($E435:AB435),0)</f>
        <v>0</v>
      </c>
      <c r="AC443" s="121">
        <f ca="1">MAX(SUM($E433:AC433)-SUM($E435:AC435),0)</f>
        <v>0</v>
      </c>
      <c r="AD443" s="121">
        <f ca="1">MAX(SUM($E433:AD433)-SUM($E435:AD435),0)</f>
        <v>0</v>
      </c>
      <c r="AE443" s="121">
        <f ca="1">MAX(SUM($E433:AE433)-SUM($E435:AE435),0)</f>
        <v>0</v>
      </c>
      <c r="AF443" s="121">
        <f ca="1">MAX(SUM($E433:AF433)-SUM($E435:AF435),0)</f>
        <v>0</v>
      </c>
      <c r="AG443" s="121">
        <f ca="1">MAX(SUM($E433:AG433)-SUM($E435:AG435),0)</f>
        <v>0</v>
      </c>
      <c r="AH443" s="121">
        <f ca="1">MAX(SUM($E433:AH433)-SUM($E435:AH435),0)</f>
        <v>0</v>
      </c>
      <c r="AI443" s="121">
        <f ca="1">MAX(SUM($E433:AI433)-SUM($E435:AI435),0)</f>
        <v>0</v>
      </c>
      <c r="AJ443" s="121">
        <f ca="1">MAX(SUM($E433:AJ433)-SUM($E435:AJ435),0)</f>
        <v>0</v>
      </c>
      <c r="AK443" s="121">
        <f ca="1">MAX(SUM($E433:AK433)-SUM($E435:AK435),0)</f>
        <v>0</v>
      </c>
      <c r="AL443" s="121">
        <f ca="1">MAX(SUM($E433:AL433)-SUM($E435:AL435),0)</f>
        <v>0</v>
      </c>
      <c r="AM443" s="121">
        <f ca="1">MAX(SUM($E433:AM433)-SUM($E435:AM435),0)</f>
        <v>0</v>
      </c>
      <c r="AN443" s="121">
        <f ca="1">MAX(SUM($E433:AN433)-SUM($E435:AN435),0)</f>
        <v>0</v>
      </c>
      <c r="AO443" s="121">
        <f ca="1">MAX(SUM($E433:AO433)-SUM($E435:AO435),0)</f>
        <v>0</v>
      </c>
      <c r="AP443" s="121">
        <f ca="1">MAX(SUM($E433:AP433)-SUM($E435:AP435),0)</f>
        <v>0</v>
      </c>
      <c r="AQ443" s="121">
        <f ca="1">MAX(SUM($E433:AQ433)-SUM($E435:AQ435),0)</f>
        <v>0</v>
      </c>
      <c r="AR443" s="121">
        <f ca="1">MAX(SUM($E433:AR433)-SUM($E435:AR435),0)</f>
        <v>0</v>
      </c>
      <c r="AS443" s="115"/>
      <c r="AT443" s="116"/>
    </row>
    <row r="444" spans="1:46" ht="11.25" customHeight="1" outlineLevel="1" x14ac:dyDescent="0.2">
      <c r="A444" s="146" t="s">
        <v>68</v>
      </c>
      <c r="B444" s="40"/>
      <c r="C444" s="2" t="str">
        <f>CHOOSE(Параметры!$B$19,Параметры!$B$64,Параметры!$B$108,Параметры!$B$117)</f>
        <v>тыс. руб.</v>
      </c>
      <c r="E444" s="121">
        <f>MAX(SUM($E435:E435)-SUM($E433:E433),0)</f>
        <v>0</v>
      </c>
      <c r="F444" s="121">
        <f ca="1">MAX(SUM($E435:F435)-SUM($E433:F433),0)</f>
        <v>0</v>
      </c>
      <c r="G444" s="121">
        <f ca="1">MAX(SUM($E435:G435)-SUM($E433:G433),0)</f>
        <v>0</v>
      </c>
      <c r="H444" s="121">
        <f ca="1">MAX(SUM($E435:H435)-SUM($E433:H433),0)</f>
        <v>0</v>
      </c>
      <c r="I444" s="121">
        <f ca="1">MAX(SUM($E435:I435)-SUM($E433:I433),0)</f>
        <v>0</v>
      </c>
      <c r="J444" s="121">
        <f ca="1">MAX(SUM($E435:J435)-SUM($E433:J433),0)</f>
        <v>0</v>
      </c>
      <c r="K444" s="121">
        <f ca="1">MAX(SUM($E435:K435)-SUM($E433:K433),0)</f>
        <v>0</v>
      </c>
      <c r="L444" s="121">
        <f ca="1">MAX(SUM($E435:L435)-SUM($E433:L433),0)</f>
        <v>0</v>
      </c>
      <c r="M444" s="121">
        <f ca="1">MAX(SUM($E435:M435)-SUM($E433:M433),0)</f>
        <v>0</v>
      </c>
      <c r="N444" s="121">
        <f ca="1">MAX(SUM($E435:N435)-SUM($E433:N433),0)</f>
        <v>0</v>
      </c>
      <c r="O444" s="121">
        <f ca="1">MAX(SUM($E435:O435)-SUM($E433:O433),0)</f>
        <v>0</v>
      </c>
      <c r="P444" s="121">
        <f ca="1">MAX(SUM($E435:P435)-SUM($E433:P433),0)</f>
        <v>0</v>
      </c>
      <c r="Q444" s="121">
        <f ca="1">MAX(SUM($E435:Q435)-SUM($E433:Q433),0)</f>
        <v>0</v>
      </c>
      <c r="R444" s="121">
        <f ca="1">MAX(SUM($E435:R435)-SUM($E433:R433),0)</f>
        <v>0</v>
      </c>
      <c r="S444" s="121">
        <f ca="1">MAX(SUM($E435:S435)-SUM($E433:S433),0)</f>
        <v>0</v>
      </c>
      <c r="T444" s="121">
        <f ca="1">MAX(SUM($E435:T435)-SUM($E433:T433),0)</f>
        <v>0</v>
      </c>
      <c r="U444" s="121">
        <f ca="1">MAX(SUM($E435:U435)-SUM($E433:U433),0)</f>
        <v>0</v>
      </c>
      <c r="V444" s="121">
        <f ca="1">MAX(SUM($E435:V435)-SUM($E433:V433),0)</f>
        <v>0</v>
      </c>
      <c r="W444" s="121">
        <f ca="1">MAX(SUM($E435:W435)-SUM($E433:W433),0)</f>
        <v>0</v>
      </c>
      <c r="X444" s="121">
        <f ca="1">MAX(SUM($E435:X435)-SUM($E433:X433),0)</f>
        <v>0</v>
      </c>
      <c r="Y444" s="121">
        <f ca="1">MAX(SUM($E435:Y435)-SUM($E433:Y433),0)</f>
        <v>0</v>
      </c>
      <c r="Z444" s="121">
        <f ca="1">MAX(SUM($E435:Z435)-SUM($E433:Z433),0)</f>
        <v>0</v>
      </c>
      <c r="AA444" s="121">
        <f ca="1">MAX(SUM($E435:AA435)-SUM($E433:AA433),0)</f>
        <v>0</v>
      </c>
      <c r="AB444" s="121">
        <f ca="1">MAX(SUM($E435:AB435)-SUM($E433:AB433),0)</f>
        <v>0</v>
      </c>
      <c r="AC444" s="121">
        <f ca="1">MAX(SUM($E435:AC435)-SUM($E433:AC433),0)</f>
        <v>0</v>
      </c>
      <c r="AD444" s="121">
        <f ca="1">MAX(SUM($E435:AD435)-SUM($E433:AD433),0)</f>
        <v>0</v>
      </c>
      <c r="AE444" s="121">
        <f ca="1">MAX(SUM($E435:AE435)-SUM($E433:AE433),0)</f>
        <v>0</v>
      </c>
      <c r="AF444" s="121">
        <f ca="1">MAX(SUM($E435:AF435)-SUM($E433:AF433),0)</f>
        <v>0</v>
      </c>
      <c r="AG444" s="121">
        <f ca="1">MAX(SUM($E435:AG435)-SUM($E433:AG433),0)</f>
        <v>0</v>
      </c>
      <c r="AH444" s="121">
        <f ca="1">MAX(SUM($E435:AH435)-SUM($E433:AH433),0)</f>
        <v>0</v>
      </c>
      <c r="AI444" s="121">
        <f ca="1">MAX(SUM($E435:AI435)-SUM($E433:AI433),0)</f>
        <v>0</v>
      </c>
      <c r="AJ444" s="121">
        <f ca="1">MAX(SUM($E435:AJ435)-SUM($E433:AJ433),0)</f>
        <v>0</v>
      </c>
      <c r="AK444" s="121">
        <f ca="1">MAX(SUM($E435:AK435)-SUM($E433:AK433),0)</f>
        <v>0</v>
      </c>
      <c r="AL444" s="121">
        <f ca="1">MAX(SUM($E435:AL435)-SUM($E433:AL433),0)</f>
        <v>0</v>
      </c>
      <c r="AM444" s="121">
        <f ca="1">MAX(SUM($E435:AM435)-SUM($E433:AM433),0)</f>
        <v>0</v>
      </c>
      <c r="AN444" s="121">
        <f ca="1">MAX(SUM($E435:AN435)-SUM($E433:AN433),0)</f>
        <v>0</v>
      </c>
      <c r="AO444" s="121">
        <f ca="1">MAX(SUM($E435:AO435)-SUM($E433:AO433),0)</f>
        <v>0</v>
      </c>
      <c r="AP444" s="121">
        <f ca="1">MAX(SUM($E435:AP435)-SUM($E433:AP433),0)</f>
        <v>0</v>
      </c>
      <c r="AQ444" s="121">
        <f ca="1">MAX(SUM($E435:AQ435)-SUM($E433:AQ433),0)</f>
        <v>0</v>
      </c>
      <c r="AR444" s="121">
        <f ca="1">MAX(SUM($E435:AR435)-SUM($E433:AR433),0)</f>
        <v>0</v>
      </c>
      <c r="AS444" s="115"/>
      <c r="AT444" s="116"/>
    </row>
    <row r="445" spans="1:46" ht="11.25" customHeight="1" outlineLevel="1" x14ac:dyDescent="0.2">
      <c r="A445" s="146" t="s">
        <v>50</v>
      </c>
      <c r="B445" s="40"/>
      <c r="C445" s="2" t="str">
        <f>CHOOSE(Параметры!$B$19,Параметры!$B$64,Параметры!$B$108,Параметры!$B$117)</f>
        <v>тыс. руб.</v>
      </c>
      <c r="E445" s="121">
        <f ca="1">MIN(E440/($B408*12/Параметры!$B$27),IF(E439=E440,E440/($B408*12/Параметры!$B$27),D446))</f>
        <v>0</v>
      </c>
      <c r="F445" s="121">
        <f ca="1">MIN(F440/($B408*12/Параметры!$B$27),IF(F439=F440,F440/($B408*12/Параметры!$B$27),E446))*(1-F434)</f>
        <v>0</v>
      </c>
      <c r="G445" s="121">
        <f ca="1">MIN(G440/($B408*12/Параметры!$B$27),IF(G439=G440,G440/($B408*12/Параметры!$B$27),F446))*(1-G434)</f>
        <v>12013.90625</v>
      </c>
      <c r="H445" s="121">
        <f ca="1">MIN(H440/($B408*12/Параметры!$B$27),IF(H439=H440,H440/($B408*12/Параметры!$B$27),G446))*(1-H434)</f>
        <v>12013.90625</v>
      </c>
      <c r="I445" s="121">
        <f ca="1">MIN(I440/($B408*12/Параметры!$B$27),IF(I439=I440,I440/($B408*12/Параметры!$B$27),H446))*(1-I434)</f>
        <v>12013.90625</v>
      </c>
      <c r="J445" s="121">
        <f ca="1">MIN(J440/($B408*12/Параметры!$B$27),IF(J439=J440,J440/($B408*12/Параметры!$B$27),I446))*(1-J434)</f>
        <v>12013.90625</v>
      </c>
      <c r="K445" s="121">
        <f ca="1">MIN(K440/($B408*12/Параметры!$B$27),IF(K439=K440,K440/($B408*12/Параметры!$B$27),J446))*(1-K434)</f>
        <v>12013.90625</v>
      </c>
      <c r="L445" s="121">
        <f ca="1">MIN(L440/($B408*12/Параметры!$B$27),IF(L439=L440,L440/($B408*12/Параметры!$B$27),K446))*(1-L434)</f>
        <v>12013.90625</v>
      </c>
      <c r="M445" s="121">
        <f ca="1">MIN(M440/($B408*12/Параметры!$B$27),IF(M439=M440,M440/($B408*12/Параметры!$B$27),L446))*(1-M434)</f>
        <v>17760.080669270879</v>
      </c>
      <c r="N445" s="121">
        <f ca="1">MIN(N440/($B408*12/Параметры!$B$27),IF(N439=N440,N440/($B408*12/Параметры!$B$27),M446))*(1-N434)</f>
        <v>17760.080669270879</v>
      </c>
      <c r="O445" s="121">
        <f ca="1">MIN(O440/($B408*12/Параметры!$B$27),IF(O439=O440,O440/($B408*12/Параметры!$B$27),N446))*(1-O434)</f>
        <v>17760.080669270879</v>
      </c>
      <c r="P445" s="121">
        <f ca="1">MIN(P440/($B408*12/Параметры!$B$27),IF(P439=P440,P440/($B408*12/Параметры!$B$27),O446))*(1-P434)</f>
        <v>17760.080669270879</v>
      </c>
      <c r="Q445" s="121">
        <f ca="1">MIN(Q440/($B408*12/Параметры!$B$27),IF(Q439=Q440,Q440/($B408*12/Параметры!$B$27),P446))*(1-Q434)</f>
        <v>21338.485288506799</v>
      </c>
      <c r="R445" s="121">
        <f ca="1">MIN(R440/($B408*12/Параметры!$B$27),IF(R439=R440,R440/($B408*12/Параметры!$B$27),Q446))*(1-R434)</f>
        <v>21338.485288506799</v>
      </c>
      <c r="S445" s="121">
        <f ca="1">MIN(S440/($B408*12/Параметры!$B$27),IF(S439=S440,S440/($B408*12/Параметры!$B$27),R446))*(1-S434)</f>
        <v>21338.485288506799</v>
      </c>
      <c r="T445" s="121">
        <f ca="1">MIN(T440/($B408*12/Параметры!$B$27),IF(T439=T440,T440/($B408*12/Параметры!$B$27),S446))*(1-T434)</f>
        <v>21338.485288506799</v>
      </c>
      <c r="U445" s="121">
        <f ca="1">MIN(U440/($B408*12/Параметры!$B$27),IF(U439=U440,U440/($B408*12/Параметры!$B$27),T446))*(1-U434)</f>
        <v>64354.8485469406</v>
      </c>
      <c r="V445" s="121">
        <f ca="1">MIN(V440/($B408*12/Параметры!$B$27),IF(V439=V440,V440/($B408*12/Параметры!$B$27),U446))*(1-V434)</f>
        <v>64354.8485469406</v>
      </c>
      <c r="W445" s="121">
        <f ca="1">MIN(W440/($B408*12/Параметры!$B$27),IF(W439=W440,W440/($B408*12/Параметры!$B$27),V446))*(1-W434)</f>
        <v>64354.8485469406</v>
      </c>
      <c r="X445" s="121">
        <f ca="1">MIN(X440/($B408*12/Параметры!$B$27),IF(X439=X440,X440/($B408*12/Параметры!$B$27),W446))*(1-X434)</f>
        <v>64354.8485469406</v>
      </c>
      <c r="Y445" s="121">
        <f ca="1">MIN(Y440/($B408*12/Параметры!$B$27),IF(Y439=Y440,Y440/($B408*12/Параметры!$B$27),X446))*(1-Y434)</f>
        <v>64354.8485469406</v>
      </c>
      <c r="Z445" s="121">
        <f ca="1">MIN(Z440/($B408*12/Параметры!$B$27),IF(Z439=Z440,Z440/($B408*12/Параметры!$B$27),Y446))*(1-Z434)</f>
        <v>64354.8485469406</v>
      </c>
      <c r="AA445" s="121">
        <f ca="1">MIN(AA440/($B408*12/Параметры!$B$27),IF(AA439=AA440,AA440/($B408*12/Параметры!$B$27),Z446))*(1-AA434)</f>
        <v>64354.8485469406</v>
      </c>
      <c r="AB445" s="121">
        <f ca="1">MIN(AB440/($B408*12/Параметры!$B$27),IF(AB439=AB440,AB440/($B408*12/Параметры!$B$27),AA446))*(1-AB434)</f>
        <v>64354.8485469406</v>
      </c>
      <c r="AC445" s="121">
        <f ca="1">MIN(AC440/($B408*12/Параметры!$B$27),IF(AC439=AC440,AC440/($B408*12/Параметры!$B$27),AB446))*(1-AC434)</f>
        <v>64354.8485469406</v>
      </c>
      <c r="AD445" s="121">
        <f ca="1">MIN(AD440/($B408*12/Параметры!$B$27),IF(AD439=AD440,AD440/($B408*12/Параметры!$B$27),AC446))*(1-AD434)</f>
        <v>64354.8485469406</v>
      </c>
      <c r="AE445" s="121">
        <f ca="1">MIN(AE440/($B408*12/Параметры!$B$27),IF(AE439=AE440,AE440/($B408*12/Параметры!$B$27),AD446))*(1-AE434)</f>
        <v>64354.8485469406</v>
      </c>
      <c r="AF445" s="121">
        <f ca="1">MIN(AF440/($B408*12/Параметры!$B$27),IF(AF439=AF440,AF440/($B408*12/Параметры!$B$27),AE446))*(1-AF434)</f>
        <v>64354.8485469406</v>
      </c>
      <c r="AG445" s="121">
        <f ca="1">MIN(AG440/($B408*12/Параметры!$B$27),IF(AG439=AG440,AG440/($B408*12/Параметры!$B$27),AF446))*(1-AG434)</f>
        <v>64354.8485469406</v>
      </c>
      <c r="AH445" s="121">
        <f ca="1">MIN(AH440/($B408*12/Параметры!$B$27),IF(AH439=AH440,AH440/($B408*12/Параметры!$B$27),AG446))*(1-AH434)</f>
        <v>64354.8485469406</v>
      </c>
      <c r="AI445" s="121">
        <f ca="1">MIN(AI440/($B408*12/Параметры!$B$27),IF(AI439=AI440,AI440/($B408*12/Параметры!$B$27),AH446))*(1-AI434)</f>
        <v>64354.8485469406</v>
      </c>
      <c r="AJ445" s="121">
        <f ca="1">MIN(AJ440/($B408*12/Параметры!$B$27),IF(AJ439=AJ440,AJ440/($B408*12/Параметры!$B$27),AI446))*(1-AJ434)</f>
        <v>64354.8485469406</v>
      </c>
      <c r="AK445" s="121">
        <f ca="1">MIN(AK440/($B408*12/Параметры!$B$27),IF(AK439=AK440,AK440/($B408*12/Параметры!$B$27),AJ446))*(1-AK434)</f>
        <v>60776.443927704677</v>
      </c>
      <c r="AL445" s="121">
        <f ca="1">MIN(AL440/($B408*12/Параметры!$B$27),IF(AL439=AL440,AL440/($B408*12/Параметры!$B$27),AK446))*(1-AL434)</f>
        <v>60776.443927704677</v>
      </c>
      <c r="AM445" s="121">
        <f ca="1">MIN(AM440/($B408*12/Параметры!$B$27),IF(AM439=AM440,AM440/($B408*12/Параметры!$B$27),AL446))*(1-AM434)</f>
        <v>60776.443927704677</v>
      </c>
      <c r="AN445" s="121">
        <f ca="1">MIN(AN440/($B408*12/Параметры!$B$27),IF(AN439=AN440,AN440/($B408*12/Параметры!$B$27),AM446))*(1-AN434)</f>
        <v>60776.443927704677</v>
      </c>
      <c r="AO445" s="121">
        <f ca="1">MIN(AO440/($B408*12/Параметры!$B$27),IF(AO439=AO440,AO440/($B408*12/Параметры!$B$27),AN446))*(1-AO434)</f>
        <v>17760.080669270861</v>
      </c>
      <c r="AP445" s="121">
        <f ca="1">MIN(AP440/($B408*12/Параметры!$B$27),IF(AP439=AP440,AP440/($B408*12/Параметры!$B$27),AO446))*(1-AP434)</f>
        <v>17760.080669270861</v>
      </c>
      <c r="AQ445" s="121">
        <f ca="1">MIN(AQ440/($B408*12/Параметры!$B$27),IF(AQ439=AQ440,AQ440/($B408*12/Параметры!$B$27),AP446))*(1-AQ434)</f>
        <v>17760.080669270861</v>
      </c>
      <c r="AR445" s="121">
        <f ca="1">MIN(AR440/($B408*12/Параметры!$B$27),IF(AR439=AR440,AR440/($B408*12/Параметры!$B$27),AQ446))*(1-AR434)</f>
        <v>17760.080669270861</v>
      </c>
      <c r="AS445" s="115"/>
      <c r="AT445" s="125">
        <f ca="1">SUM(E445:AS445)</f>
        <v>1572301.3764700622</v>
      </c>
    </row>
    <row r="446" spans="1:46" ht="11.25" customHeight="1" outlineLevel="1" x14ac:dyDescent="0.2">
      <c r="A446" s="146" t="s">
        <v>51</v>
      </c>
      <c r="B446" s="40"/>
      <c r="C446" s="2" t="str">
        <f>CHOOSE(Параметры!$B$19,Параметры!$B$64,Параметры!$B$108,Параметры!$B$117)</f>
        <v>тыс. руб.</v>
      </c>
      <c r="E446" s="121">
        <f ca="1">E440-SUM($E445:E445)</f>
        <v>0</v>
      </c>
      <c r="F446" s="121">
        <f ca="1">F440-SUM($E445:F445)</f>
        <v>0</v>
      </c>
      <c r="G446" s="121">
        <f ca="1">G439+F446*(1-(G434-F434))-G445</f>
        <v>949098.59375</v>
      </c>
      <c r="H446" s="121">
        <f ca="1">H439+G446*(1-(H434-G434))-H445</f>
        <v>937084.6875</v>
      </c>
      <c r="I446" s="121">
        <f t="shared" ref="I446:M446" ca="1" si="154">I439+H446*(1-(I434-H434))-I445</f>
        <v>925070.78125</v>
      </c>
      <c r="J446" s="121">
        <f t="shared" ca="1" si="154"/>
        <v>913056.875</v>
      </c>
      <c r="K446" s="121">
        <f t="shared" ca="1" si="154"/>
        <v>901042.96875</v>
      </c>
      <c r="L446" s="121">
        <f t="shared" ca="1" si="154"/>
        <v>889029.0625</v>
      </c>
      <c r="M446" s="121">
        <f t="shared" ca="1" si="154"/>
        <v>1330962.9353723994</v>
      </c>
      <c r="N446" s="121">
        <f t="shared" ref="N446" ca="1" si="155">N439+M446*(1-(N434-M434))-N445</f>
        <v>1313202.8547031286</v>
      </c>
      <c r="O446" s="121">
        <f t="shared" ref="O446" ca="1" si="156">O439+N446*(1-(O434-N434))-O445</f>
        <v>1295442.7740338577</v>
      </c>
      <c r="P446" s="121">
        <f t="shared" ref="P446" ca="1" si="157">P439+O446*(1-(P434-O434))-P445</f>
        <v>1277682.6933645869</v>
      </c>
      <c r="Q446" s="121">
        <f t="shared" ref="Q446" ca="1" si="158">Q439+P446*(1-(Q434-P434))-Q445</f>
        <v>1542616.5776149537</v>
      </c>
      <c r="R446" s="121">
        <f t="shared" ref="R446" ca="1" si="159">R439+Q446*(1-(R434-Q434))-R445</f>
        <v>1521278.0923264469</v>
      </c>
      <c r="S446" s="121">
        <f t="shared" ref="S446" ca="1" si="160">S439+R446*(1-(S434-R434))-S445</f>
        <v>1499939.6070379401</v>
      </c>
      <c r="T446" s="121">
        <f t="shared" ref="T446" ca="1" si="161">T439+S446*(1-(T434-S434))-T445</f>
        <v>1478601.1217494332</v>
      </c>
      <c r="U446" s="121">
        <f t="shared" ref="U446" ca="1" si="162">U439+T446*(1-(U434-T434))-U445</f>
        <v>4855555.3338771965</v>
      </c>
      <c r="V446" s="121">
        <f t="shared" ref="V446" ca="1" si="163">V439+U446*(1-(V434-U434))-V445</f>
        <v>4791200.4853302557</v>
      </c>
      <c r="W446" s="121">
        <f t="shared" ref="W446" ca="1" si="164">W439+V446*(1-(W434-V434))-W445</f>
        <v>4726845.6367833149</v>
      </c>
      <c r="X446" s="121">
        <f t="shared" ref="X446" ca="1" si="165">X439+W446*(1-(X434-W434))-X445</f>
        <v>4662490.788236374</v>
      </c>
      <c r="Y446" s="121">
        <f t="shared" ref="Y446" ca="1" si="166">Y439+X446*(1-(Y434-X434))-Y445</f>
        <v>4598135.9396894332</v>
      </c>
      <c r="Z446" s="121">
        <f t="shared" ref="Z446" ca="1" si="167">Z439+Y446*(1-(Z434-Y434))-Z445</f>
        <v>4533781.0911424924</v>
      </c>
      <c r="AA446" s="121">
        <f t="shared" ref="AA446" ca="1" si="168">AA439+Z446*(1-(AA434-Z434))-AA445</f>
        <v>4469426.2425955515</v>
      </c>
      <c r="AB446" s="121">
        <f t="shared" ref="AB446" ca="1" si="169">AB439+AA446*(1-(AB434-AA434))-AB445</f>
        <v>4405071.3940486107</v>
      </c>
      <c r="AC446" s="121">
        <f t="shared" ref="AC446" ca="1" si="170">AC439+AB446*(1-(AC434-AB434))-AC445</f>
        <v>4340716.5455016699</v>
      </c>
      <c r="AD446" s="121">
        <f t="shared" ref="AD446" ca="1" si="171">AD439+AC446*(1-(AD434-AC434))-AD445</f>
        <v>4276361.696954729</v>
      </c>
      <c r="AE446" s="121">
        <f t="shared" ref="AE446" ca="1" si="172">AE439+AD446*(1-(AE434-AD434))-AE445</f>
        <v>4212006.8484077882</v>
      </c>
      <c r="AF446" s="121">
        <f t="shared" ref="AF446" ca="1" si="173">AF439+AE446*(1-(AF434-AE434))-AF445</f>
        <v>4147651.9998608474</v>
      </c>
      <c r="AG446" s="121">
        <f t="shared" ref="AG446" ca="1" si="174">AG439+AF446*(1-(AG434-AF434))-AG445</f>
        <v>4083297.1513139065</v>
      </c>
      <c r="AH446" s="121">
        <f t="shared" ref="AH446" ca="1" si="175">AH439+AG446*(1-(AH434-AG434))-AH445</f>
        <v>4018942.3027669657</v>
      </c>
      <c r="AI446" s="121">
        <f t="shared" ref="AI446" ca="1" si="176">AI439+AH446*(1-(AI434-AH434))-AI445</f>
        <v>3954587.4542200249</v>
      </c>
      <c r="AJ446" s="121">
        <f t="shared" ref="AJ446" ca="1" si="177">AJ439+AI446*(1-(AJ434-AI434))-AJ445</f>
        <v>3890232.605673084</v>
      </c>
      <c r="AK446" s="121">
        <f t="shared" ref="AK446" ca="1" si="178">AK439+AJ446*(1-(AK434-AJ434))-AK445</f>
        <v>3613142.6027772641</v>
      </c>
      <c r="AL446" s="121">
        <f t="shared" ref="AL446" ca="1" si="179">AL439+AK446*(1-(AL434-AK434))-AL445</f>
        <v>3552366.1588495593</v>
      </c>
      <c r="AM446" s="121">
        <f t="shared" ref="AM446" ca="1" si="180">AM439+AL446*(1-(AM434-AL434))-AM445</f>
        <v>3491589.7149218544</v>
      </c>
      <c r="AN446" s="121">
        <f t="shared" ref="AN446" ca="1" si="181">AN439+AM446*(1-(AN434-AM434))-AN445</f>
        <v>3430813.2709941496</v>
      </c>
      <c r="AO446" s="121">
        <f t="shared" ref="AO446" ca="1" si="182">AO439+AN446*(1-(AO434-AN434))-AO445</f>
        <v>1119813.2360843862</v>
      </c>
      <c r="AP446" s="121">
        <f t="shared" ref="AP446" ca="1" si="183">AP439+AO446*(1-(AP434-AO434))-AP445</f>
        <v>1102053.1554151154</v>
      </c>
      <c r="AQ446" s="121">
        <f t="shared" ref="AQ446" ca="1" si="184">AQ439+AP446*(1-(AQ434-AP434))-AQ445</f>
        <v>1084293.0747458446</v>
      </c>
      <c r="AR446" s="121">
        <f t="shared" ref="AR446" ca="1" si="185">AR439+AQ446*(1-(AR434-AQ434))-AR445</f>
        <v>1066532.9940765738</v>
      </c>
      <c r="AS446" s="115"/>
      <c r="AT446" s="116"/>
    </row>
    <row r="447" spans="1:46" ht="11.25" customHeight="1" outlineLevel="1" x14ac:dyDescent="0.2">
      <c r="A447" s="146" t="s">
        <v>53</v>
      </c>
      <c r="B447" s="415">
        <f ca="1">AT447</f>
        <v>933566.32675104996</v>
      </c>
      <c r="C447" s="2" t="str">
        <f>CHOOSE(Параметры!$B$19,Параметры!$B$64,Параметры!$B$108,Параметры!$B$117)</f>
        <v>тыс. руб.</v>
      </c>
      <c r="E447" s="115">
        <f t="shared" ref="E447:AR447" si="186">E436*E409</f>
        <v>48055.625</v>
      </c>
      <c r="F447" s="115">
        <f t="shared" ca="1" si="186"/>
        <v>48055.625</v>
      </c>
      <c r="G447" s="115">
        <f t="shared" ca="1" si="186"/>
        <v>0</v>
      </c>
      <c r="H447" s="115">
        <f t="shared" ca="1" si="186"/>
        <v>0</v>
      </c>
      <c r="I447" s="115">
        <f t="shared" ca="1" si="186"/>
        <v>9000</v>
      </c>
      <c r="J447" s="115">
        <f t="shared" ca="1" si="186"/>
        <v>27339.620318309971</v>
      </c>
      <c r="K447" s="115">
        <f t="shared" ca="1" si="186"/>
        <v>36911.350081449244</v>
      </c>
      <c r="L447" s="115">
        <f t="shared" ca="1" si="186"/>
        <v>18687.82030857485</v>
      </c>
      <c r="M447" s="115">
        <f t="shared" ca="1" si="186"/>
        <v>32510.568771243634</v>
      </c>
      <c r="N447" s="115">
        <f t="shared" ca="1" si="186"/>
        <v>71500.865821908694</v>
      </c>
      <c r="O447" s="115">
        <f t="shared" ca="1" si="186"/>
        <v>105703.78650850744</v>
      </c>
      <c r="P447" s="115">
        <f t="shared" ca="1" si="186"/>
        <v>67462.005027498308</v>
      </c>
      <c r="Q447" s="115">
        <f t="shared" ca="1" si="186"/>
        <v>68571.876559928714</v>
      </c>
      <c r="R447" s="115">
        <f t="shared" ca="1" si="186"/>
        <v>151002.76331526547</v>
      </c>
      <c r="S447" s="115">
        <f t="shared" ca="1" si="186"/>
        <v>165176.97503410126</v>
      </c>
      <c r="T447" s="115">
        <f t="shared" ca="1" si="186"/>
        <v>83587.445004262307</v>
      </c>
      <c r="U447" s="115">
        <f t="shared" ca="1" si="186"/>
        <v>0</v>
      </c>
      <c r="V447" s="115">
        <f t="shared" ca="1" si="186"/>
        <v>0</v>
      </c>
      <c r="W447" s="115">
        <f t="shared" ca="1" si="186"/>
        <v>0</v>
      </c>
      <c r="X447" s="115">
        <f t="shared" ca="1" si="186"/>
        <v>0</v>
      </c>
      <c r="Y447" s="115">
        <f t="shared" ca="1" si="186"/>
        <v>0</v>
      </c>
      <c r="Z447" s="115">
        <f t="shared" ca="1" si="186"/>
        <v>0</v>
      </c>
      <c r="AA447" s="115">
        <f t="shared" ca="1" si="186"/>
        <v>0</v>
      </c>
      <c r="AB447" s="115">
        <f t="shared" ca="1" si="186"/>
        <v>0</v>
      </c>
      <c r="AC447" s="115">
        <f t="shared" ca="1" si="186"/>
        <v>0</v>
      </c>
      <c r="AD447" s="115">
        <f t="shared" ca="1" si="186"/>
        <v>0</v>
      </c>
      <c r="AE447" s="115">
        <f t="shared" ca="1" si="186"/>
        <v>0</v>
      </c>
      <c r="AF447" s="115">
        <f t="shared" ca="1" si="186"/>
        <v>0</v>
      </c>
      <c r="AG447" s="115">
        <f t="shared" ca="1" si="186"/>
        <v>0</v>
      </c>
      <c r="AH447" s="115">
        <f t="shared" ca="1" si="186"/>
        <v>0</v>
      </c>
      <c r="AI447" s="115">
        <f t="shared" ca="1" si="186"/>
        <v>0</v>
      </c>
      <c r="AJ447" s="115">
        <f t="shared" ca="1" si="186"/>
        <v>0</v>
      </c>
      <c r="AK447" s="115">
        <f t="shared" ca="1" si="186"/>
        <v>0</v>
      </c>
      <c r="AL447" s="115">
        <f t="shared" ca="1" si="186"/>
        <v>0</v>
      </c>
      <c r="AM447" s="115">
        <f t="shared" ca="1" si="186"/>
        <v>0</v>
      </c>
      <c r="AN447" s="115">
        <f t="shared" ca="1" si="186"/>
        <v>0</v>
      </c>
      <c r="AO447" s="115">
        <f t="shared" ca="1" si="186"/>
        <v>0</v>
      </c>
      <c r="AP447" s="115">
        <f t="shared" ca="1" si="186"/>
        <v>0</v>
      </c>
      <c r="AQ447" s="115">
        <f t="shared" ca="1" si="186"/>
        <v>0</v>
      </c>
      <c r="AR447" s="115">
        <f t="shared" ca="1" si="186"/>
        <v>0</v>
      </c>
      <c r="AS447" s="115"/>
      <c r="AT447" s="125">
        <f ca="1">SUM(E447:AS447)</f>
        <v>933566.32675104996</v>
      </c>
    </row>
    <row r="448" spans="1:46" ht="11.25" customHeight="1" outlineLevel="1" x14ac:dyDescent="0.2">
      <c r="A448" s="146" t="s">
        <v>410</v>
      </c>
      <c r="B448" s="415">
        <f ca="1">AT448</f>
        <v>933566.32675105007</v>
      </c>
      <c r="C448" s="2" t="str">
        <f>CHOOSE(Параметры!$B$19,Параметры!$B$64,Параметры!$B$108,Параметры!$B$117)</f>
        <v>тыс. руб.</v>
      </c>
      <c r="E448" s="115">
        <f t="shared" ref="E448:AR448" ca="1" si="187">IFERROR($B447*E439/$B439,0)</f>
        <v>0</v>
      </c>
      <c r="F448" s="115">
        <f t="shared" ca="1" si="187"/>
        <v>0</v>
      </c>
      <c r="G448" s="115">
        <f t="shared" ca="1" si="187"/>
        <v>174280.23810145655</v>
      </c>
      <c r="H448" s="115">
        <f t="shared" ca="1" si="187"/>
        <v>0</v>
      </c>
      <c r="I448" s="115">
        <f t="shared" ca="1" si="187"/>
        <v>0</v>
      </c>
      <c r="J448" s="115">
        <f t="shared" ca="1" si="187"/>
        <v>0</v>
      </c>
      <c r="K448" s="115">
        <f t="shared" ca="1" si="187"/>
        <v>0</v>
      </c>
      <c r="L448" s="115">
        <f t="shared" ca="1" si="187"/>
        <v>0</v>
      </c>
      <c r="M448" s="115">
        <f t="shared" ca="1" si="187"/>
        <v>83357.121749058715</v>
      </c>
      <c r="N448" s="115">
        <f t="shared" ca="1" si="187"/>
        <v>0</v>
      </c>
      <c r="O448" s="115">
        <f t="shared" ca="1" si="187"/>
        <v>0</v>
      </c>
      <c r="P448" s="115">
        <f t="shared" ca="1" si="187"/>
        <v>0</v>
      </c>
      <c r="Q448" s="115">
        <f t="shared" ca="1" si="187"/>
        <v>51910.277647104864</v>
      </c>
      <c r="R448" s="115">
        <f t="shared" ca="1" si="187"/>
        <v>0</v>
      </c>
      <c r="S448" s="115">
        <f t="shared" ca="1" si="187"/>
        <v>0</v>
      </c>
      <c r="T448" s="115">
        <f t="shared" ca="1" si="187"/>
        <v>0</v>
      </c>
      <c r="U448" s="115">
        <f t="shared" ca="1" si="187"/>
        <v>624018.68925343</v>
      </c>
      <c r="V448" s="115">
        <f t="shared" ca="1" si="187"/>
        <v>0</v>
      </c>
      <c r="W448" s="115">
        <f t="shared" ca="1" si="187"/>
        <v>0</v>
      </c>
      <c r="X448" s="115">
        <f t="shared" ca="1" si="187"/>
        <v>0</v>
      </c>
      <c r="Y448" s="115">
        <f t="shared" ca="1" si="187"/>
        <v>0</v>
      </c>
      <c r="Z448" s="115">
        <f t="shared" ca="1" si="187"/>
        <v>0</v>
      </c>
      <c r="AA448" s="115">
        <f t="shared" ca="1" si="187"/>
        <v>0</v>
      </c>
      <c r="AB448" s="115">
        <f t="shared" ca="1" si="187"/>
        <v>0</v>
      </c>
      <c r="AC448" s="115">
        <f t="shared" ca="1" si="187"/>
        <v>0</v>
      </c>
      <c r="AD448" s="115">
        <f t="shared" ca="1" si="187"/>
        <v>0</v>
      </c>
      <c r="AE448" s="115">
        <f t="shared" ca="1" si="187"/>
        <v>0</v>
      </c>
      <c r="AF448" s="115">
        <f t="shared" ca="1" si="187"/>
        <v>0</v>
      </c>
      <c r="AG448" s="115">
        <f t="shared" ca="1" si="187"/>
        <v>0</v>
      </c>
      <c r="AH448" s="115">
        <f t="shared" ca="1" si="187"/>
        <v>0</v>
      </c>
      <c r="AI448" s="115">
        <f t="shared" ca="1" si="187"/>
        <v>0</v>
      </c>
      <c r="AJ448" s="115">
        <f t="shared" ca="1" si="187"/>
        <v>0</v>
      </c>
      <c r="AK448" s="115">
        <f t="shared" ca="1" si="187"/>
        <v>0</v>
      </c>
      <c r="AL448" s="115">
        <f t="shared" ca="1" si="187"/>
        <v>0</v>
      </c>
      <c r="AM448" s="115">
        <f t="shared" ca="1" si="187"/>
        <v>0</v>
      </c>
      <c r="AN448" s="115">
        <f t="shared" ca="1" si="187"/>
        <v>0</v>
      </c>
      <c r="AO448" s="115">
        <f t="shared" ca="1" si="187"/>
        <v>0</v>
      </c>
      <c r="AP448" s="115">
        <f t="shared" ca="1" si="187"/>
        <v>0</v>
      </c>
      <c r="AQ448" s="115">
        <f t="shared" ca="1" si="187"/>
        <v>0</v>
      </c>
      <c r="AR448" s="115">
        <f t="shared" ca="1" si="187"/>
        <v>0</v>
      </c>
      <c r="AS448" s="115"/>
      <c r="AT448" s="125">
        <f ca="1">SUM(E448:AS448)</f>
        <v>933566.32675105007</v>
      </c>
    </row>
    <row r="449" spans="1:46" ht="11.25" customHeight="1" outlineLevel="1" x14ac:dyDescent="0.2">
      <c r="A449" s="146" t="s">
        <v>366</v>
      </c>
      <c r="B449" s="146"/>
      <c r="C449" s="2" t="str">
        <f>CHOOSE(Параметры!$B$19,Параметры!$B$64,Параметры!$B$108,Параметры!$B$117)</f>
        <v>тыс. руб.</v>
      </c>
      <c r="E449" s="121">
        <f t="shared" ref="E449:AR449" ca="1" si="188">IF(0,0,E446)</f>
        <v>0</v>
      </c>
      <c r="F449" s="121">
        <f t="shared" ca="1" si="188"/>
        <v>0</v>
      </c>
      <c r="G449" s="121">
        <f t="shared" ca="1" si="188"/>
        <v>949098.59375</v>
      </c>
      <c r="H449" s="121">
        <f t="shared" ca="1" si="188"/>
        <v>937084.6875</v>
      </c>
      <c r="I449" s="121">
        <f t="shared" ca="1" si="188"/>
        <v>925070.78125</v>
      </c>
      <c r="J449" s="121">
        <f t="shared" ca="1" si="188"/>
        <v>913056.875</v>
      </c>
      <c r="K449" s="121">
        <f t="shared" ca="1" si="188"/>
        <v>901042.96875</v>
      </c>
      <c r="L449" s="121">
        <f t="shared" ca="1" si="188"/>
        <v>889029.0625</v>
      </c>
      <c r="M449" s="121">
        <f t="shared" ca="1" si="188"/>
        <v>1330962.9353723994</v>
      </c>
      <c r="N449" s="121">
        <f t="shared" ca="1" si="188"/>
        <v>1313202.8547031286</v>
      </c>
      <c r="O449" s="121">
        <f t="shared" ca="1" si="188"/>
        <v>1295442.7740338577</v>
      </c>
      <c r="P449" s="121">
        <f t="shared" ca="1" si="188"/>
        <v>1277682.6933645869</v>
      </c>
      <c r="Q449" s="121">
        <f t="shared" ca="1" si="188"/>
        <v>1542616.5776149537</v>
      </c>
      <c r="R449" s="121">
        <f t="shared" ca="1" si="188"/>
        <v>1521278.0923264469</v>
      </c>
      <c r="S449" s="121">
        <f t="shared" ca="1" si="188"/>
        <v>1499939.6070379401</v>
      </c>
      <c r="T449" s="121">
        <f t="shared" ca="1" si="188"/>
        <v>1478601.1217494332</v>
      </c>
      <c r="U449" s="121">
        <f t="shared" ca="1" si="188"/>
        <v>4855555.3338771965</v>
      </c>
      <c r="V449" s="121">
        <f t="shared" ca="1" si="188"/>
        <v>4791200.4853302557</v>
      </c>
      <c r="W449" s="121">
        <f t="shared" ca="1" si="188"/>
        <v>4726845.6367833149</v>
      </c>
      <c r="X449" s="121">
        <f t="shared" ca="1" si="188"/>
        <v>4662490.788236374</v>
      </c>
      <c r="Y449" s="121">
        <f t="shared" ca="1" si="188"/>
        <v>4598135.9396894332</v>
      </c>
      <c r="Z449" s="121">
        <f t="shared" ca="1" si="188"/>
        <v>4533781.0911424924</v>
      </c>
      <c r="AA449" s="121">
        <f t="shared" ca="1" si="188"/>
        <v>4469426.2425955515</v>
      </c>
      <c r="AB449" s="121">
        <f t="shared" ca="1" si="188"/>
        <v>4405071.3940486107</v>
      </c>
      <c r="AC449" s="121">
        <f t="shared" ca="1" si="188"/>
        <v>4340716.5455016699</v>
      </c>
      <c r="AD449" s="121">
        <f t="shared" ca="1" si="188"/>
        <v>4276361.696954729</v>
      </c>
      <c r="AE449" s="121">
        <f t="shared" ca="1" si="188"/>
        <v>4212006.8484077882</v>
      </c>
      <c r="AF449" s="121">
        <f t="shared" ca="1" si="188"/>
        <v>4147651.9998608474</v>
      </c>
      <c r="AG449" s="121">
        <f t="shared" ca="1" si="188"/>
        <v>4083297.1513139065</v>
      </c>
      <c r="AH449" s="121">
        <f t="shared" ca="1" si="188"/>
        <v>4018942.3027669657</v>
      </c>
      <c r="AI449" s="121">
        <f t="shared" ca="1" si="188"/>
        <v>3954587.4542200249</v>
      </c>
      <c r="AJ449" s="121">
        <f t="shared" ca="1" si="188"/>
        <v>3890232.605673084</v>
      </c>
      <c r="AK449" s="121">
        <f t="shared" ca="1" si="188"/>
        <v>3613142.6027772641</v>
      </c>
      <c r="AL449" s="121">
        <f t="shared" ca="1" si="188"/>
        <v>3552366.1588495593</v>
      </c>
      <c r="AM449" s="121">
        <f t="shared" ca="1" si="188"/>
        <v>3491589.7149218544</v>
      </c>
      <c r="AN449" s="121">
        <f t="shared" ca="1" si="188"/>
        <v>3430813.2709941496</v>
      </c>
      <c r="AO449" s="121">
        <f t="shared" ca="1" si="188"/>
        <v>1119813.2360843862</v>
      </c>
      <c r="AP449" s="121">
        <f t="shared" ca="1" si="188"/>
        <v>1102053.1554151154</v>
      </c>
      <c r="AQ449" s="121">
        <f t="shared" ca="1" si="188"/>
        <v>1084293.0747458446</v>
      </c>
      <c r="AR449" s="121">
        <f t="shared" ca="1" si="188"/>
        <v>1066532.9940765738</v>
      </c>
      <c r="AS449" s="115"/>
      <c r="AT449" s="125"/>
    </row>
    <row r="450" spans="1:46" ht="11.25" customHeight="1" outlineLevel="1" x14ac:dyDescent="0.2">
      <c r="A450" s="146" t="s">
        <v>55</v>
      </c>
      <c r="B450" s="415">
        <f ca="1">AT450</f>
        <v>4276577.1064628977</v>
      </c>
      <c r="C450" s="2" t="str">
        <f>CHOOSE(Параметры!$B$19,Параметры!$B$64,Параметры!$B$108,Параметры!$B$117)</f>
        <v>тыс. руб.</v>
      </c>
      <c r="E450" s="121">
        <f ca="1">IF(E434=0,0,E435*CHOOSE($C391,1,Параметры!E$109,Параметры!E$118)-IF(Параметры!E$36=1,E436+$B399,(D446+E439)*E434))</f>
        <v>0</v>
      </c>
      <c r="F450" s="121">
        <f t="shared" ref="F450:AR450" ca="1" si="189">((F446+F445-E446)+F435)*IF(F435&gt;0,1,0)</f>
        <v>0</v>
      </c>
      <c r="G450" s="121">
        <f t="shared" ca="1" si="189"/>
        <v>0</v>
      </c>
      <c r="H450" s="121">
        <f t="shared" ca="1" si="189"/>
        <v>0</v>
      </c>
      <c r="I450" s="121">
        <f t="shared" ca="1" si="189"/>
        <v>0</v>
      </c>
      <c r="J450" s="121">
        <f t="shared" ca="1" si="189"/>
        <v>0</v>
      </c>
      <c r="K450" s="121">
        <f t="shared" ca="1" si="189"/>
        <v>0</v>
      </c>
      <c r="L450" s="121">
        <f t="shared" ca="1" si="189"/>
        <v>0</v>
      </c>
      <c r="M450" s="121">
        <f t="shared" ca="1" si="189"/>
        <v>0</v>
      </c>
      <c r="N450" s="121">
        <f t="shared" ca="1" si="189"/>
        <v>0</v>
      </c>
      <c r="O450" s="121">
        <f t="shared" ca="1" si="189"/>
        <v>0</v>
      </c>
      <c r="P450" s="121">
        <f t="shared" ca="1" si="189"/>
        <v>0</v>
      </c>
      <c r="Q450" s="121">
        <f t="shared" ca="1" si="189"/>
        <v>0</v>
      </c>
      <c r="R450" s="121">
        <f t="shared" ca="1" si="189"/>
        <v>0</v>
      </c>
      <c r="S450" s="121">
        <f t="shared" ca="1" si="189"/>
        <v>0</v>
      </c>
      <c r="T450" s="121">
        <f t="shared" ca="1" si="189"/>
        <v>0</v>
      </c>
      <c r="U450" s="121">
        <f t="shared" ca="1" si="189"/>
        <v>0</v>
      </c>
      <c r="V450" s="121">
        <f t="shared" ca="1" si="189"/>
        <v>0</v>
      </c>
      <c r="W450" s="121">
        <f t="shared" ca="1" si="189"/>
        <v>0</v>
      </c>
      <c r="X450" s="121">
        <f t="shared" ca="1" si="189"/>
        <v>0</v>
      </c>
      <c r="Y450" s="121">
        <f t="shared" ca="1" si="189"/>
        <v>0</v>
      </c>
      <c r="Z450" s="121">
        <f t="shared" ca="1" si="189"/>
        <v>0</v>
      </c>
      <c r="AA450" s="121">
        <f t="shared" ca="1" si="189"/>
        <v>0</v>
      </c>
      <c r="AB450" s="121">
        <f t="shared" ca="1" si="189"/>
        <v>0</v>
      </c>
      <c r="AC450" s="121">
        <f t="shared" ca="1" si="189"/>
        <v>0</v>
      </c>
      <c r="AD450" s="121">
        <f t="shared" ca="1" si="189"/>
        <v>0</v>
      </c>
      <c r="AE450" s="121">
        <f t="shared" ca="1" si="189"/>
        <v>0</v>
      </c>
      <c r="AF450" s="121">
        <f t="shared" ca="1" si="189"/>
        <v>0</v>
      </c>
      <c r="AG450" s="121">
        <f t="shared" ca="1" si="189"/>
        <v>0</v>
      </c>
      <c r="AH450" s="121">
        <f t="shared" ca="1" si="189"/>
        <v>0</v>
      </c>
      <c r="AI450" s="121">
        <f t="shared" ca="1" si="189"/>
        <v>0</v>
      </c>
      <c r="AJ450" s="121">
        <f t="shared" ca="1" si="189"/>
        <v>0</v>
      </c>
      <c r="AK450" s="121">
        <f t="shared" ca="1" si="189"/>
        <v>193116.10323617514</v>
      </c>
      <c r="AL450" s="121">
        <f t="shared" ca="1" si="189"/>
        <v>0</v>
      </c>
      <c r="AM450" s="121">
        <f t="shared" ca="1" si="189"/>
        <v>0</v>
      </c>
      <c r="AN450" s="121">
        <f t="shared" ca="1" si="189"/>
        <v>0</v>
      </c>
      <c r="AO450" s="121">
        <f t="shared" ca="1" si="189"/>
        <v>4083461.0032267226</v>
      </c>
      <c r="AP450" s="121">
        <f t="shared" ca="1" si="189"/>
        <v>0</v>
      </c>
      <c r="AQ450" s="121">
        <f t="shared" ca="1" si="189"/>
        <v>0</v>
      </c>
      <c r="AR450" s="121">
        <f t="shared" ca="1" si="189"/>
        <v>0</v>
      </c>
      <c r="AS450" s="115"/>
      <c r="AT450" s="125">
        <f ca="1">SUM(E450:AS450)</f>
        <v>4276577.1064628977</v>
      </c>
    </row>
    <row r="451" spans="1:46" ht="11.25" customHeight="1" outlineLevel="1" x14ac:dyDescent="0.2">
      <c r="A451" s="146" t="s">
        <v>56</v>
      </c>
      <c r="B451" s="415">
        <f ca="1">AT451</f>
        <v>1357226.1239343013</v>
      </c>
      <c r="C451" s="2" t="str">
        <f>CHOOSE(Параметры!$B$19,Параметры!$B$64,Параметры!$B$108,Параметры!$B$117)</f>
        <v>тыс. руб.</v>
      </c>
      <c r="E451" s="121">
        <f>(E443+E435-IF(E$2=1,0,D443))*E409</f>
        <v>0</v>
      </c>
      <c r="F451" s="121">
        <f t="shared" ref="F451:AR451" ca="1" si="190">(F433)*F409</f>
        <v>0</v>
      </c>
      <c r="G451" s="121">
        <f t="shared" ca="1" si="190"/>
        <v>0</v>
      </c>
      <c r="H451" s="121">
        <f t="shared" ca="1" si="190"/>
        <v>0</v>
      </c>
      <c r="I451" s="121">
        <f t="shared" ca="1" si="190"/>
        <v>0</v>
      </c>
      <c r="J451" s="121">
        <f t="shared" ca="1" si="190"/>
        <v>0</v>
      </c>
      <c r="K451" s="121">
        <f t="shared" ca="1" si="190"/>
        <v>0</v>
      </c>
      <c r="L451" s="121">
        <f t="shared" ca="1" si="190"/>
        <v>0</v>
      </c>
      <c r="M451" s="121">
        <f t="shared" ca="1" si="190"/>
        <v>0</v>
      </c>
      <c r="N451" s="121">
        <f t="shared" ca="1" si="190"/>
        <v>0</v>
      </c>
      <c r="O451" s="121">
        <f t="shared" ca="1" si="190"/>
        <v>0</v>
      </c>
      <c r="P451" s="121">
        <f t="shared" ca="1" si="190"/>
        <v>0</v>
      </c>
      <c r="Q451" s="121">
        <f t="shared" ca="1" si="190"/>
        <v>0</v>
      </c>
      <c r="R451" s="121">
        <f t="shared" ca="1" si="190"/>
        <v>0</v>
      </c>
      <c r="S451" s="121">
        <f t="shared" ca="1" si="190"/>
        <v>0</v>
      </c>
      <c r="T451" s="121">
        <f t="shared" ca="1" si="190"/>
        <v>0</v>
      </c>
      <c r="U451" s="121">
        <f t="shared" ca="1" si="190"/>
        <v>0</v>
      </c>
      <c r="V451" s="121">
        <f t="shared" ca="1" si="190"/>
        <v>0</v>
      </c>
      <c r="W451" s="121">
        <f t="shared" ca="1" si="190"/>
        <v>0</v>
      </c>
      <c r="X451" s="121">
        <f t="shared" ca="1" si="190"/>
        <v>0</v>
      </c>
      <c r="Y451" s="121">
        <f t="shared" ca="1" si="190"/>
        <v>0</v>
      </c>
      <c r="Z451" s="121">
        <f t="shared" ca="1" si="190"/>
        <v>0</v>
      </c>
      <c r="AA451" s="121">
        <f t="shared" ca="1" si="190"/>
        <v>0</v>
      </c>
      <c r="AB451" s="121">
        <f t="shared" ca="1" si="190"/>
        <v>0</v>
      </c>
      <c r="AC451" s="121">
        <f t="shared" ca="1" si="190"/>
        <v>0</v>
      </c>
      <c r="AD451" s="121">
        <f t="shared" ca="1" si="190"/>
        <v>0</v>
      </c>
      <c r="AE451" s="121">
        <f t="shared" ca="1" si="190"/>
        <v>0</v>
      </c>
      <c r="AF451" s="121">
        <f t="shared" ca="1" si="190"/>
        <v>0</v>
      </c>
      <c r="AG451" s="121">
        <f t="shared" ca="1" si="190"/>
        <v>0</v>
      </c>
      <c r="AH451" s="121">
        <f t="shared" ca="1" si="190"/>
        <v>0</v>
      </c>
      <c r="AI451" s="121">
        <f t="shared" ca="1" si="190"/>
        <v>0</v>
      </c>
      <c r="AJ451" s="121">
        <f t="shared" ca="1" si="190"/>
        <v>0</v>
      </c>
      <c r="AK451" s="121">
        <f t="shared" ca="1" si="190"/>
        <v>81885.932440858058</v>
      </c>
      <c r="AL451" s="121">
        <f t="shared" ca="1" si="190"/>
        <v>0</v>
      </c>
      <c r="AM451" s="121">
        <f t="shared" ca="1" si="190"/>
        <v>0</v>
      </c>
      <c r="AN451" s="121">
        <f t="shared" ca="1" si="190"/>
        <v>0</v>
      </c>
      <c r="AO451" s="121">
        <f t="shared" ca="1" si="190"/>
        <v>1275340.1914934432</v>
      </c>
      <c r="AP451" s="121">
        <f t="shared" ca="1" si="190"/>
        <v>0</v>
      </c>
      <c r="AQ451" s="121">
        <f t="shared" ca="1" si="190"/>
        <v>0</v>
      </c>
      <c r="AR451" s="121">
        <f t="shared" ca="1" si="190"/>
        <v>0</v>
      </c>
      <c r="AS451" s="115"/>
      <c r="AT451" s="125">
        <f ca="1">SUM(E451:AS451)</f>
        <v>1357226.1239343013</v>
      </c>
    </row>
    <row r="452" spans="1:46" ht="11.25" customHeight="1" x14ac:dyDescent="0.2">
      <c r="A452" s="330" t="s">
        <v>652</v>
      </c>
      <c r="B452" s="225" t="s">
        <v>390</v>
      </c>
      <c r="C452" s="286">
        <v>1</v>
      </c>
      <c r="AS452" s="1"/>
    </row>
    <row r="453" spans="1:46" ht="11.25" customHeight="1" x14ac:dyDescent="0.2">
      <c r="A453" s="547" t="str">
        <f>ИД!B177</f>
        <v>Электроснабжение</v>
      </c>
      <c r="B453" s="306">
        <f ca="1">AT453</f>
        <v>0</v>
      </c>
      <c r="C453" s="3">
        <f>0</f>
        <v>0</v>
      </c>
      <c r="E453" s="82">
        <f>ИД!F177*ИД!$C46/1.2*E$479</f>
        <v>0</v>
      </c>
      <c r="F453" s="82">
        <f ca="1">ИД!G177*ИД!$C46/1.2*F$479</f>
        <v>0</v>
      </c>
      <c r="G453" s="82">
        <f ca="1">ИД!H177*ИД!$C46/1.2*G$479</f>
        <v>0</v>
      </c>
      <c r="H453" s="82">
        <f ca="1">ИД!I177*ИД!$C46/1.2*H$479</f>
        <v>0</v>
      </c>
      <c r="I453" s="82">
        <f ca="1">ИД!J177*ИД!$C46/1.2*I$479</f>
        <v>0</v>
      </c>
      <c r="J453" s="82">
        <f ca="1">ИД!K177*ИД!$C46/1.2*J$479</f>
        <v>0</v>
      </c>
      <c r="K453" s="82">
        <f ca="1">ИД!L177*ИД!$C46/1.2*K$479</f>
        <v>0</v>
      </c>
      <c r="L453" s="82">
        <f ca="1">ИД!M177*ИД!$C46/1.2*L$479</f>
        <v>0</v>
      </c>
      <c r="M453" s="82">
        <f ca="1">ИД!N177*ИД!$C46/1.2*M$479</f>
        <v>0</v>
      </c>
      <c r="N453" s="82">
        <f ca="1">ИД!O177*ИД!$C46/1.2*N$479</f>
        <v>0</v>
      </c>
      <c r="O453" s="82">
        <f ca="1">ИД!P177*ИД!$C46/1.2*O$479</f>
        <v>0</v>
      </c>
      <c r="P453" s="82">
        <f ca="1">ИД!Q177*ИД!$C46/1.2*P$479</f>
        <v>0</v>
      </c>
      <c r="Q453" s="82">
        <f ca="1">ИД!R177*ИД!$C46/1.2*Q$479</f>
        <v>0</v>
      </c>
      <c r="R453" s="82">
        <f ca="1">ИД!S177*ИД!$C46/1.2*R$479</f>
        <v>0</v>
      </c>
      <c r="S453" s="82">
        <f ca="1">ИД!T177*ИД!$C46/1.2*S$479</f>
        <v>0</v>
      </c>
      <c r="T453" s="82">
        <f ca="1">ИД!U177*ИД!$C46/1.2*T$479</f>
        <v>0</v>
      </c>
      <c r="U453" s="82">
        <f ca="1">ИД!V177*ИД!$C46/1.2*U$479</f>
        <v>0</v>
      </c>
      <c r="V453" s="82">
        <f ca="1">ИД!W177*ИД!$C46/1.2*V$479</f>
        <v>0</v>
      </c>
      <c r="W453" s="82">
        <f ca="1">ИД!X177*ИД!$C46/1.2*W$479</f>
        <v>0</v>
      </c>
      <c r="X453" s="82">
        <f ca="1">ИД!Y177*ИД!$C46/1.2*X$479</f>
        <v>0</v>
      </c>
      <c r="Y453" s="82">
        <f ca="1">ИД!Z177*ИД!$C46/1.2*Y$479</f>
        <v>0</v>
      </c>
      <c r="Z453" s="82">
        <f ca="1">ИД!AA177*ИД!$C46/1.2*Z$479</f>
        <v>0</v>
      </c>
      <c r="AA453" s="82">
        <f ca="1">ИД!AB177*ИД!$C46/1.2*AA$479</f>
        <v>0</v>
      </c>
      <c r="AB453" s="82">
        <f ca="1">ИД!AC177*ИД!$C46/1.2*AB$479</f>
        <v>0</v>
      </c>
      <c r="AC453" s="82">
        <f ca="1">ИД!AD177*ИД!$C46/1.2*AC$479</f>
        <v>0</v>
      </c>
      <c r="AD453" s="82">
        <f ca="1">ИД!AE177*ИД!$C46/1.2*AD$479</f>
        <v>0</v>
      </c>
      <c r="AE453" s="82">
        <f ca="1">ИД!AF177*ИД!$C46/1.2*AE$479</f>
        <v>0</v>
      </c>
      <c r="AF453" s="82">
        <f ca="1">ИД!AG177*ИД!$C46/1.2*AF$479</f>
        <v>0</v>
      </c>
      <c r="AG453" s="82">
        <f ca="1">ИД!AH177*ИД!$C46/1.2*AG$479</f>
        <v>0</v>
      </c>
      <c r="AH453" s="82">
        <f ca="1">ИД!AI177*ИД!$C46/1.2*AH$479</f>
        <v>0</v>
      </c>
      <c r="AI453" s="82">
        <f ca="1">ИД!AJ177*ИД!$C46/1.2*AI$479</f>
        <v>0</v>
      </c>
      <c r="AJ453" s="82">
        <f ca="1">ИД!AK177*ИД!$C46/1.2*AJ$479</f>
        <v>0</v>
      </c>
      <c r="AK453" s="82">
        <f ca="1">ИД!AL177*ИД!$C46/1.2*AK$479</f>
        <v>0</v>
      </c>
      <c r="AL453" s="82">
        <f ca="1">ИД!AM177*ИД!$C46/1.2*AL$479</f>
        <v>0</v>
      </c>
      <c r="AM453" s="82">
        <f ca="1">ИД!AN177*ИД!$C46/1.2*AM$479</f>
        <v>0</v>
      </c>
      <c r="AN453" s="82">
        <f ca="1">ИД!AO177*ИД!$C46/1.2*AN$479</f>
        <v>0</v>
      </c>
      <c r="AO453" s="82">
        <f ca="1">ИД!AP177*ИД!$C46/1.2*AO$479</f>
        <v>0</v>
      </c>
      <c r="AP453" s="82">
        <f ca="1">ИД!AQ177*ИД!$C46/1.2*AP$479</f>
        <v>0</v>
      </c>
      <c r="AQ453" s="82">
        <f ca="1">ИД!AR177*ИД!$C46/1.2*AQ$479</f>
        <v>0</v>
      </c>
      <c r="AR453" s="82">
        <f ca="1">ИД!AS177*ИД!$C46/1.2*AR$479</f>
        <v>0</v>
      </c>
      <c r="AS453" s="1"/>
      <c r="AT453" s="30">
        <f t="shared" ref="AT453:AT459" ca="1" si="191">SUM(E453:AS453)</f>
        <v>0</v>
      </c>
    </row>
    <row r="454" spans="1:46" ht="11.25" customHeight="1" x14ac:dyDescent="0.2">
      <c r="A454" s="547" t="str">
        <f>ИД!B178</f>
        <v>Водоснабжение</v>
      </c>
      <c r="B454" s="306">
        <f t="shared" ref="B454:B458" ca="1" si="192">AT454</f>
        <v>33944.994052011716</v>
      </c>
      <c r="C454" s="3">
        <f>0</f>
        <v>0</v>
      </c>
      <c r="E454" s="82">
        <f>ИД!F178*ИД!$C47/1.2*E$479</f>
        <v>0</v>
      </c>
      <c r="F454" s="82">
        <f ca="1">ИД!G178*ИД!$C47/1.2*F$479</f>
        <v>0</v>
      </c>
      <c r="G454" s="82">
        <f ca="1">ИД!H178*ИД!$C47/1.2*G$479</f>
        <v>0</v>
      </c>
      <c r="H454" s="82">
        <f ca="1">ИД!I178*ИД!$C47/1.2*H$479</f>
        <v>0</v>
      </c>
      <c r="I454" s="82">
        <f ca="1">ИД!J178*ИД!$C47/1.2*I$479</f>
        <v>5000</v>
      </c>
      <c r="J454" s="82">
        <f ca="1">ИД!K178*ИД!$C47/1.2*J$479</f>
        <v>11813.416186924062</v>
      </c>
      <c r="K454" s="82">
        <f ca="1">ИД!L178*ИД!$C47/1.2*K$479</f>
        <v>13670.870400536756</v>
      </c>
      <c r="L454" s="82">
        <f ca="1">ИД!M178*ИД!$C47/1.2*L$479</f>
        <v>3460.7074645508987</v>
      </c>
      <c r="M454" s="82">
        <f ca="1">ИД!N178*ИД!$C47/1.2*M$479</f>
        <v>0</v>
      </c>
      <c r="N454" s="82">
        <f ca="1">ИД!O178*ИД!$C47/1.2*N$479</f>
        <v>0</v>
      </c>
      <c r="O454" s="82">
        <f ca="1">ИД!P178*ИД!$C47/1.2*O$479</f>
        <v>0</v>
      </c>
      <c r="P454" s="82">
        <f ca="1">ИД!Q178*ИД!$C47/1.2*P$479</f>
        <v>0</v>
      </c>
      <c r="Q454" s="82">
        <f ca="1">ИД!R178*ИД!$C47/1.2*Q$479</f>
        <v>0</v>
      </c>
      <c r="R454" s="82">
        <f ca="1">ИД!S178*ИД!$C47/1.2*R$479</f>
        <v>0</v>
      </c>
      <c r="S454" s="82">
        <f ca="1">ИД!T178*ИД!$C47/1.2*S$479</f>
        <v>0</v>
      </c>
      <c r="T454" s="82">
        <f ca="1">ИД!U178*ИД!$C47/1.2*T$479</f>
        <v>0</v>
      </c>
      <c r="U454" s="82">
        <f ca="1">ИД!V178*ИД!$C47/1.2*U$479</f>
        <v>0</v>
      </c>
      <c r="V454" s="82">
        <f ca="1">ИД!W178*ИД!$C47/1.2*V$479</f>
        <v>0</v>
      </c>
      <c r="W454" s="82">
        <f ca="1">ИД!X178*ИД!$C47/1.2*W$479</f>
        <v>0</v>
      </c>
      <c r="X454" s="82">
        <f ca="1">ИД!Y178*ИД!$C47/1.2*X$479</f>
        <v>0</v>
      </c>
      <c r="Y454" s="82">
        <f ca="1">ИД!Z178*ИД!$C47/1.2*Y$479</f>
        <v>0</v>
      </c>
      <c r="Z454" s="82">
        <f ca="1">ИД!AA178*ИД!$C47/1.2*Z$479</f>
        <v>0</v>
      </c>
      <c r="AA454" s="82">
        <f ca="1">ИД!AB178*ИД!$C47/1.2*AA$479</f>
        <v>0</v>
      </c>
      <c r="AB454" s="82">
        <f ca="1">ИД!AC178*ИД!$C47/1.2*AB$479</f>
        <v>0</v>
      </c>
      <c r="AC454" s="82">
        <f ca="1">ИД!AD178*ИД!$C47/1.2*AC$479</f>
        <v>0</v>
      </c>
      <c r="AD454" s="82">
        <f ca="1">ИД!AE178*ИД!$C47/1.2*AD$479</f>
        <v>0</v>
      </c>
      <c r="AE454" s="82">
        <f ca="1">ИД!AF178*ИД!$C47/1.2*AE$479</f>
        <v>0</v>
      </c>
      <c r="AF454" s="82">
        <f ca="1">ИД!AG178*ИД!$C47/1.2*AF$479</f>
        <v>0</v>
      </c>
      <c r="AG454" s="82">
        <f ca="1">ИД!AH178*ИД!$C47/1.2*AG$479</f>
        <v>0</v>
      </c>
      <c r="AH454" s="82">
        <f ca="1">ИД!AI178*ИД!$C47/1.2*AH$479</f>
        <v>0</v>
      </c>
      <c r="AI454" s="82">
        <f ca="1">ИД!AJ178*ИД!$C47/1.2*AI$479</f>
        <v>0</v>
      </c>
      <c r="AJ454" s="82">
        <f ca="1">ИД!AK178*ИД!$C47/1.2*AJ$479</f>
        <v>0</v>
      </c>
      <c r="AK454" s="82">
        <f ca="1">ИД!AL178*ИД!$C47/1.2*AK$479</f>
        <v>0</v>
      </c>
      <c r="AL454" s="82">
        <f ca="1">ИД!AM178*ИД!$C47/1.2*AL$479</f>
        <v>0</v>
      </c>
      <c r="AM454" s="82">
        <f ca="1">ИД!AN178*ИД!$C47/1.2*AM$479</f>
        <v>0</v>
      </c>
      <c r="AN454" s="82">
        <f ca="1">ИД!AO178*ИД!$C47/1.2*AN$479</f>
        <v>0</v>
      </c>
      <c r="AO454" s="82">
        <f ca="1">ИД!AP178*ИД!$C47/1.2*AO$479</f>
        <v>0</v>
      </c>
      <c r="AP454" s="82">
        <f ca="1">ИД!AQ178*ИД!$C47/1.2*AP$479</f>
        <v>0</v>
      </c>
      <c r="AQ454" s="82">
        <f ca="1">ИД!AR178*ИД!$C47/1.2*AQ$479</f>
        <v>0</v>
      </c>
      <c r="AR454" s="82">
        <f ca="1">ИД!AS178*ИД!$C47/1.2*AR$479</f>
        <v>0</v>
      </c>
      <c r="AS454" s="1"/>
      <c r="AT454" s="30">
        <f t="shared" ca="1" si="191"/>
        <v>33944.994052011716</v>
      </c>
    </row>
    <row r="455" spans="1:46" ht="11.25" customHeight="1" x14ac:dyDescent="0.2">
      <c r="A455" s="547" t="str">
        <f>ИД!B179</f>
        <v>Водоотведение</v>
      </c>
      <c r="B455" s="306">
        <f t="shared" ca="1" si="192"/>
        <v>311959.36184987205</v>
      </c>
      <c r="C455" s="3">
        <f>0</f>
        <v>0</v>
      </c>
      <c r="E455" s="82">
        <f>ИД!F179*ИД!$C48/1.2*E$479</f>
        <v>0</v>
      </c>
      <c r="F455" s="82">
        <f ca="1">ИД!G179*ИД!$C48/1.2*F$479</f>
        <v>0</v>
      </c>
      <c r="G455" s="82">
        <f ca="1">ИД!H179*ИД!$C48/1.2*G$479</f>
        <v>0</v>
      </c>
      <c r="H455" s="82">
        <f ca="1">ИД!I179*ИД!$C48/1.2*H$479</f>
        <v>0</v>
      </c>
      <c r="I455" s="82">
        <f ca="1">ИД!J179*ИД!$C48/1.2*I$479</f>
        <v>0</v>
      </c>
      <c r="J455" s="82">
        <f ca="1">ИД!K179*ИД!$C48/1.2*J$479</f>
        <v>0</v>
      </c>
      <c r="K455" s="82">
        <f ca="1">ИД!L179*ИД!$C48/1.2*K$479</f>
        <v>0</v>
      </c>
      <c r="L455" s="82">
        <f ca="1">ИД!M179*ИД!$C48/1.2*L$479</f>
        <v>0</v>
      </c>
      <c r="M455" s="82">
        <f ca="1">ИД!N179*ИД!$C48/1.2*M$479</f>
        <v>61324.166369901759</v>
      </c>
      <c r="N455" s="82">
        <f ca="1">ИД!O179*ИД!$C48/1.2*N$479</f>
        <v>93123.18173282576</v>
      </c>
      <c r="O455" s="82">
        <f ca="1">ИД!P179*ИД!$C48/1.2*O$479</f>
        <v>125698.88822892247</v>
      </c>
      <c r="P455" s="82">
        <f ca="1">ИД!Q179*ИД!$C48/1.2*P$479</f>
        <v>31813.125518222056</v>
      </c>
      <c r="Q455" s="82">
        <f ca="1">ИД!R179*ИД!$C48/1.2*Q$479</f>
        <v>0</v>
      </c>
      <c r="R455" s="82">
        <f ca="1">ИД!S179*ИД!$C48/1.2*R$479</f>
        <v>0</v>
      </c>
      <c r="S455" s="82">
        <f ca="1">ИД!T179*ИД!$C48/1.2*S$479</f>
        <v>0</v>
      </c>
      <c r="T455" s="82">
        <f ca="1">ИД!U179*ИД!$C48/1.2*T$479</f>
        <v>0</v>
      </c>
      <c r="U455" s="82">
        <f ca="1">ИД!V179*ИД!$C48/1.2*U$479</f>
        <v>0</v>
      </c>
      <c r="V455" s="82">
        <f ca="1">ИД!W179*ИД!$C48/1.2*V$479</f>
        <v>0</v>
      </c>
      <c r="W455" s="82">
        <f ca="1">ИД!X179*ИД!$C48/1.2*W$479</f>
        <v>0</v>
      </c>
      <c r="X455" s="82">
        <f ca="1">ИД!Y179*ИД!$C48/1.2*X$479</f>
        <v>0</v>
      </c>
      <c r="Y455" s="82">
        <f ca="1">ИД!Z179*ИД!$C48/1.2*Y$479</f>
        <v>0</v>
      </c>
      <c r="Z455" s="82">
        <f ca="1">ИД!AA179*ИД!$C48/1.2*Z$479</f>
        <v>0</v>
      </c>
      <c r="AA455" s="82">
        <f ca="1">ИД!AB179*ИД!$C48/1.2*AA$479</f>
        <v>0</v>
      </c>
      <c r="AB455" s="82">
        <f ca="1">ИД!AC179*ИД!$C48/1.2*AB$479</f>
        <v>0</v>
      </c>
      <c r="AC455" s="82">
        <f ca="1">ИД!AD179*ИД!$C48/1.2*AC$479</f>
        <v>0</v>
      </c>
      <c r="AD455" s="82">
        <f ca="1">ИД!AE179*ИД!$C48/1.2*AD$479</f>
        <v>0</v>
      </c>
      <c r="AE455" s="82">
        <f ca="1">ИД!AF179*ИД!$C48/1.2*AE$479</f>
        <v>0</v>
      </c>
      <c r="AF455" s="82">
        <f ca="1">ИД!AG179*ИД!$C48/1.2*AF$479</f>
        <v>0</v>
      </c>
      <c r="AG455" s="82">
        <f ca="1">ИД!AH179*ИД!$C48/1.2*AG$479</f>
        <v>0</v>
      </c>
      <c r="AH455" s="82">
        <f ca="1">ИД!AI179*ИД!$C48/1.2*AH$479</f>
        <v>0</v>
      </c>
      <c r="AI455" s="82">
        <f ca="1">ИД!AJ179*ИД!$C48/1.2*AI$479</f>
        <v>0</v>
      </c>
      <c r="AJ455" s="82">
        <f ca="1">ИД!AK179*ИД!$C48/1.2*AJ$479</f>
        <v>0</v>
      </c>
      <c r="AK455" s="82">
        <f ca="1">ИД!AL179*ИД!$C48/1.2*AK$479</f>
        <v>0</v>
      </c>
      <c r="AL455" s="82">
        <f ca="1">ИД!AM179*ИД!$C48/1.2*AL$479</f>
        <v>0</v>
      </c>
      <c r="AM455" s="82">
        <f ca="1">ИД!AN179*ИД!$C48/1.2*AM$479</f>
        <v>0</v>
      </c>
      <c r="AN455" s="82">
        <f ca="1">ИД!AO179*ИД!$C48/1.2*AN$479</f>
        <v>0</v>
      </c>
      <c r="AO455" s="82">
        <f ca="1">ИД!AP179*ИД!$C48/1.2*AO$479</f>
        <v>0</v>
      </c>
      <c r="AP455" s="82">
        <f ca="1">ИД!AQ179*ИД!$C48/1.2*AP$479</f>
        <v>0</v>
      </c>
      <c r="AQ455" s="82">
        <f ca="1">ИД!AR179*ИД!$C48/1.2*AQ$479</f>
        <v>0</v>
      </c>
      <c r="AR455" s="82">
        <f ca="1">ИД!AS179*ИД!$C48/1.2*AR$479</f>
        <v>0</v>
      </c>
      <c r="AS455" s="1"/>
      <c r="AT455" s="30">
        <f t="shared" ca="1" si="191"/>
        <v>311959.36184987205</v>
      </c>
    </row>
    <row r="456" spans="1:46" ht="11.25" customHeight="1" x14ac:dyDescent="0.2">
      <c r="A456" s="547" t="str">
        <f>ИД!B180</f>
        <v>Газоснабжение</v>
      </c>
      <c r="B456" s="306">
        <f t="shared" ca="1" si="192"/>
        <v>0</v>
      </c>
      <c r="C456" s="3">
        <f>0</f>
        <v>0</v>
      </c>
      <c r="E456" s="82">
        <f>ИД!F180*ИД!$C49/1.2*E$479</f>
        <v>0</v>
      </c>
      <c r="F456" s="82">
        <f ca="1">ИД!G180*ИД!$C49/1.2*F$479</f>
        <v>0</v>
      </c>
      <c r="G456" s="82">
        <f ca="1">ИД!H180*ИД!$C49/1.2*G$479</f>
        <v>0</v>
      </c>
      <c r="H456" s="82">
        <f ca="1">ИД!I180*ИД!$C49/1.2*H$479</f>
        <v>0</v>
      </c>
      <c r="I456" s="82">
        <f ca="1">ИД!J180*ИД!$C49/1.2*I$479</f>
        <v>0</v>
      </c>
      <c r="J456" s="82">
        <f ca="1">ИД!K180*ИД!$C49/1.2*J$479</f>
        <v>0</v>
      </c>
      <c r="K456" s="82">
        <f ca="1">ИД!L180*ИД!$C49/1.2*K$479</f>
        <v>0</v>
      </c>
      <c r="L456" s="82">
        <f ca="1">ИД!M180*ИД!$C49/1.2*L$479</f>
        <v>0</v>
      </c>
      <c r="M456" s="82">
        <f ca="1">ИД!N180*ИД!$C49/1.2*M$479</f>
        <v>0</v>
      </c>
      <c r="N456" s="82">
        <f ca="1">ИД!O180*ИД!$C49/1.2*N$479</f>
        <v>0</v>
      </c>
      <c r="O456" s="82">
        <f ca="1">ИД!P180*ИД!$C49/1.2*O$479</f>
        <v>0</v>
      </c>
      <c r="P456" s="82">
        <f ca="1">ИД!Q180*ИД!$C49/1.2*P$479</f>
        <v>0</v>
      </c>
      <c r="Q456" s="82">
        <f ca="1">ИД!R180*ИД!$C49/1.2*Q$479</f>
        <v>0</v>
      </c>
      <c r="R456" s="82">
        <f ca="1">ИД!S180*ИД!$C49/1.2*R$479</f>
        <v>0</v>
      </c>
      <c r="S456" s="82">
        <f ca="1">ИД!T180*ИД!$C49/1.2*S$479</f>
        <v>0</v>
      </c>
      <c r="T456" s="82">
        <f ca="1">ИД!U180*ИД!$C49/1.2*T$479</f>
        <v>0</v>
      </c>
      <c r="U456" s="82">
        <f ca="1">ИД!V180*ИД!$C49/1.2*U$479</f>
        <v>0</v>
      </c>
      <c r="V456" s="82">
        <f ca="1">ИД!W180*ИД!$C49/1.2*V$479</f>
        <v>0</v>
      </c>
      <c r="W456" s="82">
        <f ca="1">ИД!X180*ИД!$C49/1.2*W$479</f>
        <v>0</v>
      </c>
      <c r="X456" s="82">
        <f ca="1">ИД!Y180*ИД!$C49/1.2*X$479</f>
        <v>0</v>
      </c>
      <c r="Y456" s="82">
        <f ca="1">ИД!Z180*ИД!$C49/1.2*Y$479</f>
        <v>0</v>
      </c>
      <c r="Z456" s="82">
        <f ca="1">ИД!AA180*ИД!$C49/1.2*Z$479</f>
        <v>0</v>
      </c>
      <c r="AA456" s="82">
        <f ca="1">ИД!AB180*ИД!$C49/1.2*AA$479</f>
        <v>0</v>
      </c>
      <c r="AB456" s="82">
        <f ca="1">ИД!AC180*ИД!$C49/1.2*AB$479</f>
        <v>0</v>
      </c>
      <c r="AC456" s="82">
        <f ca="1">ИД!AD180*ИД!$C49/1.2*AC$479</f>
        <v>0</v>
      </c>
      <c r="AD456" s="82">
        <f ca="1">ИД!AE180*ИД!$C49/1.2*AD$479</f>
        <v>0</v>
      </c>
      <c r="AE456" s="82">
        <f ca="1">ИД!AF180*ИД!$C49/1.2*AE$479</f>
        <v>0</v>
      </c>
      <c r="AF456" s="82">
        <f ca="1">ИД!AG180*ИД!$C49/1.2*AF$479</f>
        <v>0</v>
      </c>
      <c r="AG456" s="82">
        <f ca="1">ИД!AH180*ИД!$C49/1.2*AG$479</f>
        <v>0</v>
      </c>
      <c r="AH456" s="82">
        <f ca="1">ИД!AI180*ИД!$C49/1.2*AH$479</f>
        <v>0</v>
      </c>
      <c r="AI456" s="82">
        <f ca="1">ИД!AJ180*ИД!$C49/1.2*AI$479</f>
        <v>0</v>
      </c>
      <c r="AJ456" s="82">
        <f ca="1">ИД!AK180*ИД!$C49/1.2*AJ$479</f>
        <v>0</v>
      </c>
      <c r="AK456" s="82">
        <f ca="1">ИД!AL180*ИД!$C49/1.2*AK$479</f>
        <v>0</v>
      </c>
      <c r="AL456" s="82">
        <f ca="1">ИД!AM180*ИД!$C49/1.2*AL$479</f>
        <v>0</v>
      </c>
      <c r="AM456" s="82">
        <f ca="1">ИД!AN180*ИД!$C49/1.2*AM$479</f>
        <v>0</v>
      </c>
      <c r="AN456" s="82">
        <f ca="1">ИД!AO180*ИД!$C49/1.2*AN$479</f>
        <v>0</v>
      </c>
      <c r="AO456" s="82">
        <f ca="1">ИД!AP180*ИД!$C49/1.2*AO$479</f>
        <v>0</v>
      </c>
      <c r="AP456" s="82">
        <f ca="1">ИД!AQ180*ИД!$C49/1.2*AP$479</f>
        <v>0</v>
      </c>
      <c r="AQ456" s="82">
        <f ca="1">ИД!AR180*ИД!$C49/1.2*AQ$479</f>
        <v>0</v>
      </c>
      <c r="AR456" s="82">
        <f ca="1">ИД!AS180*ИД!$C49/1.2*AR$479</f>
        <v>0</v>
      </c>
      <c r="AS456" s="1"/>
      <c r="AT456" s="30">
        <f t="shared" ca="1" si="191"/>
        <v>0</v>
      </c>
    </row>
    <row r="457" spans="1:46" ht="11.25" customHeight="1" x14ac:dyDescent="0.2">
      <c r="A457" s="547" t="str">
        <f>ИД!B181</f>
        <v>Транспортная инфраструктура</v>
      </c>
      <c r="B457" s="306">
        <f t="shared" ca="1" si="192"/>
        <v>214479.73296443713</v>
      </c>
      <c r="C457" s="3">
        <f>0</f>
        <v>0</v>
      </c>
      <c r="E457" s="82">
        <f>ИД!F181*ИД!$C50/1.2*E$479</f>
        <v>10683.333333333334</v>
      </c>
      <c r="F457" s="82">
        <f ca="1">ИД!G181*ИД!$C50/1.2*F$479</f>
        <v>32050</v>
      </c>
      <c r="G457" s="82">
        <f ca="1">ИД!H181*ИД!$C50/1.2*G$479</f>
        <v>53416.666666666672</v>
      </c>
      <c r="H457" s="82">
        <f ca="1">ИД!I181*ИД!$C50/1.2*H$479</f>
        <v>59826.666666666672</v>
      </c>
      <c r="I457" s="82">
        <f ca="1">ИД!J181*ИД!$C50/1.2*I$479</f>
        <v>25640</v>
      </c>
      <c r="J457" s="82">
        <f ca="1">ИД!K181*ИД!$C50/1.2*J$479</f>
        <v>10817.713965454746</v>
      </c>
      <c r="K457" s="82">
        <f ca="1">ИД!L181*ИД!$C50/1.2*K$479</f>
        <v>10953.784908430076</v>
      </c>
      <c r="L457" s="82">
        <f ca="1">ИД!M181*ИД!$C50/1.2*L$479</f>
        <v>11091.56742388563</v>
      </c>
      <c r="M457" s="82">
        <f ca="1">ИД!N181*ИД!$C50/1.2*M$479</f>
        <v>0</v>
      </c>
      <c r="N457" s="82">
        <f ca="1">ИД!O181*ИД!$C50/1.2*N$479</f>
        <v>0</v>
      </c>
      <c r="O457" s="82">
        <f ca="1">ИД!P181*ИД!$C50/1.2*O$479</f>
        <v>0</v>
      </c>
      <c r="P457" s="82">
        <f ca="1">ИД!Q181*ИД!$C50/1.2*P$479</f>
        <v>0</v>
      </c>
      <c r="Q457" s="82">
        <f ca="1">ИД!R181*ИД!$C50/1.2*Q$479</f>
        <v>0</v>
      </c>
      <c r="R457" s="82">
        <f ca="1">ИД!S181*ИД!$C50/1.2*R$479</f>
        <v>0</v>
      </c>
      <c r="S457" s="82">
        <f ca="1">ИД!T181*ИД!$C50/1.2*S$479</f>
        <v>0</v>
      </c>
      <c r="T457" s="82">
        <f ca="1">ИД!U181*ИД!$C50/1.2*T$479</f>
        <v>0</v>
      </c>
      <c r="U457" s="82">
        <f ca="1">ИД!V181*ИД!$C50/1.2*U$479</f>
        <v>0</v>
      </c>
      <c r="V457" s="82">
        <f ca="1">ИД!W181*ИД!$C50/1.2*V$479</f>
        <v>0</v>
      </c>
      <c r="W457" s="82">
        <f ca="1">ИД!X181*ИД!$C50/1.2*W$479</f>
        <v>0</v>
      </c>
      <c r="X457" s="82">
        <f ca="1">ИД!Y181*ИД!$C50/1.2*X$479</f>
        <v>0</v>
      </c>
      <c r="Y457" s="82">
        <f ca="1">ИД!Z181*ИД!$C50/1.2*Y$479</f>
        <v>0</v>
      </c>
      <c r="Z457" s="82">
        <f ca="1">ИД!AA181*ИД!$C50/1.2*Z$479</f>
        <v>0</v>
      </c>
      <c r="AA457" s="82">
        <f ca="1">ИД!AB181*ИД!$C50/1.2*AA$479</f>
        <v>0</v>
      </c>
      <c r="AB457" s="82">
        <f ca="1">ИД!AC181*ИД!$C50/1.2*AB$479</f>
        <v>0</v>
      </c>
      <c r="AC457" s="82">
        <f ca="1">ИД!AD181*ИД!$C50/1.2*AC$479</f>
        <v>0</v>
      </c>
      <c r="AD457" s="82">
        <f ca="1">ИД!AE181*ИД!$C50/1.2*AD$479</f>
        <v>0</v>
      </c>
      <c r="AE457" s="82">
        <f ca="1">ИД!AF181*ИД!$C50/1.2*AE$479</f>
        <v>0</v>
      </c>
      <c r="AF457" s="82">
        <f ca="1">ИД!AG181*ИД!$C50/1.2*AF$479</f>
        <v>0</v>
      </c>
      <c r="AG457" s="82">
        <f ca="1">ИД!AH181*ИД!$C50/1.2*AG$479</f>
        <v>0</v>
      </c>
      <c r="AH457" s="82">
        <f ca="1">ИД!AI181*ИД!$C50/1.2*AH$479</f>
        <v>0</v>
      </c>
      <c r="AI457" s="82">
        <f ca="1">ИД!AJ181*ИД!$C50/1.2*AI$479</f>
        <v>0</v>
      </c>
      <c r="AJ457" s="82">
        <f ca="1">ИД!AK181*ИД!$C50/1.2*AJ$479</f>
        <v>0</v>
      </c>
      <c r="AK457" s="82">
        <f ca="1">ИД!AL181*ИД!$C50/1.2*AK$479</f>
        <v>0</v>
      </c>
      <c r="AL457" s="82">
        <f ca="1">ИД!AM181*ИД!$C50/1.2*AL$479</f>
        <v>0</v>
      </c>
      <c r="AM457" s="82">
        <f ca="1">ИД!AN181*ИД!$C50/1.2*AM$479</f>
        <v>0</v>
      </c>
      <c r="AN457" s="82">
        <f ca="1">ИД!AO181*ИД!$C50/1.2*AN$479</f>
        <v>0</v>
      </c>
      <c r="AO457" s="82">
        <f ca="1">ИД!AP181*ИД!$C50/1.2*AO$479</f>
        <v>0</v>
      </c>
      <c r="AP457" s="82">
        <f ca="1">ИД!AQ181*ИД!$C50/1.2*AP$479</f>
        <v>0</v>
      </c>
      <c r="AQ457" s="82">
        <f ca="1">ИД!AR181*ИД!$C50/1.2*AQ$479</f>
        <v>0</v>
      </c>
      <c r="AR457" s="82">
        <f ca="1">ИД!AS181*ИД!$C50/1.2*AR$479</f>
        <v>0</v>
      </c>
      <c r="AS457" s="1"/>
      <c r="AT457" s="30">
        <f t="shared" ca="1" si="191"/>
        <v>214479.73296443713</v>
      </c>
    </row>
    <row r="458" spans="1:46" ht="11.25" customHeight="1" x14ac:dyDescent="0.2">
      <c r="A458" s="547" t="s">
        <v>651</v>
      </c>
      <c r="B458" s="306">
        <f t="shared" ca="1" si="192"/>
        <v>0</v>
      </c>
      <c r="C458" s="3">
        <f>0</f>
        <v>0</v>
      </c>
      <c r="E458" s="82">
        <f>ИД!F182*ИД!$C51/1.2*E$479</f>
        <v>0</v>
      </c>
      <c r="F458" s="82">
        <f ca="1">ИД!G182*ИД!$C51/1.2*F$479</f>
        <v>0</v>
      </c>
      <c r="G458" s="82">
        <f ca="1">ИД!H182*ИД!$C51/1.2*G$479</f>
        <v>0</v>
      </c>
      <c r="H458" s="82">
        <f ca="1">ИД!I182*ИД!$C51/1.2*H$479</f>
        <v>0</v>
      </c>
      <c r="I458" s="82">
        <f ca="1">ИД!J182*ИД!$C51/1.2*I$479</f>
        <v>0</v>
      </c>
      <c r="J458" s="82">
        <f ca="1">ИД!K182*ИД!$C51/1.2*J$479</f>
        <v>0</v>
      </c>
      <c r="K458" s="82">
        <f ca="1">ИД!L182*ИД!$C51/1.2*K$479</f>
        <v>0</v>
      </c>
      <c r="L458" s="82">
        <f ca="1">ИД!M182*ИД!$C51/1.2*L$479</f>
        <v>0</v>
      </c>
      <c r="M458" s="82">
        <f ca="1">ИД!N182*ИД!$C51/1.2*M$479</f>
        <v>0</v>
      </c>
      <c r="N458" s="82">
        <f ca="1">ИД!O182*ИД!$C51/1.2*N$479</f>
        <v>0</v>
      </c>
      <c r="O458" s="82">
        <f ca="1">ИД!P182*ИД!$C51/1.2*O$479</f>
        <v>0</v>
      </c>
      <c r="P458" s="82">
        <f ca="1">ИД!Q182*ИД!$C51/1.2*P$479</f>
        <v>0</v>
      </c>
      <c r="Q458" s="82">
        <f ca="1">ИД!R182*ИД!$C51/1.2*Q$479</f>
        <v>0</v>
      </c>
      <c r="R458" s="82">
        <f ca="1">ИД!S182*ИД!$C51/1.2*R$479</f>
        <v>0</v>
      </c>
      <c r="S458" s="82">
        <f ca="1">ИД!T182*ИД!$C51/1.2*S$479</f>
        <v>0</v>
      </c>
      <c r="T458" s="82">
        <f ca="1">ИД!U182*ИД!$C51/1.2*T$479</f>
        <v>0</v>
      </c>
      <c r="U458" s="82">
        <f ca="1">ИД!V182*ИД!$C51/1.2*U$479</f>
        <v>0</v>
      </c>
      <c r="V458" s="82">
        <f ca="1">ИД!W182*ИД!$C51/1.2*V$479</f>
        <v>0</v>
      </c>
      <c r="W458" s="82">
        <f ca="1">ИД!X182*ИД!$C51/1.2*W$479</f>
        <v>0</v>
      </c>
      <c r="X458" s="82">
        <f ca="1">ИД!Y182*ИД!$C51/1.2*X$479</f>
        <v>0</v>
      </c>
      <c r="Y458" s="82">
        <f ca="1">ИД!Z182*ИД!$C51/1.2*Y$479</f>
        <v>0</v>
      </c>
      <c r="Z458" s="82">
        <f ca="1">ИД!AA182*ИД!$C51/1.2*Z$479</f>
        <v>0</v>
      </c>
      <c r="AA458" s="82">
        <f ca="1">ИД!AB182*ИД!$C51/1.2*AA$479</f>
        <v>0</v>
      </c>
      <c r="AB458" s="82">
        <f ca="1">ИД!AC182*ИД!$C51/1.2*AB$479</f>
        <v>0</v>
      </c>
      <c r="AC458" s="82">
        <f ca="1">ИД!AD182*ИД!$C51/1.2*AC$479</f>
        <v>0</v>
      </c>
      <c r="AD458" s="82">
        <f ca="1">ИД!AE182*ИД!$C51/1.2*AD$479</f>
        <v>0</v>
      </c>
      <c r="AE458" s="82">
        <f ca="1">ИД!AF182*ИД!$C51/1.2*AE$479</f>
        <v>0</v>
      </c>
      <c r="AF458" s="82">
        <f ca="1">ИД!AG182*ИД!$C51/1.2*AF$479</f>
        <v>0</v>
      </c>
      <c r="AG458" s="82">
        <f ca="1">ИД!AH182*ИД!$C51/1.2*AG$479</f>
        <v>0</v>
      </c>
      <c r="AH458" s="82">
        <f ca="1">ИД!AI182*ИД!$C51/1.2*AH$479</f>
        <v>0</v>
      </c>
      <c r="AI458" s="82">
        <f ca="1">ИД!AJ182*ИД!$C51/1.2*AI$479</f>
        <v>0</v>
      </c>
      <c r="AJ458" s="82">
        <f ca="1">ИД!AK182*ИД!$C51/1.2*AJ$479</f>
        <v>0</v>
      </c>
      <c r="AK458" s="82">
        <f ca="1">ИД!AL182*ИД!$C51/1.2*AK$479</f>
        <v>0</v>
      </c>
      <c r="AL458" s="82">
        <f ca="1">ИД!AM182*ИД!$C51/1.2*AL$479</f>
        <v>0</v>
      </c>
      <c r="AM458" s="82">
        <f ca="1">ИД!AN182*ИД!$C51/1.2*AM$479</f>
        <v>0</v>
      </c>
      <c r="AN458" s="82">
        <f ca="1">ИД!AO182*ИД!$C51/1.2*AN$479</f>
        <v>0</v>
      </c>
      <c r="AO458" s="82">
        <f ca="1">ИД!AP182*ИД!$C51/1.2*AO$479</f>
        <v>0</v>
      </c>
      <c r="AP458" s="82">
        <f ca="1">ИД!AQ182*ИД!$C51/1.2*AP$479</f>
        <v>0</v>
      </c>
      <c r="AQ458" s="82">
        <f ca="1">ИД!AR182*ИД!$C51/1.2*AQ$479</f>
        <v>0</v>
      </c>
      <c r="AR458" s="82">
        <f ca="1">ИД!AS182*ИД!$C51/1.2*AR$479</f>
        <v>0</v>
      </c>
      <c r="AS458" s="1"/>
      <c r="AT458" s="30">
        <f t="shared" ca="1" si="191"/>
        <v>0</v>
      </c>
    </row>
    <row r="459" spans="1:46" ht="11.25" customHeight="1" collapsed="1" x14ac:dyDescent="0.2">
      <c r="A459" s="63" t="s">
        <v>46</v>
      </c>
      <c r="B459" s="5">
        <f ca="1">AT459</f>
        <v>560384.0888663209</v>
      </c>
      <c r="C459" s="3" t="str">
        <f>CHOOSE(C452,Параметры!$B$64,Параметры!$B$108,Параметры!$B$117)</f>
        <v>тыс. руб.</v>
      </c>
      <c r="E459" s="348">
        <f>SUM(E453:E458)</f>
        <v>10683.333333333334</v>
      </c>
      <c r="F459" s="348">
        <f t="shared" ref="F459:AR459" ca="1" si="193">SUM(F453:F458)</f>
        <v>32050</v>
      </c>
      <c r="G459" s="348">
        <f t="shared" ca="1" si="193"/>
        <v>53416.666666666672</v>
      </c>
      <c r="H459" s="348">
        <f t="shared" ca="1" si="193"/>
        <v>59826.666666666672</v>
      </c>
      <c r="I459" s="348">
        <f t="shared" ca="1" si="193"/>
        <v>30640</v>
      </c>
      <c r="J459" s="348">
        <f t="shared" ca="1" si="193"/>
        <v>22631.130152378806</v>
      </c>
      <c r="K459" s="348">
        <f t="shared" ca="1" si="193"/>
        <v>24624.65530896683</v>
      </c>
      <c r="L459" s="348">
        <f t="shared" ca="1" si="193"/>
        <v>14552.274888436528</v>
      </c>
      <c r="M459" s="348">
        <f t="shared" ca="1" si="193"/>
        <v>61324.166369901759</v>
      </c>
      <c r="N459" s="348">
        <f t="shared" ca="1" si="193"/>
        <v>93123.18173282576</v>
      </c>
      <c r="O459" s="348">
        <f t="shared" ca="1" si="193"/>
        <v>125698.88822892247</v>
      </c>
      <c r="P459" s="348">
        <f t="shared" ca="1" si="193"/>
        <v>31813.125518222056</v>
      </c>
      <c r="Q459" s="348">
        <f t="shared" ca="1" si="193"/>
        <v>0</v>
      </c>
      <c r="R459" s="348">
        <f t="shared" ca="1" si="193"/>
        <v>0</v>
      </c>
      <c r="S459" s="348">
        <f t="shared" ca="1" si="193"/>
        <v>0</v>
      </c>
      <c r="T459" s="348">
        <f t="shared" ca="1" si="193"/>
        <v>0</v>
      </c>
      <c r="U459" s="348">
        <f t="shared" ca="1" si="193"/>
        <v>0</v>
      </c>
      <c r="V459" s="348">
        <f t="shared" ca="1" si="193"/>
        <v>0</v>
      </c>
      <c r="W459" s="348">
        <f t="shared" ca="1" si="193"/>
        <v>0</v>
      </c>
      <c r="X459" s="348">
        <f t="shared" ca="1" si="193"/>
        <v>0</v>
      </c>
      <c r="Y459" s="348">
        <f t="shared" ca="1" si="193"/>
        <v>0</v>
      </c>
      <c r="Z459" s="348">
        <f t="shared" ca="1" si="193"/>
        <v>0</v>
      </c>
      <c r="AA459" s="348">
        <f t="shared" ca="1" si="193"/>
        <v>0</v>
      </c>
      <c r="AB459" s="348">
        <f t="shared" ca="1" si="193"/>
        <v>0</v>
      </c>
      <c r="AC459" s="348">
        <f t="shared" ca="1" si="193"/>
        <v>0</v>
      </c>
      <c r="AD459" s="348">
        <f t="shared" ca="1" si="193"/>
        <v>0</v>
      </c>
      <c r="AE459" s="348">
        <f t="shared" ca="1" si="193"/>
        <v>0</v>
      </c>
      <c r="AF459" s="348">
        <f t="shared" ca="1" si="193"/>
        <v>0</v>
      </c>
      <c r="AG459" s="348">
        <f t="shared" ca="1" si="193"/>
        <v>0</v>
      </c>
      <c r="AH459" s="348">
        <f t="shared" ca="1" si="193"/>
        <v>0</v>
      </c>
      <c r="AI459" s="348">
        <f t="shared" ca="1" si="193"/>
        <v>0</v>
      </c>
      <c r="AJ459" s="348">
        <f t="shared" ca="1" si="193"/>
        <v>0</v>
      </c>
      <c r="AK459" s="348">
        <f t="shared" ca="1" si="193"/>
        <v>0</v>
      </c>
      <c r="AL459" s="348">
        <f t="shared" ca="1" si="193"/>
        <v>0</v>
      </c>
      <c r="AM459" s="348">
        <f t="shared" ca="1" si="193"/>
        <v>0</v>
      </c>
      <c r="AN459" s="348">
        <f t="shared" ca="1" si="193"/>
        <v>0</v>
      </c>
      <c r="AO459" s="348">
        <f t="shared" ca="1" si="193"/>
        <v>0</v>
      </c>
      <c r="AP459" s="348">
        <f t="shared" ca="1" si="193"/>
        <v>0</v>
      </c>
      <c r="AQ459" s="348">
        <f t="shared" ca="1" si="193"/>
        <v>0</v>
      </c>
      <c r="AR459" s="348">
        <f t="shared" ca="1" si="193"/>
        <v>0</v>
      </c>
      <c r="AS459" s="90"/>
      <c r="AT459" s="30">
        <f t="shared" ca="1" si="191"/>
        <v>560384.0888663209</v>
      </c>
    </row>
    <row r="460" spans="1:46" ht="11.25" customHeight="1" outlineLevel="1" x14ac:dyDescent="0.2">
      <c r="A460" s="63" t="s">
        <v>289</v>
      </c>
      <c r="B460" s="3"/>
      <c r="C460" s="3" t="str">
        <f>CHOOSE(C452,Параметры!$B$64,Параметры!$B$108,Параметры!$B$117)</f>
        <v>тыс. руб.</v>
      </c>
      <c r="E460" s="348">
        <f t="array" aca="1" ref="E460" ca="1">SUMPRODUCT($B$453:$B$458,IF(ИД!$E$177:$E$182=E387,1,0))+IF(E387=0,1,0)*0</f>
        <v>0</v>
      </c>
      <c r="F460" s="348">
        <f t="array" aca="1" ref="F460" ca="1">SUMPRODUCT($B$453:$B$458,IF(ИД!$E$177:$E$182=F387,1,0))+IF(F387=0,1,0)*0</f>
        <v>0</v>
      </c>
      <c r="G460" s="348">
        <f t="array" aca="1" ref="G460" ca="1">SUMPRODUCT($B$453:$B$458,IF(ИД!$E$177:$E$182=G387,1,0))+IF(G387=0,1,0)*0</f>
        <v>0</v>
      </c>
      <c r="H460" s="348">
        <f t="array" aca="1" ref="H460" ca="1">SUMPRODUCT($B$453:$B$458,IF(ИД!$E$177:$E$182=H387,1,0))+IF(H387=0,1,0)*0</f>
        <v>0</v>
      </c>
      <c r="I460" s="348">
        <f t="array" aca="1" ref="I460" ca="1">SUMPRODUCT($B$453:$B$458,IF(ИД!$E$177:$E$182=I387,1,0))+IF(I387=0,1,0)*0</f>
        <v>0</v>
      </c>
      <c r="J460" s="348">
        <f t="array" aca="1" ref="J460" ca="1">SUMPRODUCT($B$453:$B$458,IF(ИД!$E$177:$E$182=J387,1,0))+IF(J387=0,1,0)*0</f>
        <v>0</v>
      </c>
      <c r="K460" s="348">
        <f t="array" aca="1" ref="K460" ca="1">SUMPRODUCT($B$453:$B$458,IF(ИД!$E$177:$E$182=K387,1,0))+IF(K387=0,1,0)*0</f>
        <v>0</v>
      </c>
      <c r="L460" s="348">
        <f t="array" aca="1" ref="L460" ca="1">SUMPRODUCT($B$453:$B$458,IF(ИД!$E$177:$E$182=L387,1,0))+IF(L387=0,1,0)*0</f>
        <v>248424.72701644886</v>
      </c>
      <c r="M460" s="348">
        <f t="array" aca="1" ref="M460" ca="1">SUMPRODUCT($B$453:$B$458,IF(ИД!$E$177:$E$182=M387,1,0))+IF(M387=0,1,0)*0</f>
        <v>0</v>
      </c>
      <c r="N460" s="348">
        <f t="array" aca="1" ref="N460" ca="1">SUMPRODUCT($B$453:$B$458,IF(ИД!$E$177:$E$182=N387,1,0))+IF(N387=0,1,0)*0</f>
        <v>0</v>
      </c>
      <c r="O460" s="348">
        <f t="array" aca="1" ref="O460" ca="1">SUMPRODUCT($B$453:$B$458,IF(ИД!$E$177:$E$182=O387,1,0))+IF(O387=0,1,0)*0</f>
        <v>0</v>
      </c>
      <c r="P460" s="348">
        <f t="array" aca="1" ref="P460" ca="1">SUMPRODUCT($B$453:$B$458,IF(ИД!$E$177:$E$182=P387,1,0))+IF(P387=0,1,0)*0</f>
        <v>311959.36184987205</v>
      </c>
      <c r="Q460" s="348">
        <f t="array" aca="1" ref="Q460" ca="1">SUMPRODUCT($B$453:$B$458,IF(ИД!$E$177:$E$182=Q387,1,0))+IF(Q387=0,1,0)*0</f>
        <v>0</v>
      </c>
      <c r="R460" s="348">
        <f t="array" aca="1" ref="R460" ca="1">SUMPRODUCT($B$453:$B$458,IF(ИД!$E$177:$E$182=R387,1,0))+IF(R387=0,1,0)*0</f>
        <v>0</v>
      </c>
      <c r="S460" s="348">
        <f t="array" aca="1" ref="S460" ca="1">SUMPRODUCT($B$453:$B$458,IF(ИД!$E$177:$E$182=S387,1,0))+IF(S387=0,1,0)*0</f>
        <v>0</v>
      </c>
      <c r="T460" s="348">
        <f t="array" aca="1" ref="T460" ca="1">SUMPRODUCT($B$453:$B$458,IF(ИД!$E$177:$E$182=T387,1,0))+IF(T387=0,1,0)*0</f>
        <v>0</v>
      </c>
      <c r="U460" s="348">
        <f t="array" aca="1" ref="U460" ca="1">SUMPRODUCT($B$453:$B$458,IF(ИД!$E$177:$E$182=U387,1,0))+IF(U387=0,1,0)*0</f>
        <v>0</v>
      </c>
      <c r="V460" s="348">
        <f t="array" aca="1" ref="V460" ca="1">SUMPRODUCT($B$453:$B$458,IF(ИД!$E$177:$E$182=V387,1,0))+IF(V387=0,1,0)*0</f>
        <v>0</v>
      </c>
      <c r="W460" s="348">
        <f t="array" aca="1" ref="W460" ca="1">SUMPRODUCT($B$453:$B$458,IF(ИД!$E$177:$E$182=W387,1,0))+IF(W387=0,1,0)*0</f>
        <v>0</v>
      </c>
      <c r="X460" s="348">
        <f t="array" aca="1" ref="X460" ca="1">SUMPRODUCT($B$453:$B$458,IF(ИД!$E$177:$E$182=X387,1,0))+IF(X387=0,1,0)*0</f>
        <v>0</v>
      </c>
      <c r="Y460" s="348">
        <f t="array" aca="1" ref="Y460" ca="1">SUMPRODUCT($B$453:$B$458,IF(ИД!$E$177:$E$182=Y387,1,0))+IF(Y387=0,1,0)*0</f>
        <v>0</v>
      </c>
      <c r="Z460" s="348">
        <f t="array" aca="1" ref="Z460" ca="1">SUMPRODUCT($B$453:$B$458,IF(ИД!$E$177:$E$182=Z387,1,0))+IF(Z387=0,1,0)*0</f>
        <v>0</v>
      </c>
      <c r="AA460" s="348">
        <f t="array" aca="1" ref="AA460" ca="1">SUMPRODUCT($B$453:$B$458,IF(ИД!$E$177:$E$182=AA387,1,0))+IF(AA387=0,1,0)*0</f>
        <v>0</v>
      </c>
      <c r="AB460" s="348">
        <f t="array" aca="1" ref="AB460" ca="1">SUMPRODUCT($B$453:$B$458,IF(ИД!$E$177:$E$182=AB387,1,0))+IF(AB387=0,1,0)*0</f>
        <v>0</v>
      </c>
      <c r="AC460" s="348">
        <f t="array" aca="1" ref="AC460" ca="1">SUMPRODUCT($B$453:$B$458,IF(ИД!$E$177:$E$182=AC387,1,0))+IF(AC387=0,1,0)*0</f>
        <v>0</v>
      </c>
      <c r="AD460" s="348">
        <f t="array" aca="1" ref="AD460" ca="1">SUMPRODUCT($B$453:$B$458,IF(ИД!$E$177:$E$182=AD387,1,0))+IF(AD387=0,1,0)*0</f>
        <v>0</v>
      </c>
      <c r="AE460" s="348">
        <f t="array" aca="1" ref="AE460" ca="1">SUMPRODUCT($B$453:$B$458,IF(ИД!$E$177:$E$182=AE387,1,0))+IF(AE387=0,1,0)*0</f>
        <v>0</v>
      </c>
      <c r="AF460" s="348">
        <f t="array" aca="1" ref="AF460" ca="1">SUMPRODUCT($B$453:$B$458,IF(ИД!$E$177:$E$182=AF387,1,0))+IF(AF387=0,1,0)*0</f>
        <v>0</v>
      </c>
      <c r="AG460" s="348">
        <f t="array" aca="1" ref="AG460" ca="1">SUMPRODUCT($B$453:$B$458,IF(ИД!$E$177:$E$182=AG387,1,0))+IF(AG387=0,1,0)*0</f>
        <v>0</v>
      </c>
      <c r="AH460" s="348">
        <f t="array" aca="1" ref="AH460" ca="1">SUMPRODUCT($B$453:$B$458,IF(ИД!$E$177:$E$182=AH387,1,0))+IF(AH387=0,1,0)*0</f>
        <v>0</v>
      </c>
      <c r="AI460" s="348">
        <f t="array" aca="1" ref="AI460" ca="1">SUMPRODUCT($B$453:$B$458,IF(ИД!$E$177:$E$182=AI387,1,0))+IF(AI387=0,1,0)*0</f>
        <v>0</v>
      </c>
      <c r="AJ460" s="348">
        <f t="array" aca="1" ref="AJ460" ca="1">SUMPRODUCT($B$453:$B$458,IF(ИД!$E$177:$E$182=AJ387,1,0))+IF(AJ387=0,1,0)*0</f>
        <v>0</v>
      </c>
      <c r="AK460" s="348">
        <f t="array" aca="1" ref="AK460" ca="1">SUMPRODUCT($B$453:$B$458,IF(ИД!$E$177:$E$182=AK387,1,0))+IF(AK387=0,1,0)*0</f>
        <v>0</v>
      </c>
      <c r="AL460" s="348">
        <f t="array" aca="1" ref="AL460" ca="1">SUMPRODUCT($B$453:$B$458,IF(ИД!$E$177:$E$182=AL387,1,0))+IF(AL387=0,1,0)*0</f>
        <v>0</v>
      </c>
      <c r="AM460" s="348">
        <f t="array" aca="1" ref="AM460" ca="1">SUMPRODUCT($B$453:$B$458,IF(ИД!$E$177:$E$182=AM387,1,0))+IF(AM387=0,1,0)*0</f>
        <v>0</v>
      </c>
      <c r="AN460" s="348">
        <f t="array" aca="1" ref="AN460" ca="1">SUMPRODUCT($B$453:$B$458,IF(ИД!$E$177:$E$182=AN387,1,0))+IF(AN387=0,1,0)*0</f>
        <v>0</v>
      </c>
      <c r="AO460" s="348">
        <f t="array" aca="1" ref="AO460" ca="1">SUMPRODUCT($B$453:$B$458,IF(ИД!$E$177:$E$182=AO387,1,0))+IF(AO387=0,1,0)*0</f>
        <v>0</v>
      </c>
      <c r="AP460" s="348">
        <f t="array" aca="1" ref="AP460" ca="1">SUMPRODUCT($B$453:$B$458,IF(ИД!$E$177:$E$182=AP387,1,0))+IF(AP387=0,1,0)*0</f>
        <v>0</v>
      </c>
      <c r="AQ460" s="348">
        <f t="array" aca="1" ref="AQ460" ca="1">SUMPRODUCT($B$453:$B$458,IF(ИД!$E$177:$E$182=AQ387,1,0))+IF(AQ387=0,1,0)*0</f>
        <v>0</v>
      </c>
      <c r="AR460" s="348">
        <f t="array" aca="1" ref="AR460" ca="1">SUMPRODUCT($B$453:$B$458,IF(ИД!$E$177:$E$182=AR387,1,0))+IF(AR387=0,1,0)*0</f>
        <v>0</v>
      </c>
      <c r="AS460" s="90"/>
      <c r="AT460" s="30">
        <f ca="1">SUM(E460:AS460)</f>
        <v>560384.0888663209</v>
      </c>
    </row>
    <row r="461" spans="1:46" ht="11.25" customHeight="1" outlineLevel="1" x14ac:dyDescent="0.2">
      <c r="A461" s="63" t="s">
        <v>49</v>
      </c>
      <c r="B461" s="347">
        <f>ИД!D186</f>
        <v>20</v>
      </c>
      <c r="C461" s="3" t="s">
        <v>2</v>
      </c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30"/>
    </row>
    <row r="462" spans="1:46" ht="11.25" customHeight="1" outlineLevel="1" x14ac:dyDescent="0.2">
      <c r="A462" s="63" t="s">
        <v>52</v>
      </c>
      <c r="B462" s="4"/>
      <c r="C462" s="3" t="s">
        <v>1</v>
      </c>
      <c r="E462" s="355">
        <f>Параметры!E$136</f>
        <v>0.2</v>
      </c>
      <c r="F462" s="355">
        <f>Параметры!F$136</f>
        <v>0.2</v>
      </c>
      <c r="G462" s="355">
        <f>Параметры!G$136</f>
        <v>0.2</v>
      </c>
      <c r="H462" s="355">
        <f>Параметры!H$136</f>
        <v>0.2</v>
      </c>
      <c r="I462" s="355">
        <f>Параметры!I$136</f>
        <v>0.2</v>
      </c>
      <c r="J462" s="355">
        <f>Параметры!J$136</f>
        <v>0.2</v>
      </c>
      <c r="K462" s="355">
        <f>Параметры!K$136</f>
        <v>0.2</v>
      </c>
      <c r="L462" s="355">
        <f>Параметры!L$136</f>
        <v>0.2</v>
      </c>
      <c r="M462" s="355">
        <f>Параметры!M$136</f>
        <v>0.2</v>
      </c>
      <c r="N462" s="355">
        <f>Параметры!N$136</f>
        <v>0.2</v>
      </c>
      <c r="O462" s="355">
        <f>Параметры!O$136</f>
        <v>0.2</v>
      </c>
      <c r="P462" s="355">
        <f>Параметры!P$136</f>
        <v>0.2</v>
      </c>
      <c r="Q462" s="355">
        <f>Параметры!Q$136</f>
        <v>0.2</v>
      </c>
      <c r="R462" s="355">
        <f>Параметры!R$136</f>
        <v>0.2</v>
      </c>
      <c r="S462" s="355">
        <f>Параметры!S$136</f>
        <v>0.2</v>
      </c>
      <c r="T462" s="355">
        <f>Параметры!T$136</f>
        <v>0.2</v>
      </c>
      <c r="U462" s="355">
        <f>Параметры!U$136</f>
        <v>0.2</v>
      </c>
      <c r="V462" s="355">
        <f>Параметры!V$136</f>
        <v>0.2</v>
      </c>
      <c r="W462" s="355">
        <f>Параметры!W$136</f>
        <v>0.2</v>
      </c>
      <c r="X462" s="355">
        <f>Параметры!X$136</f>
        <v>0.2</v>
      </c>
      <c r="Y462" s="355">
        <f>Параметры!Y$136</f>
        <v>0.2</v>
      </c>
      <c r="Z462" s="355">
        <f>Параметры!Z$136</f>
        <v>0.2</v>
      </c>
      <c r="AA462" s="355">
        <f>Параметры!AA$136</f>
        <v>0.2</v>
      </c>
      <c r="AB462" s="355">
        <f>Параметры!AB$136</f>
        <v>0.2</v>
      </c>
      <c r="AC462" s="355">
        <f>Параметры!AC$136</f>
        <v>0.2</v>
      </c>
      <c r="AD462" s="355">
        <f>Параметры!AD$136</f>
        <v>0.2</v>
      </c>
      <c r="AE462" s="355">
        <f>Параметры!AE$136</f>
        <v>0.2</v>
      </c>
      <c r="AF462" s="355">
        <f>Параметры!AF$136</f>
        <v>0.2</v>
      </c>
      <c r="AG462" s="355">
        <f>Параметры!AG$136</f>
        <v>0.2</v>
      </c>
      <c r="AH462" s="355">
        <f>Параметры!AH$136</f>
        <v>0.2</v>
      </c>
      <c r="AI462" s="355">
        <f>Параметры!AI$136</f>
        <v>0.2</v>
      </c>
      <c r="AJ462" s="355">
        <f>Параметры!AJ$136</f>
        <v>0.2</v>
      </c>
      <c r="AK462" s="355">
        <f>Параметры!AK$136</f>
        <v>0.2</v>
      </c>
      <c r="AL462" s="355">
        <f>Параметры!AL$136</f>
        <v>0.2</v>
      </c>
      <c r="AM462" s="355">
        <f>Параметры!AM$136</f>
        <v>0.2</v>
      </c>
      <c r="AN462" s="355">
        <f>Параметры!AN$136</f>
        <v>0.2</v>
      </c>
      <c r="AO462" s="355">
        <f>Параметры!AO$136</f>
        <v>0.2</v>
      </c>
      <c r="AP462" s="355">
        <f>Параметры!AP$136</f>
        <v>0.2</v>
      </c>
      <c r="AQ462" s="355">
        <f>Параметры!AQ$136</f>
        <v>0.2</v>
      </c>
      <c r="AR462" s="355">
        <f>Параметры!AR$136</f>
        <v>0.2</v>
      </c>
      <c r="AS462" s="109"/>
    </row>
    <row r="463" spans="1:46" ht="11.25" customHeight="1" outlineLevel="1" x14ac:dyDescent="0.2">
      <c r="A463" s="147" t="s">
        <v>48</v>
      </c>
      <c r="B463" s="2"/>
      <c r="C463" s="2" t="str">
        <f>CHOOSE(Параметры!$B$19,Параметры!$B$64,Параметры!$B$108,Параметры!$B$117)</f>
        <v>тыс. руб.</v>
      </c>
      <c r="E463" s="115">
        <f>E459*CHOOSE($C452,1,Параметры!E$109,Параметры!E$118)</f>
        <v>10683.333333333334</v>
      </c>
      <c r="F463" s="115">
        <f ca="1">F459*CHOOSE($C452,1,Параметры!F$109,Параметры!F$118)</f>
        <v>32050</v>
      </c>
      <c r="G463" s="115">
        <f ca="1">G459*CHOOSE($C452,1,Параметры!G$109,Параметры!G$118)</f>
        <v>53416.666666666672</v>
      </c>
      <c r="H463" s="115">
        <f ca="1">H459*CHOOSE($C452,1,Параметры!H$109,Параметры!H$118)</f>
        <v>59826.666666666672</v>
      </c>
      <c r="I463" s="115">
        <f ca="1">I459*CHOOSE($C452,1,Параметры!I$109,Параметры!I$118)</f>
        <v>30640</v>
      </c>
      <c r="J463" s="115">
        <f ca="1">J459*CHOOSE($C452,1,Параметры!J$109,Параметры!J$118)</f>
        <v>22631.130152378806</v>
      </c>
      <c r="K463" s="115">
        <f ca="1">K459*CHOOSE($C452,1,Параметры!K$109,Параметры!K$118)</f>
        <v>24624.65530896683</v>
      </c>
      <c r="L463" s="115">
        <f ca="1">L459*CHOOSE($C452,1,Параметры!L$109,Параметры!L$118)</f>
        <v>14552.274888436528</v>
      </c>
      <c r="M463" s="115">
        <f ca="1">M459*CHOOSE($C452,1,Параметры!M$109,Параметры!M$118)</f>
        <v>61324.166369901759</v>
      </c>
      <c r="N463" s="115">
        <f ca="1">N459*CHOOSE($C452,1,Параметры!N$109,Параметры!N$118)</f>
        <v>93123.18173282576</v>
      </c>
      <c r="O463" s="115">
        <f ca="1">O459*CHOOSE($C452,1,Параметры!O$109,Параметры!O$118)</f>
        <v>125698.88822892247</v>
      </c>
      <c r="P463" s="115">
        <f ca="1">P459*CHOOSE($C452,1,Параметры!P$109,Параметры!P$118)</f>
        <v>31813.125518222056</v>
      </c>
      <c r="Q463" s="115">
        <f ca="1">Q459*CHOOSE($C452,1,Параметры!Q$109,Параметры!Q$118)</f>
        <v>0</v>
      </c>
      <c r="R463" s="115">
        <f ca="1">R459*CHOOSE($C452,1,Параметры!R$109,Параметры!R$118)</f>
        <v>0</v>
      </c>
      <c r="S463" s="115">
        <f ca="1">S459*CHOOSE($C452,1,Параметры!S$109,Параметры!S$118)</f>
        <v>0</v>
      </c>
      <c r="T463" s="115">
        <f ca="1">T459*CHOOSE($C452,1,Параметры!T$109,Параметры!T$118)</f>
        <v>0</v>
      </c>
      <c r="U463" s="115">
        <f ca="1">U459*CHOOSE($C452,1,Параметры!U$109,Параметры!U$118)</f>
        <v>0</v>
      </c>
      <c r="V463" s="115">
        <f ca="1">V459*CHOOSE($C452,1,Параметры!V$109,Параметры!V$118)</f>
        <v>0</v>
      </c>
      <c r="W463" s="115">
        <f ca="1">W459*CHOOSE($C452,1,Параметры!W$109,Параметры!W$118)</f>
        <v>0</v>
      </c>
      <c r="X463" s="115">
        <f ca="1">X459*CHOOSE($C452,1,Параметры!X$109,Параметры!X$118)</f>
        <v>0</v>
      </c>
      <c r="Y463" s="115">
        <f ca="1">Y459*CHOOSE($C452,1,Параметры!Y$109,Параметры!Y$118)</f>
        <v>0</v>
      </c>
      <c r="Z463" s="115">
        <f ca="1">Z459*CHOOSE($C452,1,Параметры!Z$109,Параметры!Z$118)</f>
        <v>0</v>
      </c>
      <c r="AA463" s="115">
        <f ca="1">AA459*CHOOSE($C452,1,Параметры!AA$109,Параметры!AA$118)</f>
        <v>0</v>
      </c>
      <c r="AB463" s="115">
        <f ca="1">AB459*CHOOSE($C452,1,Параметры!AB$109,Параметры!AB$118)</f>
        <v>0</v>
      </c>
      <c r="AC463" s="115">
        <f ca="1">AC459*CHOOSE($C452,1,Параметры!AC$109,Параметры!AC$118)</f>
        <v>0</v>
      </c>
      <c r="AD463" s="115">
        <f ca="1">AD459*CHOOSE($C452,1,Параметры!AD$109,Параметры!AD$118)</f>
        <v>0</v>
      </c>
      <c r="AE463" s="115">
        <f ca="1">AE459*CHOOSE($C452,1,Параметры!AE$109,Параметры!AE$118)</f>
        <v>0</v>
      </c>
      <c r="AF463" s="115">
        <f ca="1">AF459*CHOOSE($C452,1,Параметры!AF$109,Параметры!AF$118)</f>
        <v>0</v>
      </c>
      <c r="AG463" s="115">
        <f ca="1">AG459*CHOOSE($C452,1,Параметры!AG$109,Параметры!AG$118)</f>
        <v>0</v>
      </c>
      <c r="AH463" s="115">
        <f ca="1">AH459*CHOOSE($C452,1,Параметры!AH$109,Параметры!AH$118)</f>
        <v>0</v>
      </c>
      <c r="AI463" s="115">
        <f ca="1">AI459*CHOOSE($C452,1,Параметры!AI$109,Параметры!AI$118)</f>
        <v>0</v>
      </c>
      <c r="AJ463" s="115">
        <f ca="1">AJ459*CHOOSE($C452,1,Параметры!AJ$109,Параметры!AJ$118)</f>
        <v>0</v>
      </c>
      <c r="AK463" s="115">
        <f ca="1">AK459*CHOOSE($C452,1,Параметры!AK$109,Параметры!AK$118)</f>
        <v>0</v>
      </c>
      <c r="AL463" s="115">
        <f ca="1">AL459*CHOOSE($C452,1,Параметры!AL$109,Параметры!AL$118)</f>
        <v>0</v>
      </c>
      <c r="AM463" s="115">
        <f ca="1">AM459*CHOOSE($C452,1,Параметры!AM$109,Параметры!AM$118)</f>
        <v>0</v>
      </c>
      <c r="AN463" s="115">
        <f ca="1">AN459*CHOOSE($C452,1,Параметры!AN$109,Параметры!AN$118)</f>
        <v>0</v>
      </c>
      <c r="AO463" s="115">
        <f ca="1">AO459*CHOOSE($C452,1,Параметры!AO$109,Параметры!AO$118)</f>
        <v>0</v>
      </c>
      <c r="AP463" s="115">
        <f ca="1">AP459*CHOOSE($C452,1,Параметры!AP$109,Параметры!AP$118)</f>
        <v>0</v>
      </c>
      <c r="AQ463" s="115">
        <f ca="1">AQ459*CHOOSE($C452,1,Параметры!AQ$109,Параметры!AQ$118)</f>
        <v>0</v>
      </c>
      <c r="AR463" s="115">
        <f ca="1">AR459*CHOOSE($C452,1,Параметры!AR$109,Параметры!AR$118)</f>
        <v>0</v>
      </c>
      <c r="AS463" s="115"/>
      <c r="AT463" s="125">
        <f ca="1">SUM(E463:AS463)</f>
        <v>560384.0888663209</v>
      </c>
    </row>
    <row r="464" spans="1:46" ht="11.25" customHeight="1" outlineLevel="1" x14ac:dyDescent="0.2">
      <c r="A464" s="147" t="s">
        <v>406</v>
      </c>
      <c r="B464" s="415">
        <f ca="1">AT464</f>
        <v>560384.0888663209</v>
      </c>
      <c r="C464" s="2" t="str">
        <f>CHOOSE(Параметры!$B$19,Параметры!$B$64,Параметры!$B$108,Параметры!$B$117)</f>
        <v>тыс. руб.</v>
      </c>
      <c r="E464" s="115">
        <f ca="1">E460*CHOOSE($C452,1,Параметры!E$109,Параметры!E$118)</f>
        <v>0</v>
      </c>
      <c r="F464" s="115">
        <f ca="1">F460*CHOOSE($C452,1,Параметры!F$109,Параметры!F$118)</f>
        <v>0</v>
      </c>
      <c r="G464" s="115">
        <f ca="1">G460*CHOOSE($C452,1,Параметры!G$109,Параметры!G$118)</f>
        <v>0</v>
      </c>
      <c r="H464" s="115">
        <f ca="1">H460*CHOOSE($C452,1,Параметры!H$109,Параметры!H$118)</f>
        <v>0</v>
      </c>
      <c r="I464" s="115">
        <f ca="1">I460*CHOOSE($C452,1,Параметры!I$109,Параметры!I$118)</f>
        <v>0</v>
      </c>
      <c r="J464" s="115">
        <f ca="1">J460*CHOOSE($C452,1,Параметры!J$109,Параметры!J$118)</f>
        <v>0</v>
      </c>
      <c r="K464" s="115">
        <f ca="1">K460*CHOOSE($C452,1,Параметры!K$109,Параметры!K$118)</f>
        <v>0</v>
      </c>
      <c r="L464" s="115">
        <f ca="1">L460*CHOOSE($C452,1,Параметры!L$109,Параметры!L$118)</f>
        <v>248424.72701644886</v>
      </c>
      <c r="M464" s="115">
        <f ca="1">M460*CHOOSE($C452,1,Параметры!M$109,Параметры!M$118)</f>
        <v>0</v>
      </c>
      <c r="N464" s="115">
        <f ca="1">N460*CHOOSE($C452,1,Параметры!N$109,Параметры!N$118)</f>
        <v>0</v>
      </c>
      <c r="O464" s="115">
        <f ca="1">O460*CHOOSE($C452,1,Параметры!O$109,Параметры!O$118)</f>
        <v>0</v>
      </c>
      <c r="P464" s="115">
        <f ca="1">P460*CHOOSE($C452,1,Параметры!P$109,Параметры!P$118)</f>
        <v>311959.36184987205</v>
      </c>
      <c r="Q464" s="115">
        <f ca="1">Q460*CHOOSE($C452,1,Параметры!Q$109,Параметры!Q$118)</f>
        <v>0</v>
      </c>
      <c r="R464" s="115">
        <f ca="1">R460*CHOOSE($C452,1,Параметры!R$109,Параметры!R$118)</f>
        <v>0</v>
      </c>
      <c r="S464" s="115">
        <f ca="1">S460*CHOOSE($C452,1,Параметры!S$109,Параметры!S$118)</f>
        <v>0</v>
      </c>
      <c r="T464" s="115">
        <f ca="1">T460*CHOOSE($C452,1,Параметры!T$109,Параметры!T$118)</f>
        <v>0</v>
      </c>
      <c r="U464" s="115">
        <f ca="1">U460*CHOOSE($C452,1,Параметры!U$109,Параметры!U$118)</f>
        <v>0</v>
      </c>
      <c r="V464" s="115">
        <f ca="1">V460*CHOOSE($C452,1,Параметры!V$109,Параметры!V$118)</f>
        <v>0</v>
      </c>
      <c r="W464" s="115">
        <f ca="1">W460*CHOOSE($C452,1,Параметры!W$109,Параметры!W$118)</f>
        <v>0</v>
      </c>
      <c r="X464" s="115">
        <f ca="1">X460*CHOOSE($C452,1,Параметры!X$109,Параметры!X$118)</f>
        <v>0</v>
      </c>
      <c r="Y464" s="115">
        <f ca="1">Y460*CHOOSE($C452,1,Параметры!Y$109,Параметры!Y$118)</f>
        <v>0</v>
      </c>
      <c r="Z464" s="115">
        <f ca="1">Z460*CHOOSE($C452,1,Параметры!Z$109,Параметры!Z$118)</f>
        <v>0</v>
      </c>
      <c r="AA464" s="115">
        <f ca="1">AA460*CHOOSE($C452,1,Параметры!AA$109,Параметры!AA$118)</f>
        <v>0</v>
      </c>
      <c r="AB464" s="115">
        <f ca="1">AB460*CHOOSE($C452,1,Параметры!AB$109,Параметры!AB$118)</f>
        <v>0</v>
      </c>
      <c r="AC464" s="115">
        <f ca="1">AC460*CHOOSE($C452,1,Параметры!AC$109,Параметры!AC$118)</f>
        <v>0</v>
      </c>
      <c r="AD464" s="115">
        <f ca="1">AD460*CHOOSE($C452,1,Параметры!AD$109,Параметры!AD$118)</f>
        <v>0</v>
      </c>
      <c r="AE464" s="115">
        <f ca="1">AE460*CHOOSE($C452,1,Параметры!AE$109,Параметры!AE$118)</f>
        <v>0</v>
      </c>
      <c r="AF464" s="115">
        <f ca="1">AF460*CHOOSE($C452,1,Параметры!AF$109,Параметры!AF$118)</f>
        <v>0</v>
      </c>
      <c r="AG464" s="115">
        <f ca="1">AG460*CHOOSE($C452,1,Параметры!AG$109,Параметры!AG$118)</f>
        <v>0</v>
      </c>
      <c r="AH464" s="115">
        <f ca="1">AH460*CHOOSE($C452,1,Параметры!AH$109,Параметры!AH$118)</f>
        <v>0</v>
      </c>
      <c r="AI464" s="115">
        <f ca="1">AI460*CHOOSE($C452,1,Параметры!AI$109,Параметры!AI$118)</f>
        <v>0</v>
      </c>
      <c r="AJ464" s="115">
        <f ca="1">AJ460*CHOOSE($C452,1,Параметры!AJ$109,Параметры!AJ$118)</f>
        <v>0</v>
      </c>
      <c r="AK464" s="115">
        <f ca="1">AK460*CHOOSE($C452,1,Параметры!AK$109,Параметры!AK$118)</f>
        <v>0</v>
      </c>
      <c r="AL464" s="115">
        <f ca="1">AL460*CHOOSE($C452,1,Параметры!AL$109,Параметры!AL$118)</f>
        <v>0</v>
      </c>
      <c r="AM464" s="115">
        <f ca="1">AM460*CHOOSE($C452,1,Параметры!AM$109,Параметры!AM$118)</f>
        <v>0</v>
      </c>
      <c r="AN464" s="115">
        <f ca="1">AN460*CHOOSE($C452,1,Параметры!AN$109,Параметры!AN$118)</f>
        <v>0</v>
      </c>
      <c r="AO464" s="115">
        <f ca="1">AO460*CHOOSE($C452,1,Параметры!AO$109,Параметры!AO$118)</f>
        <v>0</v>
      </c>
      <c r="AP464" s="115">
        <f ca="1">AP460*CHOOSE($C452,1,Параметры!AP$109,Параметры!AP$118)</f>
        <v>0</v>
      </c>
      <c r="AQ464" s="115">
        <f ca="1">AQ460*CHOOSE($C452,1,Параметры!AQ$109,Параметры!AQ$118)</f>
        <v>0</v>
      </c>
      <c r="AR464" s="115">
        <f ca="1">AR460*CHOOSE($C452,1,Параметры!AR$109,Параметры!AR$118)</f>
        <v>0</v>
      </c>
      <c r="AS464" s="115"/>
      <c r="AT464" s="125">
        <f ca="1">SUM(E464:AS464)</f>
        <v>560384.0888663209</v>
      </c>
    </row>
    <row r="465" spans="1:46" ht="11.25" customHeight="1" outlineLevel="1" x14ac:dyDescent="0.2">
      <c r="A465" s="147" t="s">
        <v>558</v>
      </c>
      <c r="B465" s="415"/>
      <c r="C465" s="2" t="str">
        <f>CHOOSE(Параметры!$B$19,Параметры!$B$64,Параметры!$B$108,Параметры!$B$117)</f>
        <v>тыс. руб.</v>
      </c>
      <c r="E465" s="115">
        <f t="shared" ref="E465:AR465" ca="1" si="194">IF(E$2=1,0,D465)+E464-SUM(D465,E464)*0</f>
        <v>0</v>
      </c>
      <c r="F465" s="115">
        <f t="shared" ca="1" si="194"/>
        <v>0</v>
      </c>
      <c r="G465" s="115">
        <f t="shared" ca="1" si="194"/>
        <v>0</v>
      </c>
      <c r="H465" s="115">
        <f t="shared" ca="1" si="194"/>
        <v>0</v>
      </c>
      <c r="I465" s="115">
        <f t="shared" ca="1" si="194"/>
        <v>0</v>
      </c>
      <c r="J465" s="115">
        <f t="shared" ca="1" si="194"/>
        <v>0</v>
      </c>
      <c r="K465" s="115">
        <f t="shared" ca="1" si="194"/>
        <v>0</v>
      </c>
      <c r="L465" s="115">
        <f t="shared" ca="1" si="194"/>
        <v>248424.72701644886</v>
      </c>
      <c r="M465" s="115">
        <f t="shared" ca="1" si="194"/>
        <v>248424.72701644886</v>
      </c>
      <c r="N465" s="115">
        <f t="shared" ca="1" si="194"/>
        <v>248424.72701644886</v>
      </c>
      <c r="O465" s="115">
        <f t="shared" ca="1" si="194"/>
        <v>248424.72701644886</v>
      </c>
      <c r="P465" s="115">
        <f t="shared" ca="1" si="194"/>
        <v>560384.0888663209</v>
      </c>
      <c r="Q465" s="115">
        <f t="shared" ca="1" si="194"/>
        <v>560384.0888663209</v>
      </c>
      <c r="R465" s="115">
        <f t="shared" ca="1" si="194"/>
        <v>560384.0888663209</v>
      </c>
      <c r="S465" s="115">
        <f t="shared" ca="1" si="194"/>
        <v>560384.0888663209</v>
      </c>
      <c r="T465" s="115">
        <f t="shared" ca="1" si="194"/>
        <v>560384.0888663209</v>
      </c>
      <c r="U465" s="115">
        <f t="shared" ca="1" si="194"/>
        <v>560384.0888663209</v>
      </c>
      <c r="V465" s="115">
        <f t="shared" ca="1" si="194"/>
        <v>560384.0888663209</v>
      </c>
      <c r="W465" s="115">
        <f t="shared" ca="1" si="194"/>
        <v>560384.0888663209</v>
      </c>
      <c r="X465" s="115">
        <f t="shared" ca="1" si="194"/>
        <v>560384.0888663209</v>
      </c>
      <c r="Y465" s="115">
        <f t="shared" ca="1" si="194"/>
        <v>560384.0888663209</v>
      </c>
      <c r="Z465" s="115">
        <f t="shared" ca="1" si="194"/>
        <v>560384.0888663209</v>
      </c>
      <c r="AA465" s="115">
        <f t="shared" ca="1" si="194"/>
        <v>560384.0888663209</v>
      </c>
      <c r="AB465" s="115">
        <f t="shared" ca="1" si="194"/>
        <v>560384.0888663209</v>
      </c>
      <c r="AC465" s="115">
        <f t="shared" ca="1" si="194"/>
        <v>560384.0888663209</v>
      </c>
      <c r="AD465" s="115">
        <f t="shared" ca="1" si="194"/>
        <v>560384.0888663209</v>
      </c>
      <c r="AE465" s="115">
        <f t="shared" ca="1" si="194"/>
        <v>560384.0888663209</v>
      </c>
      <c r="AF465" s="115">
        <f t="shared" ca="1" si="194"/>
        <v>560384.0888663209</v>
      </c>
      <c r="AG465" s="115">
        <f t="shared" ca="1" si="194"/>
        <v>560384.0888663209</v>
      </c>
      <c r="AH465" s="115">
        <f t="shared" ca="1" si="194"/>
        <v>560384.0888663209</v>
      </c>
      <c r="AI465" s="115">
        <f t="shared" ca="1" si="194"/>
        <v>560384.0888663209</v>
      </c>
      <c r="AJ465" s="115">
        <f t="shared" ca="1" si="194"/>
        <v>560384.0888663209</v>
      </c>
      <c r="AK465" s="115">
        <f t="shared" ca="1" si="194"/>
        <v>560384.0888663209</v>
      </c>
      <c r="AL465" s="115">
        <f t="shared" ca="1" si="194"/>
        <v>560384.0888663209</v>
      </c>
      <c r="AM465" s="115">
        <f t="shared" ca="1" si="194"/>
        <v>560384.0888663209</v>
      </c>
      <c r="AN465" s="115">
        <f t="shared" ca="1" si="194"/>
        <v>560384.0888663209</v>
      </c>
      <c r="AO465" s="115">
        <f t="shared" ca="1" si="194"/>
        <v>560384.0888663209</v>
      </c>
      <c r="AP465" s="115">
        <f t="shared" ca="1" si="194"/>
        <v>560384.0888663209</v>
      </c>
      <c r="AQ465" s="115">
        <f t="shared" ca="1" si="194"/>
        <v>560384.0888663209</v>
      </c>
      <c r="AR465" s="115">
        <f t="shared" ca="1" si="194"/>
        <v>560384.0888663209</v>
      </c>
      <c r="AS465" s="115"/>
      <c r="AT465" s="125"/>
    </row>
    <row r="466" spans="1:46" ht="11.25" customHeight="1" outlineLevel="1" x14ac:dyDescent="0.2">
      <c r="A466" s="146" t="s">
        <v>43</v>
      </c>
      <c r="B466" s="40"/>
      <c r="C466" s="2" t="str">
        <f>CHOOSE(Параметры!$B$19,Параметры!$B$64,Параметры!$B$108,Параметры!$B$117)</f>
        <v>тыс. руб.</v>
      </c>
      <c r="E466" s="121">
        <f ca="1">MAX(SUM($E459:E459)-SUM($E460:E460),0)*CHOOSE($C452,1,Параметры!E$109,Параметры!E$118)</f>
        <v>10683.333333333334</v>
      </c>
      <c r="F466" s="121">
        <f ca="1">MAX(SUM($E459:F459)-SUM($E460:F460),0)*CHOOSE($C452,1,Параметры!F$109,Параметры!F$118)</f>
        <v>42733.333333333336</v>
      </c>
      <c r="G466" s="121">
        <f ca="1">MAX(SUM($E459:G459)-SUM($E460:G460),0)*CHOOSE($C452,1,Параметры!G$109,Параметры!G$118)</f>
        <v>96150</v>
      </c>
      <c r="H466" s="121">
        <f ca="1">MAX(SUM($E459:H459)-SUM($E460:H460),0)*CHOOSE($C452,1,Параметры!H$109,Параметры!H$118)</f>
        <v>155976.66666666669</v>
      </c>
      <c r="I466" s="121">
        <f ca="1">MAX(SUM($E459:I459)-SUM($E460:I460),0)*CHOOSE($C452,1,Параметры!I$109,Параметры!I$118)</f>
        <v>186616.66666666669</v>
      </c>
      <c r="J466" s="121">
        <f ca="1">MAX(SUM($E459:J459)-SUM($E460:J460),0)*CHOOSE($C452,1,Параметры!J$109,Параметры!J$118)</f>
        <v>209247.7968190455</v>
      </c>
      <c r="K466" s="121">
        <f ca="1">MAX(SUM($E459:K459)-SUM($E460:K460),0)*CHOOSE($C452,1,Параметры!K$109,Параметры!K$118)</f>
        <v>233872.45212801232</v>
      </c>
      <c r="L466" s="121">
        <f ca="1">MAX(SUM($E459:L459)-SUM($E460:L460),0)*CHOOSE($C452,1,Параметры!L$109,Параметры!L$118)</f>
        <v>0</v>
      </c>
      <c r="M466" s="121">
        <f ca="1">MAX(SUM($E459:M459)-SUM($E460:M460),0)*CHOOSE($C452,1,Параметры!M$109,Параметры!M$118)</f>
        <v>61324.166369901737</v>
      </c>
      <c r="N466" s="121">
        <f ca="1">MAX(SUM($E459:N459)-SUM($E460:N460),0)*CHOOSE($C452,1,Параметры!N$109,Параметры!N$118)</f>
        <v>154447.3481027275</v>
      </c>
      <c r="O466" s="121">
        <f ca="1">MAX(SUM($E459:O459)-SUM($E460:O460),0)*CHOOSE($C452,1,Параметры!O$109,Параметры!O$118)</f>
        <v>280146.23633164994</v>
      </c>
      <c r="P466" s="121">
        <f ca="1">MAX(SUM($E459:P459)-SUM($E460:P460),0)*CHOOSE($C452,1,Параметры!P$109,Параметры!P$118)</f>
        <v>0</v>
      </c>
      <c r="Q466" s="121">
        <f ca="1">MAX(SUM($E459:Q459)-SUM($E460:Q460),0)*CHOOSE($C452,1,Параметры!Q$109,Параметры!Q$118)</f>
        <v>0</v>
      </c>
      <c r="R466" s="121">
        <f ca="1">MAX(SUM($E459:R459)-SUM($E460:R460),0)*CHOOSE($C452,1,Параметры!R$109,Параметры!R$118)</f>
        <v>0</v>
      </c>
      <c r="S466" s="121">
        <f ca="1">MAX(SUM($E459:S459)-SUM($E460:S460),0)*CHOOSE($C452,1,Параметры!S$109,Параметры!S$118)</f>
        <v>0</v>
      </c>
      <c r="T466" s="121">
        <f ca="1">MAX(SUM($E459:T459)-SUM($E460:T460),0)*CHOOSE($C452,1,Параметры!T$109,Параметры!T$118)</f>
        <v>0</v>
      </c>
      <c r="U466" s="121">
        <f ca="1">MAX(SUM($E459:U459)-SUM($E460:U460),0)*CHOOSE($C452,1,Параметры!U$109,Параметры!U$118)</f>
        <v>0</v>
      </c>
      <c r="V466" s="121">
        <f ca="1">MAX(SUM($E459:V459)-SUM($E460:V460),0)*CHOOSE($C452,1,Параметры!V$109,Параметры!V$118)</f>
        <v>0</v>
      </c>
      <c r="W466" s="121">
        <f ca="1">MAX(SUM($E459:W459)-SUM($E460:W460),0)*CHOOSE($C452,1,Параметры!W$109,Параметры!W$118)</f>
        <v>0</v>
      </c>
      <c r="X466" s="121">
        <f ca="1">MAX(SUM($E459:X459)-SUM($E460:X460),0)*CHOOSE($C452,1,Параметры!X$109,Параметры!X$118)</f>
        <v>0</v>
      </c>
      <c r="Y466" s="121">
        <f ca="1">MAX(SUM($E459:Y459)-SUM($E460:Y460),0)*CHOOSE($C452,1,Параметры!Y$109,Параметры!Y$118)</f>
        <v>0</v>
      </c>
      <c r="Z466" s="121">
        <f ca="1">MAX(SUM($E459:Z459)-SUM($E460:Z460),0)*CHOOSE($C452,1,Параметры!Z$109,Параметры!Z$118)</f>
        <v>0</v>
      </c>
      <c r="AA466" s="121">
        <f ca="1">MAX(SUM($E459:AA459)-SUM($E460:AA460),0)*CHOOSE($C452,1,Параметры!AA$109,Параметры!AA$118)</f>
        <v>0</v>
      </c>
      <c r="AB466" s="121">
        <f ca="1">MAX(SUM($E459:AB459)-SUM($E460:AB460),0)*CHOOSE($C452,1,Параметры!AB$109,Параметры!AB$118)</f>
        <v>0</v>
      </c>
      <c r="AC466" s="121">
        <f ca="1">MAX(SUM($E459:AC459)-SUM($E460:AC460),0)*CHOOSE($C452,1,Параметры!AC$109,Параметры!AC$118)</f>
        <v>0</v>
      </c>
      <c r="AD466" s="121">
        <f ca="1">MAX(SUM($E459:AD459)-SUM($E460:AD460),0)*CHOOSE($C452,1,Параметры!AD$109,Параметры!AD$118)</f>
        <v>0</v>
      </c>
      <c r="AE466" s="121">
        <f ca="1">MAX(SUM($E459:AE459)-SUM($E460:AE460),0)*CHOOSE($C452,1,Параметры!AE$109,Параметры!AE$118)</f>
        <v>0</v>
      </c>
      <c r="AF466" s="121">
        <f ca="1">MAX(SUM($E459:AF459)-SUM($E460:AF460),0)*CHOOSE($C452,1,Параметры!AF$109,Параметры!AF$118)</f>
        <v>0</v>
      </c>
      <c r="AG466" s="121">
        <f ca="1">MAX(SUM($E459:AG459)-SUM($E460:AG460),0)*CHOOSE($C452,1,Параметры!AG$109,Параметры!AG$118)</f>
        <v>0</v>
      </c>
      <c r="AH466" s="121">
        <f ca="1">MAX(SUM($E459:AH459)-SUM($E460:AH460),0)*CHOOSE($C452,1,Параметры!AH$109,Параметры!AH$118)</f>
        <v>0</v>
      </c>
      <c r="AI466" s="121">
        <f ca="1">MAX(SUM($E459:AI459)-SUM($E460:AI460),0)*CHOOSE($C452,1,Параметры!AI$109,Параметры!AI$118)</f>
        <v>0</v>
      </c>
      <c r="AJ466" s="121">
        <f ca="1">MAX(SUM($E459:AJ459)-SUM($E460:AJ460),0)*CHOOSE($C452,1,Параметры!AJ$109,Параметры!AJ$118)</f>
        <v>0</v>
      </c>
      <c r="AK466" s="121">
        <f ca="1">MAX(SUM($E459:AK459)-SUM($E460:AK460),0)*CHOOSE($C452,1,Параметры!AK$109,Параметры!AK$118)</f>
        <v>0</v>
      </c>
      <c r="AL466" s="121">
        <f ca="1">MAX(SUM($E459:AL459)-SUM($E460:AL460),0)*CHOOSE($C452,1,Параметры!AL$109,Параметры!AL$118)</f>
        <v>0</v>
      </c>
      <c r="AM466" s="121">
        <f ca="1">MAX(SUM($E459:AM459)-SUM($E460:AM460),0)*CHOOSE($C452,1,Параметры!AM$109,Параметры!AM$118)</f>
        <v>0</v>
      </c>
      <c r="AN466" s="121">
        <f ca="1">MAX(SUM($E459:AN459)-SUM($E460:AN460),0)*CHOOSE($C452,1,Параметры!AN$109,Параметры!AN$118)</f>
        <v>0</v>
      </c>
      <c r="AO466" s="121">
        <f ca="1">MAX(SUM($E459:AO459)-SUM($E460:AO460),0)*CHOOSE($C452,1,Параметры!AO$109,Параметры!AO$118)</f>
        <v>0</v>
      </c>
      <c r="AP466" s="121">
        <f ca="1">MAX(SUM($E459:AP459)-SUM($E460:AP460),0)*CHOOSE($C452,1,Параметры!AP$109,Параметры!AP$118)</f>
        <v>0</v>
      </c>
      <c r="AQ466" s="121">
        <f ca="1">MAX(SUM($E459:AQ459)-SUM($E460:AQ460),0)*CHOOSE($C452,1,Параметры!AQ$109,Параметры!AQ$118)</f>
        <v>0</v>
      </c>
      <c r="AR466" s="121">
        <f ca="1">MAX(SUM($E459:AR459)-SUM($E460:AR460),0)*CHOOSE($C452,1,Параметры!AR$109,Параметры!AR$118)</f>
        <v>0</v>
      </c>
      <c r="AS466" s="115"/>
      <c r="AT466" s="116"/>
    </row>
    <row r="467" spans="1:46" ht="11.25" customHeight="1" outlineLevel="1" x14ac:dyDescent="0.2">
      <c r="A467" s="146" t="s">
        <v>44</v>
      </c>
      <c r="B467" s="40"/>
      <c r="C467" s="2" t="str">
        <f>CHOOSE(Параметры!$B$19,Параметры!$B$64,Параметры!$B$108,Параметры!$B$117)</f>
        <v>тыс. руб.</v>
      </c>
      <c r="E467" s="121">
        <f ca="1">MAX(SUM($E460:E460)-SUM($E459:E459)-0,0)*CHOOSE($C452,1,Параметры!E$109,Параметры!E$118)</f>
        <v>0</v>
      </c>
      <c r="F467" s="121">
        <f ca="1">MAX(SUM($E460:F460)-SUM($E459:F459)-0,0)*CHOOSE($C452,1,Параметры!F$109,Параметры!F$118)</f>
        <v>0</v>
      </c>
      <c r="G467" s="121">
        <f ca="1">MAX(SUM($E460:G460)-SUM($E459:G459)-0,0)*CHOOSE($C452,1,Параметры!G$109,Параметры!G$118)</f>
        <v>0</v>
      </c>
      <c r="H467" s="121">
        <f ca="1">MAX(SUM($E460:H460)-SUM($E459:H459)-0,0)*CHOOSE($C452,1,Параметры!H$109,Параметры!H$118)</f>
        <v>0</v>
      </c>
      <c r="I467" s="121">
        <f ca="1">MAX(SUM($E460:I460)-SUM($E459:I459)-0,0)*CHOOSE($C452,1,Параметры!I$109,Параметры!I$118)</f>
        <v>0</v>
      </c>
      <c r="J467" s="121">
        <f ca="1">MAX(SUM($E460:J460)-SUM($E459:J459)-0,0)*CHOOSE($C452,1,Параметры!J$109,Параметры!J$118)</f>
        <v>0</v>
      </c>
      <c r="K467" s="121">
        <f ca="1">MAX(SUM($E460:K460)-SUM($E459:K459)-0,0)*CHOOSE($C452,1,Параметры!K$109,Параметры!K$118)</f>
        <v>0</v>
      </c>
      <c r="L467" s="121">
        <f ca="1">MAX(SUM($E460:L460)-SUM($E459:L459)-0,0)*CHOOSE($C452,1,Параметры!L$109,Параметры!L$118)</f>
        <v>0</v>
      </c>
      <c r="M467" s="121">
        <f ca="1">MAX(SUM($E460:M460)-SUM($E459:M459)-0,0)*CHOOSE($C452,1,Параметры!M$109,Параметры!M$118)</f>
        <v>0</v>
      </c>
      <c r="N467" s="121">
        <f ca="1">MAX(SUM($E460:N460)-SUM($E459:N459)-0,0)*CHOOSE($C452,1,Параметры!N$109,Параметры!N$118)</f>
        <v>0</v>
      </c>
      <c r="O467" s="121">
        <f ca="1">MAX(SUM($E460:O460)-SUM($E459:O459)-0,0)*CHOOSE($C452,1,Параметры!O$109,Параметры!O$118)</f>
        <v>0</v>
      </c>
      <c r="P467" s="121">
        <f ca="1">MAX(SUM($E460:P460)-SUM($E459:P459)-0,0)*CHOOSE($C452,1,Параметры!P$109,Параметры!P$118)</f>
        <v>0</v>
      </c>
      <c r="Q467" s="121">
        <f ca="1">MAX(SUM($E460:Q460)-SUM($E459:Q459)-0,0)*CHOOSE($C452,1,Параметры!Q$109,Параметры!Q$118)</f>
        <v>0</v>
      </c>
      <c r="R467" s="121">
        <f ca="1">MAX(SUM($E460:R460)-SUM($E459:R459)-0,0)*CHOOSE($C452,1,Параметры!R$109,Параметры!R$118)</f>
        <v>0</v>
      </c>
      <c r="S467" s="121">
        <f ca="1">MAX(SUM($E460:S460)-SUM($E459:S459)-0,0)*CHOOSE($C452,1,Параметры!S$109,Параметры!S$118)</f>
        <v>0</v>
      </c>
      <c r="T467" s="121">
        <f ca="1">MAX(SUM($E460:T460)-SUM($E459:T459)-0,0)*CHOOSE($C452,1,Параметры!T$109,Параметры!T$118)</f>
        <v>0</v>
      </c>
      <c r="U467" s="121">
        <f ca="1">MAX(SUM($E460:U460)-SUM($E459:U459)-0,0)*CHOOSE($C452,1,Параметры!U$109,Параметры!U$118)</f>
        <v>0</v>
      </c>
      <c r="V467" s="121">
        <f ca="1">MAX(SUM($E460:V460)-SUM($E459:V459)-0,0)*CHOOSE($C452,1,Параметры!V$109,Параметры!V$118)</f>
        <v>0</v>
      </c>
      <c r="W467" s="121">
        <f ca="1">MAX(SUM($E460:W460)-SUM($E459:W459)-0,0)*CHOOSE($C452,1,Параметры!W$109,Параметры!W$118)</f>
        <v>0</v>
      </c>
      <c r="X467" s="121">
        <f ca="1">MAX(SUM($E460:X460)-SUM($E459:X459)-0,0)*CHOOSE($C452,1,Параметры!X$109,Параметры!X$118)</f>
        <v>0</v>
      </c>
      <c r="Y467" s="121">
        <f ca="1">MAX(SUM($E460:Y460)-SUM($E459:Y459)-0,0)*CHOOSE($C452,1,Параметры!Y$109,Параметры!Y$118)</f>
        <v>0</v>
      </c>
      <c r="Z467" s="121">
        <f ca="1">MAX(SUM($E460:Z460)-SUM($E459:Z459)-0,0)*CHOOSE($C452,1,Параметры!Z$109,Параметры!Z$118)</f>
        <v>0</v>
      </c>
      <c r="AA467" s="121">
        <f ca="1">MAX(SUM($E460:AA460)-SUM($E459:AA459)-0,0)*CHOOSE($C452,1,Параметры!AA$109,Параметры!AA$118)</f>
        <v>0</v>
      </c>
      <c r="AB467" s="121">
        <f ca="1">MAX(SUM($E460:AB460)-SUM($E459:AB459)-0,0)*CHOOSE($C452,1,Параметры!AB$109,Параметры!AB$118)</f>
        <v>0</v>
      </c>
      <c r="AC467" s="121">
        <f ca="1">MAX(SUM($E460:AC460)-SUM($E459:AC459)-0,0)*CHOOSE($C452,1,Параметры!AC$109,Параметры!AC$118)</f>
        <v>0</v>
      </c>
      <c r="AD467" s="121">
        <f ca="1">MAX(SUM($E460:AD460)-SUM($E459:AD459)-0,0)*CHOOSE($C452,1,Параметры!AD$109,Параметры!AD$118)</f>
        <v>0</v>
      </c>
      <c r="AE467" s="121">
        <f ca="1">MAX(SUM($E460:AE460)-SUM($E459:AE459)-0,0)*CHOOSE($C452,1,Параметры!AE$109,Параметры!AE$118)</f>
        <v>0</v>
      </c>
      <c r="AF467" s="121">
        <f ca="1">MAX(SUM($E460:AF460)-SUM($E459:AF459)-0,0)*CHOOSE($C452,1,Параметры!AF$109,Параметры!AF$118)</f>
        <v>0</v>
      </c>
      <c r="AG467" s="121">
        <f ca="1">MAX(SUM($E460:AG460)-SUM($E459:AG459)-0,0)*CHOOSE($C452,1,Параметры!AG$109,Параметры!AG$118)</f>
        <v>0</v>
      </c>
      <c r="AH467" s="121">
        <f ca="1">MAX(SUM($E460:AH460)-SUM($E459:AH459)-0,0)*CHOOSE($C452,1,Параметры!AH$109,Параметры!AH$118)</f>
        <v>0</v>
      </c>
      <c r="AI467" s="121">
        <f ca="1">MAX(SUM($E460:AI460)-SUM($E459:AI459)-0,0)*CHOOSE($C452,1,Параметры!AI$109,Параметры!AI$118)</f>
        <v>0</v>
      </c>
      <c r="AJ467" s="121">
        <f ca="1">MAX(SUM($E460:AJ460)-SUM($E459:AJ459)-0,0)*CHOOSE($C452,1,Параметры!AJ$109,Параметры!AJ$118)</f>
        <v>0</v>
      </c>
      <c r="AK467" s="121">
        <f ca="1">MAX(SUM($E460:AK460)-SUM($E459:AK459)-0,0)*CHOOSE($C452,1,Параметры!AK$109,Параметры!AK$118)</f>
        <v>0</v>
      </c>
      <c r="AL467" s="121">
        <f ca="1">MAX(SUM($E460:AL460)-SUM($E459:AL459)-0,0)*CHOOSE($C452,1,Параметры!AL$109,Параметры!AL$118)</f>
        <v>0</v>
      </c>
      <c r="AM467" s="121">
        <f ca="1">MAX(SUM($E460:AM460)-SUM($E459:AM459)-0,0)*CHOOSE($C452,1,Параметры!AM$109,Параметры!AM$118)</f>
        <v>0</v>
      </c>
      <c r="AN467" s="121">
        <f ca="1">MAX(SUM($E460:AN460)-SUM($E459:AN459)-0,0)*CHOOSE($C452,1,Параметры!AN$109,Параметры!AN$118)</f>
        <v>0</v>
      </c>
      <c r="AO467" s="121">
        <f ca="1">MAX(SUM($E460:AO460)-SUM($E459:AO459)-0,0)*CHOOSE($C452,1,Параметры!AO$109,Параметры!AO$118)</f>
        <v>0</v>
      </c>
      <c r="AP467" s="121">
        <f ca="1">MAX(SUM($E460:AP460)-SUM($E459:AP459)-0,0)*CHOOSE($C452,1,Параметры!AP$109,Параметры!AP$118)</f>
        <v>0</v>
      </c>
      <c r="AQ467" s="121">
        <f ca="1">MAX(SUM($E460:AQ460)-SUM($E459:AQ459)-0,0)*CHOOSE($C452,1,Параметры!AQ$109,Параметры!AQ$118)</f>
        <v>0</v>
      </c>
      <c r="AR467" s="121">
        <f ca="1">MAX(SUM($E460:AR460)-SUM($E459:AR459)-0,0)*CHOOSE($C452,1,Параметры!AR$109,Параметры!AR$118)</f>
        <v>0</v>
      </c>
      <c r="AS467" s="115"/>
      <c r="AT467" s="116"/>
    </row>
    <row r="468" spans="1:46" ht="11.25" customHeight="1" outlineLevel="1" x14ac:dyDescent="0.2">
      <c r="A468" s="146" t="s">
        <v>69</v>
      </c>
      <c r="B468" s="40"/>
      <c r="C468" s="2" t="str">
        <f>CHOOSE(Параметры!$B$19,Параметры!$B$64,Параметры!$B$108,Параметры!$B$117)</f>
        <v>тыс. руб.</v>
      </c>
      <c r="E468" s="121">
        <f t="shared" ref="E468:N469" si="195">MAX(0-0,0)</f>
        <v>0</v>
      </c>
      <c r="F468" s="121">
        <f t="shared" si="195"/>
        <v>0</v>
      </c>
      <c r="G468" s="121">
        <f t="shared" si="195"/>
        <v>0</v>
      </c>
      <c r="H468" s="121">
        <f t="shared" si="195"/>
        <v>0</v>
      </c>
      <c r="I468" s="121">
        <f t="shared" si="195"/>
        <v>0</v>
      </c>
      <c r="J468" s="121">
        <f t="shared" si="195"/>
        <v>0</v>
      </c>
      <c r="K468" s="121">
        <f t="shared" si="195"/>
        <v>0</v>
      </c>
      <c r="L468" s="121">
        <f t="shared" si="195"/>
        <v>0</v>
      </c>
      <c r="M468" s="121">
        <f t="shared" si="195"/>
        <v>0</v>
      </c>
      <c r="N468" s="121">
        <f t="shared" si="195"/>
        <v>0</v>
      </c>
      <c r="O468" s="121">
        <f t="shared" ref="O468:X469" si="196">MAX(0-0,0)</f>
        <v>0</v>
      </c>
      <c r="P468" s="121">
        <f t="shared" si="196"/>
        <v>0</v>
      </c>
      <c r="Q468" s="121">
        <f t="shared" si="196"/>
        <v>0</v>
      </c>
      <c r="R468" s="121">
        <f t="shared" si="196"/>
        <v>0</v>
      </c>
      <c r="S468" s="121">
        <f t="shared" si="196"/>
        <v>0</v>
      </c>
      <c r="T468" s="121">
        <f t="shared" si="196"/>
        <v>0</v>
      </c>
      <c r="U468" s="121">
        <f t="shared" si="196"/>
        <v>0</v>
      </c>
      <c r="V468" s="121">
        <f t="shared" si="196"/>
        <v>0</v>
      </c>
      <c r="W468" s="121">
        <f t="shared" si="196"/>
        <v>0</v>
      </c>
      <c r="X468" s="121">
        <f t="shared" si="196"/>
        <v>0</v>
      </c>
      <c r="Y468" s="121">
        <f t="shared" ref="Y468:AH469" si="197">MAX(0-0,0)</f>
        <v>0</v>
      </c>
      <c r="Z468" s="121">
        <f t="shared" si="197"/>
        <v>0</v>
      </c>
      <c r="AA468" s="121">
        <f t="shared" si="197"/>
        <v>0</v>
      </c>
      <c r="AB468" s="121">
        <f t="shared" si="197"/>
        <v>0</v>
      </c>
      <c r="AC468" s="121">
        <f t="shared" si="197"/>
        <v>0</v>
      </c>
      <c r="AD468" s="121">
        <f t="shared" si="197"/>
        <v>0</v>
      </c>
      <c r="AE468" s="121">
        <f t="shared" si="197"/>
        <v>0</v>
      </c>
      <c r="AF468" s="121">
        <f t="shared" si="197"/>
        <v>0</v>
      </c>
      <c r="AG468" s="121">
        <f t="shared" si="197"/>
        <v>0</v>
      </c>
      <c r="AH468" s="121">
        <f t="shared" si="197"/>
        <v>0</v>
      </c>
      <c r="AI468" s="121">
        <f t="shared" ref="AI468:AR469" si="198">MAX(0-0,0)</f>
        <v>0</v>
      </c>
      <c r="AJ468" s="121">
        <f t="shared" si="198"/>
        <v>0</v>
      </c>
      <c r="AK468" s="121">
        <f t="shared" si="198"/>
        <v>0</v>
      </c>
      <c r="AL468" s="121">
        <f t="shared" si="198"/>
        <v>0</v>
      </c>
      <c r="AM468" s="121">
        <f t="shared" si="198"/>
        <v>0</v>
      </c>
      <c r="AN468" s="121">
        <f t="shared" si="198"/>
        <v>0</v>
      </c>
      <c r="AO468" s="121">
        <f t="shared" si="198"/>
        <v>0</v>
      </c>
      <c r="AP468" s="121">
        <f t="shared" si="198"/>
        <v>0</v>
      </c>
      <c r="AQ468" s="121">
        <f t="shared" si="198"/>
        <v>0</v>
      </c>
      <c r="AR468" s="121">
        <f t="shared" si="198"/>
        <v>0</v>
      </c>
      <c r="AS468" s="115"/>
      <c r="AT468" s="116"/>
    </row>
    <row r="469" spans="1:46" ht="11.25" customHeight="1" outlineLevel="1" x14ac:dyDescent="0.2">
      <c r="A469" s="146" t="s">
        <v>68</v>
      </c>
      <c r="B469" s="40"/>
      <c r="C469" s="2" t="str">
        <f>CHOOSE(Параметры!$B$19,Параметры!$B$64,Параметры!$B$108,Параметры!$B$117)</f>
        <v>тыс. руб.</v>
      </c>
      <c r="E469" s="121">
        <f t="shared" si="195"/>
        <v>0</v>
      </c>
      <c r="F469" s="121">
        <f t="shared" si="195"/>
        <v>0</v>
      </c>
      <c r="G469" s="121">
        <f t="shared" si="195"/>
        <v>0</v>
      </c>
      <c r="H469" s="121">
        <f t="shared" si="195"/>
        <v>0</v>
      </c>
      <c r="I469" s="121">
        <f t="shared" si="195"/>
        <v>0</v>
      </c>
      <c r="J469" s="121">
        <f t="shared" si="195"/>
        <v>0</v>
      </c>
      <c r="K469" s="121">
        <f t="shared" si="195"/>
        <v>0</v>
      </c>
      <c r="L469" s="121">
        <f t="shared" si="195"/>
        <v>0</v>
      </c>
      <c r="M469" s="121">
        <f t="shared" si="195"/>
        <v>0</v>
      </c>
      <c r="N469" s="121">
        <f t="shared" si="195"/>
        <v>0</v>
      </c>
      <c r="O469" s="121">
        <f t="shared" si="196"/>
        <v>0</v>
      </c>
      <c r="P469" s="121">
        <f t="shared" si="196"/>
        <v>0</v>
      </c>
      <c r="Q469" s="121">
        <f t="shared" si="196"/>
        <v>0</v>
      </c>
      <c r="R469" s="121">
        <f t="shared" si="196"/>
        <v>0</v>
      </c>
      <c r="S469" s="121">
        <f t="shared" si="196"/>
        <v>0</v>
      </c>
      <c r="T469" s="121">
        <f t="shared" si="196"/>
        <v>0</v>
      </c>
      <c r="U469" s="121">
        <f t="shared" si="196"/>
        <v>0</v>
      </c>
      <c r="V469" s="121">
        <f t="shared" si="196"/>
        <v>0</v>
      </c>
      <c r="W469" s="121">
        <f t="shared" si="196"/>
        <v>0</v>
      </c>
      <c r="X469" s="121">
        <f t="shared" si="196"/>
        <v>0</v>
      </c>
      <c r="Y469" s="121">
        <f t="shared" si="197"/>
        <v>0</v>
      </c>
      <c r="Z469" s="121">
        <f t="shared" si="197"/>
        <v>0</v>
      </c>
      <c r="AA469" s="121">
        <f t="shared" si="197"/>
        <v>0</v>
      </c>
      <c r="AB469" s="121">
        <f t="shared" si="197"/>
        <v>0</v>
      </c>
      <c r="AC469" s="121">
        <f t="shared" si="197"/>
        <v>0</v>
      </c>
      <c r="AD469" s="121">
        <f t="shared" si="197"/>
        <v>0</v>
      </c>
      <c r="AE469" s="121">
        <f t="shared" si="197"/>
        <v>0</v>
      </c>
      <c r="AF469" s="121">
        <f t="shared" si="197"/>
        <v>0</v>
      </c>
      <c r="AG469" s="121">
        <f t="shared" si="197"/>
        <v>0</v>
      </c>
      <c r="AH469" s="121">
        <f t="shared" si="197"/>
        <v>0</v>
      </c>
      <c r="AI469" s="121">
        <f t="shared" si="198"/>
        <v>0</v>
      </c>
      <c r="AJ469" s="121">
        <f t="shared" si="198"/>
        <v>0</v>
      </c>
      <c r="AK469" s="121">
        <f t="shared" si="198"/>
        <v>0</v>
      </c>
      <c r="AL469" s="121">
        <f t="shared" si="198"/>
        <v>0</v>
      </c>
      <c r="AM469" s="121">
        <f t="shared" si="198"/>
        <v>0</v>
      </c>
      <c r="AN469" s="121">
        <f t="shared" si="198"/>
        <v>0</v>
      </c>
      <c r="AO469" s="121">
        <f t="shared" si="198"/>
        <v>0</v>
      </c>
      <c r="AP469" s="121">
        <f t="shared" si="198"/>
        <v>0</v>
      </c>
      <c r="AQ469" s="121">
        <f t="shared" si="198"/>
        <v>0</v>
      </c>
      <c r="AR469" s="121">
        <f t="shared" si="198"/>
        <v>0</v>
      </c>
      <c r="AS469" s="115"/>
      <c r="AT469" s="116"/>
    </row>
    <row r="470" spans="1:46" ht="11.25" customHeight="1" outlineLevel="1" x14ac:dyDescent="0.2">
      <c r="A470" s="146" t="s">
        <v>50</v>
      </c>
      <c r="B470" s="40"/>
      <c r="C470" s="2" t="str">
        <f>CHOOSE(Параметры!$B$19,Параметры!$B$64,Параметры!$B$108,Параметры!$B$117)</f>
        <v>тыс. руб.</v>
      </c>
      <c r="E470" s="121">
        <f ca="1">MIN(E465/($B461*12/Параметры!$B$27),IF(E464=E465,E465/($B461*12/Параметры!$B$27),D471))</f>
        <v>0</v>
      </c>
      <c r="F470" s="121">
        <f ca="1">MIN(F465/($B461*12/Параметры!$B$27),IF(F464=F465,F465/($B461*12/Параметры!$B$27),E471))</f>
        <v>0</v>
      </c>
      <c r="G470" s="121">
        <f ca="1">MIN(G465/($B461*12/Параметры!$B$27),IF(G464=G465,G465/($B461*12/Параметры!$B$27),F471))</f>
        <v>0</v>
      </c>
      <c r="H470" s="121">
        <f ca="1">MIN(H465/($B461*12/Параметры!$B$27),IF(H464=H465,H465/($B461*12/Параметры!$B$27),G471))</f>
        <v>0</v>
      </c>
      <c r="I470" s="121">
        <f ca="1">MIN(I465/($B461*12/Параметры!$B$27),IF(I464=I465,I465/($B461*12/Параметры!$B$27),H471))</f>
        <v>0</v>
      </c>
      <c r="J470" s="121">
        <f ca="1">MIN(J465/($B461*12/Параметры!$B$27),IF(J464=J465,J465/($B461*12/Параметры!$B$27),I471))</f>
        <v>0</v>
      </c>
      <c r="K470" s="121">
        <f ca="1">MIN(K465/($B461*12/Параметры!$B$27),IF(K464=K465,K465/($B461*12/Параметры!$B$27),J471))</f>
        <v>0</v>
      </c>
      <c r="L470" s="121">
        <f ca="1">MIN(L465/($B461*12/Параметры!$B$27),IF(L464=L465,L465/($B461*12/Параметры!$B$27),K471))</f>
        <v>3105.3090877056106</v>
      </c>
      <c r="M470" s="121">
        <f ca="1">MIN(M465/($B461*12/Параметры!$B$27),IF(M464=M465,M465/($B461*12/Параметры!$B$27),L471))</f>
        <v>3105.3090877056106</v>
      </c>
      <c r="N470" s="121">
        <f ca="1">MIN(N465/($B461*12/Параметры!$B$27),IF(N464=N465,N465/($B461*12/Параметры!$B$27),M471))</f>
        <v>3105.3090877056106</v>
      </c>
      <c r="O470" s="121">
        <f ca="1">MIN(O465/($B461*12/Параметры!$B$27),IF(O464=O465,O465/($B461*12/Параметры!$B$27),N471))</f>
        <v>3105.3090877056106</v>
      </c>
      <c r="P470" s="121">
        <f ca="1">MIN(P465/($B461*12/Параметры!$B$27),IF(P464=P465,P465/($B461*12/Параметры!$B$27),O471))</f>
        <v>7004.8011108290111</v>
      </c>
      <c r="Q470" s="121">
        <f ca="1">MIN(Q465/($B461*12/Параметры!$B$27),IF(Q464=Q465,Q465/($B461*12/Параметры!$B$27),P471))</f>
        <v>7004.8011108290111</v>
      </c>
      <c r="R470" s="121">
        <f ca="1">MIN(R465/($B461*12/Параметры!$B$27),IF(R464=R465,R465/($B461*12/Параметры!$B$27),Q471))</f>
        <v>7004.8011108290111</v>
      </c>
      <c r="S470" s="121">
        <f ca="1">MIN(S465/($B461*12/Параметры!$B$27),IF(S464=S465,S465/($B461*12/Параметры!$B$27),R471))</f>
        <v>7004.8011108290111</v>
      </c>
      <c r="T470" s="121">
        <f ca="1">MIN(T465/($B461*12/Параметры!$B$27),IF(T464=T465,T465/($B461*12/Параметры!$B$27),S471))</f>
        <v>7004.8011108290111</v>
      </c>
      <c r="U470" s="121">
        <f ca="1">MIN(U465/($B461*12/Параметры!$B$27),IF(U464=U465,U465/($B461*12/Параметры!$B$27),T471))</f>
        <v>7004.8011108290111</v>
      </c>
      <c r="V470" s="121">
        <f ca="1">MIN(V465/($B461*12/Параметры!$B$27),IF(V464=V465,V465/($B461*12/Параметры!$B$27),U471))</f>
        <v>7004.8011108290111</v>
      </c>
      <c r="W470" s="121">
        <f ca="1">MIN(W465/($B461*12/Параметры!$B$27),IF(W464=W465,W465/($B461*12/Параметры!$B$27),V471))</f>
        <v>7004.8011108290111</v>
      </c>
      <c r="X470" s="121">
        <f ca="1">MIN(X465/($B461*12/Параметры!$B$27),IF(X464=X465,X465/($B461*12/Параметры!$B$27),W471))</f>
        <v>7004.8011108290111</v>
      </c>
      <c r="Y470" s="121">
        <f ca="1">MIN(Y465/($B461*12/Параметры!$B$27),IF(Y464=Y465,Y465/($B461*12/Параметры!$B$27),X471))</f>
        <v>7004.8011108290111</v>
      </c>
      <c r="Z470" s="121">
        <f ca="1">MIN(Z465/($B461*12/Параметры!$B$27),IF(Z464=Z465,Z465/($B461*12/Параметры!$B$27),Y471))</f>
        <v>7004.8011108290111</v>
      </c>
      <c r="AA470" s="121">
        <f ca="1">MIN(AA465/($B461*12/Параметры!$B$27),IF(AA464=AA465,AA465/($B461*12/Параметры!$B$27),Z471))</f>
        <v>7004.8011108290111</v>
      </c>
      <c r="AB470" s="121">
        <f ca="1">MIN(AB465/($B461*12/Параметры!$B$27),IF(AB464=AB465,AB465/($B461*12/Параметры!$B$27),AA471))</f>
        <v>7004.8011108290111</v>
      </c>
      <c r="AC470" s="121">
        <f ca="1">MIN(AC465/($B461*12/Параметры!$B$27),IF(AC464=AC465,AC465/($B461*12/Параметры!$B$27),AB471))</f>
        <v>7004.8011108290111</v>
      </c>
      <c r="AD470" s="121">
        <f ca="1">MIN(AD465/($B461*12/Параметры!$B$27),IF(AD464=AD465,AD465/($B461*12/Параметры!$B$27),AC471))</f>
        <v>7004.8011108290111</v>
      </c>
      <c r="AE470" s="121">
        <f ca="1">MIN(AE465/($B461*12/Параметры!$B$27),IF(AE464=AE465,AE465/($B461*12/Параметры!$B$27),AD471))</f>
        <v>7004.8011108290111</v>
      </c>
      <c r="AF470" s="121">
        <f ca="1">MIN(AF465/($B461*12/Параметры!$B$27),IF(AF464=AF465,AF465/($B461*12/Параметры!$B$27),AE471))</f>
        <v>7004.8011108290111</v>
      </c>
      <c r="AG470" s="121">
        <f ca="1">MIN(AG465/($B461*12/Параметры!$B$27),IF(AG464=AG465,AG465/($B461*12/Параметры!$B$27),AF471))</f>
        <v>7004.8011108290111</v>
      </c>
      <c r="AH470" s="121">
        <f ca="1">MIN(AH465/($B461*12/Параметры!$B$27),IF(AH464=AH465,AH465/($B461*12/Параметры!$B$27),AG471))</f>
        <v>7004.8011108290111</v>
      </c>
      <c r="AI470" s="121">
        <f ca="1">MIN(AI465/($B461*12/Параметры!$B$27),IF(AI464=AI465,AI465/($B461*12/Параметры!$B$27),AH471))</f>
        <v>7004.8011108290111</v>
      </c>
      <c r="AJ470" s="121">
        <f ca="1">MIN(AJ465/($B461*12/Параметры!$B$27),IF(AJ464=AJ465,AJ465/($B461*12/Параметры!$B$27),AI471))</f>
        <v>7004.8011108290111</v>
      </c>
      <c r="AK470" s="121">
        <f ca="1">MIN(AK465/($B461*12/Параметры!$B$27),IF(AK464=AK465,AK465/($B461*12/Параметры!$B$27),AJ471))</f>
        <v>7004.8011108290111</v>
      </c>
      <c r="AL470" s="121">
        <f ca="1">MIN(AL465/($B461*12/Параметры!$B$27),IF(AL464=AL465,AL465/($B461*12/Параметры!$B$27),AK471))</f>
        <v>7004.8011108290111</v>
      </c>
      <c r="AM470" s="121">
        <f ca="1">MIN(AM465/($B461*12/Параметры!$B$27),IF(AM464=AM465,AM465/($B461*12/Параметры!$B$27),AL471))</f>
        <v>7004.8011108290111</v>
      </c>
      <c r="AN470" s="121">
        <f ca="1">MIN(AN465/($B461*12/Параметры!$B$27),IF(AN464=AN465,AN465/($B461*12/Параметры!$B$27),AM471))</f>
        <v>7004.8011108290111</v>
      </c>
      <c r="AO470" s="121">
        <f ca="1">MIN(AO465/($B461*12/Параметры!$B$27),IF(AO464=AO465,AO465/($B461*12/Параметры!$B$27),AN471))</f>
        <v>7004.8011108290111</v>
      </c>
      <c r="AP470" s="121">
        <f ca="1">MIN(AP465/($B461*12/Параметры!$B$27),IF(AP464=AP465,AP465/($B461*12/Параметры!$B$27),AO471))</f>
        <v>7004.8011108290111</v>
      </c>
      <c r="AQ470" s="121">
        <f ca="1">MIN(AQ465/($B461*12/Параметры!$B$27),IF(AQ464=AQ465,AQ465/($B461*12/Параметры!$B$27),AP471))</f>
        <v>7004.8011108290111</v>
      </c>
      <c r="AR470" s="121">
        <f ca="1">MIN(AR465/($B461*12/Параметры!$B$27),IF(AR464=AR465,AR465/($B461*12/Параметры!$B$27),AQ471))</f>
        <v>7004.8011108290111</v>
      </c>
      <c r="AS470" s="115"/>
      <c r="AT470" s="125">
        <f ca="1">SUM(E470:AS470)</f>
        <v>215560.46856486387</v>
      </c>
    </row>
    <row r="471" spans="1:46" ht="11.25" customHeight="1" outlineLevel="1" x14ac:dyDescent="0.2">
      <c r="A471" s="146" t="s">
        <v>51</v>
      </c>
      <c r="B471" s="40"/>
      <c r="C471" s="2" t="str">
        <f>CHOOSE(Параметры!$B$19,Параметры!$B$64,Параметры!$B$108,Параметры!$B$117)</f>
        <v>тыс. руб.</v>
      </c>
      <c r="E471" s="121">
        <f ca="1">E465-SUM($E470:E470)</f>
        <v>0</v>
      </c>
      <c r="F471" s="121">
        <f ca="1">F465-SUM($E470:F470)</f>
        <v>0</v>
      </c>
      <c r="G471" s="121">
        <f ca="1">G465-SUM($E470:G470)</f>
        <v>0</v>
      </c>
      <c r="H471" s="121">
        <f ca="1">H465-SUM($E470:H470)</f>
        <v>0</v>
      </c>
      <c r="I471" s="121">
        <f ca="1">I465-SUM($E470:I470)</f>
        <v>0</v>
      </c>
      <c r="J471" s="121">
        <f ca="1">J465-SUM($E470:J470)</f>
        <v>0</v>
      </c>
      <c r="K471" s="121">
        <f ca="1">K465-SUM($E470:K470)</f>
        <v>0</v>
      </c>
      <c r="L471" s="121">
        <f ca="1">L465-SUM($E470:L470)</f>
        <v>245319.41792874323</v>
      </c>
      <c r="M471" s="121">
        <f ca="1">M465-SUM($E470:M470)</f>
        <v>242214.10884103764</v>
      </c>
      <c r="N471" s="121">
        <f ca="1">N465-SUM($E470:N470)</f>
        <v>239108.79975333202</v>
      </c>
      <c r="O471" s="121">
        <f ca="1">O465-SUM($E470:O470)</f>
        <v>236003.49066562642</v>
      </c>
      <c r="P471" s="121">
        <f ca="1">P465-SUM($E470:P470)</f>
        <v>540958.05140466942</v>
      </c>
      <c r="Q471" s="121">
        <f ca="1">Q465-SUM($E470:Q470)</f>
        <v>533953.25029384042</v>
      </c>
      <c r="R471" s="121">
        <f ca="1">R465-SUM($E470:R470)</f>
        <v>526948.44918301143</v>
      </c>
      <c r="S471" s="121">
        <f ca="1">S465-SUM($E470:S470)</f>
        <v>519943.64807218243</v>
      </c>
      <c r="T471" s="121">
        <f ca="1">T465-SUM($E470:T470)</f>
        <v>512938.84696135344</v>
      </c>
      <c r="U471" s="121">
        <f ca="1">U465-SUM($E470:U470)</f>
        <v>505934.04585052439</v>
      </c>
      <c r="V471" s="121">
        <f ca="1">V465-SUM($E470:V470)</f>
        <v>498929.24473969539</v>
      </c>
      <c r="W471" s="121">
        <f ca="1">W465-SUM($E470:W470)</f>
        <v>491924.4436288664</v>
      </c>
      <c r="X471" s="121">
        <f ca="1">X465-SUM($E470:X470)</f>
        <v>484919.64251803735</v>
      </c>
      <c r="Y471" s="121">
        <f ca="1">Y465-SUM($E470:Y470)</f>
        <v>477914.84140720835</v>
      </c>
      <c r="Z471" s="121">
        <f ca="1">Z465-SUM($E470:Z470)</f>
        <v>470910.04029637936</v>
      </c>
      <c r="AA471" s="121">
        <f ca="1">AA465-SUM($E470:AA470)</f>
        <v>463905.23918555037</v>
      </c>
      <c r="AB471" s="121">
        <f ca="1">AB465-SUM($E470:AB470)</f>
        <v>456900.43807472137</v>
      </c>
      <c r="AC471" s="121">
        <f ca="1">AC465-SUM($E470:AC470)</f>
        <v>449895.63696389232</v>
      </c>
      <c r="AD471" s="121">
        <f ca="1">AD465-SUM($E470:AD470)</f>
        <v>442890.83585306333</v>
      </c>
      <c r="AE471" s="121">
        <f ca="1">AE465-SUM($E470:AE470)</f>
        <v>435886.03474223433</v>
      </c>
      <c r="AF471" s="121">
        <f ca="1">AF465-SUM($E470:AF470)</f>
        <v>428881.23363140528</v>
      </c>
      <c r="AG471" s="121">
        <f ca="1">AG465-SUM($E470:AG470)</f>
        <v>421876.43252057629</v>
      </c>
      <c r="AH471" s="121">
        <f ca="1">AH465-SUM($E470:AH470)</f>
        <v>414871.63140974729</v>
      </c>
      <c r="AI471" s="121">
        <f ca="1">AI465-SUM($E470:AI470)</f>
        <v>407866.83029891824</v>
      </c>
      <c r="AJ471" s="121">
        <f ca="1">AJ465-SUM($E470:AJ470)</f>
        <v>400862.02918808919</v>
      </c>
      <c r="AK471" s="121">
        <f ca="1">AK465-SUM($E470:AK470)</f>
        <v>393857.2280772602</v>
      </c>
      <c r="AL471" s="121">
        <f ca="1">AL465-SUM($E470:AL470)</f>
        <v>386852.4269664312</v>
      </c>
      <c r="AM471" s="121">
        <f ca="1">AM465-SUM($E470:AM470)</f>
        <v>379847.62585560215</v>
      </c>
      <c r="AN471" s="121">
        <f ca="1">AN465-SUM($E470:AN470)</f>
        <v>372842.8247447731</v>
      </c>
      <c r="AO471" s="121">
        <f ca="1">AO465-SUM($E470:AO470)</f>
        <v>365838.0236339441</v>
      </c>
      <c r="AP471" s="121">
        <f ca="1">AP465-SUM($E470:AP470)</f>
        <v>358833.22252311511</v>
      </c>
      <c r="AQ471" s="121">
        <f ca="1">AQ465-SUM($E470:AQ470)</f>
        <v>351828.42141228606</v>
      </c>
      <c r="AR471" s="121">
        <f ca="1">AR465-SUM($E470:AR470)</f>
        <v>344823.62030145701</v>
      </c>
      <c r="AS471" s="115"/>
      <c r="AT471" s="116"/>
    </row>
    <row r="472" spans="1:46" ht="11.25" customHeight="1" outlineLevel="1" x14ac:dyDescent="0.2">
      <c r="A472" s="146" t="s">
        <v>53</v>
      </c>
      <c r="B472" s="415">
        <f ca="1">AT472</f>
        <v>112076.81777326419</v>
      </c>
      <c r="C472" s="2" t="str">
        <f>CHOOSE(Параметры!$B$19,Параметры!$B$64,Параметры!$B$108,Параметры!$B$117)</f>
        <v>тыс. руб.</v>
      </c>
      <c r="E472" s="115">
        <f t="shared" ref="E472:AR472" si="199">E463*E462</f>
        <v>2136.666666666667</v>
      </c>
      <c r="F472" s="115">
        <f t="shared" ca="1" si="199"/>
        <v>6410</v>
      </c>
      <c r="G472" s="115">
        <f t="shared" ca="1" si="199"/>
        <v>10683.333333333336</v>
      </c>
      <c r="H472" s="115">
        <f t="shared" ca="1" si="199"/>
        <v>11965.333333333336</v>
      </c>
      <c r="I472" s="115">
        <f t="shared" ca="1" si="199"/>
        <v>6128</v>
      </c>
      <c r="J472" s="115">
        <f t="shared" ca="1" si="199"/>
        <v>4526.226030475761</v>
      </c>
      <c r="K472" s="115">
        <f t="shared" ca="1" si="199"/>
        <v>4924.9310617933661</v>
      </c>
      <c r="L472" s="115">
        <f t="shared" ca="1" si="199"/>
        <v>2910.4549776873059</v>
      </c>
      <c r="M472" s="115">
        <f t="shared" ca="1" si="199"/>
        <v>12264.833273980352</v>
      </c>
      <c r="N472" s="115">
        <f t="shared" ca="1" si="199"/>
        <v>18624.636346565152</v>
      </c>
      <c r="O472" s="115">
        <f t="shared" ca="1" si="199"/>
        <v>25139.777645784496</v>
      </c>
      <c r="P472" s="115">
        <f t="shared" ca="1" si="199"/>
        <v>6362.6251036444119</v>
      </c>
      <c r="Q472" s="115">
        <f t="shared" ca="1" si="199"/>
        <v>0</v>
      </c>
      <c r="R472" s="115">
        <f t="shared" ca="1" si="199"/>
        <v>0</v>
      </c>
      <c r="S472" s="115">
        <f t="shared" ca="1" si="199"/>
        <v>0</v>
      </c>
      <c r="T472" s="115">
        <f t="shared" ca="1" si="199"/>
        <v>0</v>
      </c>
      <c r="U472" s="115">
        <f t="shared" ca="1" si="199"/>
        <v>0</v>
      </c>
      <c r="V472" s="115">
        <f t="shared" ca="1" si="199"/>
        <v>0</v>
      </c>
      <c r="W472" s="115">
        <f t="shared" ca="1" si="199"/>
        <v>0</v>
      </c>
      <c r="X472" s="115">
        <f t="shared" ca="1" si="199"/>
        <v>0</v>
      </c>
      <c r="Y472" s="115">
        <f t="shared" ca="1" si="199"/>
        <v>0</v>
      </c>
      <c r="Z472" s="115">
        <f t="shared" ca="1" si="199"/>
        <v>0</v>
      </c>
      <c r="AA472" s="115">
        <f t="shared" ca="1" si="199"/>
        <v>0</v>
      </c>
      <c r="AB472" s="115">
        <f t="shared" ca="1" si="199"/>
        <v>0</v>
      </c>
      <c r="AC472" s="115">
        <f t="shared" ca="1" si="199"/>
        <v>0</v>
      </c>
      <c r="AD472" s="115">
        <f t="shared" ca="1" si="199"/>
        <v>0</v>
      </c>
      <c r="AE472" s="115">
        <f t="shared" ca="1" si="199"/>
        <v>0</v>
      </c>
      <c r="AF472" s="115">
        <f t="shared" ca="1" si="199"/>
        <v>0</v>
      </c>
      <c r="AG472" s="115">
        <f t="shared" ca="1" si="199"/>
        <v>0</v>
      </c>
      <c r="AH472" s="115">
        <f t="shared" ca="1" si="199"/>
        <v>0</v>
      </c>
      <c r="AI472" s="115">
        <f t="shared" ca="1" si="199"/>
        <v>0</v>
      </c>
      <c r="AJ472" s="115">
        <f t="shared" ca="1" si="199"/>
        <v>0</v>
      </c>
      <c r="AK472" s="115">
        <f t="shared" ca="1" si="199"/>
        <v>0</v>
      </c>
      <c r="AL472" s="115">
        <f t="shared" ca="1" si="199"/>
        <v>0</v>
      </c>
      <c r="AM472" s="115">
        <f t="shared" ca="1" si="199"/>
        <v>0</v>
      </c>
      <c r="AN472" s="115">
        <f t="shared" ca="1" si="199"/>
        <v>0</v>
      </c>
      <c r="AO472" s="115">
        <f t="shared" ca="1" si="199"/>
        <v>0</v>
      </c>
      <c r="AP472" s="115">
        <f t="shared" ca="1" si="199"/>
        <v>0</v>
      </c>
      <c r="AQ472" s="115">
        <f t="shared" ca="1" si="199"/>
        <v>0</v>
      </c>
      <c r="AR472" s="115">
        <f t="shared" ca="1" si="199"/>
        <v>0</v>
      </c>
      <c r="AS472" s="115"/>
      <c r="AT472" s="125">
        <f ca="1">SUM(E472:AS472)</f>
        <v>112076.81777326419</v>
      </c>
    </row>
    <row r="473" spans="1:46" ht="11.25" customHeight="1" outlineLevel="1" x14ac:dyDescent="0.2">
      <c r="A473" s="146" t="s">
        <v>410</v>
      </c>
      <c r="B473" s="415">
        <f ca="1">AT473</f>
        <v>112076.81777326419</v>
      </c>
      <c r="C473" s="2" t="str">
        <f>CHOOSE(Параметры!$B$19,Параметры!$B$64,Параметры!$B$108,Параметры!$B$117)</f>
        <v>тыс. руб.</v>
      </c>
      <c r="E473" s="115">
        <f t="shared" ref="E473:AR473" ca="1" si="200">IFERROR($B472*E464/$B464,0)</f>
        <v>0</v>
      </c>
      <c r="F473" s="115">
        <f t="shared" ca="1" si="200"/>
        <v>0</v>
      </c>
      <c r="G473" s="115">
        <f t="shared" ca="1" si="200"/>
        <v>0</v>
      </c>
      <c r="H473" s="115">
        <f t="shared" ca="1" si="200"/>
        <v>0</v>
      </c>
      <c r="I473" s="115">
        <f t="shared" ca="1" si="200"/>
        <v>0</v>
      </c>
      <c r="J473" s="115">
        <f t="shared" ca="1" si="200"/>
        <v>0</v>
      </c>
      <c r="K473" s="115">
        <f t="shared" ca="1" si="200"/>
        <v>0</v>
      </c>
      <c r="L473" s="115">
        <f t="shared" ca="1" si="200"/>
        <v>49684.945403289777</v>
      </c>
      <c r="M473" s="115">
        <f t="shared" ca="1" si="200"/>
        <v>0</v>
      </c>
      <c r="N473" s="115">
        <f t="shared" ca="1" si="200"/>
        <v>0</v>
      </c>
      <c r="O473" s="115">
        <f t="shared" ca="1" si="200"/>
        <v>0</v>
      </c>
      <c r="P473" s="115">
        <f t="shared" ca="1" si="200"/>
        <v>62391.872369974408</v>
      </c>
      <c r="Q473" s="115">
        <f t="shared" ca="1" si="200"/>
        <v>0</v>
      </c>
      <c r="R473" s="115">
        <f t="shared" ca="1" si="200"/>
        <v>0</v>
      </c>
      <c r="S473" s="115">
        <f t="shared" ca="1" si="200"/>
        <v>0</v>
      </c>
      <c r="T473" s="115">
        <f t="shared" ca="1" si="200"/>
        <v>0</v>
      </c>
      <c r="U473" s="115">
        <f t="shared" ca="1" si="200"/>
        <v>0</v>
      </c>
      <c r="V473" s="115">
        <f t="shared" ca="1" si="200"/>
        <v>0</v>
      </c>
      <c r="W473" s="115">
        <f t="shared" ca="1" si="200"/>
        <v>0</v>
      </c>
      <c r="X473" s="115">
        <f t="shared" ca="1" si="200"/>
        <v>0</v>
      </c>
      <c r="Y473" s="115">
        <f t="shared" ca="1" si="200"/>
        <v>0</v>
      </c>
      <c r="Z473" s="115">
        <f t="shared" ca="1" si="200"/>
        <v>0</v>
      </c>
      <c r="AA473" s="115">
        <f t="shared" ca="1" si="200"/>
        <v>0</v>
      </c>
      <c r="AB473" s="115">
        <f t="shared" ca="1" si="200"/>
        <v>0</v>
      </c>
      <c r="AC473" s="115">
        <f t="shared" ca="1" si="200"/>
        <v>0</v>
      </c>
      <c r="AD473" s="115">
        <f t="shared" ca="1" si="200"/>
        <v>0</v>
      </c>
      <c r="AE473" s="115">
        <f t="shared" ca="1" si="200"/>
        <v>0</v>
      </c>
      <c r="AF473" s="115">
        <f t="shared" ca="1" si="200"/>
        <v>0</v>
      </c>
      <c r="AG473" s="115">
        <f t="shared" ca="1" si="200"/>
        <v>0</v>
      </c>
      <c r="AH473" s="115">
        <f t="shared" ca="1" si="200"/>
        <v>0</v>
      </c>
      <c r="AI473" s="115">
        <f t="shared" ca="1" si="200"/>
        <v>0</v>
      </c>
      <c r="AJ473" s="115">
        <f t="shared" ca="1" si="200"/>
        <v>0</v>
      </c>
      <c r="AK473" s="115">
        <f t="shared" ca="1" si="200"/>
        <v>0</v>
      </c>
      <c r="AL473" s="115">
        <f t="shared" ca="1" si="200"/>
        <v>0</v>
      </c>
      <c r="AM473" s="115">
        <f t="shared" ca="1" si="200"/>
        <v>0</v>
      </c>
      <c r="AN473" s="115">
        <f t="shared" ca="1" si="200"/>
        <v>0</v>
      </c>
      <c r="AO473" s="115">
        <f t="shared" ca="1" si="200"/>
        <v>0</v>
      </c>
      <c r="AP473" s="115">
        <f t="shared" ca="1" si="200"/>
        <v>0</v>
      </c>
      <c r="AQ473" s="115">
        <f t="shared" ca="1" si="200"/>
        <v>0</v>
      </c>
      <c r="AR473" s="115">
        <f t="shared" ca="1" si="200"/>
        <v>0</v>
      </c>
      <c r="AS473" s="115"/>
      <c r="AT473" s="125">
        <f ca="1">SUM(E473:AS473)</f>
        <v>112076.81777326419</v>
      </c>
    </row>
    <row r="474" spans="1:46" ht="11.25" customHeight="1" outlineLevel="1" x14ac:dyDescent="0.2">
      <c r="A474" s="146" t="s">
        <v>290</v>
      </c>
      <c r="B474" s="40"/>
      <c r="C474" s="2" t="str">
        <f>CHOOSE(Параметры!$B$19,Параметры!$B$64,Параметры!$B$108,Параметры!$B$117)</f>
        <v>тыс. руб.</v>
      </c>
      <c r="E474" s="473">
        <f t="shared" ref="E474:AR474" ca="1" si="201">IFERROR(($AT463+$AT472)*E465/$B464,0)</f>
        <v>0</v>
      </c>
      <c r="F474" s="473">
        <f t="shared" ca="1" si="201"/>
        <v>0</v>
      </c>
      <c r="G474" s="473">
        <f t="shared" ca="1" si="201"/>
        <v>0</v>
      </c>
      <c r="H474" s="473">
        <f t="shared" ca="1" si="201"/>
        <v>0</v>
      </c>
      <c r="I474" s="473">
        <f t="shared" ca="1" si="201"/>
        <v>0</v>
      </c>
      <c r="J474" s="473">
        <f t="shared" ca="1" si="201"/>
        <v>0</v>
      </c>
      <c r="K474" s="473">
        <f t="shared" ca="1" si="201"/>
        <v>0</v>
      </c>
      <c r="L474" s="473">
        <f t="shared" ca="1" si="201"/>
        <v>298109.67241973861</v>
      </c>
      <c r="M474" s="473">
        <f t="shared" ca="1" si="201"/>
        <v>298109.67241973861</v>
      </c>
      <c r="N474" s="473">
        <f t="shared" ca="1" si="201"/>
        <v>298109.67241973861</v>
      </c>
      <c r="O474" s="473">
        <f t="shared" ca="1" si="201"/>
        <v>298109.67241973861</v>
      </c>
      <c r="P474" s="473">
        <f t="shared" ca="1" si="201"/>
        <v>672460.90663958504</v>
      </c>
      <c r="Q474" s="473">
        <f t="shared" ca="1" si="201"/>
        <v>672460.90663958504</v>
      </c>
      <c r="R474" s="473">
        <f t="shared" ca="1" si="201"/>
        <v>672460.90663958504</v>
      </c>
      <c r="S474" s="473">
        <f t="shared" ca="1" si="201"/>
        <v>672460.90663958504</v>
      </c>
      <c r="T474" s="473">
        <f t="shared" ca="1" si="201"/>
        <v>672460.90663958504</v>
      </c>
      <c r="U474" s="473">
        <f t="shared" ca="1" si="201"/>
        <v>672460.90663958504</v>
      </c>
      <c r="V474" s="473">
        <f t="shared" ca="1" si="201"/>
        <v>672460.90663958504</v>
      </c>
      <c r="W474" s="473">
        <f t="shared" ca="1" si="201"/>
        <v>672460.90663958504</v>
      </c>
      <c r="X474" s="473">
        <f t="shared" ca="1" si="201"/>
        <v>672460.90663958504</v>
      </c>
      <c r="Y474" s="473">
        <f t="shared" ca="1" si="201"/>
        <v>672460.90663958504</v>
      </c>
      <c r="Z474" s="473">
        <f t="shared" ca="1" si="201"/>
        <v>672460.90663958504</v>
      </c>
      <c r="AA474" s="473">
        <f t="shared" ca="1" si="201"/>
        <v>672460.90663958504</v>
      </c>
      <c r="AB474" s="473">
        <f t="shared" ca="1" si="201"/>
        <v>672460.90663958504</v>
      </c>
      <c r="AC474" s="473">
        <f t="shared" ca="1" si="201"/>
        <v>672460.90663958504</v>
      </c>
      <c r="AD474" s="473">
        <f t="shared" ca="1" si="201"/>
        <v>672460.90663958504</v>
      </c>
      <c r="AE474" s="473">
        <f t="shared" ca="1" si="201"/>
        <v>672460.90663958504</v>
      </c>
      <c r="AF474" s="473">
        <f t="shared" ca="1" si="201"/>
        <v>672460.90663958504</v>
      </c>
      <c r="AG474" s="473">
        <f t="shared" ca="1" si="201"/>
        <v>672460.90663958504</v>
      </c>
      <c r="AH474" s="473">
        <f t="shared" ca="1" si="201"/>
        <v>672460.90663958504</v>
      </c>
      <c r="AI474" s="473">
        <f t="shared" ca="1" si="201"/>
        <v>672460.90663958504</v>
      </c>
      <c r="AJ474" s="473">
        <f t="shared" ca="1" si="201"/>
        <v>672460.90663958504</v>
      </c>
      <c r="AK474" s="473">
        <f t="shared" ca="1" si="201"/>
        <v>672460.90663958504</v>
      </c>
      <c r="AL474" s="473">
        <f t="shared" ca="1" si="201"/>
        <v>672460.90663958504</v>
      </c>
      <c r="AM474" s="473">
        <f t="shared" ca="1" si="201"/>
        <v>672460.90663958504</v>
      </c>
      <c r="AN474" s="473">
        <f t="shared" ca="1" si="201"/>
        <v>672460.90663958504</v>
      </c>
      <c r="AO474" s="473">
        <f t="shared" ca="1" si="201"/>
        <v>672460.90663958504</v>
      </c>
      <c r="AP474" s="473">
        <f t="shared" ca="1" si="201"/>
        <v>672460.90663958504</v>
      </c>
      <c r="AQ474" s="473">
        <f t="shared" ca="1" si="201"/>
        <v>672460.90663958504</v>
      </c>
      <c r="AR474" s="473">
        <f t="shared" ca="1" si="201"/>
        <v>672460.90663958504</v>
      </c>
      <c r="AS474" s="115"/>
      <c r="AT474" s="125"/>
    </row>
    <row r="475" spans="1:46" ht="11.25" customHeight="1" outlineLevel="1" x14ac:dyDescent="0.2">
      <c r="A475" s="146" t="s">
        <v>366</v>
      </c>
      <c r="B475" s="146"/>
      <c r="C475" s="2" t="str">
        <f>CHOOSE(Параметры!$B$19,Параметры!$B$64,Параметры!$B$108,Параметры!$B$117)</f>
        <v>тыс. руб.</v>
      </c>
      <c r="E475" s="121">
        <f t="shared" ref="E475:AR475" ca="1" si="202">IF(0,0,E471)</f>
        <v>0</v>
      </c>
      <c r="F475" s="121">
        <f t="shared" ca="1" si="202"/>
        <v>0</v>
      </c>
      <c r="G475" s="121">
        <f t="shared" ca="1" si="202"/>
        <v>0</v>
      </c>
      <c r="H475" s="121">
        <f t="shared" ca="1" si="202"/>
        <v>0</v>
      </c>
      <c r="I475" s="121">
        <f t="shared" ca="1" si="202"/>
        <v>0</v>
      </c>
      <c r="J475" s="121">
        <f t="shared" ca="1" si="202"/>
        <v>0</v>
      </c>
      <c r="K475" s="121">
        <f t="shared" ca="1" si="202"/>
        <v>0</v>
      </c>
      <c r="L475" s="121">
        <f t="shared" ca="1" si="202"/>
        <v>245319.41792874323</v>
      </c>
      <c r="M475" s="121">
        <f t="shared" ca="1" si="202"/>
        <v>242214.10884103764</v>
      </c>
      <c r="N475" s="121">
        <f t="shared" ca="1" si="202"/>
        <v>239108.79975333202</v>
      </c>
      <c r="O475" s="121">
        <f t="shared" ca="1" si="202"/>
        <v>236003.49066562642</v>
      </c>
      <c r="P475" s="121">
        <f t="shared" ca="1" si="202"/>
        <v>540958.05140466942</v>
      </c>
      <c r="Q475" s="121">
        <f t="shared" ca="1" si="202"/>
        <v>533953.25029384042</v>
      </c>
      <c r="R475" s="121">
        <f t="shared" ca="1" si="202"/>
        <v>526948.44918301143</v>
      </c>
      <c r="S475" s="121">
        <f t="shared" ca="1" si="202"/>
        <v>519943.64807218243</v>
      </c>
      <c r="T475" s="121">
        <f t="shared" ca="1" si="202"/>
        <v>512938.84696135344</v>
      </c>
      <c r="U475" s="121">
        <f t="shared" ca="1" si="202"/>
        <v>505934.04585052439</v>
      </c>
      <c r="V475" s="121">
        <f t="shared" ca="1" si="202"/>
        <v>498929.24473969539</v>
      </c>
      <c r="W475" s="121">
        <f t="shared" ca="1" si="202"/>
        <v>491924.4436288664</v>
      </c>
      <c r="X475" s="121">
        <f t="shared" ca="1" si="202"/>
        <v>484919.64251803735</v>
      </c>
      <c r="Y475" s="121">
        <f t="shared" ca="1" si="202"/>
        <v>477914.84140720835</v>
      </c>
      <c r="Z475" s="121">
        <f t="shared" ca="1" si="202"/>
        <v>470910.04029637936</v>
      </c>
      <c r="AA475" s="121">
        <f t="shared" ca="1" si="202"/>
        <v>463905.23918555037</v>
      </c>
      <c r="AB475" s="121">
        <f t="shared" ca="1" si="202"/>
        <v>456900.43807472137</v>
      </c>
      <c r="AC475" s="121">
        <f t="shared" ca="1" si="202"/>
        <v>449895.63696389232</v>
      </c>
      <c r="AD475" s="121">
        <f t="shared" ca="1" si="202"/>
        <v>442890.83585306333</v>
      </c>
      <c r="AE475" s="121">
        <f t="shared" ca="1" si="202"/>
        <v>435886.03474223433</v>
      </c>
      <c r="AF475" s="121">
        <f t="shared" ca="1" si="202"/>
        <v>428881.23363140528</v>
      </c>
      <c r="AG475" s="121">
        <f t="shared" ca="1" si="202"/>
        <v>421876.43252057629</v>
      </c>
      <c r="AH475" s="121">
        <f t="shared" ca="1" si="202"/>
        <v>414871.63140974729</v>
      </c>
      <c r="AI475" s="121">
        <f t="shared" ca="1" si="202"/>
        <v>407866.83029891824</v>
      </c>
      <c r="AJ475" s="121">
        <f t="shared" ca="1" si="202"/>
        <v>400862.02918808919</v>
      </c>
      <c r="AK475" s="121">
        <f t="shared" ca="1" si="202"/>
        <v>393857.2280772602</v>
      </c>
      <c r="AL475" s="121">
        <f t="shared" ca="1" si="202"/>
        <v>386852.4269664312</v>
      </c>
      <c r="AM475" s="121">
        <f t="shared" ca="1" si="202"/>
        <v>379847.62585560215</v>
      </c>
      <c r="AN475" s="121">
        <f t="shared" ca="1" si="202"/>
        <v>372842.8247447731</v>
      </c>
      <c r="AO475" s="121">
        <f t="shared" ca="1" si="202"/>
        <v>365838.0236339441</v>
      </c>
      <c r="AP475" s="121">
        <f t="shared" ca="1" si="202"/>
        <v>358833.22252311511</v>
      </c>
      <c r="AQ475" s="121">
        <f t="shared" ca="1" si="202"/>
        <v>351828.42141228606</v>
      </c>
      <c r="AR475" s="121">
        <f t="shared" ca="1" si="202"/>
        <v>344823.62030145701</v>
      </c>
      <c r="AS475" s="115"/>
      <c r="AT475" s="125"/>
    </row>
    <row r="476" spans="1:46" ht="11.25" customHeight="1" collapsed="1" x14ac:dyDescent="0.2">
      <c r="A476" s="146"/>
      <c r="B476" s="23"/>
      <c r="C476" s="2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1"/>
      <c r="AP476" s="121"/>
      <c r="AQ476" s="121"/>
      <c r="AR476" s="121"/>
      <c r="AS476" s="115"/>
      <c r="AT476" s="125"/>
    </row>
    <row r="477" spans="1:46" outlineLevel="1" x14ac:dyDescent="0.2">
      <c r="A477" s="419" t="str">
        <f>Параметры!$A$101</f>
        <v>Изменение цен в строительстве</v>
      </c>
      <c r="B477" s="263" t="s">
        <v>391</v>
      </c>
      <c r="C477" s="2" t="s">
        <v>14</v>
      </c>
      <c r="E477" s="358">
        <f>CHOOSE($C$110,Параметры!E$101,Параметры!E$113,Параметры!E$122)</f>
        <v>0</v>
      </c>
      <c r="F477" s="358">
        <f>CHOOSE($C$110,Параметры!F$101,Параметры!F$113,Параметры!F$122)</f>
        <v>0</v>
      </c>
      <c r="G477" s="358">
        <f>CHOOSE($C$110,Параметры!G$101,Параметры!G$113,Параметры!G$122)</f>
        <v>0</v>
      </c>
      <c r="H477" s="358">
        <f>CHOOSE($C$110,Параметры!H$101,Параметры!H$113,Параметры!H$122)</f>
        <v>0</v>
      </c>
      <c r="I477" s="358">
        <f>CHOOSE($C$110,Параметры!I$101,Параметры!I$113,Параметры!I$122)</f>
        <v>5.1271423484030576E-2</v>
      </c>
      <c r="J477" s="358">
        <f>CHOOSE($C$110,Параметры!J$101,Параметры!J$113,Параметры!J$122)</f>
        <v>5.1271423484030576E-2</v>
      </c>
      <c r="K477" s="358">
        <f>CHOOSE($C$110,Параметры!K$101,Параметры!K$113,Параметры!K$122)</f>
        <v>5.1271423484030576E-2</v>
      </c>
      <c r="L477" s="358">
        <f>CHOOSE($C$110,Параметры!L$101,Параметры!L$113,Параметры!L$122)</f>
        <v>5.1271423484030576E-2</v>
      </c>
      <c r="M477" s="358">
        <f>CHOOSE($C$110,Параметры!M$101,Параметры!M$113,Параметры!M$122)</f>
        <v>5.0363387780470337E-2</v>
      </c>
      <c r="N477" s="358">
        <f>CHOOSE($C$110,Параметры!N$101,Параметры!N$113,Параметры!N$122)</f>
        <v>5.0363387780470337E-2</v>
      </c>
      <c r="O477" s="358">
        <f>CHOOSE($C$110,Параметры!O$101,Параметры!O$113,Параметры!O$122)</f>
        <v>5.0363387780470337E-2</v>
      </c>
      <c r="P477" s="358">
        <f>CHOOSE($C$110,Параметры!P$101,Параметры!P$113,Параметры!P$122)</f>
        <v>5.0363387780470337E-2</v>
      </c>
      <c r="Q477" s="358">
        <f>CHOOSE($C$110,Параметры!Q$101,Параметры!Q$113,Параметры!Q$122)</f>
        <v>4.9267330074872273E-2</v>
      </c>
      <c r="R477" s="358">
        <f>CHOOSE($C$110,Параметры!R$101,Параметры!R$113,Параметры!R$122)</f>
        <v>4.9267330074872273E-2</v>
      </c>
      <c r="S477" s="358">
        <f>CHOOSE($C$110,Параметры!S$101,Параметры!S$113,Параметры!S$122)</f>
        <v>4.9267330074872273E-2</v>
      </c>
      <c r="T477" s="358">
        <f>CHOOSE($C$110,Параметры!T$101,Параметры!T$113,Параметры!T$122)</f>
        <v>4.9267330074872273E-2</v>
      </c>
      <c r="U477" s="358">
        <f>CHOOSE($C$110,Параметры!U$101,Параметры!U$113,Параметры!U$122)</f>
        <v>4.7273106547426114E-2</v>
      </c>
      <c r="V477" s="358">
        <f>CHOOSE($C$110,Параметры!V$101,Параметры!V$113,Параметры!V$122)</f>
        <v>4.7273106547426114E-2</v>
      </c>
      <c r="W477" s="358">
        <f>CHOOSE($C$110,Параметры!W$101,Параметры!W$113,Параметры!W$122)</f>
        <v>4.7273106547426114E-2</v>
      </c>
      <c r="X477" s="358">
        <f>CHOOSE($C$110,Параметры!X$101,Параметры!X$113,Параметры!X$122)</f>
        <v>4.7273106547426114E-2</v>
      </c>
      <c r="Y477" s="358">
        <f>CHOOSE($C$110,Параметры!Y$101,Параметры!Y$113,Параметры!Y$122)</f>
        <v>4.5942308087647987E-2</v>
      </c>
      <c r="Z477" s="358">
        <f>CHOOSE($C$110,Параметры!Z$101,Параметры!Z$113,Параметры!Z$122)</f>
        <v>4.5942308087647987E-2</v>
      </c>
      <c r="AA477" s="358">
        <f>CHOOSE($C$110,Параметры!AA$101,Параметры!AA$113,Параметры!AA$122)</f>
        <v>4.5942308087647987E-2</v>
      </c>
      <c r="AB477" s="358">
        <f>CHOOSE($C$110,Параметры!AB$101,Параметры!AB$113,Параметры!AB$122)</f>
        <v>4.5942308087647987E-2</v>
      </c>
      <c r="AC477" s="358">
        <f>CHOOSE($C$110,Параметры!AC$101,Параметры!AC$113,Параметры!AC$122)</f>
        <v>4.6084178846717894E-2</v>
      </c>
      <c r="AD477" s="358">
        <f>CHOOSE($C$110,Параметры!AD$101,Параметры!AD$113,Параметры!AD$122)</f>
        <v>4.6084178846717894E-2</v>
      </c>
      <c r="AE477" s="358">
        <f>CHOOSE($C$110,Параметры!AE$101,Параметры!AE$113,Параметры!AE$122)</f>
        <v>4.6084178846717894E-2</v>
      </c>
      <c r="AF477" s="358">
        <f>CHOOSE($C$110,Параметры!AF$101,Параметры!AF$113,Параметры!AF$122)</f>
        <v>4.6084178846717894E-2</v>
      </c>
      <c r="AG477" s="358">
        <f>CHOOSE($C$110,Параметры!AG$101,Параметры!AG$113,Параметры!AG$122)</f>
        <v>4.6049823800539347E-2</v>
      </c>
      <c r="AH477" s="358">
        <f>CHOOSE($C$110,Параметры!AH$101,Параметры!AH$113,Параметры!AH$122)</f>
        <v>4.6049823800539347E-2</v>
      </c>
      <c r="AI477" s="358">
        <f>CHOOSE($C$110,Параметры!AI$101,Параметры!AI$113,Параметры!AI$122)</f>
        <v>4.6049823800539347E-2</v>
      </c>
      <c r="AJ477" s="358">
        <f>CHOOSE($C$110,Параметры!AJ$101,Параметры!AJ$113,Параметры!AJ$122)</f>
        <v>4.6049823800539347E-2</v>
      </c>
      <c r="AK477" s="358">
        <f>CHOOSE($C$110,Параметры!AK$101,Параметры!AK$113,Параметры!AK$122)</f>
        <v>4.6154378696228848E-2</v>
      </c>
      <c r="AL477" s="358">
        <f>CHOOSE($C$110,Параметры!AL$101,Параметры!AL$113,Параметры!AL$122)</f>
        <v>4.6154378696228848E-2</v>
      </c>
      <c r="AM477" s="358">
        <f>CHOOSE($C$110,Параметры!AM$101,Параметры!AM$113,Параметры!AM$122)</f>
        <v>4.6154378696228848E-2</v>
      </c>
      <c r="AN477" s="358">
        <f>CHOOSE($C$110,Параметры!AN$101,Параметры!AN$113,Параметры!AN$122)</f>
        <v>4.6154378696228848E-2</v>
      </c>
      <c r="AO477" s="358">
        <f>CHOOSE($C$110,Параметры!AO$101,Параметры!AO$113,Параметры!AO$122)</f>
        <v>4.601469397743041E-2</v>
      </c>
      <c r="AP477" s="358">
        <f>CHOOSE($C$110,Параметры!AP$101,Параметры!AP$113,Параметры!AP$122)</f>
        <v>4.601469397743041E-2</v>
      </c>
      <c r="AQ477" s="358">
        <f>CHOOSE($C$110,Параметры!AQ$101,Параметры!AQ$113,Параметры!AQ$122)</f>
        <v>4.601469397743041E-2</v>
      </c>
      <c r="AR477" s="358">
        <f>CHOOSE($C$110,Параметры!AR$101,Параметры!AR$113,Параметры!AR$122)</f>
        <v>4.601469397743041E-2</v>
      </c>
      <c r="AS477" s="118"/>
      <c r="AT477" s="119"/>
    </row>
    <row r="478" spans="1:46" outlineLevel="1" x14ac:dyDescent="0.2">
      <c r="A478" s="302" t="s">
        <v>392</v>
      </c>
      <c r="B478" s="24"/>
      <c r="C478" s="2" t="s">
        <v>133</v>
      </c>
      <c r="E478" s="416">
        <f ca="1">IF(E$2=1,1,IF(Параметры!$B$62=1,POWER(1+OFFSET(E477,0,-1),Параметры!E$39/360),1) * IF(E$2&gt;1,D478, 1))</f>
        <v>1</v>
      </c>
      <c r="F478" s="416">
        <f ca="1">IF(F$2=1,1,IF(Параметры!$B$62=1,POWER(1+OFFSET(F477,0,-1),Параметры!F$39/360),1) * IF(F$2&gt;1,E478, 1))</f>
        <v>1</v>
      </c>
      <c r="G478" s="416">
        <f ca="1">IF(G$2=1,1,IF(Параметры!$B$62=1,POWER(1+OFFSET(G477,0,-1),Параметры!G$39/360),1) * IF(G$2&gt;1,F478, 1))</f>
        <v>1</v>
      </c>
      <c r="H478" s="416">
        <f ca="1">IF(H$2=1,1,IF(Параметры!$B$62=1,POWER(1+OFFSET(H477,0,-1),Параметры!H$39/360),1) * IF(H$2&gt;1,G478, 1))</f>
        <v>1</v>
      </c>
      <c r="I478" s="416">
        <f ca="1">IF(I$2=1,1,IF(Параметры!$B$62=1,POWER(1+OFFSET(I477,0,-1),Параметры!I$39/360),1) * IF(I$2&gt;1,H478, 1))</f>
        <v>1</v>
      </c>
      <c r="J478" s="416">
        <f ca="1">IF(J$2=1,1,IF(Параметры!$B$62=1,POWER(1+OFFSET(J477,0,-1),Параметры!J$39/360),1) * IF(J$2&gt;1,I478, 1))</f>
        <v>1.0125785303077766</v>
      </c>
      <c r="K478" s="416">
        <f ca="1">IF(K$2=1,1,IF(Параметры!$B$62=1,POWER(1+OFFSET(K477,0,-1),Параметры!K$39/360),1) * IF(K$2&gt;1,J478, 1))</f>
        <v>1.0253152800402567</v>
      </c>
      <c r="L478" s="416">
        <f ca="1">IF(L$2=1,1,IF(Параметры!$B$62=1,POWER(1+OFFSET(L477,0,-1),Параметры!L$39/360),1) * IF(L$2&gt;1,K478, 1))</f>
        <v>1.0382122393652695</v>
      </c>
      <c r="M478" s="416">
        <f ca="1">IF(M$2=1,1,IF(Параметры!$B$62=1,POWER(1+OFFSET(M477,0,-1),Параметры!M$39/360),1) * IF(M$2&gt;1,L478, 1))</f>
        <v>1.0512714234840301</v>
      </c>
      <c r="N478" s="416">
        <f ca="1">IF(N$2=1,1,IF(Параметры!$B$62=1,POWER(1+OFFSET(N477,0,-1),Параметры!N$39/360),1) * IF(N$2&gt;1,M478, 1))</f>
        <v>1.0642649340894372</v>
      </c>
      <c r="O478" s="416">
        <f ca="1">IF(O$2=1,1,IF(Параметры!$B$62=1,POWER(1+OFFSET(O477,0,-1),Параметры!O$39/360),1) * IF(O$2&gt;1,N478, 1))</f>
        <v>1.0774190419621925</v>
      </c>
      <c r="P478" s="416">
        <f ca="1">IF(P$2=1,1,IF(Параметры!$B$62=1,POWER(1+OFFSET(P477,0,-1),Параметры!P$39/360),1) * IF(P$2&gt;1,O478, 1))</f>
        <v>1.0907357320533275</v>
      </c>
      <c r="Q478" s="416">
        <f ca="1">IF(Q$2=1,1,IF(Параметры!$B$62=1,POWER(1+OFFSET(Q477,0,-1),Параметры!Q$39/360),1) * IF(Q$2&gt;1,P478, 1))</f>
        <v>1.1042170138474832</v>
      </c>
      <c r="R478" s="416">
        <f ca="1">IF(R$2=1,1,IF(Параметры!$B$62=1,POWER(1+OFFSET(R477,0,-1),Параметры!R$39/360),1) * IF(R$2&gt;1,Q478, 1))</f>
        <v>1.117573183534714</v>
      </c>
      <c r="S478" s="416">
        <f ca="1">IF(S$2=1,1,IF(Параметры!$B$62=1,POWER(1+OFFSET(S477,0,-1),Параметры!S$39/360),1) * IF(S$2&gt;1,R478, 1))</f>
        <v>1.1310909041367352</v>
      </c>
      <c r="T478" s="416">
        <f ca="1">IF(T$2=1,1,IF(Параметры!$B$62=1,POWER(1+OFFSET(T477,0,-1),Параметры!T$39/360),1) * IF(T$2&gt;1,S478, 1))</f>
        <v>1.1447721297091389</v>
      </c>
      <c r="U478" s="416">
        <f ca="1">IF(U$2=1,1,IF(Параметры!$B$62=1,POWER(1+OFFSET(U477,0,-1),Параметры!U$39/360),1) * IF(U$2&gt;1,T478, 1))</f>
        <v>1.1586188379429967</v>
      </c>
      <c r="V478" s="416">
        <f ca="1">IF(V$2=1,1,IF(Параметры!$B$62=1,POWER(1+OFFSET(V477,0,-1),Параметры!V$39/360),1) * IF(V$2&gt;1,U478, 1))</f>
        <v>1.1720754602177208</v>
      </c>
      <c r="W478" s="416">
        <f ca="1">IF(W$2=1,1,IF(Параметры!$B$62=1,POWER(1+OFFSET(W477,0,-1),Параметры!W$39/360),1) * IF(W$2&gt;1,V478, 1))</f>
        <v>1.1856883726174754</v>
      </c>
      <c r="X478" s="416">
        <f ca="1">IF(X$2=1,1,IF(Параметры!$B$62=1,POWER(1+OFFSET(X477,0,-1),Параметры!X$39/360),1) * IF(X$2&gt;1,W478, 1))</f>
        <v>1.1994593903528445</v>
      </c>
      <c r="Y478" s="416">
        <f ca="1">IF(Y$2=1,1,IF(Параметры!$B$62=1,POWER(1+OFFSET(Y477,0,-1),Параметры!Y$39/360),1) * IF(Y$2&gt;1,X478, 1))</f>
        <v>1.2133903497169312</v>
      </c>
      <c r="Z478" s="416">
        <f ca="1">IF(Z$2=1,1,IF(Параметры!$B$62=1,POWER(1+OFFSET(Z477,0,-1),Параметры!Z$39/360),1) * IF(Z$2&gt;1,Y478, 1))</f>
        <v>1.2270929733184746</v>
      </c>
      <c r="AA478" s="416">
        <f ca="1">IF(AA$2=1,1,IF(Параметры!$B$62=1,POWER(1+OFFSET(AA477,0,-1),Параметры!AA$39/360),1) * IF(AA$2&gt;1,Z478, 1))</f>
        <v>1.240950338461855</v>
      </c>
      <c r="AB478" s="416">
        <f ca="1">IF(AB$2=1,1,IF(Параметры!$B$62=1,POWER(1+OFFSET(AB477,0,-1),Параметры!AB$39/360),1) * IF(AB$2&gt;1,AA478, 1))</f>
        <v>1.254964192618613</v>
      </c>
      <c r="AC478" s="416">
        <f ca="1">IF(AC$2=1,1,IF(Параметры!$B$62=1,POWER(1+OFFSET(AC477,0,-1),Параметры!AC$39/360),1) * IF(AC$2&gt;1,AB478, 1))</f>
        <v>1.269136302994206</v>
      </c>
      <c r="AD478" s="416">
        <f ca="1">IF(AD$2=1,1,IF(Параметры!$B$62=1,POWER(1+OFFSET(AD477,0,-1),Параметры!AD$39/360),1) * IF(AD$2&gt;1,AC478, 1))</f>
        <v>1.2835119766901881</v>
      </c>
      <c r="AE478" s="416">
        <f ca="1">IF(AE$2=1,1,IF(Параметры!$B$62=1,POWER(1+OFFSET(AE477,0,-1),Параметры!AE$39/360),1) * IF(AE$2&gt;1,AD478, 1))</f>
        <v>1.2980504855313992</v>
      </c>
      <c r="AF478" s="416">
        <f ca="1">IF(AF$2=1,1,IF(Параметры!$B$62=1,POWER(1+OFFSET(AF477,0,-1),Параметры!AF$39/360),1) * IF(AF$2&gt;1,AE478, 1))</f>
        <v>1.3127536739729293</v>
      </c>
      <c r="AG478" s="416">
        <f ca="1">IF(AG$2=1,1,IF(Параметры!$B$62=1,POWER(1+OFFSET(AG477,0,-1),Параметры!AG$39/360),1) * IF(AG$2&gt;1,AF478, 1))</f>
        <v>1.3276234073622537</v>
      </c>
      <c r="AH478" s="416">
        <f ca="1">IF(AH$2=1,1,IF(Параметры!$B$62=1,POWER(1+OFFSET(AH477,0,-1),Параметры!AH$39/360),1) * IF(AH$2&gt;1,AG478, 1))</f>
        <v>1.3426505482618092</v>
      </c>
      <c r="AI478" s="416">
        <f ca="1">IF(AI$2=1,1,IF(Параметры!$B$62=1,POWER(1+OFFSET(AI477,0,-1),Параметры!AI$39/360),1) * IF(AI$2&gt;1,AH478, 1))</f>
        <v>1.3578477787834389</v>
      </c>
      <c r="AJ478" s="416">
        <f ca="1">IF(AJ$2=1,1,IF(Параметры!$B$62=1,POWER(1+OFFSET(AJ477,0,-1),Параметры!AJ$39/360),1) * IF(AJ$2&gt;1,AI478, 1))</f>
        <v>1.3732170241423072</v>
      </c>
      <c r="AK478" s="416">
        <f ca="1">IF(AK$2=1,1,IF(Параметры!$B$62=1,POWER(1+OFFSET(AK477,0,-1),Параметры!AK$39/360),1) * IF(AK$2&gt;1,AJ478, 1))</f>
        <v>1.3887602313447576</v>
      </c>
      <c r="AL478" s="416">
        <f ca="1">IF(AL$2=1,1,IF(Параметры!$B$62=1,POWER(1+OFFSET(AL477,0,-1),Параметры!AL$39/360),1) * IF(AL$2&gt;1,AK478, 1))</f>
        <v>1.4045144632916067</v>
      </c>
      <c r="AM478" s="416">
        <f ca="1">IF(AM$2=1,1,IF(Параметры!$B$62=1,POWER(1+OFFSET(AM477,0,-1),Параметры!AM$39/360),1) * IF(AM$2&gt;1,AL478, 1))</f>
        <v>1.4204474127871249</v>
      </c>
      <c r="AN478" s="416">
        <f ca="1">IF(AN$2=1,1,IF(Параметры!$B$62=1,POWER(1+OFFSET(AN477,0,-1),Параметры!AN$39/360),1) * IF(AN$2&gt;1,AM478, 1))</f>
        <v>1.4365611072206708</v>
      </c>
      <c r="AO478" s="416">
        <f ca="1">IF(AO$2=1,1,IF(Параметры!$B$62=1,POWER(1+OFFSET(AO477,0,-1),Параметры!AO$39/360),1) * IF(AO$2&gt;1,AN478, 1))</f>
        <v>1.4528575969805062</v>
      </c>
      <c r="AP478" s="416">
        <f ca="1">IF(AP$2=1,1,IF(Параметры!$B$62=1,POWER(1+OFFSET(AP477,0,-1),Параметры!AP$39/360),1) * IF(AP$2&gt;1,AO478, 1))</f>
        <v>1.4692899059567068</v>
      </c>
      <c r="AQ478" s="416">
        <f ca="1">IF(AQ$2=1,1,IF(Параметры!$B$62=1,POWER(1+OFFSET(AQ477,0,-1),Параметры!AQ$39/360),1) * IF(AQ$2&gt;1,AP478, 1))</f>
        <v>1.4859080698844529</v>
      </c>
      <c r="AR478" s="416">
        <f ca="1">IF(AR$2=1,1,IF(Параметры!$B$62=1,POWER(1+OFFSET(AR477,0,-1),Параметры!AR$39/360),1) * IF(AR$2&gt;1,AQ478, 1))</f>
        <v>1.5027141908458721</v>
      </c>
      <c r="AS478" s="120"/>
      <c r="AT478" s="116"/>
    </row>
    <row r="479" spans="1:46" outlineLevel="1" x14ac:dyDescent="0.2">
      <c r="A479" s="319" t="s">
        <v>491</v>
      </c>
      <c r="B479" s="24"/>
      <c r="C479" s="2" t="s">
        <v>133</v>
      </c>
      <c r="D479" s="310"/>
      <c r="E479" s="417">
        <f>IF(E$2=1,1,CHOOSE($B$8,E478,IF(Параметры!E$43=1,E478,D479),IF(Параметры!E$48=1,E478,D479),IF(Параметры!E$45&lt;&gt;Параметры!D$45,E478,D479),IF(Параметры!E$50&lt;&gt;Параметры!D$50,E478,D479)))</f>
        <v>1</v>
      </c>
      <c r="F479" s="417">
        <f ca="1">IF(F$2=1,1,CHOOSE($B$8,F478,IF(Параметры!F$43=1,F478,E479),IF(Параметры!F$48=1,F478,E479),IF(Параметры!F$45&lt;&gt;Параметры!E$45,F478,E479),IF(Параметры!F$50&lt;&gt;Параметры!E$50,F478,E479)))</f>
        <v>1</v>
      </c>
      <c r="G479" s="417">
        <f ca="1">IF(G$2=1,1,CHOOSE($B$8,G478,IF(Параметры!G$43=1,G478,F479),IF(Параметры!G$48=1,G478,F479),IF(Параметры!G$45&lt;&gt;Параметры!F$45,G478,F479),IF(Параметры!G$50&lt;&gt;Параметры!F$50,G478,F479)))</f>
        <v>1</v>
      </c>
      <c r="H479" s="417">
        <f ca="1">IF(H$2=1,1,CHOOSE($B$8,H478,IF(Параметры!H$43=1,H478,G479),IF(Параметры!H$48=1,H478,G479),IF(Параметры!H$45&lt;&gt;Параметры!G$45,H478,G479),IF(Параметры!H$50&lt;&gt;Параметры!G$50,H478,G479)))</f>
        <v>1</v>
      </c>
      <c r="I479" s="417">
        <f ca="1">IF(I$2=1,1,CHOOSE($B$8,I478,IF(Параметры!I$43=1,I478,H479),IF(Параметры!I$48=1,I478,H479),IF(Параметры!I$45&lt;&gt;Параметры!H$45,I478,H479),IF(Параметры!I$50&lt;&gt;Параметры!H$50,I478,H479)))</f>
        <v>1</v>
      </c>
      <c r="J479" s="417">
        <f ca="1">IF(J$2=1,1,CHOOSE($B$8,J478,IF(Параметры!J$43=1,J478,I479),IF(Параметры!J$48=1,J478,I479),IF(Параметры!J$45&lt;&gt;Параметры!I$45,J478,I479),IF(Параметры!J$50&lt;&gt;Параметры!I$50,J478,I479)))</f>
        <v>1.0125785303077766</v>
      </c>
      <c r="K479" s="417">
        <f ca="1">IF(K$2=1,1,CHOOSE($B$8,K478,IF(Параметры!K$43=1,K478,J479),IF(Параметры!K$48=1,K478,J479),IF(Параметры!K$45&lt;&gt;Параметры!J$45,K478,J479),IF(Параметры!K$50&lt;&gt;Параметры!J$50,K478,J479)))</f>
        <v>1.0253152800402567</v>
      </c>
      <c r="L479" s="417">
        <f ca="1">IF(L$2=1,1,CHOOSE($B$8,L478,IF(Параметры!L$43=1,L478,K479),IF(Параметры!L$48=1,L478,K479),IF(Параметры!L$45&lt;&gt;Параметры!K$45,L478,K479),IF(Параметры!L$50&lt;&gt;Параметры!K$50,L478,K479)))</f>
        <v>1.0382122393652695</v>
      </c>
      <c r="M479" s="417">
        <f ca="1">IF(M$2=1,1,CHOOSE($B$8,M478,IF(Параметры!M$43=1,M478,L479),IF(Параметры!M$48=1,M478,L479),IF(Параметры!M$45&lt;&gt;Параметры!L$45,M478,L479),IF(Параметры!M$50&lt;&gt;Параметры!L$50,M478,L479)))</f>
        <v>1.0512714234840301</v>
      </c>
      <c r="N479" s="417">
        <f ca="1">IF(N$2=1,1,CHOOSE($B$8,N478,IF(Параметры!N$43=1,N478,M479),IF(Параметры!N$48=1,N478,M479),IF(Параметры!N$45&lt;&gt;Параметры!M$45,N478,M479),IF(Параметры!N$50&lt;&gt;Параметры!M$50,N478,M479)))</f>
        <v>1.0642649340894372</v>
      </c>
      <c r="O479" s="417">
        <f ca="1">IF(O$2=1,1,CHOOSE($B$8,O478,IF(Параметры!O$43=1,O478,N479),IF(Параметры!O$48=1,O478,N479),IF(Параметры!O$45&lt;&gt;Параметры!N$45,O478,N479),IF(Параметры!O$50&lt;&gt;Параметры!N$50,O478,N479)))</f>
        <v>1.0774190419621925</v>
      </c>
      <c r="P479" s="417">
        <f ca="1">IF(P$2=1,1,CHOOSE($B$8,P478,IF(Параметры!P$43=1,P478,O479),IF(Параметры!P$48=1,P478,O479),IF(Параметры!P$45&lt;&gt;Параметры!O$45,P478,O479),IF(Параметры!P$50&lt;&gt;Параметры!O$50,P478,O479)))</f>
        <v>1.0907357320533275</v>
      </c>
      <c r="Q479" s="417">
        <f ca="1">IF(Q$2=1,1,CHOOSE($B$8,Q478,IF(Параметры!Q$43=1,Q478,P479),IF(Параметры!Q$48=1,Q478,P479),IF(Параметры!Q$45&lt;&gt;Параметры!P$45,Q478,P479),IF(Параметры!Q$50&lt;&gt;Параметры!P$50,Q478,P479)))</f>
        <v>1.1042170138474832</v>
      </c>
      <c r="R479" s="417">
        <f ca="1">IF(R$2=1,1,CHOOSE($B$8,R478,IF(Параметры!R$43=1,R478,Q479),IF(Параметры!R$48=1,R478,Q479),IF(Параметры!R$45&lt;&gt;Параметры!Q$45,R478,Q479),IF(Параметры!R$50&lt;&gt;Параметры!Q$50,R478,Q479)))</f>
        <v>1.117573183534714</v>
      </c>
      <c r="S479" s="417">
        <f ca="1">IF(S$2=1,1,CHOOSE($B$8,S478,IF(Параметры!S$43=1,S478,R479),IF(Параметры!S$48=1,S478,R479),IF(Параметры!S$45&lt;&gt;Параметры!R$45,S478,R479),IF(Параметры!S$50&lt;&gt;Параметры!R$50,S478,R479)))</f>
        <v>1.1310909041367352</v>
      </c>
      <c r="T479" s="417">
        <f ca="1">IF(T$2=1,1,CHOOSE($B$8,T478,IF(Параметры!T$43=1,T478,S479),IF(Параметры!T$48=1,T478,S479),IF(Параметры!T$45&lt;&gt;Параметры!S$45,T478,S479),IF(Параметры!T$50&lt;&gt;Параметры!S$50,T478,S479)))</f>
        <v>1.1447721297091389</v>
      </c>
      <c r="U479" s="417">
        <f ca="1">IF(U$2=1,1,CHOOSE($B$8,U478,IF(Параметры!U$43=1,U478,T479),IF(Параметры!U$48=1,U478,T479),IF(Параметры!U$45&lt;&gt;Параметры!T$45,U478,T479),IF(Параметры!U$50&lt;&gt;Параметры!T$50,U478,T479)))</f>
        <v>1.1586188379429967</v>
      </c>
      <c r="V479" s="417">
        <f ca="1">IF(V$2=1,1,CHOOSE($B$8,V478,IF(Параметры!V$43=1,V478,U479),IF(Параметры!V$48=1,V478,U479),IF(Параметры!V$45&lt;&gt;Параметры!U$45,V478,U479),IF(Параметры!V$50&lt;&gt;Параметры!U$50,V478,U479)))</f>
        <v>1.1720754602177208</v>
      </c>
      <c r="W479" s="417">
        <f ca="1">IF(W$2=1,1,CHOOSE($B$8,W478,IF(Параметры!W$43=1,W478,V479),IF(Параметры!W$48=1,W478,V479),IF(Параметры!W$45&lt;&gt;Параметры!V$45,W478,V479),IF(Параметры!W$50&lt;&gt;Параметры!V$50,W478,V479)))</f>
        <v>1.1856883726174754</v>
      </c>
      <c r="X479" s="417">
        <f ca="1">IF(X$2=1,1,CHOOSE($B$8,X478,IF(Параметры!X$43=1,X478,W479),IF(Параметры!X$48=1,X478,W479),IF(Параметры!X$45&lt;&gt;Параметры!W$45,X478,W479),IF(Параметры!X$50&lt;&gt;Параметры!W$50,X478,W479)))</f>
        <v>1.1994593903528445</v>
      </c>
      <c r="Y479" s="417">
        <f ca="1">IF(Y$2=1,1,CHOOSE($B$8,Y478,IF(Параметры!Y$43=1,Y478,X479),IF(Параметры!Y$48=1,Y478,X479),IF(Параметры!Y$45&lt;&gt;Параметры!X$45,Y478,X479),IF(Параметры!Y$50&lt;&gt;Параметры!X$50,Y478,X479)))</f>
        <v>1.2133903497169312</v>
      </c>
      <c r="Z479" s="417">
        <f ca="1">IF(Z$2=1,1,CHOOSE($B$8,Z478,IF(Параметры!Z$43=1,Z478,Y479),IF(Параметры!Z$48=1,Z478,Y479),IF(Параметры!Z$45&lt;&gt;Параметры!Y$45,Z478,Y479),IF(Параметры!Z$50&lt;&gt;Параметры!Y$50,Z478,Y479)))</f>
        <v>1.2270929733184746</v>
      </c>
      <c r="AA479" s="417">
        <f ca="1">IF(AA$2=1,1,CHOOSE($B$8,AA478,IF(Параметры!AA$43=1,AA478,Z479),IF(Параметры!AA$48=1,AA478,Z479),IF(Параметры!AA$45&lt;&gt;Параметры!Z$45,AA478,Z479),IF(Параметры!AA$50&lt;&gt;Параметры!Z$50,AA478,Z479)))</f>
        <v>1.240950338461855</v>
      </c>
      <c r="AB479" s="417">
        <f ca="1">IF(AB$2=1,1,CHOOSE($B$8,AB478,IF(Параметры!AB$43=1,AB478,AA479),IF(Параметры!AB$48=1,AB478,AA479),IF(Параметры!AB$45&lt;&gt;Параметры!AA$45,AB478,AA479),IF(Параметры!AB$50&lt;&gt;Параметры!AA$50,AB478,AA479)))</f>
        <v>1.254964192618613</v>
      </c>
      <c r="AC479" s="417">
        <f ca="1">IF(AC$2=1,1,CHOOSE($B$8,AC478,IF(Параметры!AC$43=1,AC478,AB479),IF(Параметры!AC$48=1,AC478,AB479),IF(Параметры!AC$45&lt;&gt;Параметры!AB$45,AC478,AB479),IF(Параметры!AC$50&lt;&gt;Параметры!AB$50,AC478,AB479)))</f>
        <v>1.269136302994206</v>
      </c>
      <c r="AD479" s="417">
        <f ca="1">IF(AD$2=1,1,CHOOSE($B$8,AD478,IF(Параметры!AD$43=1,AD478,AC479),IF(Параметры!AD$48=1,AD478,AC479),IF(Параметры!AD$45&lt;&gt;Параметры!AC$45,AD478,AC479),IF(Параметры!AD$50&lt;&gt;Параметры!AC$50,AD478,AC479)))</f>
        <v>1.2835119766901881</v>
      </c>
      <c r="AE479" s="417">
        <f ca="1">IF(AE$2=1,1,CHOOSE($B$8,AE478,IF(Параметры!AE$43=1,AE478,AD479),IF(Параметры!AE$48=1,AE478,AD479),IF(Параметры!AE$45&lt;&gt;Параметры!AD$45,AE478,AD479),IF(Параметры!AE$50&lt;&gt;Параметры!AD$50,AE478,AD479)))</f>
        <v>1.2980504855313992</v>
      </c>
      <c r="AF479" s="417">
        <f ca="1">IF(AF$2=1,1,CHOOSE($B$8,AF478,IF(Параметры!AF$43=1,AF478,AE479),IF(Параметры!AF$48=1,AF478,AE479),IF(Параметры!AF$45&lt;&gt;Параметры!AE$45,AF478,AE479),IF(Параметры!AF$50&lt;&gt;Параметры!AE$50,AF478,AE479)))</f>
        <v>1.3127536739729293</v>
      </c>
      <c r="AG479" s="417">
        <f ca="1">IF(AG$2=1,1,CHOOSE($B$8,AG478,IF(Параметры!AG$43=1,AG478,AF479),IF(Параметры!AG$48=1,AG478,AF479),IF(Параметры!AG$45&lt;&gt;Параметры!AF$45,AG478,AF479),IF(Параметры!AG$50&lt;&gt;Параметры!AF$50,AG478,AF479)))</f>
        <v>1.3276234073622537</v>
      </c>
      <c r="AH479" s="417">
        <f ca="1">IF(AH$2=1,1,CHOOSE($B$8,AH478,IF(Параметры!AH$43=1,AH478,AG479),IF(Параметры!AH$48=1,AH478,AG479),IF(Параметры!AH$45&lt;&gt;Параметры!AG$45,AH478,AG479),IF(Параметры!AH$50&lt;&gt;Параметры!AG$50,AH478,AG479)))</f>
        <v>1.3426505482618092</v>
      </c>
      <c r="AI479" s="417">
        <f ca="1">IF(AI$2=1,1,CHOOSE($B$8,AI478,IF(Параметры!AI$43=1,AI478,AH479),IF(Параметры!AI$48=1,AI478,AH479),IF(Параметры!AI$45&lt;&gt;Параметры!AH$45,AI478,AH479),IF(Параметры!AI$50&lt;&gt;Параметры!AH$50,AI478,AH479)))</f>
        <v>1.3578477787834389</v>
      </c>
      <c r="AJ479" s="417">
        <f ca="1">IF(AJ$2=1,1,CHOOSE($B$8,AJ478,IF(Параметры!AJ$43=1,AJ478,AI479),IF(Параметры!AJ$48=1,AJ478,AI479),IF(Параметры!AJ$45&lt;&gt;Параметры!AI$45,AJ478,AI479),IF(Параметры!AJ$50&lt;&gt;Параметры!AI$50,AJ478,AI479)))</f>
        <v>1.3732170241423072</v>
      </c>
      <c r="AK479" s="417">
        <f ca="1">IF(AK$2=1,1,CHOOSE($B$8,AK478,IF(Параметры!AK$43=1,AK478,AJ479),IF(Параметры!AK$48=1,AK478,AJ479),IF(Параметры!AK$45&lt;&gt;Параметры!AJ$45,AK478,AJ479),IF(Параметры!AK$50&lt;&gt;Параметры!AJ$50,AK478,AJ479)))</f>
        <v>1.3887602313447576</v>
      </c>
      <c r="AL479" s="417">
        <f ca="1">IF(AL$2=1,1,CHOOSE($B$8,AL478,IF(Параметры!AL$43=1,AL478,AK479),IF(Параметры!AL$48=1,AL478,AK479),IF(Параметры!AL$45&lt;&gt;Параметры!AK$45,AL478,AK479),IF(Параметры!AL$50&lt;&gt;Параметры!AK$50,AL478,AK479)))</f>
        <v>1.4045144632916067</v>
      </c>
      <c r="AM479" s="417">
        <f ca="1">IF(AM$2=1,1,CHOOSE($B$8,AM478,IF(Параметры!AM$43=1,AM478,AL479),IF(Параметры!AM$48=1,AM478,AL479),IF(Параметры!AM$45&lt;&gt;Параметры!AL$45,AM478,AL479),IF(Параметры!AM$50&lt;&gt;Параметры!AL$50,AM478,AL479)))</f>
        <v>1.4204474127871249</v>
      </c>
      <c r="AN479" s="417">
        <f ca="1">IF(AN$2=1,1,CHOOSE($B$8,AN478,IF(Параметры!AN$43=1,AN478,AM479),IF(Параметры!AN$48=1,AN478,AM479),IF(Параметры!AN$45&lt;&gt;Параметры!AM$45,AN478,AM479),IF(Параметры!AN$50&lt;&gt;Параметры!AM$50,AN478,AM479)))</f>
        <v>1.4365611072206708</v>
      </c>
      <c r="AO479" s="417">
        <f ca="1">IF(AO$2=1,1,CHOOSE($B$8,AO478,IF(Параметры!AO$43=1,AO478,AN479),IF(Параметры!AO$48=1,AO478,AN479),IF(Параметры!AO$45&lt;&gt;Параметры!AN$45,AO478,AN479),IF(Параметры!AO$50&lt;&gt;Параметры!AN$50,AO478,AN479)))</f>
        <v>1.4528575969805062</v>
      </c>
      <c r="AP479" s="417">
        <f ca="1">IF(AP$2=1,1,CHOOSE($B$8,AP478,IF(Параметры!AP$43=1,AP478,AO479),IF(Параметры!AP$48=1,AP478,AO479),IF(Параметры!AP$45&lt;&gt;Параметры!AO$45,AP478,AO479),IF(Параметры!AP$50&lt;&gt;Параметры!AO$50,AP478,AO479)))</f>
        <v>1.4692899059567068</v>
      </c>
      <c r="AQ479" s="417">
        <f ca="1">IF(AQ$2=1,1,CHOOSE($B$8,AQ478,IF(Параметры!AQ$43=1,AQ478,AP479),IF(Параметры!AQ$48=1,AQ478,AP479),IF(Параметры!AQ$45&lt;&gt;Параметры!AP$45,AQ478,AP479),IF(Параметры!AQ$50&lt;&gt;Параметры!AP$50,AQ478,AP479)))</f>
        <v>1.4859080698844529</v>
      </c>
      <c r="AR479" s="417">
        <f ca="1">IF(AR$2=1,1,CHOOSE($B$8,AR478,IF(Параметры!AR$43=1,AR478,AQ479),IF(Параметры!AR$48=1,AR478,AQ479),IF(Параметры!AR$45&lt;&gt;Параметры!AQ$45,AR478,AQ479),IF(Параметры!AR$50&lt;&gt;Параметры!AQ$50,AR478,AQ479)))</f>
        <v>1.5027141908458721</v>
      </c>
      <c r="AS479" s="120"/>
      <c r="AT479" s="116"/>
    </row>
    <row r="480" spans="1:46" ht="11.25" customHeight="1" x14ac:dyDescent="0.2">
      <c r="A480" s="146"/>
      <c r="B480" s="23"/>
      <c r="C480" s="2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  <c r="AL480" s="121"/>
      <c r="AM480" s="121"/>
      <c r="AN480" s="121"/>
      <c r="AO480" s="121"/>
      <c r="AP480" s="121"/>
      <c r="AQ480" s="121"/>
      <c r="AR480" s="121"/>
      <c r="AS480" s="115"/>
      <c r="AT480" s="125"/>
    </row>
    <row r="481" spans="1:46" ht="11.25" customHeight="1" x14ac:dyDescent="0.2">
      <c r="AS481" s="1"/>
    </row>
    <row r="482" spans="1:46" s="60" customFormat="1" collapsed="1" x14ac:dyDescent="0.2">
      <c r="A482" s="52" t="s">
        <v>850</v>
      </c>
      <c r="C482" s="224" t="str">
        <f>Параметры!$B$64</f>
        <v>тыс. руб.</v>
      </c>
      <c r="D482" s="169"/>
      <c r="E482" s="85">
        <f t="shared" ref="E482:AR482" si="203">E483+E490</f>
        <v>301153.75</v>
      </c>
      <c r="F482" s="85">
        <f t="shared" ca="1" si="203"/>
        <v>326793.75</v>
      </c>
      <c r="G482" s="85">
        <f t="shared" ca="1" si="203"/>
        <v>64100.000000000007</v>
      </c>
      <c r="H482" s="85">
        <f t="shared" ca="1" si="203"/>
        <v>71792</v>
      </c>
      <c r="I482" s="85">
        <f t="shared" ca="1" si="203"/>
        <v>90768</v>
      </c>
      <c r="J482" s="85">
        <f t="shared" ca="1" si="203"/>
        <v>191195.07809271439</v>
      </c>
      <c r="K482" s="85">
        <f t="shared" ca="1" si="203"/>
        <v>251017.68685945566</v>
      </c>
      <c r="L482" s="85">
        <f t="shared" ca="1" si="203"/>
        <v>129589.65171757294</v>
      </c>
      <c r="M482" s="85">
        <f t="shared" ca="1" si="203"/>
        <v>268652.41227134393</v>
      </c>
      <c r="N482" s="85">
        <f t="shared" ca="1" si="203"/>
        <v>540753.01301084307</v>
      </c>
      <c r="O482" s="85">
        <f t="shared" ca="1" si="203"/>
        <v>785061.38492575171</v>
      </c>
      <c r="P482" s="85">
        <f t="shared" ca="1" si="203"/>
        <v>442947.78078685631</v>
      </c>
      <c r="Q482" s="85">
        <f t="shared" ca="1" si="203"/>
        <v>411431.25935957226</v>
      </c>
      <c r="R482" s="85">
        <f t="shared" ca="1" si="203"/>
        <v>906016.57989159273</v>
      </c>
      <c r="S482" s="85">
        <f t="shared" ca="1" si="203"/>
        <v>991061.85020460747</v>
      </c>
      <c r="T482" s="85">
        <f t="shared" ca="1" si="203"/>
        <v>501524.67002557381</v>
      </c>
      <c r="U482" s="85">
        <f t="shared" ca="1" si="203"/>
        <v>0</v>
      </c>
      <c r="V482" s="85">
        <f t="shared" ca="1" si="203"/>
        <v>0</v>
      </c>
      <c r="W482" s="85">
        <f t="shared" ca="1" si="203"/>
        <v>0</v>
      </c>
      <c r="X482" s="85">
        <f t="shared" ca="1" si="203"/>
        <v>0</v>
      </c>
      <c r="Y482" s="85">
        <f t="shared" ca="1" si="203"/>
        <v>0</v>
      </c>
      <c r="Z482" s="85">
        <f t="shared" ca="1" si="203"/>
        <v>0</v>
      </c>
      <c r="AA482" s="85">
        <f t="shared" ca="1" si="203"/>
        <v>0</v>
      </c>
      <c r="AB482" s="85">
        <f t="shared" ca="1" si="203"/>
        <v>0</v>
      </c>
      <c r="AC482" s="85">
        <f t="shared" ca="1" si="203"/>
        <v>0</v>
      </c>
      <c r="AD482" s="85">
        <f t="shared" ca="1" si="203"/>
        <v>0</v>
      </c>
      <c r="AE482" s="85">
        <f t="shared" ca="1" si="203"/>
        <v>0</v>
      </c>
      <c r="AF482" s="85">
        <f t="shared" ca="1" si="203"/>
        <v>0</v>
      </c>
      <c r="AG482" s="85">
        <f t="shared" ca="1" si="203"/>
        <v>0</v>
      </c>
      <c r="AH482" s="85">
        <f t="shared" ca="1" si="203"/>
        <v>0</v>
      </c>
      <c r="AI482" s="85">
        <f t="shared" ca="1" si="203"/>
        <v>0</v>
      </c>
      <c r="AJ482" s="85">
        <f t="shared" ca="1" si="203"/>
        <v>0</v>
      </c>
      <c r="AK482" s="85">
        <f t="shared" ca="1" si="203"/>
        <v>0</v>
      </c>
      <c r="AL482" s="85">
        <f t="shared" ca="1" si="203"/>
        <v>0</v>
      </c>
      <c r="AM482" s="85">
        <f t="shared" ca="1" si="203"/>
        <v>0</v>
      </c>
      <c r="AN482" s="85">
        <f t="shared" ca="1" si="203"/>
        <v>0</v>
      </c>
      <c r="AO482" s="85">
        <f t="shared" ca="1" si="203"/>
        <v>0</v>
      </c>
      <c r="AP482" s="85">
        <f t="shared" ca="1" si="203"/>
        <v>0</v>
      </c>
      <c r="AQ482" s="85">
        <f t="shared" ca="1" si="203"/>
        <v>0</v>
      </c>
      <c r="AR482" s="85">
        <f t="shared" ca="1" si="203"/>
        <v>0</v>
      </c>
      <c r="AS482" s="142"/>
      <c r="AT482" s="143">
        <f ca="1">SUM(E482:AS482)</f>
        <v>6273858.8671458848</v>
      </c>
    </row>
    <row r="483" spans="1:46" outlineLevel="1" x14ac:dyDescent="0.2">
      <c r="A483" s="63" t="s">
        <v>98</v>
      </c>
      <c r="C483" s="266" t="str">
        <f>Параметры!$B$64</f>
        <v>тыс. руб.</v>
      </c>
      <c r="E483" s="82">
        <f t="shared" ref="E483:AR483" si="204">SUM(E$436,E$463)</f>
        <v>250961.45833333334</v>
      </c>
      <c r="F483" s="82">
        <f t="shared" ca="1" si="204"/>
        <v>272328.125</v>
      </c>
      <c r="G483" s="82">
        <f t="shared" ca="1" si="204"/>
        <v>53416.666666666672</v>
      </c>
      <c r="H483" s="82">
        <f t="shared" ca="1" si="204"/>
        <v>59826.666666666672</v>
      </c>
      <c r="I483" s="82">
        <f t="shared" ca="1" si="204"/>
        <v>75640</v>
      </c>
      <c r="J483" s="82">
        <f t="shared" ca="1" si="204"/>
        <v>159329.23174392866</v>
      </c>
      <c r="K483" s="82">
        <f t="shared" ca="1" si="204"/>
        <v>209181.40571621305</v>
      </c>
      <c r="L483" s="82">
        <f t="shared" ca="1" si="204"/>
        <v>107991.37643131078</v>
      </c>
      <c r="M483" s="82">
        <f t="shared" ca="1" si="204"/>
        <v>223877.01022611992</v>
      </c>
      <c r="N483" s="82">
        <f t="shared" ca="1" si="204"/>
        <v>450627.51084236923</v>
      </c>
      <c r="O483" s="82">
        <f t="shared" ca="1" si="204"/>
        <v>654217.82077145972</v>
      </c>
      <c r="P483" s="82">
        <f t="shared" ca="1" si="204"/>
        <v>369123.15065571357</v>
      </c>
      <c r="Q483" s="82">
        <f t="shared" ca="1" si="204"/>
        <v>342859.38279964356</v>
      </c>
      <c r="R483" s="82">
        <f t="shared" ca="1" si="204"/>
        <v>755013.81657632731</v>
      </c>
      <c r="S483" s="82">
        <f t="shared" ca="1" si="204"/>
        <v>825884.87517050619</v>
      </c>
      <c r="T483" s="82">
        <f t="shared" ca="1" si="204"/>
        <v>417937.22502131149</v>
      </c>
      <c r="U483" s="82">
        <f t="shared" ca="1" si="204"/>
        <v>0</v>
      </c>
      <c r="V483" s="82">
        <f t="shared" ca="1" si="204"/>
        <v>0</v>
      </c>
      <c r="W483" s="82">
        <f t="shared" ca="1" si="204"/>
        <v>0</v>
      </c>
      <c r="X483" s="82">
        <f t="shared" ca="1" si="204"/>
        <v>0</v>
      </c>
      <c r="Y483" s="82">
        <f t="shared" ca="1" si="204"/>
        <v>0</v>
      </c>
      <c r="Z483" s="82">
        <f t="shared" ca="1" si="204"/>
        <v>0</v>
      </c>
      <c r="AA483" s="82">
        <f t="shared" ca="1" si="204"/>
        <v>0</v>
      </c>
      <c r="AB483" s="82">
        <f t="shared" ca="1" si="204"/>
        <v>0</v>
      </c>
      <c r="AC483" s="82">
        <f t="shared" ca="1" si="204"/>
        <v>0</v>
      </c>
      <c r="AD483" s="82">
        <f t="shared" ca="1" si="204"/>
        <v>0</v>
      </c>
      <c r="AE483" s="82">
        <f t="shared" ca="1" si="204"/>
        <v>0</v>
      </c>
      <c r="AF483" s="82">
        <f t="shared" ca="1" si="204"/>
        <v>0</v>
      </c>
      <c r="AG483" s="82">
        <f t="shared" ca="1" si="204"/>
        <v>0</v>
      </c>
      <c r="AH483" s="82">
        <f t="shared" ca="1" si="204"/>
        <v>0</v>
      </c>
      <c r="AI483" s="82">
        <f t="shared" ca="1" si="204"/>
        <v>0</v>
      </c>
      <c r="AJ483" s="82">
        <f t="shared" ca="1" si="204"/>
        <v>0</v>
      </c>
      <c r="AK483" s="82">
        <f t="shared" ca="1" si="204"/>
        <v>0</v>
      </c>
      <c r="AL483" s="82">
        <f t="shared" ca="1" si="204"/>
        <v>0</v>
      </c>
      <c r="AM483" s="82">
        <f t="shared" ca="1" si="204"/>
        <v>0</v>
      </c>
      <c r="AN483" s="82">
        <f t="shared" ca="1" si="204"/>
        <v>0</v>
      </c>
      <c r="AO483" s="82">
        <f t="shared" ca="1" si="204"/>
        <v>0</v>
      </c>
      <c r="AP483" s="82">
        <f t="shared" ca="1" si="204"/>
        <v>0</v>
      </c>
      <c r="AQ483" s="82">
        <f t="shared" ca="1" si="204"/>
        <v>0</v>
      </c>
      <c r="AR483" s="82">
        <f t="shared" ca="1" si="204"/>
        <v>0</v>
      </c>
      <c r="AS483" s="90"/>
      <c r="AT483" s="30">
        <f ca="1">SUM(E483:AS483)</f>
        <v>5228215.7226215694</v>
      </c>
    </row>
    <row r="484" spans="1:46" outlineLevel="1" x14ac:dyDescent="0.2">
      <c r="A484" s="63" t="s">
        <v>43</v>
      </c>
      <c r="C484" s="266" t="str">
        <f>Параметры!$B$64</f>
        <v>тыс. руб.</v>
      </c>
      <c r="E484" s="82">
        <f t="shared" ref="E484:AR484" ca="1" si="205">SUM(E$441,E$466)</f>
        <v>731517.70833333337</v>
      </c>
      <c r="F484" s="82">
        <f t="shared" ca="1" si="205"/>
        <v>1003845.8333333334</v>
      </c>
      <c r="G484" s="82">
        <f t="shared" ca="1" si="205"/>
        <v>96150</v>
      </c>
      <c r="H484" s="82">
        <f t="shared" ca="1" si="205"/>
        <v>155976.66666666669</v>
      </c>
      <c r="I484" s="82">
        <f t="shared" ca="1" si="205"/>
        <v>231616.66666666669</v>
      </c>
      <c r="J484" s="82">
        <f t="shared" ca="1" si="205"/>
        <v>390945.89841059531</v>
      </c>
      <c r="K484" s="82">
        <f t="shared" ca="1" si="205"/>
        <v>600127.3041268083</v>
      </c>
      <c r="L484" s="82">
        <f t="shared" ca="1" si="205"/>
        <v>459693.95354167023</v>
      </c>
      <c r="M484" s="82">
        <f t="shared" ca="1" si="205"/>
        <v>223877.01022611978</v>
      </c>
      <c r="N484" s="82">
        <f t="shared" ca="1" si="205"/>
        <v>674504.52106848895</v>
      </c>
      <c r="O484" s="82">
        <f t="shared" ca="1" si="205"/>
        <v>1328722.3418399487</v>
      </c>
      <c r="P484" s="82">
        <f t="shared" ca="1" si="205"/>
        <v>1385886.1306457904</v>
      </c>
      <c r="Q484" s="82">
        <f t="shared" ca="1" si="205"/>
        <v>1442473.1439065603</v>
      </c>
      <c r="R484" s="82">
        <f t="shared" ca="1" si="205"/>
        <v>2197486.9604828875</v>
      </c>
      <c r="S484" s="82">
        <f t="shared" ca="1" si="205"/>
        <v>3023371.835653394</v>
      </c>
      <c r="T484" s="82">
        <f t="shared" ca="1" si="205"/>
        <v>3441309.0606747051</v>
      </c>
      <c r="U484" s="82">
        <f t="shared" ca="1" si="205"/>
        <v>9.3132257461547852E-10</v>
      </c>
      <c r="V484" s="82">
        <f t="shared" ca="1" si="205"/>
        <v>9.3132257461547852E-10</v>
      </c>
      <c r="W484" s="82">
        <f t="shared" ca="1" si="205"/>
        <v>9.3132257461547852E-10</v>
      </c>
      <c r="X484" s="82">
        <f t="shared" ca="1" si="205"/>
        <v>9.3132257461547852E-10</v>
      </c>
      <c r="Y484" s="82">
        <f t="shared" ca="1" si="205"/>
        <v>9.3132257461547852E-10</v>
      </c>
      <c r="Z484" s="82">
        <f t="shared" ca="1" si="205"/>
        <v>9.3132257461547852E-10</v>
      </c>
      <c r="AA484" s="82">
        <f t="shared" ca="1" si="205"/>
        <v>9.3132257461547852E-10</v>
      </c>
      <c r="AB484" s="82">
        <f t="shared" ca="1" si="205"/>
        <v>9.3132257461547852E-10</v>
      </c>
      <c r="AC484" s="82">
        <f t="shared" ca="1" si="205"/>
        <v>9.3132257461547852E-10</v>
      </c>
      <c r="AD484" s="82">
        <f t="shared" ca="1" si="205"/>
        <v>9.3132257461547852E-10</v>
      </c>
      <c r="AE484" s="82">
        <f t="shared" ca="1" si="205"/>
        <v>9.3132257461547852E-10</v>
      </c>
      <c r="AF484" s="82">
        <f t="shared" ca="1" si="205"/>
        <v>9.3132257461547852E-10</v>
      </c>
      <c r="AG484" s="82">
        <f t="shared" ca="1" si="205"/>
        <v>9.3132257461547852E-10</v>
      </c>
      <c r="AH484" s="82">
        <f t="shared" ca="1" si="205"/>
        <v>9.3132257461547852E-10</v>
      </c>
      <c r="AI484" s="82">
        <f t="shared" ca="1" si="205"/>
        <v>9.3132257461547852E-10</v>
      </c>
      <c r="AJ484" s="82">
        <f t="shared" ca="1" si="205"/>
        <v>9.3132257461547852E-10</v>
      </c>
      <c r="AK484" s="82">
        <f t="shared" ca="1" si="205"/>
        <v>9.3132257461547852E-10</v>
      </c>
      <c r="AL484" s="82">
        <f t="shared" ca="1" si="205"/>
        <v>9.3132257461547852E-10</v>
      </c>
      <c r="AM484" s="82">
        <f t="shared" ca="1" si="205"/>
        <v>9.3132257461547852E-10</v>
      </c>
      <c r="AN484" s="82">
        <f t="shared" ca="1" si="205"/>
        <v>9.3132257461547852E-10</v>
      </c>
      <c r="AO484" s="82">
        <f t="shared" ca="1" si="205"/>
        <v>9.3132257461547852E-10</v>
      </c>
      <c r="AP484" s="82">
        <f t="shared" ca="1" si="205"/>
        <v>9.3132257461547852E-10</v>
      </c>
      <c r="AQ484" s="82">
        <f t="shared" ca="1" si="205"/>
        <v>9.3132257461547852E-10</v>
      </c>
      <c r="AR484" s="82">
        <f t="shared" ca="1" si="205"/>
        <v>9.3132257461547852E-10</v>
      </c>
      <c r="AS484" s="90"/>
      <c r="AT484" s="30"/>
    </row>
    <row r="485" spans="1:46" outlineLevel="1" x14ac:dyDescent="0.2">
      <c r="A485" s="63" t="s">
        <v>44</v>
      </c>
      <c r="C485" s="266" t="str">
        <f>Параметры!$B$64</f>
        <v>тыс. руб.</v>
      </c>
      <c r="E485" s="82">
        <f t="shared" ref="E485:AR485" ca="1" si="206">SUM(E$442,E$467)</f>
        <v>0</v>
      </c>
      <c r="F485" s="82">
        <f t="shared" ca="1" si="206"/>
        <v>0</v>
      </c>
      <c r="G485" s="82">
        <f t="shared" ca="1" si="206"/>
        <v>0</v>
      </c>
      <c r="H485" s="82">
        <f t="shared" ca="1" si="206"/>
        <v>0</v>
      </c>
      <c r="I485" s="82">
        <f t="shared" ca="1" si="206"/>
        <v>0</v>
      </c>
      <c r="J485" s="82">
        <f t="shared" ca="1" si="206"/>
        <v>0</v>
      </c>
      <c r="K485" s="82">
        <f t="shared" ca="1" si="206"/>
        <v>0</v>
      </c>
      <c r="L485" s="82">
        <f t="shared" ca="1" si="206"/>
        <v>0</v>
      </c>
      <c r="M485" s="82">
        <f t="shared" ca="1" si="206"/>
        <v>0</v>
      </c>
      <c r="N485" s="82">
        <f t="shared" ca="1" si="206"/>
        <v>0</v>
      </c>
      <c r="O485" s="82">
        <f t="shared" ca="1" si="206"/>
        <v>0</v>
      </c>
      <c r="P485" s="82">
        <f t="shared" ca="1" si="206"/>
        <v>0</v>
      </c>
      <c r="Q485" s="82">
        <f t="shared" ca="1" si="206"/>
        <v>0</v>
      </c>
      <c r="R485" s="82">
        <f t="shared" ca="1" si="206"/>
        <v>0</v>
      </c>
      <c r="S485" s="82">
        <f t="shared" ca="1" si="206"/>
        <v>0</v>
      </c>
      <c r="T485" s="82">
        <f t="shared" ca="1" si="206"/>
        <v>0</v>
      </c>
      <c r="U485" s="82">
        <f t="shared" ca="1" si="206"/>
        <v>0</v>
      </c>
      <c r="V485" s="82">
        <f t="shared" ca="1" si="206"/>
        <v>0</v>
      </c>
      <c r="W485" s="82">
        <f t="shared" ca="1" si="206"/>
        <v>0</v>
      </c>
      <c r="X485" s="82">
        <f t="shared" ca="1" si="206"/>
        <v>0</v>
      </c>
      <c r="Y485" s="82">
        <f t="shared" ca="1" si="206"/>
        <v>0</v>
      </c>
      <c r="Z485" s="82">
        <f t="shared" ca="1" si="206"/>
        <v>0</v>
      </c>
      <c r="AA485" s="82">
        <f t="shared" ca="1" si="206"/>
        <v>0</v>
      </c>
      <c r="AB485" s="82">
        <f t="shared" ca="1" si="206"/>
        <v>0</v>
      </c>
      <c r="AC485" s="82">
        <f t="shared" ca="1" si="206"/>
        <v>0</v>
      </c>
      <c r="AD485" s="82">
        <f t="shared" ca="1" si="206"/>
        <v>0</v>
      </c>
      <c r="AE485" s="82">
        <f t="shared" ca="1" si="206"/>
        <v>0</v>
      </c>
      <c r="AF485" s="82">
        <f t="shared" ca="1" si="206"/>
        <v>0</v>
      </c>
      <c r="AG485" s="82">
        <f t="shared" ca="1" si="206"/>
        <v>0</v>
      </c>
      <c r="AH485" s="82">
        <f t="shared" ca="1" si="206"/>
        <v>0</v>
      </c>
      <c r="AI485" s="82">
        <f t="shared" ca="1" si="206"/>
        <v>0</v>
      </c>
      <c r="AJ485" s="82">
        <f t="shared" ca="1" si="206"/>
        <v>0</v>
      </c>
      <c r="AK485" s="82">
        <f t="shared" ca="1" si="206"/>
        <v>0</v>
      </c>
      <c r="AL485" s="82">
        <f t="shared" ca="1" si="206"/>
        <v>0</v>
      </c>
      <c r="AM485" s="82">
        <f t="shared" ca="1" si="206"/>
        <v>0</v>
      </c>
      <c r="AN485" s="82">
        <f t="shared" ca="1" si="206"/>
        <v>0</v>
      </c>
      <c r="AO485" s="82">
        <f t="shared" ca="1" si="206"/>
        <v>0</v>
      </c>
      <c r="AP485" s="82">
        <f t="shared" ca="1" si="206"/>
        <v>0</v>
      </c>
      <c r="AQ485" s="82">
        <f t="shared" ca="1" si="206"/>
        <v>0</v>
      </c>
      <c r="AR485" s="82">
        <f t="shared" ca="1" si="206"/>
        <v>0</v>
      </c>
      <c r="AS485" s="90"/>
      <c r="AT485" s="30"/>
    </row>
    <row r="486" spans="1:46" outlineLevel="1" x14ac:dyDescent="0.2">
      <c r="A486" s="148" t="s">
        <v>69</v>
      </c>
      <c r="C486" s="266" t="str">
        <f>Параметры!$B$64</f>
        <v>тыс. руб.</v>
      </c>
      <c r="E486" s="82">
        <f t="shared" ref="E486:AR486" si="207">SUM(E$443,E$468)</f>
        <v>0</v>
      </c>
      <c r="F486" s="82">
        <f t="shared" ca="1" si="207"/>
        <v>0</v>
      </c>
      <c r="G486" s="82">
        <f t="shared" ca="1" si="207"/>
        <v>0</v>
      </c>
      <c r="H486" s="82">
        <f t="shared" ca="1" si="207"/>
        <v>0</v>
      </c>
      <c r="I486" s="82">
        <f t="shared" ca="1" si="207"/>
        <v>0</v>
      </c>
      <c r="J486" s="82">
        <f t="shared" ca="1" si="207"/>
        <v>0</v>
      </c>
      <c r="K486" s="82">
        <f t="shared" ca="1" si="207"/>
        <v>0</v>
      </c>
      <c r="L486" s="82">
        <f t="shared" ca="1" si="207"/>
        <v>0</v>
      </c>
      <c r="M486" s="82">
        <f t="shared" ca="1" si="207"/>
        <v>0</v>
      </c>
      <c r="N486" s="82">
        <f t="shared" ca="1" si="207"/>
        <v>0</v>
      </c>
      <c r="O486" s="82">
        <f t="shared" ca="1" si="207"/>
        <v>0</v>
      </c>
      <c r="P486" s="82">
        <f t="shared" ca="1" si="207"/>
        <v>0</v>
      </c>
      <c r="Q486" s="82">
        <f t="shared" ca="1" si="207"/>
        <v>0</v>
      </c>
      <c r="R486" s="82">
        <f t="shared" ca="1" si="207"/>
        <v>0</v>
      </c>
      <c r="S486" s="82">
        <f t="shared" ca="1" si="207"/>
        <v>0</v>
      </c>
      <c r="T486" s="82">
        <f t="shared" ca="1" si="207"/>
        <v>0</v>
      </c>
      <c r="U486" s="82">
        <f t="shared" ca="1" si="207"/>
        <v>0</v>
      </c>
      <c r="V486" s="82">
        <f t="shared" ca="1" si="207"/>
        <v>0</v>
      </c>
      <c r="W486" s="82">
        <f t="shared" ca="1" si="207"/>
        <v>0</v>
      </c>
      <c r="X486" s="82">
        <f t="shared" ca="1" si="207"/>
        <v>0</v>
      </c>
      <c r="Y486" s="82">
        <f t="shared" ca="1" si="207"/>
        <v>0</v>
      </c>
      <c r="Z486" s="82">
        <f t="shared" ca="1" si="207"/>
        <v>0</v>
      </c>
      <c r="AA486" s="82">
        <f t="shared" ca="1" si="207"/>
        <v>0</v>
      </c>
      <c r="AB486" s="82">
        <f t="shared" ca="1" si="207"/>
        <v>0</v>
      </c>
      <c r="AC486" s="82">
        <f t="shared" ca="1" si="207"/>
        <v>0</v>
      </c>
      <c r="AD486" s="82">
        <f t="shared" ca="1" si="207"/>
        <v>0</v>
      </c>
      <c r="AE486" s="82">
        <f t="shared" ca="1" si="207"/>
        <v>0</v>
      </c>
      <c r="AF486" s="82">
        <f t="shared" ca="1" si="207"/>
        <v>0</v>
      </c>
      <c r="AG486" s="82">
        <f t="shared" ca="1" si="207"/>
        <v>0</v>
      </c>
      <c r="AH486" s="82">
        <f t="shared" ca="1" si="207"/>
        <v>0</v>
      </c>
      <c r="AI486" s="82">
        <f t="shared" ca="1" si="207"/>
        <v>0</v>
      </c>
      <c r="AJ486" s="82">
        <f t="shared" ca="1" si="207"/>
        <v>0</v>
      </c>
      <c r="AK486" s="82">
        <f t="shared" ca="1" si="207"/>
        <v>0</v>
      </c>
      <c r="AL486" s="82">
        <f t="shared" ca="1" si="207"/>
        <v>0</v>
      </c>
      <c r="AM486" s="82">
        <f t="shared" ca="1" si="207"/>
        <v>0</v>
      </c>
      <c r="AN486" s="82">
        <f t="shared" ca="1" si="207"/>
        <v>0</v>
      </c>
      <c r="AO486" s="82">
        <f t="shared" ca="1" si="207"/>
        <v>0</v>
      </c>
      <c r="AP486" s="82">
        <f t="shared" ca="1" si="207"/>
        <v>0</v>
      </c>
      <c r="AQ486" s="82">
        <f t="shared" ca="1" si="207"/>
        <v>0</v>
      </c>
      <c r="AR486" s="82">
        <f t="shared" ca="1" si="207"/>
        <v>0</v>
      </c>
      <c r="AS486" s="90"/>
      <c r="AT486" s="30"/>
    </row>
    <row r="487" spans="1:46" outlineLevel="1" x14ac:dyDescent="0.2">
      <c r="A487" s="148" t="s">
        <v>68</v>
      </c>
      <c r="C487" s="266" t="str">
        <f>Параметры!$B$64</f>
        <v>тыс. руб.</v>
      </c>
      <c r="E487" s="82">
        <f t="shared" ref="E487:AR487" si="208">SUM(E$444,E$469)</f>
        <v>0</v>
      </c>
      <c r="F487" s="82">
        <f t="shared" ca="1" si="208"/>
        <v>0</v>
      </c>
      <c r="G487" s="82">
        <f t="shared" ca="1" si="208"/>
        <v>0</v>
      </c>
      <c r="H487" s="82">
        <f t="shared" ca="1" si="208"/>
        <v>0</v>
      </c>
      <c r="I487" s="82">
        <f t="shared" ca="1" si="208"/>
        <v>0</v>
      </c>
      <c r="J487" s="82">
        <f t="shared" ca="1" si="208"/>
        <v>0</v>
      </c>
      <c r="K487" s="82">
        <f t="shared" ca="1" si="208"/>
        <v>0</v>
      </c>
      <c r="L487" s="82">
        <f t="shared" ca="1" si="208"/>
        <v>0</v>
      </c>
      <c r="M487" s="82">
        <f t="shared" ca="1" si="208"/>
        <v>0</v>
      </c>
      <c r="N487" s="82">
        <f t="shared" ca="1" si="208"/>
        <v>0</v>
      </c>
      <c r="O487" s="82">
        <f t="shared" ca="1" si="208"/>
        <v>0</v>
      </c>
      <c r="P487" s="82">
        <f t="shared" ca="1" si="208"/>
        <v>0</v>
      </c>
      <c r="Q487" s="82">
        <f t="shared" ca="1" si="208"/>
        <v>0</v>
      </c>
      <c r="R487" s="82">
        <f t="shared" ca="1" si="208"/>
        <v>0</v>
      </c>
      <c r="S487" s="82">
        <f t="shared" ca="1" si="208"/>
        <v>0</v>
      </c>
      <c r="T487" s="82">
        <f t="shared" ca="1" si="208"/>
        <v>0</v>
      </c>
      <c r="U487" s="82">
        <f t="shared" ca="1" si="208"/>
        <v>0</v>
      </c>
      <c r="V487" s="82">
        <f t="shared" ca="1" si="208"/>
        <v>0</v>
      </c>
      <c r="W487" s="82">
        <f t="shared" ca="1" si="208"/>
        <v>0</v>
      </c>
      <c r="X487" s="82">
        <f t="shared" ca="1" si="208"/>
        <v>0</v>
      </c>
      <c r="Y487" s="82">
        <f t="shared" ca="1" si="208"/>
        <v>0</v>
      </c>
      <c r="Z487" s="82">
        <f t="shared" ca="1" si="208"/>
        <v>0</v>
      </c>
      <c r="AA487" s="82">
        <f t="shared" ca="1" si="208"/>
        <v>0</v>
      </c>
      <c r="AB487" s="82">
        <f t="shared" ca="1" si="208"/>
        <v>0</v>
      </c>
      <c r="AC487" s="82">
        <f t="shared" ca="1" si="208"/>
        <v>0</v>
      </c>
      <c r="AD487" s="82">
        <f t="shared" ca="1" si="208"/>
        <v>0</v>
      </c>
      <c r="AE487" s="82">
        <f t="shared" ca="1" si="208"/>
        <v>0</v>
      </c>
      <c r="AF487" s="82">
        <f t="shared" ca="1" si="208"/>
        <v>0</v>
      </c>
      <c r="AG487" s="82">
        <f t="shared" ca="1" si="208"/>
        <v>0</v>
      </c>
      <c r="AH487" s="82">
        <f t="shared" ca="1" si="208"/>
        <v>0</v>
      </c>
      <c r="AI487" s="82">
        <f t="shared" ca="1" si="208"/>
        <v>0</v>
      </c>
      <c r="AJ487" s="82">
        <f t="shared" ca="1" si="208"/>
        <v>0</v>
      </c>
      <c r="AK487" s="82">
        <f t="shared" ca="1" si="208"/>
        <v>0</v>
      </c>
      <c r="AL487" s="82">
        <f t="shared" ca="1" si="208"/>
        <v>0</v>
      </c>
      <c r="AM487" s="82">
        <f t="shared" ca="1" si="208"/>
        <v>0</v>
      </c>
      <c r="AN487" s="82">
        <f t="shared" ca="1" si="208"/>
        <v>0</v>
      </c>
      <c r="AO487" s="82">
        <f t="shared" ca="1" si="208"/>
        <v>0</v>
      </c>
      <c r="AP487" s="82">
        <f t="shared" ca="1" si="208"/>
        <v>0</v>
      </c>
      <c r="AQ487" s="82">
        <f t="shared" ca="1" si="208"/>
        <v>0</v>
      </c>
      <c r="AR487" s="82">
        <f t="shared" ca="1" si="208"/>
        <v>0</v>
      </c>
      <c r="AS487" s="90"/>
      <c r="AT487" s="30"/>
    </row>
    <row r="488" spans="1:46" outlineLevel="1" x14ac:dyDescent="0.2">
      <c r="A488" s="63" t="s">
        <v>50</v>
      </c>
      <c r="C488" s="266" t="str">
        <f>Параметры!$B$64</f>
        <v>тыс. руб.</v>
      </c>
      <c r="E488" s="82">
        <f t="shared" ref="E488:AR488" ca="1" si="209">SUM(E$445,E$470)</f>
        <v>0</v>
      </c>
      <c r="F488" s="82">
        <f t="shared" ca="1" si="209"/>
        <v>0</v>
      </c>
      <c r="G488" s="82">
        <f t="shared" ca="1" si="209"/>
        <v>12013.90625</v>
      </c>
      <c r="H488" s="82">
        <f t="shared" ca="1" si="209"/>
        <v>12013.90625</v>
      </c>
      <c r="I488" s="82">
        <f t="shared" ca="1" si="209"/>
        <v>12013.90625</v>
      </c>
      <c r="J488" s="82">
        <f t="shared" ca="1" si="209"/>
        <v>12013.90625</v>
      </c>
      <c r="K488" s="82">
        <f t="shared" ca="1" si="209"/>
        <v>12013.90625</v>
      </c>
      <c r="L488" s="82">
        <f t="shared" ca="1" si="209"/>
        <v>15119.215337705611</v>
      </c>
      <c r="M488" s="82">
        <f t="shared" ca="1" si="209"/>
        <v>20865.389756976489</v>
      </c>
      <c r="N488" s="82">
        <f t="shared" ca="1" si="209"/>
        <v>20865.389756976489</v>
      </c>
      <c r="O488" s="82">
        <f t="shared" ca="1" si="209"/>
        <v>20865.389756976489</v>
      </c>
      <c r="P488" s="82">
        <f t="shared" ca="1" si="209"/>
        <v>24764.881780099891</v>
      </c>
      <c r="Q488" s="82">
        <f t="shared" ca="1" si="209"/>
        <v>28343.286399335811</v>
      </c>
      <c r="R488" s="82">
        <f t="shared" ca="1" si="209"/>
        <v>28343.286399335811</v>
      </c>
      <c r="S488" s="82">
        <f t="shared" ca="1" si="209"/>
        <v>28343.286399335811</v>
      </c>
      <c r="T488" s="82">
        <f t="shared" ca="1" si="209"/>
        <v>28343.286399335811</v>
      </c>
      <c r="U488" s="82">
        <f t="shared" ca="1" si="209"/>
        <v>71359.649657769609</v>
      </c>
      <c r="V488" s="82">
        <f t="shared" ca="1" si="209"/>
        <v>71359.649657769609</v>
      </c>
      <c r="W488" s="82">
        <f t="shared" ca="1" si="209"/>
        <v>71359.649657769609</v>
      </c>
      <c r="X488" s="82">
        <f t="shared" ca="1" si="209"/>
        <v>71359.649657769609</v>
      </c>
      <c r="Y488" s="82">
        <f t="shared" ca="1" si="209"/>
        <v>71359.649657769609</v>
      </c>
      <c r="Z488" s="82">
        <f t="shared" ca="1" si="209"/>
        <v>71359.649657769609</v>
      </c>
      <c r="AA488" s="82">
        <f t="shared" ca="1" si="209"/>
        <v>71359.649657769609</v>
      </c>
      <c r="AB488" s="82">
        <f t="shared" ca="1" si="209"/>
        <v>71359.649657769609</v>
      </c>
      <c r="AC488" s="82">
        <f t="shared" ca="1" si="209"/>
        <v>71359.649657769609</v>
      </c>
      <c r="AD488" s="82">
        <f t="shared" ca="1" si="209"/>
        <v>71359.649657769609</v>
      </c>
      <c r="AE488" s="82">
        <f t="shared" ca="1" si="209"/>
        <v>71359.649657769609</v>
      </c>
      <c r="AF488" s="82">
        <f t="shared" ca="1" si="209"/>
        <v>71359.649657769609</v>
      </c>
      <c r="AG488" s="82">
        <f t="shared" ca="1" si="209"/>
        <v>71359.649657769609</v>
      </c>
      <c r="AH488" s="82">
        <f t="shared" ca="1" si="209"/>
        <v>71359.649657769609</v>
      </c>
      <c r="AI488" s="82">
        <f t="shared" ca="1" si="209"/>
        <v>71359.649657769609</v>
      </c>
      <c r="AJ488" s="82">
        <f t="shared" ca="1" si="209"/>
        <v>71359.649657769609</v>
      </c>
      <c r="AK488" s="82">
        <f t="shared" ca="1" si="209"/>
        <v>67781.245038533685</v>
      </c>
      <c r="AL488" s="82">
        <f t="shared" ca="1" si="209"/>
        <v>67781.245038533685</v>
      </c>
      <c r="AM488" s="82">
        <f t="shared" ca="1" si="209"/>
        <v>67781.245038533685</v>
      </c>
      <c r="AN488" s="82">
        <f t="shared" ca="1" si="209"/>
        <v>67781.245038533685</v>
      </c>
      <c r="AO488" s="82">
        <f t="shared" ca="1" si="209"/>
        <v>24764.881780099873</v>
      </c>
      <c r="AP488" s="82">
        <f t="shared" ca="1" si="209"/>
        <v>24764.881780099873</v>
      </c>
      <c r="AQ488" s="82">
        <f t="shared" ca="1" si="209"/>
        <v>24764.881780099873</v>
      </c>
      <c r="AR488" s="82">
        <f t="shared" ca="1" si="209"/>
        <v>24764.881780099873</v>
      </c>
      <c r="AS488" s="90"/>
      <c r="AT488" s="30">
        <f ca="1">SUM(E488:AS488)</f>
        <v>1787861.8450349255</v>
      </c>
    </row>
    <row r="489" spans="1:46" outlineLevel="1" x14ac:dyDescent="0.2">
      <c r="A489" s="63" t="s">
        <v>51</v>
      </c>
      <c r="C489" s="266" t="str">
        <f>Параметры!$B$64</f>
        <v>тыс. руб.</v>
      </c>
      <c r="E489" s="82">
        <f t="shared" ref="E489:AR489" ca="1" si="210">SUM(E$446,E$471)</f>
        <v>0</v>
      </c>
      <c r="F489" s="82">
        <f t="shared" ca="1" si="210"/>
        <v>0</v>
      </c>
      <c r="G489" s="82">
        <f t="shared" ca="1" si="210"/>
        <v>949098.59375</v>
      </c>
      <c r="H489" s="82">
        <f t="shared" ca="1" si="210"/>
        <v>937084.6875</v>
      </c>
      <c r="I489" s="82">
        <f t="shared" ca="1" si="210"/>
        <v>925070.78125</v>
      </c>
      <c r="J489" s="82">
        <f t="shared" ca="1" si="210"/>
        <v>913056.875</v>
      </c>
      <c r="K489" s="82">
        <f t="shared" ca="1" si="210"/>
        <v>901042.96875</v>
      </c>
      <c r="L489" s="82">
        <f t="shared" ca="1" si="210"/>
        <v>1134348.4804287432</v>
      </c>
      <c r="M489" s="82">
        <f t="shared" ca="1" si="210"/>
        <v>1573177.044213437</v>
      </c>
      <c r="N489" s="82">
        <f t="shared" ca="1" si="210"/>
        <v>1552311.6544564606</v>
      </c>
      <c r="O489" s="82">
        <f t="shared" ca="1" si="210"/>
        <v>1531446.2646994842</v>
      </c>
      <c r="P489" s="82">
        <f t="shared" ca="1" si="210"/>
        <v>1818640.7447692563</v>
      </c>
      <c r="Q489" s="82">
        <f t="shared" ca="1" si="210"/>
        <v>2076569.8279087942</v>
      </c>
      <c r="R489" s="82">
        <f t="shared" ca="1" si="210"/>
        <v>2048226.5415094583</v>
      </c>
      <c r="S489" s="82">
        <f t="shared" ca="1" si="210"/>
        <v>2019883.2551101225</v>
      </c>
      <c r="T489" s="82">
        <f t="shared" ca="1" si="210"/>
        <v>1991539.9687107867</v>
      </c>
      <c r="U489" s="82">
        <f t="shared" ca="1" si="210"/>
        <v>5361489.3797277212</v>
      </c>
      <c r="V489" s="82">
        <f t="shared" ca="1" si="210"/>
        <v>5290129.7300699512</v>
      </c>
      <c r="W489" s="82">
        <f t="shared" ca="1" si="210"/>
        <v>5218770.0804121811</v>
      </c>
      <c r="X489" s="82">
        <f t="shared" ca="1" si="210"/>
        <v>5147410.430754411</v>
      </c>
      <c r="Y489" s="82">
        <f t="shared" ca="1" si="210"/>
        <v>5076050.7810966419</v>
      </c>
      <c r="Z489" s="82">
        <f t="shared" ca="1" si="210"/>
        <v>5004691.1314388718</v>
      </c>
      <c r="AA489" s="82">
        <f t="shared" ca="1" si="210"/>
        <v>4933331.4817811018</v>
      </c>
      <c r="AB489" s="82">
        <f t="shared" ca="1" si="210"/>
        <v>4861971.8321233317</v>
      </c>
      <c r="AC489" s="82">
        <f t="shared" ca="1" si="210"/>
        <v>4790612.1824655626</v>
      </c>
      <c r="AD489" s="82">
        <f t="shared" ca="1" si="210"/>
        <v>4719252.5328077925</v>
      </c>
      <c r="AE489" s="82">
        <f t="shared" ca="1" si="210"/>
        <v>4647892.8831500225</v>
      </c>
      <c r="AF489" s="82">
        <f t="shared" ca="1" si="210"/>
        <v>4576533.2334922524</v>
      </c>
      <c r="AG489" s="82">
        <f t="shared" ca="1" si="210"/>
        <v>4505173.5838344824</v>
      </c>
      <c r="AH489" s="82">
        <f t="shared" ca="1" si="210"/>
        <v>4433813.9341767132</v>
      </c>
      <c r="AI489" s="82">
        <f t="shared" ca="1" si="210"/>
        <v>4362454.2845189432</v>
      </c>
      <c r="AJ489" s="82">
        <f t="shared" ca="1" si="210"/>
        <v>4291094.6348611731</v>
      </c>
      <c r="AK489" s="82">
        <f t="shared" ca="1" si="210"/>
        <v>4006999.8308545244</v>
      </c>
      <c r="AL489" s="82">
        <f t="shared" ca="1" si="210"/>
        <v>3939218.5858159903</v>
      </c>
      <c r="AM489" s="82">
        <f t="shared" ca="1" si="210"/>
        <v>3871437.3407774568</v>
      </c>
      <c r="AN489" s="82">
        <f t="shared" ca="1" si="210"/>
        <v>3803656.0957389227</v>
      </c>
      <c r="AO489" s="82">
        <f t="shared" ca="1" si="210"/>
        <v>1485651.2597183303</v>
      </c>
      <c r="AP489" s="82">
        <f t="shared" ca="1" si="210"/>
        <v>1460886.3779382305</v>
      </c>
      <c r="AQ489" s="82">
        <f t="shared" ca="1" si="210"/>
        <v>1436121.4961581307</v>
      </c>
      <c r="AR489" s="82">
        <f t="shared" ca="1" si="210"/>
        <v>1411356.6143780309</v>
      </c>
      <c r="AS489" s="90"/>
      <c r="AT489" s="30"/>
    </row>
    <row r="490" spans="1:46" outlineLevel="1" x14ac:dyDescent="0.2">
      <c r="A490" s="63" t="s">
        <v>53</v>
      </c>
      <c r="C490" s="266" t="str">
        <f>Параметры!$B$64</f>
        <v>тыс. руб.</v>
      </c>
      <c r="E490" s="82">
        <f t="shared" ref="E490:AR490" si="211">SUM(E$447,E$472)</f>
        <v>50192.291666666664</v>
      </c>
      <c r="F490" s="82">
        <f t="shared" ca="1" si="211"/>
        <v>54465.625</v>
      </c>
      <c r="G490" s="82">
        <f t="shared" ca="1" si="211"/>
        <v>10683.333333333336</v>
      </c>
      <c r="H490" s="82">
        <f t="shared" ca="1" si="211"/>
        <v>11965.333333333336</v>
      </c>
      <c r="I490" s="82">
        <f t="shared" ca="1" si="211"/>
        <v>15128</v>
      </c>
      <c r="J490" s="82">
        <f t="shared" ca="1" si="211"/>
        <v>31865.846348785733</v>
      </c>
      <c r="K490" s="82">
        <f t="shared" ca="1" si="211"/>
        <v>41836.28114324261</v>
      </c>
      <c r="L490" s="82">
        <f t="shared" ca="1" si="211"/>
        <v>21598.275286262156</v>
      </c>
      <c r="M490" s="82">
        <f t="shared" ca="1" si="211"/>
        <v>44775.402045223986</v>
      </c>
      <c r="N490" s="82">
        <f t="shared" ca="1" si="211"/>
        <v>90125.502168473846</v>
      </c>
      <c r="O490" s="82">
        <f t="shared" ca="1" si="211"/>
        <v>130843.56415429193</v>
      </c>
      <c r="P490" s="82">
        <f t="shared" ca="1" si="211"/>
        <v>73824.630131142723</v>
      </c>
      <c r="Q490" s="82">
        <f t="shared" ca="1" si="211"/>
        <v>68571.876559928714</v>
      </c>
      <c r="R490" s="82">
        <f t="shared" ca="1" si="211"/>
        <v>151002.76331526547</v>
      </c>
      <c r="S490" s="82">
        <f t="shared" ca="1" si="211"/>
        <v>165176.97503410126</v>
      </c>
      <c r="T490" s="82">
        <f t="shared" ca="1" si="211"/>
        <v>83587.445004262307</v>
      </c>
      <c r="U490" s="82">
        <f t="shared" ca="1" si="211"/>
        <v>0</v>
      </c>
      <c r="V490" s="82">
        <f t="shared" ca="1" si="211"/>
        <v>0</v>
      </c>
      <c r="W490" s="82">
        <f t="shared" ca="1" si="211"/>
        <v>0</v>
      </c>
      <c r="X490" s="82">
        <f t="shared" ca="1" si="211"/>
        <v>0</v>
      </c>
      <c r="Y490" s="82">
        <f t="shared" ca="1" si="211"/>
        <v>0</v>
      </c>
      <c r="Z490" s="82">
        <f t="shared" ca="1" si="211"/>
        <v>0</v>
      </c>
      <c r="AA490" s="82">
        <f t="shared" ca="1" si="211"/>
        <v>0</v>
      </c>
      <c r="AB490" s="82">
        <f t="shared" ca="1" si="211"/>
        <v>0</v>
      </c>
      <c r="AC490" s="82">
        <f t="shared" ca="1" si="211"/>
        <v>0</v>
      </c>
      <c r="AD490" s="82">
        <f t="shared" ca="1" si="211"/>
        <v>0</v>
      </c>
      <c r="AE490" s="82">
        <f t="shared" ca="1" si="211"/>
        <v>0</v>
      </c>
      <c r="AF490" s="82">
        <f t="shared" ca="1" si="211"/>
        <v>0</v>
      </c>
      <c r="AG490" s="82">
        <f t="shared" ca="1" si="211"/>
        <v>0</v>
      </c>
      <c r="AH490" s="82">
        <f t="shared" ca="1" si="211"/>
        <v>0</v>
      </c>
      <c r="AI490" s="82">
        <f t="shared" ca="1" si="211"/>
        <v>0</v>
      </c>
      <c r="AJ490" s="82">
        <f t="shared" ca="1" si="211"/>
        <v>0</v>
      </c>
      <c r="AK490" s="82">
        <f t="shared" ca="1" si="211"/>
        <v>0</v>
      </c>
      <c r="AL490" s="82">
        <f t="shared" ca="1" si="211"/>
        <v>0</v>
      </c>
      <c r="AM490" s="82">
        <f t="shared" ca="1" si="211"/>
        <v>0</v>
      </c>
      <c r="AN490" s="82">
        <f t="shared" ca="1" si="211"/>
        <v>0</v>
      </c>
      <c r="AO490" s="82">
        <f t="shared" ca="1" si="211"/>
        <v>0</v>
      </c>
      <c r="AP490" s="82">
        <f t="shared" ca="1" si="211"/>
        <v>0</v>
      </c>
      <c r="AQ490" s="82">
        <f t="shared" ca="1" si="211"/>
        <v>0</v>
      </c>
      <c r="AR490" s="82">
        <f t="shared" ca="1" si="211"/>
        <v>0</v>
      </c>
      <c r="AS490" s="90"/>
      <c r="AT490" s="30">
        <f ca="1">SUM(E490:AS490)</f>
        <v>1045643.1445243141</v>
      </c>
    </row>
    <row r="491" spans="1:46" outlineLevel="1" x14ac:dyDescent="0.2">
      <c r="A491" s="63" t="s">
        <v>410</v>
      </c>
      <c r="C491" s="266" t="str">
        <f>Параметры!$B$64</f>
        <v>тыс. руб.</v>
      </c>
      <c r="E491" s="82">
        <f t="shared" ref="E491:AR491" ca="1" si="212">SUM(E$448,E$473)</f>
        <v>0</v>
      </c>
      <c r="F491" s="82">
        <f t="shared" ca="1" si="212"/>
        <v>0</v>
      </c>
      <c r="G491" s="82">
        <f t="shared" ca="1" si="212"/>
        <v>174280.23810145655</v>
      </c>
      <c r="H491" s="82">
        <f t="shared" ca="1" si="212"/>
        <v>0</v>
      </c>
      <c r="I491" s="82">
        <f t="shared" ca="1" si="212"/>
        <v>0</v>
      </c>
      <c r="J491" s="82">
        <f t="shared" ca="1" si="212"/>
        <v>0</v>
      </c>
      <c r="K491" s="82">
        <f t="shared" ca="1" si="212"/>
        <v>0</v>
      </c>
      <c r="L491" s="82">
        <f t="shared" ca="1" si="212"/>
        <v>49684.945403289777</v>
      </c>
      <c r="M491" s="82">
        <f t="shared" ca="1" si="212"/>
        <v>83357.121749058715</v>
      </c>
      <c r="N491" s="82">
        <f t="shared" ca="1" si="212"/>
        <v>0</v>
      </c>
      <c r="O491" s="82">
        <f t="shared" ca="1" si="212"/>
        <v>0</v>
      </c>
      <c r="P491" s="82">
        <f t="shared" ca="1" si="212"/>
        <v>62391.872369974408</v>
      </c>
      <c r="Q491" s="82">
        <f t="shared" ca="1" si="212"/>
        <v>51910.277647104864</v>
      </c>
      <c r="R491" s="82">
        <f t="shared" ca="1" si="212"/>
        <v>0</v>
      </c>
      <c r="S491" s="82">
        <f t="shared" ca="1" si="212"/>
        <v>0</v>
      </c>
      <c r="T491" s="82">
        <f t="shared" ca="1" si="212"/>
        <v>0</v>
      </c>
      <c r="U491" s="82">
        <f t="shared" ca="1" si="212"/>
        <v>624018.68925343</v>
      </c>
      <c r="V491" s="82">
        <f t="shared" ca="1" si="212"/>
        <v>0</v>
      </c>
      <c r="W491" s="82">
        <f t="shared" ca="1" si="212"/>
        <v>0</v>
      </c>
      <c r="X491" s="82">
        <f t="shared" ca="1" si="212"/>
        <v>0</v>
      </c>
      <c r="Y491" s="82">
        <f t="shared" ca="1" si="212"/>
        <v>0</v>
      </c>
      <c r="Z491" s="82">
        <f t="shared" ca="1" si="212"/>
        <v>0</v>
      </c>
      <c r="AA491" s="82">
        <f t="shared" ca="1" si="212"/>
        <v>0</v>
      </c>
      <c r="AB491" s="82">
        <f t="shared" ca="1" si="212"/>
        <v>0</v>
      </c>
      <c r="AC491" s="82">
        <f t="shared" ca="1" si="212"/>
        <v>0</v>
      </c>
      <c r="AD491" s="82">
        <f t="shared" ca="1" si="212"/>
        <v>0</v>
      </c>
      <c r="AE491" s="82">
        <f t="shared" ca="1" si="212"/>
        <v>0</v>
      </c>
      <c r="AF491" s="82">
        <f t="shared" ca="1" si="212"/>
        <v>0</v>
      </c>
      <c r="AG491" s="82">
        <f t="shared" ca="1" si="212"/>
        <v>0</v>
      </c>
      <c r="AH491" s="82">
        <f t="shared" ca="1" si="212"/>
        <v>0</v>
      </c>
      <c r="AI491" s="82">
        <f t="shared" ca="1" si="212"/>
        <v>0</v>
      </c>
      <c r="AJ491" s="82">
        <f t="shared" ca="1" si="212"/>
        <v>0</v>
      </c>
      <c r="AK491" s="82">
        <f t="shared" ca="1" si="212"/>
        <v>0</v>
      </c>
      <c r="AL491" s="82">
        <f t="shared" ca="1" si="212"/>
        <v>0</v>
      </c>
      <c r="AM491" s="82">
        <f t="shared" ca="1" si="212"/>
        <v>0</v>
      </c>
      <c r="AN491" s="82">
        <f t="shared" ca="1" si="212"/>
        <v>0</v>
      </c>
      <c r="AO491" s="82">
        <f t="shared" ca="1" si="212"/>
        <v>0</v>
      </c>
      <c r="AP491" s="82">
        <f t="shared" ca="1" si="212"/>
        <v>0</v>
      </c>
      <c r="AQ491" s="82">
        <f t="shared" ca="1" si="212"/>
        <v>0</v>
      </c>
      <c r="AR491" s="82">
        <f t="shared" ca="1" si="212"/>
        <v>0</v>
      </c>
      <c r="AS491" s="90"/>
      <c r="AT491" s="30">
        <f ca="1">SUM(E491:AS491)</f>
        <v>1045643.1445243142</v>
      </c>
    </row>
    <row r="492" spans="1:46" outlineLevel="1" x14ac:dyDescent="0.2">
      <c r="A492" s="148" t="s">
        <v>366</v>
      </c>
      <c r="C492" s="266" t="str">
        <f>Параметры!$B$64</f>
        <v>тыс. руб.</v>
      </c>
      <c r="E492" s="82">
        <f t="shared" ref="E492:AR492" ca="1" si="213">SUM(E$449,E$475)</f>
        <v>0</v>
      </c>
      <c r="F492" s="82">
        <f t="shared" ca="1" si="213"/>
        <v>0</v>
      </c>
      <c r="G492" s="82">
        <f t="shared" ca="1" si="213"/>
        <v>949098.59375</v>
      </c>
      <c r="H492" s="82">
        <f t="shared" ca="1" si="213"/>
        <v>937084.6875</v>
      </c>
      <c r="I492" s="82">
        <f t="shared" ca="1" si="213"/>
        <v>925070.78125</v>
      </c>
      <c r="J492" s="82">
        <f t="shared" ca="1" si="213"/>
        <v>913056.875</v>
      </c>
      <c r="K492" s="82">
        <f t="shared" ca="1" si="213"/>
        <v>901042.96875</v>
      </c>
      <c r="L492" s="82">
        <f t="shared" ca="1" si="213"/>
        <v>1134348.4804287432</v>
      </c>
      <c r="M492" s="82">
        <f t="shared" ca="1" si="213"/>
        <v>1573177.044213437</v>
      </c>
      <c r="N492" s="82">
        <f t="shared" ca="1" si="213"/>
        <v>1552311.6544564606</v>
      </c>
      <c r="O492" s="82">
        <f t="shared" ca="1" si="213"/>
        <v>1531446.2646994842</v>
      </c>
      <c r="P492" s="82">
        <f t="shared" ca="1" si="213"/>
        <v>1818640.7447692563</v>
      </c>
      <c r="Q492" s="82">
        <f t="shared" ca="1" si="213"/>
        <v>2076569.8279087942</v>
      </c>
      <c r="R492" s="82">
        <f t="shared" ca="1" si="213"/>
        <v>2048226.5415094583</v>
      </c>
      <c r="S492" s="82">
        <f t="shared" ca="1" si="213"/>
        <v>2019883.2551101225</v>
      </c>
      <c r="T492" s="82">
        <f t="shared" ca="1" si="213"/>
        <v>1991539.9687107867</v>
      </c>
      <c r="U492" s="82">
        <f t="shared" ca="1" si="213"/>
        <v>5361489.3797277212</v>
      </c>
      <c r="V492" s="82">
        <f t="shared" ca="1" si="213"/>
        <v>5290129.7300699512</v>
      </c>
      <c r="W492" s="82">
        <f t="shared" ca="1" si="213"/>
        <v>5218770.0804121811</v>
      </c>
      <c r="X492" s="82">
        <f t="shared" ca="1" si="213"/>
        <v>5147410.430754411</v>
      </c>
      <c r="Y492" s="82">
        <f t="shared" ca="1" si="213"/>
        <v>5076050.7810966419</v>
      </c>
      <c r="Z492" s="82">
        <f t="shared" ca="1" si="213"/>
        <v>5004691.1314388718</v>
      </c>
      <c r="AA492" s="82">
        <f t="shared" ca="1" si="213"/>
        <v>4933331.4817811018</v>
      </c>
      <c r="AB492" s="82">
        <f t="shared" ca="1" si="213"/>
        <v>4861971.8321233317</v>
      </c>
      <c r="AC492" s="82">
        <f t="shared" ca="1" si="213"/>
        <v>4790612.1824655626</v>
      </c>
      <c r="AD492" s="82">
        <f t="shared" ca="1" si="213"/>
        <v>4719252.5328077925</v>
      </c>
      <c r="AE492" s="82">
        <f t="shared" ca="1" si="213"/>
        <v>4647892.8831500225</v>
      </c>
      <c r="AF492" s="82">
        <f t="shared" ca="1" si="213"/>
        <v>4576533.2334922524</v>
      </c>
      <c r="AG492" s="82">
        <f t="shared" ca="1" si="213"/>
        <v>4505173.5838344824</v>
      </c>
      <c r="AH492" s="82">
        <f t="shared" ca="1" si="213"/>
        <v>4433813.9341767132</v>
      </c>
      <c r="AI492" s="82">
        <f t="shared" ca="1" si="213"/>
        <v>4362454.2845189432</v>
      </c>
      <c r="AJ492" s="82">
        <f t="shared" ca="1" si="213"/>
        <v>4291094.6348611731</v>
      </c>
      <c r="AK492" s="82">
        <f t="shared" ca="1" si="213"/>
        <v>4006999.8308545244</v>
      </c>
      <c r="AL492" s="82">
        <f t="shared" ca="1" si="213"/>
        <v>3939218.5858159903</v>
      </c>
      <c r="AM492" s="82">
        <f t="shared" ca="1" si="213"/>
        <v>3871437.3407774568</v>
      </c>
      <c r="AN492" s="82">
        <f t="shared" ca="1" si="213"/>
        <v>3803656.0957389227</v>
      </c>
      <c r="AO492" s="82">
        <f t="shared" ca="1" si="213"/>
        <v>1485651.2597183303</v>
      </c>
      <c r="AP492" s="82">
        <f t="shared" ca="1" si="213"/>
        <v>1460886.3779382305</v>
      </c>
      <c r="AQ492" s="82">
        <f t="shared" ca="1" si="213"/>
        <v>1436121.4961581307</v>
      </c>
      <c r="AR492" s="82">
        <f t="shared" ca="1" si="213"/>
        <v>1411356.6143780309</v>
      </c>
      <c r="AS492" s="90"/>
      <c r="AT492" s="30"/>
    </row>
    <row r="493" spans="1:46" outlineLevel="1" x14ac:dyDescent="0.2">
      <c r="A493" s="63" t="s">
        <v>556</v>
      </c>
      <c r="C493" s="266" t="str">
        <f>Параметры!$B$64</f>
        <v>тыс. руб.</v>
      </c>
      <c r="E493" s="82">
        <f>SUM(E$433*CHOOSE($C$391,1,Параметры!E$109,Параметры!E$118),0*CHOOSE($C$452,1,Параметры!E$109,Параметры!E$118))</f>
        <v>0</v>
      </c>
      <c r="F493" s="82">
        <f ca="1">SUM(F$433*CHOOSE($C$391,1,Параметры!F$109,Параметры!F$118),0*CHOOSE($C$452,1,Параметры!F$109,Параметры!F$118))</f>
        <v>0</v>
      </c>
      <c r="G493" s="82">
        <f ca="1">SUM(G$433*CHOOSE($C$391,1,Параметры!G$109,Параметры!G$118),0*CHOOSE($C$452,1,Параметры!G$109,Параметры!G$118))</f>
        <v>0</v>
      </c>
      <c r="H493" s="82">
        <f ca="1">SUM(H$433*CHOOSE($C$391,1,Параметры!H$109,Параметры!H$118),0*CHOOSE($C$452,1,Параметры!H$109,Параметры!H$118))</f>
        <v>0</v>
      </c>
      <c r="I493" s="82">
        <f ca="1">SUM(I$433*CHOOSE($C$391,1,Параметры!I$109,Параметры!I$118),0*CHOOSE($C$452,1,Параметры!I$109,Параметры!I$118))</f>
        <v>0</v>
      </c>
      <c r="J493" s="82">
        <f ca="1">SUM(J$433*CHOOSE($C$391,1,Параметры!J$109,Параметры!J$118),0*CHOOSE($C$452,1,Параметры!J$109,Параметры!J$118))</f>
        <v>0</v>
      </c>
      <c r="K493" s="82">
        <f ca="1">SUM(K$433*CHOOSE($C$391,1,Параметры!K$109,Параметры!K$118),0*CHOOSE($C$452,1,Параметры!K$109,Параметры!K$118))</f>
        <v>0</v>
      </c>
      <c r="L493" s="82">
        <f ca="1">SUM(L$433*CHOOSE($C$391,1,Параметры!L$109,Параметры!L$118),0*CHOOSE($C$452,1,Параметры!L$109,Параметры!L$118))</f>
        <v>0</v>
      </c>
      <c r="M493" s="82">
        <f ca="1">SUM(M$433*CHOOSE($C$391,1,Параметры!M$109,Параметры!M$118),0*CHOOSE($C$452,1,Параметры!M$109,Параметры!M$118))</f>
        <v>0</v>
      </c>
      <c r="N493" s="82">
        <f ca="1">SUM(N$433*CHOOSE($C$391,1,Параметры!N$109,Параметры!N$118),0*CHOOSE($C$452,1,Параметры!N$109,Параметры!N$118))</f>
        <v>0</v>
      </c>
      <c r="O493" s="82">
        <f ca="1">SUM(O$433*CHOOSE($C$391,1,Параметры!O$109,Параметры!O$118),0*CHOOSE($C$452,1,Параметры!O$109,Параметры!O$118))</f>
        <v>0</v>
      </c>
      <c r="P493" s="82">
        <f ca="1">SUM(P$433*CHOOSE($C$391,1,Параметры!P$109,Параметры!P$118),0*CHOOSE($C$452,1,Параметры!P$109,Параметры!P$118))</f>
        <v>0</v>
      </c>
      <c r="Q493" s="82">
        <f ca="1">SUM(Q$433*CHOOSE($C$391,1,Параметры!Q$109,Параметры!Q$118),0*CHOOSE($C$452,1,Параметры!Q$109,Параметры!Q$118))</f>
        <v>0</v>
      </c>
      <c r="R493" s="82">
        <f ca="1">SUM(R$433*CHOOSE($C$391,1,Параметры!R$109,Параметры!R$118),0*CHOOSE($C$452,1,Параметры!R$109,Параметры!R$118))</f>
        <v>0</v>
      </c>
      <c r="S493" s="82">
        <f ca="1">SUM(S$433*CHOOSE($C$391,1,Параметры!S$109,Параметры!S$118),0*CHOOSE($C$452,1,Параметры!S$109,Параметры!S$118))</f>
        <v>0</v>
      </c>
      <c r="T493" s="82">
        <f ca="1">SUM(T$433*CHOOSE($C$391,1,Параметры!T$109,Параметры!T$118),0*CHOOSE($C$452,1,Параметры!T$109,Параметры!T$118))</f>
        <v>0</v>
      </c>
      <c r="U493" s="82">
        <f ca="1">SUM(U$433*CHOOSE($C$391,1,Параметры!U$109,Параметры!U$118),0*CHOOSE($C$452,1,Параметры!U$109,Параметры!U$118))</f>
        <v>0</v>
      </c>
      <c r="V493" s="82">
        <f ca="1">SUM(V$433*CHOOSE($C$391,1,Параметры!V$109,Параметры!V$118),0*CHOOSE($C$452,1,Параметры!V$109,Параметры!V$118))</f>
        <v>0</v>
      </c>
      <c r="W493" s="82">
        <f ca="1">SUM(W$433*CHOOSE($C$391,1,Параметры!W$109,Параметры!W$118),0*CHOOSE($C$452,1,Параметры!W$109,Параметры!W$118))</f>
        <v>0</v>
      </c>
      <c r="X493" s="82">
        <f ca="1">SUM(X$433*CHOOSE($C$391,1,Параметры!X$109,Параметры!X$118),0*CHOOSE($C$452,1,Параметры!X$109,Параметры!X$118))</f>
        <v>0</v>
      </c>
      <c r="Y493" s="82">
        <f ca="1">SUM(Y$433*CHOOSE($C$391,1,Параметры!Y$109,Параметры!Y$118),0*CHOOSE($C$452,1,Параметры!Y$109,Параметры!Y$118))</f>
        <v>0</v>
      </c>
      <c r="Z493" s="82">
        <f ca="1">SUM(Z$433*CHOOSE($C$391,1,Параметры!Z$109,Параметры!Z$118),0*CHOOSE($C$452,1,Параметры!Z$109,Параметры!Z$118))</f>
        <v>0</v>
      </c>
      <c r="AA493" s="82">
        <f ca="1">SUM(AA$433*CHOOSE($C$391,1,Параметры!AA$109,Параметры!AA$118),0*CHOOSE($C$452,1,Параметры!AA$109,Параметры!AA$118))</f>
        <v>0</v>
      </c>
      <c r="AB493" s="82">
        <f ca="1">SUM(AB$433*CHOOSE($C$391,1,Параметры!AB$109,Параметры!AB$118),0*CHOOSE($C$452,1,Параметры!AB$109,Параметры!AB$118))</f>
        <v>0</v>
      </c>
      <c r="AC493" s="82">
        <f ca="1">SUM(AC$433*CHOOSE($C$391,1,Параметры!AC$109,Параметры!AC$118),0*CHOOSE($C$452,1,Параметры!AC$109,Параметры!AC$118))</f>
        <v>0</v>
      </c>
      <c r="AD493" s="82">
        <f ca="1">SUM(AD$433*CHOOSE($C$391,1,Параметры!AD$109,Параметры!AD$118),0*CHOOSE($C$452,1,Параметры!AD$109,Параметры!AD$118))</f>
        <v>0</v>
      </c>
      <c r="AE493" s="82">
        <f ca="1">SUM(AE$433*CHOOSE($C$391,1,Параметры!AE$109,Параметры!AE$118),0*CHOOSE($C$452,1,Параметры!AE$109,Параметры!AE$118))</f>
        <v>0</v>
      </c>
      <c r="AF493" s="82">
        <f ca="1">SUM(AF$433*CHOOSE($C$391,1,Параметры!AF$109,Параметры!AF$118),0*CHOOSE($C$452,1,Параметры!AF$109,Параметры!AF$118))</f>
        <v>0</v>
      </c>
      <c r="AG493" s="82">
        <f ca="1">SUM(AG$433*CHOOSE($C$391,1,Параметры!AG$109,Параметры!AG$118),0*CHOOSE($C$452,1,Параметры!AG$109,Параметры!AG$118))</f>
        <v>0</v>
      </c>
      <c r="AH493" s="82">
        <f ca="1">SUM(AH$433*CHOOSE($C$391,1,Параметры!AH$109,Параметры!AH$118),0*CHOOSE($C$452,1,Параметры!AH$109,Параметры!AH$118))</f>
        <v>0</v>
      </c>
      <c r="AI493" s="82">
        <f ca="1">SUM(AI$433*CHOOSE($C$391,1,Параметры!AI$109,Параметры!AI$118),0*CHOOSE($C$452,1,Параметры!AI$109,Параметры!AI$118))</f>
        <v>0</v>
      </c>
      <c r="AJ493" s="82">
        <f ca="1">SUM(AJ$433*CHOOSE($C$391,1,Параметры!AJ$109,Параметры!AJ$118),0*CHOOSE($C$452,1,Параметры!AJ$109,Параметры!AJ$118))</f>
        <v>0</v>
      </c>
      <c r="AK493" s="82">
        <f ca="1">SUM(AK$433*CHOOSE($C$391,1,Параметры!AK$109,Параметры!AK$118),0*CHOOSE($C$452,1,Параметры!AK$109,Параметры!AK$118))</f>
        <v>409429.66220429027</v>
      </c>
      <c r="AL493" s="82">
        <f ca="1">SUM(AL$433*CHOOSE($C$391,1,Параметры!AL$109,Параметры!AL$118),0*CHOOSE($C$452,1,Параметры!AL$109,Параметры!AL$118))</f>
        <v>0</v>
      </c>
      <c r="AM493" s="82">
        <f ca="1">SUM(AM$433*CHOOSE($C$391,1,Параметры!AM$109,Параметры!AM$118),0*CHOOSE($C$452,1,Параметры!AM$109,Параметры!AM$118))</f>
        <v>0</v>
      </c>
      <c r="AN493" s="82">
        <f ca="1">SUM(AN$433*CHOOSE($C$391,1,Параметры!AN$109,Параметры!AN$118),0*CHOOSE($C$452,1,Параметры!AN$109,Параметры!AN$118))</f>
        <v>0</v>
      </c>
      <c r="AO493" s="82">
        <f ca="1">SUM(AO$433*CHOOSE($C$391,1,Параметры!AO$109,Параметры!AO$118),0*CHOOSE($C$452,1,Параметры!AO$109,Параметры!AO$118))</f>
        <v>6376700.9574672151</v>
      </c>
      <c r="AP493" s="82">
        <f ca="1">SUM(AP$433*CHOOSE($C$391,1,Параметры!AP$109,Параметры!AP$118),0*CHOOSE($C$452,1,Параметры!AP$109,Параметры!AP$118))</f>
        <v>0</v>
      </c>
      <c r="AQ493" s="82">
        <f ca="1">SUM(AQ$433*CHOOSE($C$391,1,Параметры!AQ$109,Параметры!AQ$118),0*CHOOSE($C$452,1,Параметры!AQ$109,Параметры!AQ$118))</f>
        <v>0</v>
      </c>
      <c r="AR493" s="82">
        <f ca="1">SUM(AR$433*CHOOSE($C$391,1,Параметры!AR$109,Параметры!AR$118),0*CHOOSE($C$452,1,Параметры!AR$109,Параметры!AR$118))</f>
        <v>0</v>
      </c>
      <c r="AS493" s="90"/>
      <c r="AT493" s="30">
        <f t="shared" ref="AT493:AT496" ca="1" si="214">SUM(E493:AS493)</f>
        <v>6786130.6196715049</v>
      </c>
    </row>
    <row r="494" spans="1:46" outlineLevel="1" x14ac:dyDescent="0.2">
      <c r="A494" s="63" t="s">
        <v>54</v>
      </c>
      <c r="C494" s="266" t="str">
        <f>Параметры!$B$64</f>
        <v>тыс. руб.</v>
      </c>
      <c r="E494" s="82">
        <f>SUM(E$435*CHOOSE($C$391,1,Параметры!E$109,Параметры!E$118),0*CHOOSE($C$452,1,Параметры!E$109,Параметры!E$118))</f>
        <v>0</v>
      </c>
      <c r="F494" s="82">
        <f ca="1">SUM(F$435*CHOOSE($C$391,1,Параметры!F$109,Параметры!F$118),0*CHOOSE($C$452,1,Параметры!F$109,Параметры!F$118))</f>
        <v>0</v>
      </c>
      <c r="G494" s="82">
        <f ca="1">SUM(G$435*CHOOSE($C$391,1,Параметры!G$109,Параметры!G$118),0*CHOOSE($C$452,1,Параметры!G$109,Параметры!G$118))</f>
        <v>0</v>
      </c>
      <c r="H494" s="82">
        <f ca="1">SUM(H$435*CHOOSE($C$391,1,Параметры!H$109,Параметры!H$118),0*CHOOSE($C$452,1,Параметры!H$109,Параметры!H$118))</f>
        <v>0</v>
      </c>
      <c r="I494" s="82">
        <f ca="1">SUM(I$435*CHOOSE($C$391,1,Параметры!I$109,Параметры!I$118),0*CHOOSE($C$452,1,Параметры!I$109,Параметры!I$118))</f>
        <v>0</v>
      </c>
      <c r="J494" s="82">
        <f ca="1">SUM(J$435*CHOOSE($C$391,1,Параметры!J$109,Параметры!J$118),0*CHOOSE($C$452,1,Параметры!J$109,Параметры!J$118))</f>
        <v>0</v>
      </c>
      <c r="K494" s="82">
        <f ca="1">SUM(K$435*CHOOSE($C$391,1,Параметры!K$109,Параметры!K$118),0*CHOOSE($C$452,1,Параметры!K$109,Параметры!K$118))</f>
        <v>0</v>
      </c>
      <c r="L494" s="82">
        <f ca="1">SUM(L$435*CHOOSE($C$391,1,Параметры!L$109,Параметры!L$118),0*CHOOSE($C$452,1,Параметры!L$109,Параметры!L$118))</f>
        <v>0</v>
      </c>
      <c r="M494" s="82">
        <f ca="1">SUM(M$435*CHOOSE($C$391,1,Параметры!M$109,Параметры!M$118),0*CHOOSE($C$452,1,Параметры!M$109,Параметры!M$118))</f>
        <v>0</v>
      </c>
      <c r="N494" s="82">
        <f ca="1">SUM(N$435*CHOOSE($C$391,1,Параметры!N$109,Параметры!N$118),0*CHOOSE($C$452,1,Параметры!N$109,Параметры!N$118))</f>
        <v>0</v>
      </c>
      <c r="O494" s="82">
        <f ca="1">SUM(O$435*CHOOSE($C$391,1,Параметры!O$109,Параметры!O$118),0*CHOOSE($C$452,1,Параметры!O$109,Параметры!O$118))</f>
        <v>0</v>
      </c>
      <c r="P494" s="82">
        <f ca="1">SUM(P$435*CHOOSE($C$391,1,Параметры!P$109,Параметры!P$118),0*CHOOSE($C$452,1,Параметры!P$109,Параметры!P$118))</f>
        <v>0</v>
      </c>
      <c r="Q494" s="82">
        <f ca="1">SUM(Q$435*CHOOSE($C$391,1,Параметры!Q$109,Параметры!Q$118),0*CHOOSE($C$452,1,Параметры!Q$109,Параметры!Q$118))</f>
        <v>0</v>
      </c>
      <c r="R494" s="82">
        <f ca="1">SUM(R$435*CHOOSE($C$391,1,Параметры!R$109,Параметры!R$118),0*CHOOSE($C$452,1,Параметры!R$109,Параметры!R$118))</f>
        <v>0</v>
      </c>
      <c r="S494" s="82">
        <f ca="1">SUM(S$435*CHOOSE($C$391,1,Параметры!S$109,Параметры!S$118),0*CHOOSE($C$452,1,Параметры!S$109,Параметры!S$118))</f>
        <v>0</v>
      </c>
      <c r="T494" s="82">
        <f ca="1">SUM(T$435*CHOOSE($C$391,1,Параметры!T$109,Параметры!T$118),0*CHOOSE($C$452,1,Параметры!T$109,Параметры!T$118))</f>
        <v>0</v>
      </c>
      <c r="U494" s="82">
        <f ca="1">SUM(U$435*CHOOSE($C$391,1,Параметры!U$109,Параметры!U$118),0*CHOOSE($C$452,1,Параметры!U$109,Параметры!U$118))</f>
        <v>0</v>
      </c>
      <c r="V494" s="82">
        <f ca="1">SUM(V$435*CHOOSE($C$391,1,Параметры!V$109,Параметры!V$118),0*CHOOSE($C$452,1,Параметры!V$109,Параметры!V$118))</f>
        <v>0</v>
      </c>
      <c r="W494" s="82">
        <f ca="1">SUM(W$435*CHOOSE($C$391,1,Параметры!W$109,Параметры!W$118),0*CHOOSE($C$452,1,Параметры!W$109,Параметры!W$118))</f>
        <v>0</v>
      </c>
      <c r="X494" s="82">
        <f ca="1">SUM(X$435*CHOOSE($C$391,1,Параметры!X$109,Параметры!X$118),0*CHOOSE($C$452,1,Параметры!X$109,Параметры!X$118))</f>
        <v>0</v>
      </c>
      <c r="Y494" s="82">
        <f ca="1">SUM(Y$435*CHOOSE($C$391,1,Параметры!Y$109,Параметры!Y$118),0*CHOOSE($C$452,1,Параметры!Y$109,Параметры!Y$118))</f>
        <v>0</v>
      </c>
      <c r="Z494" s="82">
        <f ca="1">SUM(Z$435*CHOOSE($C$391,1,Параметры!Z$109,Параметры!Z$118),0*CHOOSE($C$452,1,Параметры!Z$109,Параметры!Z$118))</f>
        <v>0</v>
      </c>
      <c r="AA494" s="82">
        <f ca="1">SUM(AA$435*CHOOSE($C$391,1,Параметры!AA$109,Параметры!AA$118),0*CHOOSE($C$452,1,Параметры!AA$109,Параметры!AA$118))</f>
        <v>0</v>
      </c>
      <c r="AB494" s="82">
        <f ca="1">SUM(AB$435*CHOOSE($C$391,1,Параметры!AB$109,Параметры!AB$118),0*CHOOSE($C$452,1,Параметры!AB$109,Параметры!AB$118))</f>
        <v>0</v>
      </c>
      <c r="AC494" s="82">
        <f ca="1">SUM(AC$435*CHOOSE($C$391,1,Параметры!AC$109,Параметры!AC$118),0*CHOOSE($C$452,1,Параметры!AC$109,Параметры!AC$118))</f>
        <v>0</v>
      </c>
      <c r="AD494" s="82">
        <f ca="1">SUM(AD$435*CHOOSE($C$391,1,Параметры!AD$109,Параметры!AD$118),0*CHOOSE($C$452,1,Параметры!AD$109,Параметры!AD$118))</f>
        <v>0</v>
      </c>
      <c r="AE494" s="82">
        <f ca="1">SUM(AE$435*CHOOSE($C$391,1,Параметры!AE$109,Параметры!AE$118),0*CHOOSE($C$452,1,Параметры!AE$109,Параметры!AE$118))</f>
        <v>0</v>
      </c>
      <c r="AF494" s="82">
        <f ca="1">SUM(AF$435*CHOOSE($C$391,1,Параметры!AF$109,Параметры!AF$118),0*CHOOSE($C$452,1,Параметры!AF$109,Параметры!AF$118))</f>
        <v>0</v>
      </c>
      <c r="AG494" s="82">
        <f ca="1">SUM(AG$435*CHOOSE($C$391,1,Параметры!AG$109,Параметры!AG$118),0*CHOOSE($C$452,1,Параметры!AG$109,Параметры!AG$118))</f>
        <v>0</v>
      </c>
      <c r="AH494" s="82">
        <f ca="1">SUM(AH$435*CHOOSE($C$391,1,Параметры!AH$109,Параметры!AH$118),0*CHOOSE($C$452,1,Параметры!AH$109,Параметры!AH$118))</f>
        <v>0</v>
      </c>
      <c r="AI494" s="82">
        <f ca="1">SUM(AI$435*CHOOSE($C$391,1,Параметры!AI$109,Параметры!AI$118),0*CHOOSE($C$452,1,Параметры!AI$109,Параметры!AI$118))</f>
        <v>0</v>
      </c>
      <c r="AJ494" s="82">
        <f ca="1">SUM(AJ$435*CHOOSE($C$391,1,Параметры!AJ$109,Параметры!AJ$118),0*CHOOSE($C$452,1,Параметры!AJ$109,Параметры!AJ$118))</f>
        <v>0</v>
      </c>
      <c r="AK494" s="82">
        <f ca="1">SUM(AK$435*CHOOSE($C$391,1,Параметры!AK$109,Параметры!AK$118),0*CHOOSE($C$452,1,Параметры!AK$109,Параметры!AK$118))</f>
        <v>409429.66220429027</v>
      </c>
      <c r="AL494" s="82">
        <f ca="1">SUM(AL$435*CHOOSE($C$391,1,Параметры!AL$109,Параметры!AL$118),0*CHOOSE($C$452,1,Параметры!AL$109,Параметры!AL$118))</f>
        <v>0</v>
      </c>
      <c r="AM494" s="82">
        <f ca="1">SUM(AM$435*CHOOSE($C$391,1,Параметры!AM$109,Параметры!AM$118),0*CHOOSE($C$452,1,Параметры!AM$109,Параметры!AM$118))</f>
        <v>0</v>
      </c>
      <c r="AN494" s="82">
        <f ca="1">SUM(AN$435*CHOOSE($C$391,1,Параметры!AN$109,Параметры!AN$118),0*CHOOSE($C$452,1,Параметры!AN$109,Параметры!AN$118))</f>
        <v>0</v>
      </c>
      <c r="AO494" s="82">
        <f ca="1">SUM(AO$435*CHOOSE($C$391,1,Параметры!AO$109,Параметры!AO$118),0*CHOOSE($C$452,1,Параметры!AO$109,Параметры!AO$118))</f>
        <v>6376700.9574672151</v>
      </c>
      <c r="AP494" s="82">
        <f ca="1">SUM(AP$435*CHOOSE($C$391,1,Параметры!AP$109,Параметры!AP$118),0*CHOOSE($C$452,1,Параметры!AP$109,Параметры!AP$118))</f>
        <v>0</v>
      </c>
      <c r="AQ494" s="82">
        <f ca="1">SUM(AQ$435*CHOOSE($C$391,1,Параметры!AQ$109,Параметры!AQ$118),0*CHOOSE($C$452,1,Параметры!AQ$109,Параметры!AQ$118))</f>
        <v>0</v>
      </c>
      <c r="AR494" s="82">
        <f ca="1">SUM(AR$435*CHOOSE($C$391,1,Параметры!AR$109,Параметры!AR$118),0*CHOOSE($C$452,1,Параметры!AR$109,Параметры!AR$118))</f>
        <v>0</v>
      </c>
      <c r="AS494" s="90"/>
      <c r="AT494" s="30">
        <f t="shared" ca="1" si="214"/>
        <v>6786130.6196715049</v>
      </c>
    </row>
    <row r="495" spans="1:46" outlineLevel="1" x14ac:dyDescent="0.2">
      <c r="A495" s="63" t="s">
        <v>55</v>
      </c>
      <c r="C495" s="266" t="str">
        <f>Параметры!$B$64</f>
        <v>тыс. руб.</v>
      </c>
      <c r="E495" s="82">
        <f t="shared" ref="E495:AR495" ca="1" si="215">SUM(E$450,0)</f>
        <v>0</v>
      </c>
      <c r="F495" s="82">
        <f t="shared" ca="1" si="215"/>
        <v>0</v>
      </c>
      <c r="G495" s="82">
        <f t="shared" ca="1" si="215"/>
        <v>0</v>
      </c>
      <c r="H495" s="82">
        <f t="shared" ca="1" si="215"/>
        <v>0</v>
      </c>
      <c r="I495" s="82">
        <f t="shared" ca="1" si="215"/>
        <v>0</v>
      </c>
      <c r="J495" s="82">
        <f t="shared" ca="1" si="215"/>
        <v>0</v>
      </c>
      <c r="K495" s="82">
        <f t="shared" ca="1" si="215"/>
        <v>0</v>
      </c>
      <c r="L495" s="82">
        <f t="shared" ca="1" si="215"/>
        <v>0</v>
      </c>
      <c r="M495" s="82">
        <f t="shared" ca="1" si="215"/>
        <v>0</v>
      </c>
      <c r="N495" s="82">
        <f t="shared" ca="1" si="215"/>
        <v>0</v>
      </c>
      <c r="O495" s="82">
        <f t="shared" ca="1" si="215"/>
        <v>0</v>
      </c>
      <c r="P495" s="82">
        <f t="shared" ca="1" si="215"/>
        <v>0</v>
      </c>
      <c r="Q495" s="82">
        <f t="shared" ca="1" si="215"/>
        <v>0</v>
      </c>
      <c r="R495" s="82">
        <f t="shared" ca="1" si="215"/>
        <v>0</v>
      </c>
      <c r="S495" s="82">
        <f t="shared" ca="1" si="215"/>
        <v>0</v>
      </c>
      <c r="T495" s="82">
        <f t="shared" ca="1" si="215"/>
        <v>0</v>
      </c>
      <c r="U495" s="82">
        <f t="shared" ca="1" si="215"/>
        <v>0</v>
      </c>
      <c r="V495" s="82">
        <f t="shared" ca="1" si="215"/>
        <v>0</v>
      </c>
      <c r="W495" s="82">
        <f t="shared" ca="1" si="215"/>
        <v>0</v>
      </c>
      <c r="X495" s="82">
        <f t="shared" ca="1" si="215"/>
        <v>0</v>
      </c>
      <c r="Y495" s="82">
        <f t="shared" ca="1" si="215"/>
        <v>0</v>
      </c>
      <c r="Z495" s="82">
        <f t="shared" ca="1" si="215"/>
        <v>0</v>
      </c>
      <c r="AA495" s="82">
        <f t="shared" ca="1" si="215"/>
        <v>0</v>
      </c>
      <c r="AB495" s="82">
        <f t="shared" ca="1" si="215"/>
        <v>0</v>
      </c>
      <c r="AC495" s="82">
        <f t="shared" ca="1" si="215"/>
        <v>0</v>
      </c>
      <c r="AD495" s="82">
        <f t="shared" ca="1" si="215"/>
        <v>0</v>
      </c>
      <c r="AE495" s="82">
        <f t="shared" ca="1" si="215"/>
        <v>0</v>
      </c>
      <c r="AF495" s="82">
        <f t="shared" ca="1" si="215"/>
        <v>0</v>
      </c>
      <c r="AG495" s="82">
        <f t="shared" ca="1" si="215"/>
        <v>0</v>
      </c>
      <c r="AH495" s="82">
        <f t="shared" ca="1" si="215"/>
        <v>0</v>
      </c>
      <c r="AI495" s="82">
        <f t="shared" ca="1" si="215"/>
        <v>0</v>
      </c>
      <c r="AJ495" s="82">
        <f t="shared" ca="1" si="215"/>
        <v>0</v>
      </c>
      <c r="AK495" s="82">
        <f t="shared" ca="1" si="215"/>
        <v>193116.10323617514</v>
      </c>
      <c r="AL495" s="82">
        <f t="shared" ca="1" si="215"/>
        <v>0</v>
      </c>
      <c r="AM495" s="82">
        <f t="shared" ca="1" si="215"/>
        <v>0</v>
      </c>
      <c r="AN495" s="82">
        <f t="shared" ca="1" si="215"/>
        <v>0</v>
      </c>
      <c r="AO495" s="82">
        <f t="shared" ca="1" si="215"/>
        <v>4083461.0032267226</v>
      </c>
      <c r="AP495" s="82">
        <f t="shared" ca="1" si="215"/>
        <v>0</v>
      </c>
      <c r="AQ495" s="82">
        <f t="shared" ca="1" si="215"/>
        <v>0</v>
      </c>
      <c r="AR495" s="82">
        <f t="shared" ca="1" si="215"/>
        <v>0</v>
      </c>
      <c r="AS495" s="90"/>
      <c r="AT495" s="30">
        <f t="shared" ca="1" si="214"/>
        <v>4276577.1064628977</v>
      </c>
    </row>
    <row r="496" spans="1:46" outlineLevel="1" x14ac:dyDescent="0.2">
      <c r="A496" s="63" t="s">
        <v>56</v>
      </c>
      <c r="C496" s="266" t="str">
        <f>Параметры!$B$64</f>
        <v>тыс. руб.</v>
      </c>
      <c r="D496" s="165"/>
      <c r="E496" s="82">
        <f t="shared" ref="E496:AR496" si="216">SUM(E$451,0)</f>
        <v>0</v>
      </c>
      <c r="F496" s="82">
        <f t="shared" ca="1" si="216"/>
        <v>0</v>
      </c>
      <c r="G496" s="82">
        <f t="shared" ca="1" si="216"/>
        <v>0</v>
      </c>
      <c r="H496" s="82">
        <f t="shared" ca="1" si="216"/>
        <v>0</v>
      </c>
      <c r="I496" s="82">
        <f t="shared" ca="1" si="216"/>
        <v>0</v>
      </c>
      <c r="J496" s="82">
        <f t="shared" ca="1" si="216"/>
        <v>0</v>
      </c>
      <c r="K496" s="82">
        <f t="shared" ca="1" si="216"/>
        <v>0</v>
      </c>
      <c r="L496" s="82">
        <f t="shared" ca="1" si="216"/>
        <v>0</v>
      </c>
      <c r="M496" s="82">
        <f t="shared" ca="1" si="216"/>
        <v>0</v>
      </c>
      <c r="N496" s="82">
        <f t="shared" ca="1" si="216"/>
        <v>0</v>
      </c>
      <c r="O496" s="82">
        <f t="shared" ca="1" si="216"/>
        <v>0</v>
      </c>
      <c r="P496" s="82">
        <f t="shared" ca="1" si="216"/>
        <v>0</v>
      </c>
      <c r="Q496" s="82">
        <f t="shared" ca="1" si="216"/>
        <v>0</v>
      </c>
      <c r="R496" s="82">
        <f t="shared" ca="1" si="216"/>
        <v>0</v>
      </c>
      <c r="S496" s="82">
        <f t="shared" ca="1" si="216"/>
        <v>0</v>
      </c>
      <c r="T496" s="82">
        <f t="shared" ca="1" si="216"/>
        <v>0</v>
      </c>
      <c r="U496" s="82">
        <f t="shared" ca="1" si="216"/>
        <v>0</v>
      </c>
      <c r="V496" s="82">
        <f t="shared" ca="1" si="216"/>
        <v>0</v>
      </c>
      <c r="W496" s="82">
        <f t="shared" ca="1" si="216"/>
        <v>0</v>
      </c>
      <c r="X496" s="82">
        <f t="shared" ca="1" si="216"/>
        <v>0</v>
      </c>
      <c r="Y496" s="82">
        <f t="shared" ca="1" si="216"/>
        <v>0</v>
      </c>
      <c r="Z496" s="82">
        <f t="shared" ca="1" si="216"/>
        <v>0</v>
      </c>
      <c r="AA496" s="82">
        <f t="shared" ca="1" si="216"/>
        <v>0</v>
      </c>
      <c r="AB496" s="82">
        <f t="shared" ca="1" si="216"/>
        <v>0</v>
      </c>
      <c r="AC496" s="82">
        <f t="shared" ca="1" si="216"/>
        <v>0</v>
      </c>
      <c r="AD496" s="82">
        <f t="shared" ca="1" si="216"/>
        <v>0</v>
      </c>
      <c r="AE496" s="82">
        <f t="shared" ca="1" si="216"/>
        <v>0</v>
      </c>
      <c r="AF496" s="82">
        <f t="shared" ca="1" si="216"/>
        <v>0</v>
      </c>
      <c r="AG496" s="82">
        <f t="shared" ca="1" si="216"/>
        <v>0</v>
      </c>
      <c r="AH496" s="82">
        <f t="shared" ca="1" si="216"/>
        <v>0</v>
      </c>
      <c r="AI496" s="82">
        <f t="shared" ca="1" si="216"/>
        <v>0</v>
      </c>
      <c r="AJ496" s="82">
        <f t="shared" ca="1" si="216"/>
        <v>0</v>
      </c>
      <c r="AK496" s="82">
        <f t="shared" ca="1" si="216"/>
        <v>81885.932440858058</v>
      </c>
      <c r="AL496" s="82">
        <f t="shared" ca="1" si="216"/>
        <v>0</v>
      </c>
      <c r="AM496" s="82">
        <f t="shared" ca="1" si="216"/>
        <v>0</v>
      </c>
      <c r="AN496" s="82">
        <f t="shared" ca="1" si="216"/>
        <v>0</v>
      </c>
      <c r="AO496" s="82">
        <f t="shared" ca="1" si="216"/>
        <v>1275340.1914934432</v>
      </c>
      <c r="AP496" s="82">
        <f t="shared" ca="1" si="216"/>
        <v>0</v>
      </c>
      <c r="AQ496" s="82">
        <f t="shared" ca="1" si="216"/>
        <v>0</v>
      </c>
      <c r="AR496" s="82">
        <f t="shared" ca="1" si="216"/>
        <v>0</v>
      </c>
      <c r="AS496" s="90"/>
      <c r="AT496" s="30">
        <f t="shared" ca="1" si="214"/>
        <v>1357226.1239343013</v>
      </c>
    </row>
    <row r="497" spans="1:46" x14ac:dyDescent="0.2">
      <c r="A497" s="44"/>
      <c r="C497" s="266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82"/>
      <c r="AN497" s="82"/>
      <c r="AO497" s="82"/>
      <c r="AP497" s="82"/>
      <c r="AQ497" s="82"/>
      <c r="AR497" s="82"/>
      <c r="AS497" s="90"/>
      <c r="AT497" s="30"/>
    </row>
    <row r="498" spans="1:46" x14ac:dyDescent="0.2">
      <c r="A498" s="52" t="s">
        <v>291</v>
      </c>
      <c r="C498" s="266" t="str">
        <f>Параметры!$B$64</f>
        <v>тыс. руб.</v>
      </c>
      <c r="E498" s="85">
        <f t="shared" ref="E498:AR498" si="217">E482+0</f>
        <v>301153.75</v>
      </c>
      <c r="F498" s="85">
        <f t="shared" ca="1" si="217"/>
        <v>326793.75</v>
      </c>
      <c r="G498" s="85">
        <f t="shared" ca="1" si="217"/>
        <v>64100.000000000007</v>
      </c>
      <c r="H498" s="85">
        <f t="shared" ca="1" si="217"/>
        <v>71792</v>
      </c>
      <c r="I498" s="85">
        <f t="shared" ca="1" si="217"/>
        <v>90768</v>
      </c>
      <c r="J498" s="85">
        <f t="shared" ca="1" si="217"/>
        <v>191195.07809271439</v>
      </c>
      <c r="K498" s="85">
        <f t="shared" ca="1" si="217"/>
        <v>251017.68685945566</v>
      </c>
      <c r="L498" s="85">
        <f t="shared" ca="1" si="217"/>
        <v>129589.65171757294</v>
      </c>
      <c r="M498" s="85">
        <f t="shared" ca="1" si="217"/>
        <v>268652.41227134393</v>
      </c>
      <c r="N498" s="85">
        <f t="shared" ca="1" si="217"/>
        <v>540753.01301084307</v>
      </c>
      <c r="O498" s="85">
        <f t="shared" ca="1" si="217"/>
        <v>785061.38492575171</v>
      </c>
      <c r="P498" s="85">
        <f t="shared" ca="1" si="217"/>
        <v>442947.78078685631</v>
      </c>
      <c r="Q498" s="85">
        <f t="shared" ca="1" si="217"/>
        <v>411431.25935957226</v>
      </c>
      <c r="R498" s="85">
        <f t="shared" ca="1" si="217"/>
        <v>906016.57989159273</v>
      </c>
      <c r="S498" s="85">
        <f t="shared" ca="1" si="217"/>
        <v>991061.85020460747</v>
      </c>
      <c r="T498" s="85">
        <f t="shared" ca="1" si="217"/>
        <v>501524.67002557381</v>
      </c>
      <c r="U498" s="85">
        <f t="shared" ca="1" si="217"/>
        <v>0</v>
      </c>
      <c r="V498" s="85">
        <f t="shared" ca="1" si="217"/>
        <v>0</v>
      </c>
      <c r="W498" s="85">
        <f t="shared" ca="1" si="217"/>
        <v>0</v>
      </c>
      <c r="X498" s="85">
        <f t="shared" ca="1" si="217"/>
        <v>0</v>
      </c>
      <c r="Y498" s="85">
        <f t="shared" ca="1" si="217"/>
        <v>0</v>
      </c>
      <c r="Z498" s="85">
        <f t="shared" ca="1" si="217"/>
        <v>0</v>
      </c>
      <c r="AA498" s="85">
        <f t="shared" ca="1" si="217"/>
        <v>0</v>
      </c>
      <c r="AB498" s="85">
        <f t="shared" ca="1" si="217"/>
        <v>0</v>
      </c>
      <c r="AC498" s="85">
        <f t="shared" ca="1" si="217"/>
        <v>0</v>
      </c>
      <c r="AD498" s="85">
        <f t="shared" ca="1" si="217"/>
        <v>0</v>
      </c>
      <c r="AE498" s="85">
        <f t="shared" ca="1" si="217"/>
        <v>0</v>
      </c>
      <c r="AF498" s="85">
        <f t="shared" ca="1" si="217"/>
        <v>0</v>
      </c>
      <c r="AG498" s="85">
        <f t="shared" ca="1" si="217"/>
        <v>0</v>
      </c>
      <c r="AH498" s="85">
        <f t="shared" ca="1" si="217"/>
        <v>0</v>
      </c>
      <c r="AI498" s="85">
        <f t="shared" ca="1" si="217"/>
        <v>0</v>
      </c>
      <c r="AJ498" s="85">
        <f t="shared" ca="1" si="217"/>
        <v>0</v>
      </c>
      <c r="AK498" s="85">
        <f t="shared" ca="1" si="217"/>
        <v>0</v>
      </c>
      <c r="AL498" s="85">
        <f t="shared" ca="1" si="217"/>
        <v>0</v>
      </c>
      <c r="AM498" s="85">
        <f t="shared" ca="1" si="217"/>
        <v>0</v>
      </c>
      <c r="AN498" s="85">
        <f t="shared" ca="1" si="217"/>
        <v>0</v>
      </c>
      <c r="AO498" s="85">
        <f t="shared" ca="1" si="217"/>
        <v>0</v>
      </c>
      <c r="AP498" s="85">
        <f t="shared" ca="1" si="217"/>
        <v>0</v>
      </c>
      <c r="AQ498" s="85">
        <f t="shared" ca="1" si="217"/>
        <v>0</v>
      </c>
      <c r="AR498" s="85">
        <f t="shared" ca="1" si="217"/>
        <v>0</v>
      </c>
      <c r="AS498" s="142"/>
      <c r="AT498" s="143">
        <f ca="1">SUM(E498:AS498)</f>
        <v>6273858.8671458848</v>
      </c>
    </row>
    <row r="499" spans="1:46" x14ac:dyDescent="0.2">
      <c r="A499" s="248" t="s">
        <v>294</v>
      </c>
      <c r="C499" s="266" t="str">
        <f>Параметры!$B$64</f>
        <v>тыс. руб.</v>
      </c>
      <c r="E499" s="85">
        <f t="shared" ref="E499:AR499" si="218">E482+0</f>
        <v>301153.75</v>
      </c>
      <c r="F499" s="85">
        <f t="shared" ca="1" si="218"/>
        <v>326793.75</v>
      </c>
      <c r="G499" s="85">
        <f t="shared" ca="1" si="218"/>
        <v>64100.000000000007</v>
      </c>
      <c r="H499" s="85">
        <f t="shared" ca="1" si="218"/>
        <v>71792</v>
      </c>
      <c r="I499" s="85">
        <f t="shared" ca="1" si="218"/>
        <v>90768</v>
      </c>
      <c r="J499" s="85">
        <f t="shared" ca="1" si="218"/>
        <v>191195.07809271439</v>
      </c>
      <c r="K499" s="85">
        <f t="shared" ca="1" si="218"/>
        <v>251017.68685945566</v>
      </c>
      <c r="L499" s="85">
        <f t="shared" ca="1" si="218"/>
        <v>129589.65171757294</v>
      </c>
      <c r="M499" s="85">
        <f t="shared" ca="1" si="218"/>
        <v>268652.41227134393</v>
      </c>
      <c r="N499" s="85">
        <f t="shared" ca="1" si="218"/>
        <v>540753.01301084307</v>
      </c>
      <c r="O499" s="85">
        <f t="shared" ca="1" si="218"/>
        <v>785061.38492575171</v>
      </c>
      <c r="P499" s="85">
        <f t="shared" ca="1" si="218"/>
        <v>442947.78078685631</v>
      </c>
      <c r="Q499" s="85">
        <f t="shared" ca="1" si="218"/>
        <v>411431.25935957226</v>
      </c>
      <c r="R499" s="85">
        <f t="shared" ca="1" si="218"/>
        <v>906016.57989159273</v>
      </c>
      <c r="S499" s="85">
        <f t="shared" ca="1" si="218"/>
        <v>991061.85020460747</v>
      </c>
      <c r="T499" s="85">
        <f t="shared" ca="1" si="218"/>
        <v>501524.67002557381</v>
      </c>
      <c r="U499" s="85">
        <f t="shared" ca="1" si="218"/>
        <v>0</v>
      </c>
      <c r="V499" s="85">
        <f t="shared" ca="1" si="218"/>
        <v>0</v>
      </c>
      <c r="W499" s="85">
        <f t="shared" ca="1" si="218"/>
        <v>0</v>
      </c>
      <c r="X499" s="85">
        <f t="shared" ca="1" si="218"/>
        <v>0</v>
      </c>
      <c r="Y499" s="85">
        <f t="shared" ca="1" si="218"/>
        <v>0</v>
      </c>
      <c r="Z499" s="85">
        <f t="shared" ca="1" si="218"/>
        <v>0</v>
      </c>
      <c r="AA499" s="85">
        <f t="shared" ca="1" si="218"/>
        <v>0</v>
      </c>
      <c r="AB499" s="85">
        <f t="shared" ca="1" si="218"/>
        <v>0</v>
      </c>
      <c r="AC499" s="85">
        <f t="shared" ca="1" si="218"/>
        <v>0</v>
      </c>
      <c r="AD499" s="85">
        <f t="shared" ca="1" si="218"/>
        <v>0</v>
      </c>
      <c r="AE499" s="85">
        <f t="shared" ca="1" si="218"/>
        <v>0</v>
      </c>
      <c r="AF499" s="85">
        <f t="shared" ca="1" si="218"/>
        <v>0</v>
      </c>
      <c r="AG499" s="85">
        <f t="shared" ca="1" si="218"/>
        <v>0</v>
      </c>
      <c r="AH499" s="85">
        <f t="shared" ca="1" si="218"/>
        <v>0</v>
      </c>
      <c r="AI499" s="85">
        <f t="shared" ca="1" si="218"/>
        <v>0</v>
      </c>
      <c r="AJ499" s="85">
        <f t="shared" ca="1" si="218"/>
        <v>0</v>
      </c>
      <c r="AK499" s="85">
        <f t="shared" ca="1" si="218"/>
        <v>0</v>
      </c>
      <c r="AL499" s="85">
        <f t="shared" ca="1" si="218"/>
        <v>0</v>
      </c>
      <c r="AM499" s="85">
        <f t="shared" ca="1" si="218"/>
        <v>0</v>
      </c>
      <c r="AN499" s="85">
        <f t="shared" ca="1" si="218"/>
        <v>0</v>
      </c>
      <c r="AO499" s="85">
        <f t="shared" ca="1" si="218"/>
        <v>0</v>
      </c>
      <c r="AP499" s="85">
        <f t="shared" ca="1" si="218"/>
        <v>0</v>
      </c>
      <c r="AQ499" s="85">
        <f t="shared" ca="1" si="218"/>
        <v>0</v>
      </c>
      <c r="AR499" s="85">
        <f t="shared" ca="1" si="218"/>
        <v>0</v>
      </c>
      <c r="AS499" s="142"/>
      <c r="AT499" s="143">
        <f ca="1">SUM(E499:AS499)</f>
        <v>6273858.8671458848</v>
      </c>
    </row>
    <row r="500" spans="1:46" outlineLevel="1" x14ac:dyDescent="0.2">
      <c r="A500" s="63" t="s">
        <v>292</v>
      </c>
      <c r="C500" s="266" t="str">
        <f>Параметры!$B$64</f>
        <v>тыс. руб.</v>
      </c>
      <c r="E500" s="82">
        <f t="shared" ref="E500:AR500" si="219">E501+0</f>
        <v>50192.291666666664</v>
      </c>
      <c r="F500" s="82">
        <f t="shared" ca="1" si="219"/>
        <v>54465.625</v>
      </c>
      <c r="G500" s="82">
        <f t="shared" ca="1" si="219"/>
        <v>10683.333333333336</v>
      </c>
      <c r="H500" s="82">
        <f t="shared" ca="1" si="219"/>
        <v>11965.333333333336</v>
      </c>
      <c r="I500" s="82">
        <f t="shared" ca="1" si="219"/>
        <v>15128</v>
      </c>
      <c r="J500" s="82">
        <f t="shared" ca="1" si="219"/>
        <v>31865.846348785733</v>
      </c>
      <c r="K500" s="82">
        <f t="shared" ca="1" si="219"/>
        <v>41836.28114324261</v>
      </c>
      <c r="L500" s="82">
        <f t="shared" ca="1" si="219"/>
        <v>21598.275286262156</v>
      </c>
      <c r="M500" s="82">
        <f t="shared" ca="1" si="219"/>
        <v>44775.402045223986</v>
      </c>
      <c r="N500" s="82">
        <f t="shared" ca="1" si="219"/>
        <v>90125.502168473846</v>
      </c>
      <c r="O500" s="82">
        <f t="shared" ca="1" si="219"/>
        <v>130843.56415429193</v>
      </c>
      <c r="P500" s="82">
        <f t="shared" ca="1" si="219"/>
        <v>73824.630131142723</v>
      </c>
      <c r="Q500" s="82">
        <f t="shared" ca="1" si="219"/>
        <v>68571.876559928714</v>
      </c>
      <c r="R500" s="82">
        <f t="shared" ca="1" si="219"/>
        <v>151002.76331526547</v>
      </c>
      <c r="S500" s="82">
        <f t="shared" ca="1" si="219"/>
        <v>165176.97503410126</v>
      </c>
      <c r="T500" s="82">
        <f t="shared" ca="1" si="219"/>
        <v>83587.445004262307</v>
      </c>
      <c r="U500" s="82">
        <f t="shared" ca="1" si="219"/>
        <v>0</v>
      </c>
      <c r="V500" s="82">
        <f t="shared" ca="1" si="219"/>
        <v>0</v>
      </c>
      <c r="W500" s="82">
        <f t="shared" ca="1" si="219"/>
        <v>0</v>
      </c>
      <c r="X500" s="82">
        <f t="shared" ca="1" si="219"/>
        <v>0</v>
      </c>
      <c r="Y500" s="82">
        <f t="shared" ca="1" si="219"/>
        <v>0</v>
      </c>
      <c r="Z500" s="82">
        <f t="shared" ca="1" si="219"/>
        <v>0</v>
      </c>
      <c r="AA500" s="82">
        <f t="shared" ca="1" si="219"/>
        <v>0</v>
      </c>
      <c r="AB500" s="82">
        <f t="shared" ca="1" si="219"/>
        <v>0</v>
      </c>
      <c r="AC500" s="82">
        <f t="shared" ca="1" si="219"/>
        <v>0</v>
      </c>
      <c r="AD500" s="82">
        <f t="shared" ca="1" si="219"/>
        <v>0</v>
      </c>
      <c r="AE500" s="82">
        <f t="shared" ca="1" si="219"/>
        <v>0</v>
      </c>
      <c r="AF500" s="82">
        <f t="shared" ca="1" si="219"/>
        <v>0</v>
      </c>
      <c r="AG500" s="82">
        <f t="shared" ca="1" si="219"/>
        <v>0</v>
      </c>
      <c r="AH500" s="82">
        <f t="shared" ca="1" si="219"/>
        <v>0</v>
      </c>
      <c r="AI500" s="82">
        <f t="shared" ca="1" si="219"/>
        <v>0</v>
      </c>
      <c r="AJ500" s="82">
        <f t="shared" ca="1" si="219"/>
        <v>0</v>
      </c>
      <c r="AK500" s="82">
        <f t="shared" ca="1" si="219"/>
        <v>0</v>
      </c>
      <c r="AL500" s="82">
        <f t="shared" ca="1" si="219"/>
        <v>0</v>
      </c>
      <c r="AM500" s="82">
        <f t="shared" ca="1" si="219"/>
        <v>0</v>
      </c>
      <c r="AN500" s="82">
        <f t="shared" ca="1" si="219"/>
        <v>0</v>
      </c>
      <c r="AO500" s="82">
        <f t="shared" ca="1" si="219"/>
        <v>0</v>
      </c>
      <c r="AP500" s="82">
        <f t="shared" ca="1" si="219"/>
        <v>0</v>
      </c>
      <c r="AQ500" s="82">
        <f t="shared" ca="1" si="219"/>
        <v>0</v>
      </c>
      <c r="AR500" s="82">
        <f t="shared" ca="1" si="219"/>
        <v>0</v>
      </c>
      <c r="AS500" s="90"/>
      <c r="AT500" s="143">
        <f ca="1">SUM(E500:AS500)</f>
        <v>1045643.1445243141</v>
      </c>
    </row>
    <row r="501" spans="1:46" outlineLevel="1" x14ac:dyDescent="0.2">
      <c r="A501" s="63" t="s">
        <v>293</v>
      </c>
      <c r="C501" s="266" t="str">
        <f>Параметры!$B$64</f>
        <v>тыс. руб.</v>
      </c>
      <c r="E501" s="82">
        <f t="shared" ref="E501:AR501" si="220">E490+0</f>
        <v>50192.291666666664</v>
      </c>
      <c r="F501" s="82">
        <f t="shared" ca="1" si="220"/>
        <v>54465.625</v>
      </c>
      <c r="G501" s="82">
        <f t="shared" ca="1" si="220"/>
        <v>10683.333333333336</v>
      </c>
      <c r="H501" s="82">
        <f t="shared" ca="1" si="220"/>
        <v>11965.333333333336</v>
      </c>
      <c r="I501" s="82">
        <f t="shared" ca="1" si="220"/>
        <v>15128</v>
      </c>
      <c r="J501" s="82">
        <f t="shared" ca="1" si="220"/>
        <v>31865.846348785733</v>
      </c>
      <c r="K501" s="82">
        <f t="shared" ca="1" si="220"/>
        <v>41836.28114324261</v>
      </c>
      <c r="L501" s="82">
        <f t="shared" ca="1" si="220"/>
        <v>21598.275286262156</v>
      </c>
      <c r="M501" s="82">
        <f t="shared" ca="1" si="220"/>
        <v>44775.402045223986</v>
      </c>
      <c r="N501" s="82">
        <f t="shared" ca="1" si="220"/>
        <v>90125.502168473846</v>
      </c>
      <c r="O501" s="82">
        <f t="shared" ca="1" si="220"/>
        <v>130843.56415429193</v>
      </c>
      <c r="P501" s="82">
        <f t="shared" ca="1" si="220"/>
        <v>73824.630131142723</v>
      </c>
      <c r="Q501" s="82">
        <f t="shared" ca="1" si="220"/>
        <v>68571.876559928714</v>
      </c>
      <c r="R501" s="82">
        <f t="shared" ca="1" si="220"/>
        <v>151002.76331526547</v>
      </c>
      <c r="S501" s="82">
        <f t="shared" ca="1" si="220"/>
        <v>165176.97503410126</v>
      </c>
      <c r="T501" s="82">
        <f t="shared" ca="1" si="220"/>
        <v>83587.445004262307</v>
      </c>
      <c r="U501" s="82">
        <f t="shared" ca="1" si="220"/>
        <v>0</v>
      </c>
      <c r="V501" s="82">
        <f t="shared" ca="1" si="220"/>
        <v>0</v>
      </c>
      <c r="W501" s="82">
        <f t="shared" ca="1" si="220"/>
        <v>0</v>
      </c>
      <c r="X501" s="82">
        <f t="shared" ca="1" si="220"/>
        <v>0</v>
      </c>
      <c r="Y501" s="82">
        <f t="shared" ca="1" si="220"/>
        <v>0</v>
      </c>
      <c r="Z501" s="82">
        <f t="shared" ca="1" si="220"/>
        <v>0</v>
      </c>
      <c r="AA501" s="82">
        <f t="shared" ca="1" si="220"/>
        <v>0</v>
      </c>
      <c r="AB501" s="82">
        <f t="shared" ca="1" si="220"/>
        <v>0</v>
      </c>
      <c r="AC501" s="82">
        <f t="shared" ca="1" si="220"/>
        <v>0</v>
      </c>
      <c r="AD501" s="82">
        <f t="shared" ca="1" si="220"/>
        <v>0</v>
      </c>
      <c r="AE501" s="82">
        <f t="shared" ca="1" si="220"/>
        <v>0</v>
      </c>
      <c r="AF501" s="82">
        <f t="shared" ca="1" si="220"/>
        <v>0</v>
      </c>
      <c r="AG501" s="82">
        <f t="shared" ca="1" si="220"/>
        <v>0</v>
      </c>
      <c r="AH501" s="82">
        <f t="shared" ca="1" si="220"/>
        <v>0</v>
      </c>
      <c r="AI501" s="82">
        <f t="shared" ca="1" si="220"/>
        <v>0</v>
      </c>
      <c r="AJ501" s="82">
        <f t="shared" ca="1" si="220"/>
        <v>0</v>
      </c>
      <c r="AK501" s="82">
        <f t="shared" ca="1" si="220"/>
        <v>0</v>
      </c>
      <c r="AL501" s="82">
        <f t="shared" ca="1" si="220"/>
        <v>0</v>
      </c>
      <c r="AM501" s="82">
        <f t="shared" ca="1" si="220"/>
        <v>0</v>
      </c>
      <c r="AN501" s="82">
        <f t="shared" ca="1" si="220"/>
        <v>0</v>
      </c>
      <c r="AO501" s="82">
        <f t="shared" ca="1" si="220"/>
        <v>0</v>
      </c>
      <c r="AP501" s="82">
        <f t="shared" ca="1" si="220"/>
        <v>0</v>
      </c>
      <c r="AQ501" s="82">
        <f t="shared" ca="1" si="220"/>
        <v>0</v>
      </c>
      <c r="AR501" s="82">
        <f t="shared" ca="1" si="220"/>
        <v>0</v>
      </c>
      <c r="AS501" s="90"/>
      <c r="AT501" s="30">
        <f ca="1">SUM(E500:AS500)</f>
        <v>1045643.1445243141</v>
      </c>
    </row>
    <row r="502" spans="1:46" x14ac:dyDescent="0.2">
      <c r="A502" s="63"/>
      <c r="C502" s="266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82"/>
      <c r="AN502" s="82"/>
      <c r="AO502" s="82"/>
      <c r="AP502" s="82"/>
      <c r="AQ502" s="82"/>
      <c r="AR502" s="82"/>
      <c r="AS502" s="90"/>
      <c r="AT502" s="30"/>
    </row>
    <row r="503" spans="1:46" x14ac:dyDescent="0.2">
      <c r="A503" s="52" t="s">
        <v>237</v>
      </c>
      <c r="C503" s="266" t="str">
        <f>Параметры!$B$64</f>
        <v>тыс. руб.</v>
      </c>
      <c r="E503" s="82">
        <f t="shared" ref="E503:AR503" si="221">E504+E505</f>
        <v>576667.5</v>
      </c>
      <c r="F503" s="82">
        <f t="shared" si="221"/>
        <v>0</v>
      </c>
      <c r="G503" s="82">
        <f t="shared" si="221"/>
        <v>0</v>
      </c>
      <c r="H503" s="82">
        <f t="shared" si="221"/>
        <v>0</v>
      </c>
      <c r="I503" s="82">
        <f t="shared" si="221"/>
        <v>0</v>
      </c>
      <c r="J503" s="82">
        <f t="shared" si="221"/>
        <v>0</v>
      </c>
      <c r="K503" s="82">
        <f t="shared" si="221"/>
        <v>0</v>
      </c>
      <c r="L503" s="82">
        <f t="shared" si="221"/>
        <v>0</v>
      </c>
      <c r="M503" s="82">
        <f t="shared" si="221"/>
        <v>0</v>
      </c>
      <c r="N503" s="82">
        <f t="shared" si="221"/>
        <v>0</v>
      </c>
      <c r="O503" s="82">
        <f t="shared" si="221"/>
        <v>0</v>
      </c>
      <c r="P503" s="82">
        <f t="shared" si="221"/>
        <v>0</v>
      </c>
      <c r="Q503" s="82">
        <f t="shared" si="221"/>
        <v>0</v>
      </c>
      <c r="R503" s="82">
        <f t="shared" si="221"/>
        <v>0</v>
      </c>
      <c r="S503" s="82">
        <f t="shared" si="221"/>
        <v>0</v>
      </c>
      <c r="T503" s="82">
        <f t="shared" si="221"/>
        <v>0</v>
      </c>
      <c r="U503" s="82">
        <f t="shared" si="221"/>
        <v>0</v>
      </c>
      <c r="V503" s="82">
        <f t="shared" si="221"/>
        <v>0</v>
      </c>
      <c r="W503" s="82">
        <f t="shared" si="221"/>
        <v>0</v>
      </c>
      <c r="X503" s="82">
        <f t="shared" si="221"/>
        <v>0</v>
      </c>
      <c r="Y503" s="82">
        <f t="shared" si="221"/>
        <v>0</v>
      </c>
      <c r="Z503" s="82">
        <f t="shared" si="221"/>
        <v>0</v>
      </c>
      <c r="AA503" s="82">
        <f t="shared" si="221"/>
        <v>0</v>
      </c>
      <c r="AB503" s="82">
        <f t="shared" si="221"/>
        <v>0</v>
      </c>
      <c r="AC503" s="82">
        <f t="shared" si="221"/>
        <v>0</v>
      </c>
      <c r="AD503" s="82">
        <f t="shared" si="221"/>
        <v>0</v>
      </c>
      <c r="AE503" s="82">
        <f t="shared" si="221"/>
        <v>0</v>
      </c>
      <c r="AF503" s="82">
        <f t="shared" si="221"/>
        <v>0</v>
      </c>
      <c r="AG503" s="82">
        <f t="shared" si="221"/>
        <v>0</v>
      </c>
      <c r="AH503" s="82">
        <f t="shared" si="221"/>
        <v>0</v>
      </c>
      <c r="AI503" s="82">
        <f t="shared" si="221"/>
        <v>0</v>
      </c>
      <c r="AJ503" s="82">
        <f t="shared" si="221"/>
        <v>0</v>
      </c>
      <c r="AK503" s="82">
        <f t="shared" si="221"/>
        <v>0</v>
      </c>
      <c r="AL503" s="82">
        <f t="shared" si="221"/>
        <v>0</v>
      </c>
      <c r="AM503" s="82">
        <f t="shared" si="221"/>
        <v>0</v>
      </c>
      <c r="AN503" s="82">
        <f t="shared" si="221"/>
        <v>0</v>
      </c>
      <c r="AO503" s="82">
        <f t="shared" si="221"/>
        <v>0</v>
      </c>
      <c r="AP503" s="82">
        <f t="shared" si="221"/>
        <v>0</v>
      </c>
      <c r="AQ503" s="82">
        <f t="shared" si="221"/>
        <v>0</v>
      </c>
      <c r="AR503" s="82">
        <f t="shared" si="221"/>
        <v>0</v>
      </c>
      <c r="AT503" s="30">
        <f>SUM(E503:AS503)</f>
        <v>576667.5</v>
      </c>
    </row>
    <row r="504" spans="1:46" x14ac:dyDescent="0.2">
      <c r="A504" s="63" t="s">
        <v>99</v>
      </c>
      <c r="C504" s="266" t="str">
        <f>Параметры!$B$64</f>
        <v>тыс. руб.</v>
      </c>
      <c r="E504" s="82">
        <f t="shared" ref="E504:AR504" si="222">SUM(E$438,0)</f>
        <v>96111.25</v>
      </c>
      <c r="F504" s="82">
        <f t="shared" si="222"/>
        <v>0</v>
      </c>
      <c r="G504" s="82">
        <f t="shared" si="222"/>
        <v>0</v>
      </c>
      <c r="H504" s="82">
        <f t="shared" si="222"/>
        <v>0</v>
      </c>
      <c r="I504" s="82">
        <f t="shared" si="222"/>
        <v>0</v>
      </c>
      <c r="J504" s="82">
        <f t="shared" si="222"/>
        <v>0</v>
      </c>
      <c r="K504" s="82">
        <f t="shared" si="222"/>
        <v>0</v>
      </c>
      <c r="L504" s="82">
        <f t="shared" si="222"/>
        <v>0</v>
      </c>
      <c r="M504" s="82">
        <f t="shared" si="222"/>
        <v>0</v>
      </c>
      <c r="N504" s="82">
        <f t="shared" si="222"/>
        <v>0</v>
      </c>
      <c r="O504" s="82">
        <f t="shared" si="222"/>
        <v>0</v>
      </c>
      <c r="P504" s="82">
        <f t="shared" si="222"/>
        <v>0</v>
      </c>
      <c r="Q504" s="82">
        <f t="shared" si="222"/>
        <v>0</v>
      </c>
      <c r="R504" s="82">
        <f t="shared" si="222"/>
        <v>0</v>
      </c>
      <c r="S504" s="82">
        <f t="shared" si="222"/>
        <v>0</v>
      </c>
      <c r="T504" s="82">
        <f t="shared" si="222"/>
        <v>0</v>
      </c>
      <c r="U504" s="82">
        <f t="shared" si="222"/>
        <v>0</v>
      </c>
      <c r="V504" s="82">
        <f t="shared" si="222"/>
        <v>0</v>
      </c>
      <c r="W504" s="82">
        <f t="shared" si="222"/>
        <v>0</v>
      </c>
      <c r="X504" s="82">
        <f t="shared" si="222"/>
        <v>0</v>
      </c>
      <c r="Y504" s="82">
        <f t="shared" si="222"/>
        <v>0</v>
      </c>
      <c r="Z504" s="82">
        <f t="shared" si="222"/>
        <v>0</v>
      </c>
      <c r="AA504" s="82">
        <f t="shared" si="222"/>
        <v>0</v>
      </c>
      <c r="AB504" s="82">
        <f t="shared" si="222"/>
        <v>0</v>
      </c>
      <c r="AC504" s="82">
        <f t="shared" si="222"/>
        <v>0</v>
      </c>
      <c r="AD504" s="82">
        <f t="shared" si="222"/>
        <v>0</v>
      </c>
      <c r="AE504" s="82">
        <f t="shared" si="222"/>
        <v>0</v>
      </c>
      <c r="AF504" s="82">
        <f t="shared" si="222"/>
        <v>0</v>
      </c>
      <c r="AG504" s="82">
        <f t="shared" si="222"/>
        <v>0</v>
      </c>
      <c r="AH504" s="82">
        <f t="shared" si="222"/>
        <v>0</v>
      </c>
      <c r="AI504" s="82">
        <f t="shared" si="222"/>
        <v>0</v>
      </c>
      <c r="AJ504" s="82">
        <f t="shared" si="222"/>
        <v>0</v>
      </c>
      <c r="AK504" s="82">
        <f t="shared" si="222"/>
        <v>0</v>
      </c>
      <c r="AL504" s="82">
        <f t="shared" si="222"/>
        <v>0</v>
      </c>
      <c r="AM504" s="82">
        <f t="shared" si="222"/>
        <v>0</v>
      </c>
      <c r="AN504" s="82">
        <f t="shared" si="222"/>
        <v>0</v>
      </c>
      <c r="AO504" s="82">
        <f t="shared" si="222"/>
        <v>0</v>
      </c>
      <c r="AP504" s="82">
        <f t="shared" si="222"/>
        <v>0</v>
      </c>
      <c r="AQ504" s="82">
        <f t="shared" si="222"/>
        <v>0</v>
      </c>
      <c r="AR504" s="82">
        <f t="shared" si="222"/>
        <v>0</v>
      </c>
      <c r="AS504" s="90"/>
      <c r="AT504" s="30">
        <f>SUM(E504:AS504)</f>
        <v>96111.25</v>
      </c>
    </row>
    <row r="505" spans="1:46" x14ac:dyDescent="0.2">
      <c r="A505" s="63" t="s">
        <v>47</v>
      </c>
      <c r="C505" s="266" t="str">
        <f>Параметры!$B$64</f>
        <v>тыс. руб.</v>
      </c>
      <c r="E505" s="82">
        <f>SUM(E$437,0)</f>
        <v>480556.25</v>
      </c>
      <c r="F505" s="82">
        <f t="shared" ref="F505:AR505" si="223">SUM(F$437,F$438,0,0)</f>
        <v>0</v>
      </c>
      <c r="G505" s="82">
        <f t="shared" si="223"/>
        <v>0</v>
      </c>
      <c r="H505" s="82">
        <f t="shared" si="223"/>
        <v>0</v>
      </c>
      <c r="I505" s="82">
        <f t="shared" si="223"/>
        <v>0</v>
      </c>
      <c r="J505" s="82">
        <f t="shared" si="223"/>
        <v>0</v>
      </c>
      <c r="K505" s="82">
        <f t="shared" si="223"/>
        <v>0</v>
      </c>
      <c r="L505" s="82">
        <f t="shared" si="223"/>
        <v>0</v>
      </c>
      <c r="M505" s="82">
        <f t="shared" si="223"/>
        <v>0</v>
      </c>
      <c r="N505" s="82">
        <f t="shared" si="223"/>
        <v>0</v>
      </c>
      <c r="O505" s="82">
        <f t="shared" si="223"/>
        <v>0</v>
      </c>
      <c r="P505" s="82">
        <f t="shared" si="223"/>
        <v>0</v>
      </c>
      <c r="Q505" s="82">
        <f t="shared" si="223"/>
        <v>0</v>
      </c>
      <c r="R505" s="82">
        <f t="shared" si="223"/>
        <v>0</v>
      </c>
      <c r="S505" s="82">
        <f t="shared" si="223"/>
        <v>0</v>
      </c>
      <c r="T505" s="82">
        <f t="shared" si="223"/>
        <v>0</v>
      </c>
      <c r="U505" s="82">
        <f t="shared" si="223"/>
        <v>0</v>
      </c>
      <c r="V505" s="82">
        <f t="shared" si="223"/>
        <v>0</v>
      </c>
      <c r="W505" s="82">
        <f t="shared" si="223"/>
        <v>0</v>
      </c>
      <c r="X505" s="82">
        <f t="shared" si="223"/>
        <v>0</v>
      </c>
      <c r="Y505" s="82">
        <f t="shared" si="223"/>
        <v>0</v>
      </c>
      <c r="Z505" s="82">
        <f t="shared" si="223"/>
        <v>0</v>
      </c>
      <c r="AA505" s="82">
        <f t="shared" si="223"/>
        <v>0</v>
      </c>
      <c r="AB505" s="82">
        <f t="shared" si="223"/>
        <v>0</v>
      </c>
      <c r="AC505" s="82">
        <f t="shared" si="223"/>
        <v>0</v>
      </c>
      <c r="AD505" s="82">
        <f t="shared" si="223"/>
        <v>0</v>
      </c>
      <c r="AE505" s="82">
        <f t="shared" si="223"/>
        <v>0</v>
      </c>
      <c r="AF505" s="82">
        <f t="shared" si="223"/>
        <v>0</v>
      </c>
      <c r="AG505" s="82">
        <f t="shared" si="223"/>
        <v>0</v>
      </c>
      <c r="AH505" s="82">
        <f t="shared" si="223"/>
        <v>0</v>
      </c>
      <c r="AI505" s="82">
        <f t="shared" si="223"/>
        <v>0</v>
      </c>
      <c r="AJ505" s="82">
        <f t="shared" si="223"/>
        <v>0</v>
      </c>
      <c r="AK505" s="82">
        <f t="shared" si="223"/>
        <v>0</v>
      </c>
      <c r="AL505" s="82">
        <f t="shared" si="223"/>
        <v>0</v>
      </c>
      <c r="AM505" s="82">
        <f t="shared" si="223"/>
        <v>0</v>
      </c>
      <c r="AN505" s="82">
        <f t="shared" si="223"/>
        <v>0</v>
      </c>
      <c r="AO505" s="82">
        <f t="shared" si="223"/>
        <v>0</v>
      </c>
      <c r="AP505" s="82">
        <f t="shared" si="223"/>
        <v>0</v>
      </c>
      <c r="AQ505" s="82">
        <f t="shared" si="223"/>
        <v>0</v>
      </c>
      <c r="AR505" s="82">
        <f t="shared" si="223"/>
        <v>0</v>
      </c>
      <c r="AS505" s="90"/>
      <c r="AT505" s="30">
        <f>SUM(E505:AS505)</f>
        <v>480556.25</v>
      </c>
    </row>
    <row r="506" spans="1:46" x14ac:dyDescent="0.2">
      <c r="A506" s="46"/>
      <c r="B506" s="46"/>
      <c r="C506" s="46"/>
      <c r="D506" s="47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73"/>
      <c r="AT506" s="91"/>
    </row>
    <row r="508" spans="1:46" ht="12" thickBot="1" x14ac:dyDescent="0.25"/>
    <row r="509" spans="1:46" s="43" customFormat="1" ht="25.5" customHeight="1" thickBot="1" x14ac:dyDescent="0.25">
      <c r="A509" s="481" t="s">
        <v>298</v>
      </c>
      <c r="B509" s="479"/>
      <c r="C509" s="490"/>
      <c r="D509" s="487"/>
      <c r="E509" s="479" t="str">
        <f>CHOOSE($D$2,Параметры!E$53,Параметры!E$54)</f>
        <v>1 кв. 2020</v>
      </c>
      <c r="F509" s="479" t="str">
        <f>CHOOSE($D$2,Параметры!F$53,Параметры!F$54)</f>
        <v>2 кв. 2020</v>
      </c>
      <c r="G509" s="479" t="str">
        <f>CHOOSE($D$2,Параметры!G$53,Параметры!G$54)</f>
        <v>3 кв. 2020</v>
      </c>
      <c r="H509" s="479" t="str">
        <f>CHOOSE($D$2,Параметры!H$53,Параметры!H$54)</f>
        <v>4 кв. 2020</v>
      </c>
      <c r="I509" s="479" t="str">
        <f>CHOOSE($D$2,Параметры!I$53,Параметры!I$54)</f>
        <v>1 кв. 2021</v>
      </c>
      <c r="J509" s="479" t="str">
        <f>CHOOSE($D$2,Параметры!J$53,Параметры!J$54)</f>
        <v>2 кв. 2021</v>
      </c>
      <c r="K509" s="479" t="str">
        <f>CHOOSE($D$2,Параметры!K$53,Параметры!K$54)</f>
        <v>3 кв. 2021</v>
      </c>
      <c r="L509" s="479" t="str">
        <f>CHOOSE($D$2,Параметры!L$53,Параметры!L$54)</f>
        <v>4 кв. 2021</v>
      </c>
      <c r="M509" s="479" t="str">
        <f>CHOOSE($D$2,Параметры!M$53,Параметры!M$54)</f>
        <v>1 кв. 2022</v>
      </c>
      <c r="N509" s="479" t="str">
        <f>CHOOSE($D$2,Параметры!N$53,Параметры!N$54)</f>
        <v>2 кв. 2022</v>
      </c>
      <c r="O509" s="479" t="str">
        <f>CHOOSE($D$2,Параметры!O$53,Параметры!O$54)</f>
        <v>3 кв. 2022</v>
      </c>
      <c r="P509" s="479" t="str">
        <f>CHOOSE($D$2,Параметры!P$53,Параметры!P$54)</f>
        <v>4 кв. 2022</v>
      </c>
      <c r="Q509" s="479" t="str">
        <f>CHOOSE($D$2,Параметры!Q$53,Параметры!Q$54)</f>
        <v>1 кв. 2023</v>
      </c>
      <c r="R509" s="479" t="str">
        <f>CHOOSE($D$2,Параметры!R$53,Параметры!R$54)</f>
        <v>2 кв. 2023</v>
      </c>
      <c r="S509" s="479" t="str">
        <f>CHOOSE($D$2,Параметры!S$53,Параметры!S$54)</f>
        <v>3 кв. 2023</v>
      </c>
      <c r="T509" s="479" t="str">
        <f>CHOOSE($D$2,Параметры!T$53,Параметры!T$54)</f>
        <v>4 кв. 2023</v>
      </c>
      <c r="U509" s="479" t="str">
        <f>CHOOSE($D$2,Параметры!U$53,Параметры!U$54)</f>
        <v>1 кв. 2024</v>
      </c>
      <c r="V509" s="479" t="str">
        <f>CHOOSE($D$2,Параметры!V$53,Параметры!V$54)</f>
        <v>2 кв. 2024</v>
      </c>
      <c r="W509" s="479" t="str">
        <f>CHOOSE($D$2,Параметры!W$53,Параметры!W$54)</f>
        <v>3 кв. 2024</v>
      </c>
      <c r="X509" s="479" t="str">
        <f>CHOOSE($D$2,Параметры!X$53,Параметры!X$54)</f>
        <v>4 кв. 2024</v>
      </c>
      <c r="Y509" s="479" t="str">
        <f>CHOOSE($D$2,Параметры!Y$53,Параметры!Y$54)</f>
        <v>1 кв. 2025</v>
      </c>
      <c r="Z509" s="479" t="str">
        <f>CHOOSE($D$2,Параметры!Z$53,Параметры!Z$54)</f>
        <v>2 кв. 2025</v>
      </c>
      <c r="AA509" s="479" t="str">
        <f>CHOOSE($D$2,Параметры!AA$53,Параметры!AA$54)</f>
        <v>3 кв. 2025</v>
      </c>
      <c r="AB509" s="479" t="str">
        <f>CHOOSE($D$2,Параметры!AB$53,Параметры!AB$54)</f>
        <v>4 кв. 2025</v>
      </c>
      <c r="AC509" s="479" t="str">
        <f>CHOOSE($D$2,Параметры!AC$53,Параметры!AC$54)</f>
        <v>1 кв. 2026</v>
      </c>
      <c r="AD509" s="479" t="str">
        <f>CHOOSE($D$2,Параметры!AD$53,Параметры!AD$54)</f>
        <v>2 кв. 2026</v>
      </c>
      <c r="AE509" s="479" t="str">
        <f>CHOOSE($D$2,Параметры!AE$53,Параметры!AE$54)</f>
        <v>3 кв. 2026</v>
      </c>
      <c r="AF509" s="479" t="str">
        <f>CHOOSE($D$2,Параметры!AF$53,Параметры!AF$54)</f>
        <v>4 кв. 2026</v>
      </c>
      <c r="AG509" s="479" t="str">
        <f>CHOOSE($D$2,Параметры!AG$53,Параметры!AG$54)</f>
        <v>1 кв. 2027</v>
      </c>
      <c r="AH509" s="479" t="str">
        <f>CHOOSE($D$2,Параметры!AH$53,Параметры!AH$54)</f>
        <v>2 кв. 2027</v>
      </c>
      <c r="AI509" s="479" t="str">
        <f>CHOOSE($D$2,Параметры!AI$53,Параметры!AI$54)</f>
        <v>3 кв. 2027</v>
      </c>
      <c r="AJ509" s="479" t="str">
        <f>CHOOSE($D$2,Параметры!AJ$53,Параметры!AJ$54)</f>
        <v>4 кв. 2027</v>
      </c>
      <c r="AK509" s="479" t="str">
        <f>CHOOSE($D$2,Параметры!AK$53,Параметры!AK$54)</f>
        <v>1 кв. 2028</v>
      </c>
      <c r="AL509" s="479" t="str">
        <f>CHOOSE($D$2,Параметры!AL$53,Параметры!AL$54)</f>
        <v>2 кв. 2028</v>
      </c>
      <c r="AM509" s="479" t="str">
        <f>CHOOSE($D$2,Параметры!AM$53,Параметры!AM$54)</f>
        <v>3 кв. 2028</v>
      </c>
      <c r="AN509" s="479" t="str">
        <f>CHOOSE($D$2,Параметры!AN$53,Параметры!AN$54)</f>
        <v>4 кв. 2028</v>
      </c>
      <c r="AO509" s="479" t="str">
        <f>CHOOSE($D$2,Параметры!AO$53,Параметры!AO$54)</f>
        <v>1 кв. 2029</v>
      </c>
      <c r="AP509" s="479" t="str">
        <f>CHOOSE($D$2,Параметры!AP$53,Параметры!AP$54)</f>
        <v>2 кв. 2029</v>
      </c>
      <c r="AQ509" s="479" t="str">
        <f>CHOOSE($D$2,Параметры!AQ$53,Параметры!AQ$54)</f>
        <v>3 кв. 2029</v>
      </c>
      <c r="AR509" s="479" t="str">
        <f>CHOOSE($D$2,Параметры!AR$53,Параметры!AR$54)</f>
        <v>4 кв. 2029</v>
      </c>
      <c r="AS509" s="479"/>
      <c r="AT509" s="479" t="s">
        <v>0</v>
      </c>
    </row>
    <row r="510" spans="1:46" ht="11.25" customHeight="1" x14ac:dyDescent="0.2">
      <c r="B510" s="7"/>
      <c r="C510" s="7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  <c r="AA510" s="151"/>
      <c r="AB510" s="151"/>
      <c r="AC510" s="151"/>
      <c r="AD510" s="151"/>
      <c r="AE510" s="151"/>
      <c r="AF510" s="151"/>
      <c r="AG510" s="151"/>
      <c r="AH510" s="151"/>
      <c r="AI510" s="151"/>
      <c r="AJ510" s="151"/>
      <c r="AK510" s="151"/>
      <c r="AL510" s="151"/>
      <c r="AM510" s="151"/>
      <c r="AN510" s="151"/>
      <c r="AO510" s="151"/>
      <c r="AP510" s="151"/>
      <c r="AQ510" s="151"/>
      <c r="AR510" s="151"/>
      <c r="AS510" s="150"/>
      <c r="AT510" s="152"/>
    </row>
    <row r="511" spans="1:46" ht="11.25" customHeight="1" x14ac:dyDescent="0.2">
      <c r="A511" s="133" t="s">
        <v>300</v>
      </c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91"/>
    </row>
    <row r="512" spans="1:46" ht="11.25" customHeight="1" x14ac:dyDescent="0.2">
      <c r="A512" s="153"/>
      <c r="B512" s="64"/>
      <c r="C512" s="64"/>
      <c r="D512" s="65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64"/>
      <c r="AI512" s="64"/>
      <c r="AJ512" s="64"/>
      <c r="AK512" s="64"/>
      <c r="AL512" s="64"/>
      <c r="AM512" s="64"/>
      <c r="AN512" s="64"/>
      <c r="AO512" s="64"/>
      <c r="AP512" s="64"/>
      <c r="AQ512" s="64"/>
      <c r="AR512" s="64"/>
      <c r="AS512" s="64"/>
      <c r="AT512" s="92"/>
    </row>
    <row r="513" spans="1:46" ht="11.25" customHeight="1" x14ac:dyDescent="0.2">
      <c r="A513" s="354" t="str">
        <f>A511</f>
        <v>Собственный капитал</v>
      </c>
      <c r="B513" s="225" t="s">
        <v>390</v>
      </c>
      <c r="C513" s="287">
        <v>1</v>
      </c>
      <c r="D513" s="65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  <c r="V513" s="158"/>
      <c r="W513" s="158"/>
      <c r="X513" s="158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  <c r="AN513" s="64"/>
      <c r="AO513" s="64"/>
      <c r="AP513" s="64"/>
      <c r="AQ513" s="64"/>
      <c r="AR513" s="64"/>
      <c r="AS513" s="41"/>
      <c r="AT513" s="92"/>
    </row>
    <row r="514" spans="1:46" ht="11.25" customHeight="1" x14ac:dyDescent="0.2">
      <c r="A514" s="93" t="s">
        <v>481</v>
      </c>
      <c r="B514" s="217">
        <f ca="1">AT514</f>
        <v>4714146.6052248208</v>
      </c>
      <c r="C514" s="3" t="str">
        <f>CHOOSE(C513,Параметры!$B$64,Параметры!$B$108,Параметры!$B$117)</f>
        <v>тыс. руб.</v>
      </c>
      <c r="E514" s="346">
        <f ca="1">E515+E516</f>
        <v>25998.471684000004</v>
      </c>
      <c r="F514" s="346">
        <f t="shared" ref="F514:AR514" ca="1" si="224">F515+F516</f>
        <v>36085.520096491557</v>
      </c>
      <c r="G514" s="346">
        <f t="shared" ca="1" si="224"/>
        <v>44751.135139393285</v>
      </c>
      <c r="H514" s="346">
        <f t="shared" ca="1" si="224"/>
        <v>38659.773441337988</v>
      </c>
      <c r="I514" s="346">
        <f t="shared" ca="1" si="224"/>
        <v>68991.707169755609</v>
      </c>
      <c r="J514" s="346">
        <f t="shared" ca="1" si="224"/>
        <v>101921.30820085057</v>
      </c>
      <c r="K514" s="346">
        <f t="shared" ca="1" si="224"/>
        <v>127684.32900629527</v>
      </c>
      <c r="L514" s="346">
        <f t="shared" ca="1" si="224"/>
        <v>94604.788895157952</v>
      </c>
      <c r="M514" s="346">
        <f t="shared" ca="1" si="224"/>
        <v>137160.87400907316</v>
      </c>
      <c r="N514" s="346">
        <f t="shared" ca="1" si="224"/>
        <v>228594.77524424525</v>
      </c>
      <c r="O514" s="346">
        <f t="shared" ca="1" si="224"/>
        <v>308694.53315702395</v>
      </c>
      <c r="P514" s="346">
        <f t="shared" ca="1" si="224"/>
        <v>223876.3228870309</v>
      </c>
      <c r="Q514" s="346">
        <f t="shared" ca="1" si="224"/>
        <v>348357.0184022449</v>
      </c>
      <c r="R514" s="346">
        <f t="shared" ca="1" si="224"/>
        <v>514140.38183783821</v>
      </c>
      <c r="S514" s="346">
        <f t="shared" ca="1" si="224"/>
        <v>554642.42018156732</v>
      </c>
      <c r="T514" s="346">
        <f t="shared" ca="1" si="224"/>
        <v>396281.63661328342</v>
      </c>
      <c r="U514" s="346">
        <f t="shared" ca="1" si="224"/>
        <v>78290.968214641194</v>
      </c>
      <c r="V514" s="346">
        <f t="shared" ca="1" si="224"/>
        <v>78266.036622260173</v>
      </c>
      <c r="W514" s="346">
        <f t="shared" ca="1" si="224"/>
        <v>78240.556605833975</v>
      </c>
      <c r="X514" s="346">
        <f t="shared" ca="1" si="224"/>
        <v>78214.516076557251</v>
      </c>
      <c r="Y514" s="346">
        <f t="shared" ca="1" si="224"/>
        <v>78187.902678641229</v>
      </c>
      <c r="Z514" s="346">
        <f t="shared" ca="1" si="224"/>
        <v>78160.703783406905</v>
      </c>
      <c r="AA514" s="346">
        <f t="shared" ca="1" si="224"/>
        <v>78132.906483247338</v>
      </c>
      <c r="AB514" s="346">
        <f t="shared" ca="1" si="224"/>
        <v>78104.497585456047</v>
      </c>
      <c r="AC514" s="346">
        <f t="shared" ca="1" si="224"/>
        <v>77929.84895555659</v>
      </c>
      <c r="AD514" s="346">
        <f t="shared" ca="1" si="224"/>
        <v>77911.990773454119</v>
      </c>
      <c r="AE514" s="346">
        <f t="shared" ca="1" si="224"/>
        <v>77893.745471094182</v>
      </c>
      <c r="AF514" s="346">
        <f t="shared" ca="1" si="224"/>
        <v>77875.10463204782</v>
      </c>
      <c r="AG514" s="346">
        <f t="shared" ca="1" si="224"/>
        <v>76968.927558788331</v>
      </c>
      <c r="AH514" s="346">
        <f t="shared" ca="1" si="224"/>
        <v>77067.902013256098</v>
      </c>
      <c r="AI514" s="346">
        <f t="shared" ca="1" si="224"/>
        <v>77169.119292622054</v>
      </c>
      <c r="AJ514" s="346">
        <f t="shared" ca="1" si="224"/>
        <v>77272.630178439838</v>
      </c>
      <c r="AK514" s="346">
        <f t="shared" ca="1" si="224"/>
        <v>77378.486601207958</v>
      </c>
      <c r="AL514" s="346">
        <f t="shared" ca="1" si="224"/>
        <v>77486.741666348185</v>
      </c>
      <c r="AM514" s="346">
        <f t="shared" ca="1" si="224"/>
        <v>63149.024066370723</v>
      </c>
      <c r="AN514" s="346">
        <f t="shared" ca="1" si="224"/>
        <v>0</v>
      </c>
      <c r="AO514" s="346">
        <f t="shared" ca="1" si="224"/>
        <v>0</v>
      </c>
      <c r="AP514" s="346">
        <f t="shared" ca="1" si="224"/>
        <v>0</v>
      </c>
      <c r="AQ514" s="346">
        <f t="shared" ca="1" si="224"/>
        <v>0</v>
      </c>
      <c r="AR514" s="346">
        <f t="shared" ca="1" si="224"/>
        <v>0</v>
      </c>
      <c r="AS514" s="94"/>
      <c r="AT514" s="84">
        <f ca="1">SUM(E514:AS514)</f>
        <v>4714146.6052248208</v>
      </c>
    </row>
    <row r="515" spans="1:46" s="116" customFormat="1" ht="11.25" customHeight="1" x14ac:dyDescent="0.2">
      <c r="A515" s="448" t="s">
        <v>535</v>
      </c>
      <c r="B515" s="306">
        <f t="shared" ref="B515:B518" ca="1" si="225">AT515</f>
        <v>1631944.7062765686</v>
      </c>
      <c r="C515" s="139" t="str">
        <f>C514</f>
        <v>тыс. руб.</v>
      </c>
      <c r="E515" s="449">
        <f>MAX(E498-Результаты_УК!E69,0)</f>
        <v>0</v>
      </c>
      <c r="F515" s="449">
        <f ca="1">MAX(F498-Результаты_УК!F69,0)</f>
        <v>0</v>
      </c>
      <c r="G515" s="449">
        <f ca="1">MAX(G498-Результаты_УК!G69,0)</f>
        <v>7.2759576141834259E-12</v>
      </c>
      <c r="H515" s="449">
        <f ca="1">MAX(H498-Результаты_УК!H69,0)</f>
        <v>0</v>
      </c>
      <c r="I515" s="449">
        <f ca="1">MAX(I498-Результаты_УК!I69,0)</f>
        <v>18000</v>
      </c>
      <c r="J515" s="449">
        <f ca="1">MAX(J498-Результаты_УК!J69,0)</f>
        <v>53464.14640025064</v>
      </c>
      <c r="K515" s="449">
        <f ca="1">MAX(K498-Результаты_УК!K69,0)</f>
        <v>71361.943490801903</v>
      </c>
      <c r="L515" s="449">
        <f ca="1">MAX(L498-Результаты_УК!L69,0)</f>
        <v>34883.931242673047</v>
      </c>
      <c r="M515" s="449">
        <f ca="1">MAX(M498-Результаты_УК!M69,0)</f>
        <v>80595.723681403208</v>
      </c>
      <c r="N515" s="449">
        <f ca="1">MAX(N498-Результаты_УК!N69,0)</f>
        <v>162225.90390325297</v>
      </c>
      <c r="O515" s="449">
        <f ca="1">MAX(O498-Результаты_УК!O69,0)</f>
        <v>235518.41547772568</v>
      </c>
      <c r="P515" s="449">
        <f ca="1">MAX(P498-Результаты_УК!P69,0)</f>
        <v>132884.33423605689</v>
      </c>
      <c r="Q515" s="449">
        <f ca="1">MAX(Q498-Результаты_УК!Q69,0)</f>
        <v>123429.37780787167</v>
      </c>
      <c r="R515" s="449">
        <f ca="1">MAX(R498-Результаты_УК!R69,0)</f>
        <v>271804.97396747791</v>
      </c>
      <c r="S515" s="449">
        <f ca="1">MAX(S498-Результаты_УК!S69,0)</f>
        <v>297318.55506138236</v>
      </c>
      <c r="T515" s="449">
        <f ca="1">MAX(T498-Результаты_УК!T69,0)</f>
        <v>150457.40100767219</v>
      </c>
      <c r="U515" s="449">
        <f ca="1">MAX(U498-Результаты_УК!U69,0)</f>
        <v>0</v>
      </c>
      <c r="V515" s="449">
        <f ca="1">MAX(V498-Результаты_УК!V69,0)</f>
        <v>0</v>
      </c>
      <c r="W515" s="449">
        <f ca="1">MAX(W498-Результаты_УК!W69,0)</f>
        <v>0</v>
      </c>
      <c r="X515" s="449">
        <f ca="1">MAX(X498-Результаты_УК!X69,0)</f>
        <v>0</v>
      </c>
      <c r="Y515" s="449">
        <f ca="1">MAX(Y498-Результаты_УК!Y69,0)</f>
        <v>0</v>
      </c>
      <c r="Z515" s="449">
        <f ca="1">MAX(Z498-Результаты_УК!Z69,0)</f>
        <v>0</v>
      </c>
      <c r="AA515" s="449">
        <f ca="1">MAX(AA498-Результаты_УК!AA69,0)</f>
        <v>0</v>
      </c>
      <c r="AB515" s="449">
        <f ca="1">MAX(AB498-Результаты_УК!AB69,0)</f>
        <v>0</v>
      </c>
      <c r="AC515" s="449">
        <f ca="1">MAX(AC498-Результаты_УК!AC69,0)</f>
        <v>0</v>
      </c>
      <c r="AD515" s="449">
        <f ca="1">MAX(AD498-Результаты_УК!AD69,0)</f>
        <v>0</v>
      </c>
      <c r="AE515" s="449">
        <f ca="1">MAX(AE498-Результаты_УК!AE69,0)</f>
        <v>0</v>
      </c>
      <c r="AF515" s="449">
        <f ca="1">MAX(AF498-Результаты_УК!AF69,0)</f>
        <v>0</v>
      </c>
      <c r="AG515" s="449">
        <f ca="1">MAX(AG498-Результаты_УК!AG69,0)</f>
        <v>0</v>
      </c>
      <c r="AH515" s="449">
        <f ca="1">MAX(AH498-Результаты_УК!AH69,0)</f>
        <v>0</v>
      </c>
      <c r="AI515" s="449">
        <f ca="1">MAX(AI498-Результаты_УК!AI69,0)</f>
        <v>0</v>
      </c>
      <c r="AJ515" s="449">
        <f ca="1">MAX(AJ498-Результаты_УК!AJ69,0)</f>
        <v>0</v>
      </c>
      <c r="AK515" s="449">
        <f ca="1">MAX(AK498-Результаты_УК!AK69,0)</f>
        <v>0</v>
      </c>
      <c r="AL515" s="449">
        <f ca="1">MAX(AL498-Результаты_УК!AL69,0)</f>
        <v>0</v>
      </c>
      <c r="AM515" s="449">
        <f ca="1">MAX(AM498-Результаты_УК!AM69,0)</f>
        <v>0</v>
      </c>
      <c r="AN515" s="449">
        <f ca="1">MAX(AN498-Результаты_УК!AN69,0)</f>
        <v>0</v>
      </c>
      <c r="AO515" s="449">
        <f ca="1">MAX(AO498-Результаты_УК!AO69,0)</f>
        <v>0</v>
      </c>
      <c r="AP515" s="449">
        <f ca="1">MAX(AP498-Результаты_УК!AP69,0)</f>
        <v>0</v>
      </c>
      <c r="AQ515" s="449">
        <f ca="1">MAX(AQ498-Результаты_УК!AQ69,0)</f>
        <v>0</v>
      </c>
      <c r="AR515" s="449">
        <f ca="1">MAX(AR498-Результаты_УК!AR69-Результаты_УК!AR68,0)</f>
        <v>0</v>
      </c>
      <c r="AS515" s="222"/>
      <c r="AT515" s="103">
        <f ca="1">SUM(E515:AS515)</f>
        <v>1631944.7062765686</v>
      </c>
    </row>
    <row r="516" spans="1:46" s="116" customFormat="1" ht="11.25" customHeight="1" x14ac:dyDescent="0.2">
      <c r="A516" s="448" t="s">
        <v>536</v>
      </c>
      <c r="B516" s="306">
        <f t="shared" ca="1" si="225"/>
        <v>3082201.8989482513</v>
      </c>
      <c r="C516" s="139" t="str">
        <f>C514</f>
        <v>тыс. руб.</v>
      </c>
      <c r="E516" s="449">
        <f ca="1">MAX(-(IF(D2=1,Деятельность_УК!$B$15,Результаты_УК!D77)+Результаты_УК!E56+Результаты_УК!E70+Результаты_УК!E68),0)+E518</f>
        <v>25998.471684000004</v>
      </c>
      <c r="F516" s="449">
        <f ca="1">MAX(-(IF(E2=1,Деятельность_УК!$B$15,Результаты_УК!E77-SUM($D518:E518))+Результаты_УК!F56+Результаты_УК!F70+Результаты_УК!F68),0)+F518</f>
        <v>36085.520096491557</v>
      </c>
      <c r="G516" s="449">
        <f ca="1">MAX(-(IF(F2=1,Деятельность_УК!$B$15,Результаты_УК!F77-SUM($D518:F518))+Результаты_УК!G56+Результаты_УК!G70+Результаты_УК!G68),0)+G518</f>
        <v>44751.135139393278</v>
      </c>
      <c r="H516" s="449">
        <f ca="1">MAX(-(IF(G2=1,Деятельность_УК!$B$15,Результаты_УК!G77-SUM($D518:G518))+Результаты_УК!H56+Результаты_УК!H70+Результаты_УК!H68),0)+H518</f>
        <v>38659.773441337988</v>
      </c>
      <c r="I516" s="449">
        <f ca="1">MAX(-(IF(H2=1,Деятельность_УК!$B$15,Результаты_УК!H77-SUM($D518:H518))+Результаты_УК!I56+Результаты_УК!I70+Результаты_УК!I68),0)+I518</f>
        <v>50991.707169755609</v>
      </c>
      <c r="J516" s="449">
        <f ca="1">MAX(-(IF(I2=1,Деятельность_УК!$B$15,Результаты_УК!I77-SUM($D518:I518))+Результаты_УК!J56+Результаты_УК!J70+Результаты_УК!J68),0)+J518</f>
        <v>48457.161800599933</v>
      </c>
      <c r="K516" s="449">
        <f ca="1">MAX(-(IF(J2=1,Деятельность_УК!$B$15,Результаты_УК!J77-SUM($D518:J518))+Результаты_УК!K56+Результаты_УК!K70+Результаты_УК!K68),0)+K518</f>
        <v>56322.38551549337</v>
      </c>
      <c r="L516" s="449">
        <f ca="1">MAX(-(IF(K2=1,Деятельность_УК!$B$15,Результаты_УК!K77-SUM($D518:K518))+Результаты_УК!L56+Результаты_УК!L70+Результаты_УК!L68),0)+L518</f>
        <v>59720.857652484898</v>
      </c>
      <c r="M516" s="449">
        <f ca="1">MAX(-(IF(L2=1,Деятельность_УК!$B$15,Результаты_УК!L77-SUM($D518:L518))+Результаты_УК!M56+Результаты_УК!M70+Результаты_УК!M68),0)+M518</f>
        <v>56565.150327669944</v>
      </c>
      <c r="N516" s="449">
        <f ca="1">MAX(-(IF(M2=1,Деятельность_УК!$B$15,Результаты_УК!M77-SUM($D518:M518))+Результаты_УК!N56+Результаты_УК!N70+Результаты_УК!N68),0)+N518</f>
        <v>66368.871340992293</v>
      </c>
      <c r="O516" s="449">
        <f ca="1">MAX(-(IF(N2=1,Деятельность_УК!$B$15,Результаты_УК!N77-SUM($D518:N518))+Результаты_УК!O56+Результаты_УК!O70+Результаты_УК!O68),0)+O518</f>
        <v>73176.117679298244</v>
      </c>
      <c r="P516" s="449">
        <f ca="1">MAX(-(IF(O2=1,Деятельность_УК!$B$15,Результаты_УК!O77-SUM($D518:O518))+Результаты_УК!P56+Результаты_УК!P70+Результаты_УК!P68),0)+P518</f>
        <v>90991.988650974003</v>
      </c>
      <c r="Q516" s="449">
        <f ca="1">MAX(-(IF(P2=1,Деятельность_УК!$B$15,Результаты_УК!P77-SUM($D518:P518))+Результаты_УК!Q56+Результаты_УК!Q70+Результаты_УК!Q68),0)+Q518</f>
        <v>224927.64059437322</v>
      </c>
      <c r="R516" s="449">
        <f ca="1">MAX(-(IF(Q2=1,Деятельность_УК!$B$15,Результаты_УК!Q77-SUM($D518:Q518))+Результаты_УК!R56+Результаты_УК!R70+Результаты_УК!R68),0)+R518</f>
        <v>242335.40787036027</v>
      </c>
      <c r="S516" s="449">
        <f ca="1">MAX(-(IF(R2=1,Деятельность_УК!$B$15,Результаты_УК!R77-SUM($D518:R518))+Результаты_УК!S56+Результаты_УК!S70+Результаты_УК!S68),0)+S518</f>
        <v>257323.8651201849</v>
      </c>
      <c r="T516" s="449">
        <f ca="1">MAX(-(IF(S2=1,Деятельность_УК!$B$15,Результаты_УК!S77-SUM($D518:S518))+Результаты_УК!T56+Результаты_УК!T70+Результаты_УК!T68),0)+T518</f>
        <v>245824.23560561123</v>
      </c>
      <c r="U516" s="449">
        <f ca="1">MAX(-(IF(T2=1,Деятельность_УК!$B$15,Результаты_УК!T77-SUM($D518:T518))+Результаты_УК!U56+Результаты_УК!U70+Результаты_УК!U68),0)+U518</f>
        <v>78290.968214641194</v>
      </c>
      <c r="V516" s="449">
        <f ca="1">MAX(-(IF(U2=1,Деятельность_УК!$B$15,Результаты_УК!U77-SUM($D518:U518))+Результаты_УК!V56+Результаты_УК!V70+Результаты_УК!V68),0)+V518</f>
        <v>78266.036622260173</v>
      </c>
      <c r="W516" s="449">
        <f ca="1">MAX(-(IF(V2=1,Деятельность_УК!$B$15,Результаты_УК!V77-SUM($D518:V518))+Результаты_УК!W56+Результаты_УК!W70+Результаты_УК!W68),0)+W518</f>
        <v>78240.556605833975</v>
      </c>
      <c r="X516" s="449">
        <f ca="1">MAX(-(IF(W2=1,Деятельность_УК!$B$15,Результаты_УК!W77-SUM($D518:W518))+Результаты_УК!X56+Результаты_УК!X70+Результаты_УК!X68),0)+X518</f>
        <v>78214.516076557251</v>
      </c>
      <c r="Y516" s="449">
        <f ca="1">MAX(-(IF(X2=1,Деятельность_УК!$B$15,Результаты_УК!X77-SUM($D518:X518))+Результаты_УК!Y56+Результаты_УК!Y70+Результаты_УК!Y68),0)+Y518</f>
        <v>78187.902678641229</v>
      </c>
      <c r="Z516" s="449">
        <f ca="1">MAX(-(IF(Y2=1,Деятельность_УК!$B$15,Результаты_УК!Y77-SUM($D518:Y518))+Результаты_УК!Z56+Результаты_УК!Z70+Результаты_УК!Z68),0)+Z518</f>
        <v>78160.703783406905</v>
      </c>
      <c r="AA516" s="449">
        <f ca="1">MAX(-(IF(Z2=1,Деятельность_УК!$B$15,Результаты_УК!Z77-SUM($D518:Z518))+Результаты_УК!AA56+Результаты_УК!AA70+Результаты_УК!AA68),0)+AA518</f>
        <v>78132.906483247338</v>
      </c>
      <c r="AB516" s="449">
        <f ca="1">MAX(-(IF(AA2=1,Деятельность_УК!$B$15,Результаты_УК!AA77-SUM($D518:AA518))+Результаты_УК!AB56+Результаты_УК!AB70+Результаты_УК!AB68),0)+AB518</f>
        <v>78104.497585456047</v>
      </c>
      <c r="AC516" s="449">
        <f ca="1">MAX(-(IF(AB2=1,Деятельность_УК!$B$15,Результаты_УК!AB77-SUM($D518:AB518))+Результаты_УК!AC56+Результаты_УК!AC70+Результаты_УК!AC68),0)+AC518</f>
        <v>77929.84895555659</v>
      </c>
      <c r="AD516" s="449">
        <f ca="1">MAX(-(IF(AC2=1,Деятельность_УК!$B$15,Результаты_УК!AC77-SUM($D518:AC518))+Результаты_УК!AD56+Результаты_УК!AD70+Результаты_УК!AD68),0)+AD518</f>
        <v>77911.990773454119</v>
      </c>
      <c r="AE516" s="449">
        <f ca="1">MAX(-(IF(AD2=1,Деятельность_УК!$B$15,Результаты_УК!AD77-SUM($D518:AD518))+Результаты_УК!AE56+Результаты_УК!AE70+Результаты_УК!AE68),0)+AE518</f>
        <v>77893.745471094182</v>
      </c>
      <c r="AF516" s="449">
        <f ca="1">MAX(-(IF(AE2=1,Деятельность_УК!$B$15,Результаты_УК!AE77-SUM($D518:AE518))+Результаты_УК!AF56+Результаты_УК!AF70+Результаты_УК!AF68),0)+AF518</f>
        <v>77875.10463204782</v>
      </c>
      <c r="AG516" s="449">
        <f ca="1">MAX(-(IF(AF2=1,Деятельность_УК!$B$15,Результаты_УК!AF77-SUM($D518:AF518))+Результаты_УК!AG56+Результаты_УК!AG70+Результаты_УК!AG68),0)+AG518</f>
        <v>76968.927558788331</v>
      </c>
      <c r="AH516" s="449">
        <f ca="1">MAX(-(IF(AG2=1,Деятельность_УК!$B$15,Результаты_УК!AG77-SUM($D518:AG518))+Результаты_УК!AH56+Результаты_УК!AH70+Результаты_УК!AH68),0)+AH518</f>
        <v>77067.902013256098</v>
      </c>
      <c r="AI516" s="449">
        <f ca="1">MAX(-(IF(AH2=1,Деятельность_УК!$B$15,Результаты_УК!AH77-SUM($D518:AH518))+Результаты_УК!AI56+Результаты_УК!AI70+Результаты_УК!AI68),0)+AI518</f>
        <v>77169.119292622054</v>
      </c>
      <c r="AJ516" s="449">
        <f ca="1">MAX(-(IF(AI2=1,Деятельность_УК!$B$15,Результаты_УК!AI77-SUM($D518:AI518))+Результаты_УК!AJ56+Результаты_УК!AJ70+Результаты_УК!AJ68),0)+AJ518</f>
        <v>77272.630178439838</v>
      </c>
      <c r="AK516" s="449">
        <f ca="1">MAX(-(IF(AJ2=1,Деятельность_УК!$B$15,Результаты_УК!AJ77-SUM($D518:AJ518))+Результаты_УК!AK56+Результаты_УК!AK70+Результаты_УК!AK68),0)+AK518</f>
        <v>77378.486601207958</v>
      </c>
      <c r="AL516" s="449">
        <f ca="1">MAX(-(IF(AK2=1,Деятельность_УК!$B$15,Результаты_УК!AK77-SUM($D518:AK518))+Результаты_УК!AL56+Результаты_УК!AL70+Результаты_УК!AL68),0)+AL518</f>
        <v>77486.741666348185</v>
      </c>
      <c r="AM516" s="449">
        <f ca="1">MAX(-(IF(AL2=1,Деятельность_УК!$B$15,Результаты_УК!AL77-SUM($D518:AL518))+Результаты_УК!AM56+Результаты_УК!AM70+Результаты_УК!AM68),0)+AM518</f>
        <v>63149.024066370723</v>
      </c>
      <c r="AN516" s="449">
        <f ca="1">MAX(-(IF(AM2=1,Деятельность_УК!$B$15,Результаты_УК!AM77-SUM($D518:AM518))+Результаты_УК!AN56+Результаты_УК!AN70+Результаты_УК!AN68),0)+AN518</f>
        <v>0</v>
      </c>
      <c r="AO516" s="449">
        <f ca="1">MAX(-(IF(AN2=1,Деятельность_УК!$B$15,Результаты_УК!AN77-SUM($D518:AN518))+Результаты_УК!AO56+Результаты_УК!AO70+Результаты_УК!AO68),0)+AO518</f>
        <v>0</v>
      </c>
      <c r="AP516" s="449">
        <f ca="1">MAX(-(IF(AO2=1,Деятельность_УК!$B$15,Результаты_УК!AO77-SUM($D518:AO518))+Результаты_УК!AP56+Результаты_УК!AP70+Результаты_УК!AP68),0)+AP518</f>
        <v>0</v>
      </c>
      <c r="AQ516" s="449">
        <f ca="1">MAX(-(IF(AP2=1,Деятельность_УК!$B$15,Результаты_УК!AP77-SUM($D518:AP518))+Результаты_УК!AQ56+Результаты_УК!AQ70+Результаты_УК!AQ68),0)+AQ518</f>
        <v>0</v>
      </c>
      <c r="AR516" s="449">
        <f ca="1">MAX(-(IF(AQ2=1,Деятельность_УК!$B$15,Результаты_УК!AQ77-SUM($D518:AQ518))+Результаты_УК!AR56+Результаты_УК!AR70+Результаты_УК!AR68),0)+AR518</f>
        <v>0</v>
      </c>
      <c r="AS516" s="222"/>
      <c r="AT516" s="103">
        <f ca="1">SUM(E516:AS516)</f>
        <v>3082201.8989482513</v>
      </c>
    </row>
    <row r="517" spans="1:46" s="116" customFormat="1" ht="23.25" customHeight="1" x14ac:dyDescent="0.2">
      <c r="A517" s="1013" t="s">
        <v>1018</v>
      </c>
      <c r="B517" s="306">
        <f ca="1">AT517</f>
        <v>1087721.6941400014</v>
      </c>
      <c r="C517" s="139" t="str">
        <f>C516</f>
        <v>тыс. руб.</v>
      </c>
      <c r="E517" s="103">
        <f t="shared" ref="E517:AR517" ca="1" si="226">E516-E518</f>
        <v>20731.544184000002</v>
      </c>
      <c r="F517" s="103">
        <f t="shared" ca="1" si="226"/>
        <v>28857.830096491554</v>
      </c>
      <c r="G517" s="103">
        <f t="shared" ca="1" si="226"/>
        <v>29472.029324992909</v>
      </c>
      <c r="H517" s="103">
        <f t="shared" ca="1" si="226"/>
        <v>22953.044939514926</v>
      </c>
      <c r="I517" s="103">
        <f t="shared" ca="1" si="226"/>
        <v>33109.152960903484</v>
      </c>
      <c r="J517" s="103">
        <f t="shared" ca="1" si="226"/>
        <v>29658.61381264939</v>
      </c>
      <c r="K517" s="103">
        <f t="shared" ca="1" si="226"/>
        <v>36325.052814823939</v>
      </c>
      <c r="L517" s="103">
        <f t="shared" ca="1" si="226"/>
        <v>39098.357560865363</v>
      </c>
      <c r="M517" s="103">
        <f t="shared" ca="1" si="226"/>
        <v>31512.843123384602</v>
      </c>
      <c r="N517" s="103">
        <f t="shared" ca="1" si="226"/>
        <v>38767.425125679438</v>
      </c>
      <c r="O517" s="103">
        <f t="shared" ca="1" si="226"/>
        <v>41871.297872583629</v>
      </c>
      <c r="P517" s="103">
        <f t="shared" ca="1" si="226"/>
        <v>57600.407051067901</v>
      </c>
      <c r="Q517" s="103">
        <f t="shared" ca="1" si="226"/>
        <v>157875.59714692208</v>
      </c>
      <c r="R517" s="103">
        <f t="shared" ca="1" si="226"/>
        <v>171025.28972715233</v>
      </c>
      <c r="S517" s="103">
        <f t="shared" ca="1" si="226"/>
        <v>181354.33600393636</v>
      </c>
      <c r="T517" s="103">
        <f t="shared" ca="1" si="226"/>
        <v>167508.87239503351</v>
      </c>
      <c r="U517" s="103">
        <f t="shared" ca="1" si="226"/>
        <v>0</v>
      </c>
      <c r="V517" s="103">
        <f t="shared" ca="1" si="226"/>
        <v>0</v>
      </c>
      <c r="W517" s="103">
        <f t="shared" ca="1" si="226"/>
        <v>0</v>
      </c>
      <c r="X517" s="103">
        <f t="shared" ca="1" si="226"/>
        <v>0</v>
      </c>
      <c r="Y517" s="103">
        <f t="shared" ca="1" si="226"/>
        <v>0</v>
      </c>
      <c r="Z517" s="103">
        <f t="shared" ca="1" si="226"/>
        <v>0</v>
      </c>
      <c r="AA517" s="103">
        <f t="shared" ca="1" si="226"/>
        <v>0</v>
      </c>
      <c r="AB517" s="103">
        <f t="shared" ca="1" si="226"/>
        <v>0</v>
      </c>
      <c r="AC517" s="103">
        <f t="shared" ca="1" si="226"/>
        <v>0</v>
      </c>
      <c r="AD517" s="103">
        <f t="shared" ca="1" si="226"/>
        <v>0</v>
      </c>
      <c r="AE517" s="103">
        <f t="shared" ca="1" si="226"/>
        <v>0</v>
      </c>
      <c r="AF517" s="103">
        <f t="shared" ca="1" si="226"/>
        <v>0</v>
      </c>
      <c r="AG517" s="103">
        <f t="shared" ca="1" si="226"/>
        <v>0</v>
      </c>
      <c r="AH517" s="103">
        <f t="shared" ca="1" si="226"/>
        <v>0</v>
      </c>
      <c r="AI517" s="103">
        <f t="shared" ca="1" si="226"/>
        <v>0</v>
      </c>
      <c r="AJ517" s="103">
        <f t="shared" ca="1" si="226"/>
        <v>0</v>
      </c>
      <c r="AK517" s="103">
        <f t="shared" ca="1" si="226"/>
        <v>0</v>
      </c>
      <c r="AL517" s="103">
        <f t="shared" ca="1" si="226"/>
        <v>0</v>
      </c>
      <c r="AM517" s="103">
        <f t="shared" ca="1" si="226"/>
        <v>0</v>
      </c>
      <c r="AN517" s="103">
        <f t="shared" ca="1" si="226"/>
        <v>0</v>
      </c>
      <c r="AO517" s="103">
        <f t="shared" ca="1" si="226"/>
        <v>0</v>
      </c>
      <c r="AP517" s="103">
        <f t="shared" ca="1" si="226"/>
        <v>0</v>
      </c>
      <c r="AQ517" s="103">
        <f t="shared" ca="1" si="226"/>
        <v>0</v>
      </c>
      <c r="AR517" s="103">
        <f t="shared" ca="1" si="226"/>
        <v>0</v>
      </c>
      <c r="AS517" s="222"/>
      <c r="AT517" s="103">
        <f ca="1">SUM(E517:AS517)</f>
        <v>1087721.6941400014</v>
      </c>
    </row>
    <row r="518" spans="1:46" s="116" customFormat="1" ht="22.5" x14ac:dyDescent="0.2">
      <c r="A518" s="1013" t="s">
        <v>1010</v>
      </c>
      <c r="B518" s="306">
        <f t="shared" ca="1" si="225"/>
        <v>1994480.2048082489</v>
      </c>
      <c r="C518" s="139" t="str">
        <f>C515</f>
        <v>тыс. руб.</v>
      </c>
      <c r="E518" s="103">
        <f ca="1">MAX((-Результаты_УК!E132-Результаты_УК!E133)*(ИД!$C$262-1)*IF(Результаты_УК!E107&gt;0,1,0))</f>
        <v>5266.9275000000016</v>
      </c>
      <c r="F518" s="103">
        <f ca="1">MAX((-Результаты_УК!F132-Результаты_УК!F133)*(ИД!$C$262-1)*IF(Результаты_УК!F107&gt;0,1,0))</f>
        <v>7227.6900000000005</v>
      </c>
      <c r="G518" s="103">
        <f ca="1">MAX((-Результаты_УК!G132-Результаты_УК!G133)*(ИД!$C$262-1)*IF(Результаты_УК!G107&gt;0,1,0))</f>
        <v>15279.105814400367</v>
      </c>
      <c r="H518" s="103">
        <f ca="1">MAX((-Результаты_УК!H132-Результаты_УК!H133)*(ИД!$C$262-1)*IF(Результаты_УК!H107&gt;0,1,0))</f>
        <v>15706.72850182306</v>
      </c>
      <c r="I518" s="103">
        <f ca="1">MAX((-Результаты_УК!I132-Результаты_УК!I133)*(ИД!$C$262-1)*IF(Результаты_УК!I107&gt;0,1,0))</f>
        <v>17882.554208852125</v>
      </c>
      <c r="J518" s="103">
        <f ca="1">MAX((-Результаты_УК!J132-Результаты_УК!J133)*(ИД!$C$262-1)*IF(Результаты_УК!J107&gt;0,1,0))</f>
        <v>18798.547987950544</v>
      </c>
      <c r="K518" s="103">
        <f ca="1">MAX((-Результаты_УК!K132-Результаты_УК!K133)*(ИД!$C$262-1)*IF(Результаты_УК!K107&gt;0,1,0))</f>
        <v>19997.332700669434</v>
      </c>
      <c r="L518" s="103">
        <f ca="1">MAX((-Результаты_УК!L132-Результаты_УК!L133)*(ИД!$C$262-1)*IF(Результаты_УК!L107&gt;0,1,0))</f>
        <v>20622.500091619535</v>
      </c>
      <c r="M518" s="103">
        <f ca="1">MAX((-Результаты_УК!M132-Результаты_УК!M133)*(ИД!$C$262-1)*IF(Результаты_УК!M107&gt;0,1,0))</f>
        <v>25052.307204285342</v>
      </c>
      <c r="N518" s="103">
        <f ca="1">MAX((-Результаты_УК!N132-Результаты_УК!N133)*(ИД!$C$262-1)*IF(Результаты_УК!N107&gt;0,1,0))</f>
        <v>27601.446215312855</v>
      </c>
      <c r="O518" s="103">
        <f ca="1">MAX((-Результаты_УК!O132-Результаты_УК!O133)*(ИД!$C$262-1)*IF(Результаты_УК!O107&gt;0,1,0))</f>
        <v>31304.819806714615</v>
      </c>
      <c r="P518" s="103">
        <f ca="1">MAX((-Результаты_УК!P132-Результаты_УК!P133)*(ИД!$C$262-1)*IF(Результаты_УК!P107&gt;0,1,0))</f>
        <v>33391.581599906101</v>
      </c>
      <c r="Q518" s="103">
        <f ca="1">MAX((-Результаты_УК!Q132-Результаты_УК!Q133)*(ИД!$C$262-1)*IF(Результаты_УК!Q107&gt;0,1,0))</f>
        <v>67052.043447451142</v>
      </c>
      <c r="R518" s="103">
        <f ca="1">MAX((-Результаты_УК!R132-Результаты_УК!R133)*(ИД!$C$262-1)*IF(Результаты_УК!R107&gt;0,1,0))</f>
        <v>71310.118143207947</v>
      </c>
      <c r="S518" s="103">
        <f ca="1">MAX((-Результаты_УК!S132-Результаты_УК!S133)*(ИД!$C$262-1)*IF(Результаты_УК!S107&gt;0,1,0))</f>
        <v>75969.529116248552</v>
      </c>
      <c r="T518" s="103">
        <f ca="1">MAX((-Результаты_УК!T132-Результаты_УК!T133)*(ИД!$C$262-1)*IF(Результаты_УК!T107&gt;0,1,0))</f>
        <v>78315.363210577721</v>
      </c>
      <c r="U518" s="103">
        <f ca="1">MAX((-Результаты_УК!U132-Результаты_УК!U133)*(ИД!$C$262-1)*IF(Результаты_УК!U107&gt;0,1,0))</f>
        <v>78290.968214641194</v>
      </c>
      <c r="V518" s="103">
        <f ca="1">MAX((-Результаты_УК!V132-Результаты_УК!V133)*(ИД!$C$262-1)*IF(Результаты_УК!V107&gt;0,1,0))</f>
        <v>78266.036622260173</v>
      </c>
      <c r="W518" s="103">
        <f ca="1">MAX((-Результаты_УК!W132-Результаты_УК!W133)*(ИД!$C$262-1)*IF(Результаты_УК!W107&gt;0,1,0))</f>
        <v>78240.556605833975</v>
      </c>
      <c r="X518" s="103">
        <f ca="1">MAX((-Результаты_УК!X132-Результаты_УК!X133)*(ИД!$C$262-1)*IF(Результаты_УК!X107&gt;0,1,0))</f>
        <v>78214.516076557251</v>
      </c>
      <c r="Y518" s="103">
        <f ca="1">MAX((-Результаты_УК!Y132-Результаты_УК!Y133)*(ИД!$C$262-1)*IF(Результаты_УК!Y107&gt;0,1,0))</f>
        <v>78187.902678641229</v>
      </c>
      <c r="Z518" s="103">
        <f ca="1">MAX((-Результаты_УК!Z132-Результаты_УК!Z133)*(ИД!$C$262-1)*IF(Результаты_УК!Z107&gt;0,1,0))</f>
        <v>78160.703783406905</v>
      </c>
      <c r="AA518" s="103">
        <f ca="1">MAX((-Результаты_УК!AA132-Результаты_УК!AA133)*(ИД!$C$262-1)*IF(Результаты_УК!AA107&gt;0,1,0))</f>
        <v>78132.906483247338</v>
      </c>
      <c r="AB518" s="103">
        <f ca="1">MAX((-Результаты_УК!AB132-Результаты_УК!AB133)*(ИД!$C$262-1)*IF(Результаты_УК!AB107&gt;0,1,0))</f>
        <v>78104.497585456047</v>
      </c>
      <c r="AC518" s="103">
        <f ca="1">MAX((-Результаты_УК!AC132-Результаты_УК!AC133)*(ИД!$C$262-1)*IF(Результаты_УК!AC107&gt;0,1,0))</f>
        <v>77929.84895555659</v>
      </c>
      <c r="AD518" s="103">
        <f ca="1">MAX((-Результаты_УК!AD132-Результаты_УК!AD133)*(ИД!$C$262-1)*IF(Результаты_УК!AD107&gt;0,1,0))</f>
        <v>77911.990773454119</v>
      </c>
      <c r="AE518" s="103">
        <f ca="1">MAX((-Результаты_УК!AE132-Результаты_УК!AE133)*(ИД!$C$262-1)*IF(Результаты_УК!AE107&gt;0,1,0))</f>
        <v>77893.745471094182</v>
      </c>
      <c r="AF518" s="103">
        <f ca="1">MAX((-Результаты_УК!AF132-Результаты_УК!AF133)*(ИД!$C$262-1)*IF(Результаты_УК!AF107&gt;0,1,0))</f>
        <v>77875.10463204782</v>
      </c>
      <c r="AG518" s="103">
        <f ca="1">MAX((-Результаты_УК!AG132-Результаты_УК!AG133)*(ИД!$C$262-1)*IF(Результаты_УК!AG107&gt;0,1,0))</f>
        <v>76968.927558788331</v>
      </c>
      <c r="AH518" s="103">
        <f ca="1">MAX((-Результаты_УК!AH132-Результаты_УК!AH133)*(ИД!$C$262-1)*IF(Результаты_УК!AH107&gt;0,1,0))</f>
        <v>77067.902013256098</v>
      </c>
      <c r="AI518" s="103">
        <f ca="1">MAX((-Результаты_УК!AI132-Результаты_УК!AI133)*(ИД!$C$262-1)*IF(Результаты_УК!AI107&gt;0,1,0))</f>
        <v>77169.119292622054</v>
      </c>
      <c r="AJ518" s="103">
        <f ca="1">MAX((-Результаты_УК!AJ132-Результаты_УК!AJ133)*(ИД!$C$262-1)*IF(Результаты_УК!AJ107&gt;0,1,0))</f>
        <v>77272.630178439838</v>
      </c>
      <c r="AK518" s="103">
        <f ca="1">MAX((-Результаты_УК!AK132-Результаты_УК!AK133)*(ИД!$C$262-1)*IF(Результаты_УК!AK107&gt;0,1,0))</f>
        <v>77378.486601207958</v>
      </c>
      <c r="AL518" s="103">
        <f ca="1">MAX((-Результаты_УК!AL132-Результаты_УК!AL133)*(ИД!$C$262-1)*IF(Результаты_УК!AL107&gt;0,1,0))</f>
        <v>77486.741666348185</v>
      </c>
      <c r="AM518" s="103">
        <f ca="1">MAX((-Результаты_УК!AM132-Результаты_УК!AM133)*(ИД!$C$262-1)*IF(Результаты_УК!AM107&gt;0,1,0))</f>
        <v>63149.024066370723</v>
      </c>
      <c r="AN518" s="103">
        <f ca="1">MAX((-Результаты_УК!AN132-Результаты_УК!AN133)*(ИД!$C$262-1)*IF(Результаты_УК!AN107&gt;0,1,0))</f>
        <v>0</v>
      </c>
      <c r="AO518" s="103">
        <f ca="1">MAX((-Результаты_УК!AO132-Результаты_УК!AO133)*(ИД!$C$262-1)*IF(Результаты_УК!AO107&gt;0,1,0))</f>
        <v>0</v>
      </c>
      <c r="AP518" s="103">
        <f ca="1">MAX((-Результаты_УК!AP132-Результаты_УК!AP133)*(ИД!$C$262-1)*IF(Результаты_УК!AP107&gt;0,1,0))</f>
        <v>0</v>
      </c>
      <c r="AQ518" s="103">
        <f ca="1">MAX((-Результаты_УК!AQ132-Результаты_УК!AQ133)*(ИД!$C$262-1)*IF(Результаты_УК!AQ107&gt;0,1,0))</f>
        <v>0</v>
      </c>
      <c r="AR518" s="103">
        <f ca="1">MAX((-Результаты_УК!AR132-Результаты_УК!AR133)*(ИД!$C$262-1)*IF(Результаты_УК!AR107&gt;0,1,0))</f>
        <v>0</v>
      </c>
      <c r="AS518" s="222"/>
      <c r="AT518" s="103">
        <f ca="1">SUM(E518:AS518)</f>
        <v>1994480.2048082489</v>
      </c>
    </row>
    <row r="519" spans="1:46" ht="11.25" customHeight="1" x14ac:dyDescent="0.2">
      <c r="A519" s="153"/>
      <c r="B519" s="64"/>
      <c r="C519" s="64"/>
      <c r="D519" s="65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82"/>
      <c r="AN519" s="82"/>
      <c r="AO519" s="82"/>
      <c r="AP519" s="82"/>
      <c r="AQ519" s="82"/>
      <c r="AR519" s="82"/>
      <c r="AS519" s="64"/>
      <c r="AT519" s="92"/>
    </row>
    <row r="520" spans="1:46" ht="11.25" customHeight="1" x14ac:dyDescent="0.2">
      <c r="A520" s="133" t="s">
        <v>282</v>
      </c>
      <c r="B520" s="46"/>
      <c r="C520" s="46"/>
      <c r="D520" s="47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91"/>
    </row>
    <row r="521" spans="1:46" ht="11.25" customHeight="1" x14ac:dyDescent="0.2">
      <c r="A521" s="153"/>
      <c r="B521" s="64"/>
      <c r="C521" s="64"/>
      <c r="D521" s="65"/>
      <c r="E521" s="64"/>
      <c r="F521" s="64"/>
      <c r="G521" s="64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64"/>
      <c r="AA521" s="64"/>
      <c r="AB521" s="64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  <c r="AN521" s="64"/>
      <c r="AO521" s="64"/>
      <c r="AP521" s="64"/>
      <c r="AQ521" s="64"/>
      <c r="AR521" s="64"/>
      <c r="AS521" s="64"/>
      <c r="AT521" s="92"/>
    </row>
    <row r="522" spans="1:46" s="104" customFormat="1" ht="11.25" customHeight="1" x14ac:dyDescent="0.2">
      <c r="A522" s="117" t="s">
        <v>820</v>
      </c>
      <c r="B522" s="92"/>
      <c r="C522" s="92"/>
      <c r="D522" s="117"/>
      <c r="E522" s="103">
        <f>SUM($E498:E498)</f>
        <v>301153.75</v>
      </c>
      <c r="F522" s="103">
        <f ca="1">SUM($E498:F498)</f>
        <v>627947.5</v>
      </c>
      <c r="G522" s="103">
        <f ca="1">SUM($E498:G498)</f>
        <v>692047.5</v>
      </c>
      <c r="H522" s="103">
        <f ca="1">SUM($E498:H498)</f>
        <v>763839.5</v>
      </c>
      <c r="I522" s="103">
        <f ca="1">SUM($E498:I498)</f>
        <v>854607.5</v>
      </c>
      <c r="J522" s="103">
        <f ca="1">SUM($E498:J498)</f>
        <v>1045802.5780927144</v>
      </c>
      <c r="K522" s="103">
        <f ca="1">SUM($E498:K498)</f>
        <v>1296820.2649521702</v>
      </c>
      <c r="L522" s="103">
        <f ca="1">SUM($E498:L498)</f>
        <v>1426409.9166697431</v>
      </c>
      <c r="M522" s="103">
        <f ca="1">SUM($E498:M498)</f>
        <v>1695062.328941087</v>
      </c>
      <c r="N522" s="103">
        <f ca="1">SUM($E498:N498)</f>
        <v>2235815.34195193</v>
      </c>
      <c r="O522" s="103">
        <f ca="1">SUM($E498:O498)</f>
        <v>3020876.7268776819</v>
      </c>
      <c r="P522" s="103">
        <f ca="1">SUM($E498:P498)</f>
        <v>3463824.507664538</v>
      </c>
      <c r="Q522" s="103">
        <f ca="1">SUM($E498:Q498)</f>
        <v>3875255.7670241101</v>
      </c>
      <c r="R522" s="103">
        <f ca="1">SUM($E498:R498)</f>
        <v>4781272.3469157033</v>
      </c>
      <c r="S522" s="103">
        <f ca="1">SUM($E498:S498)</f>
        <v>5772334.1971203107</v>
      </c>
      <c r="T522" s="103">
        <f ca="1">SUM($E498:T498)</f>
        <v>6273858.8671458848</v>
      </c>
      <c r="U522" s="103">
        <f ca="1">SUM($E498:U498)</f>
        <v>6273858.8671458848</v>
      </c>
      <c r="V522" s="103">
        <f ca="1">SUM($E498:V498)</f>
        <v>6273858.8671458848</v>
      </c>
      <c r="W522" s="103">
        <f ca="1">SUM($E498:W498)</f>
        <v>6273858.8671458848</v>
      </c>
      <c r="X522" s="103">
        <f ca="1">SUM($E498:X498)</f>
        <v>6273858.8671458848</v>
      </c>
      <c r="Y522" s="103">
        <f ca="1">SUM($E498:Y498)</f>
        <v>6273858.8671458848</v>
      </c>
      <c r="Z522" s="103">
        <f ca="1">SUM($E498:Z498)</f>
        <v>6273858.8671458848</v>
      </c>
      <c r="AA522" s="103">
        <f ca="1">SUM($E498:AA498)</f>
        <v>6273858.8671458848</v>
      </c>
      <c r="AB522" s="103">
        <f ca="1">SUM($E498:AB498)</f>
        <v>6273858.8671458848</v>
      </c>
      <c r="AC522" s="103">
        <f ca="1">SUM($E498:AC498)</f>
        <v>6273858.8671458848</v>
      </c>
      <c r="AD522" s="103">
        <f ca="1">SUM($E498:AD498)</f>
        <v>6273858.8671458848</v>
      </c>
      <c r="AE522" s="103">
        <f ca="1">SUM($E498:AE498)</f>
        <v>6273858.8671458848</v>
      </c>
      <c r="AF522" s="103">
        <f ca="1">SUM($E498:AF498)</f>
        <v>6273858.8671458848</v>
      </c>
      <c r="AG522" s="103">
        <f ca="1">SUM($E498:AG498)</f>
        <v>6273858.8671458848</v>
      </c>
      <c r="AH522" s="103">
        <f ca="1">SUM($E498:AH498)</f>
        <v>6273858.8671458848</v>
      </c>
      <c r="AI522" s="103">
        <f ca="1">SUM($E498:AI498)</f>
        <v>6273858.8671458848</v>
      </c>
      <c r="AJ522" s="103">
        <f ca="1">SUM($E498:AJ498)</f>
        <v>6273858.8671458848</v>
      </c>
      <c r="AK522" s="103">
        <f ca="1">SUM($E498:AK498)</f>
        <v>6273858.8671458848</v>
      </c>
      <c r="AL522" s="103">
        <f ca="1">SUM($E498:AL498)</f>
        <v>6273858.8671458848</v>
      </c>
      <c r="AM522" s="103">
        <f ca="1">SUM($E498:AM498)</f>
        <v>6273858.8671458848</v>
      </c>
      <c r="AN522" s="103">
        <f ca="1">SUM($E498:AN498)</f>
        <v>6273858.8671458848</v>
      </c>
      <c r="AO522" s="103">
        <f ca="1">SUM($E498:AO498)</f>
        <v>6273858.8671458848</v>
      </c>
      <c r="AP522" s="103">
        <f ca="1">SUM($E498:AP498)</f>
        <v>6273858.8671458848</v>
      </c>
      <c r="AQ522" s="103">
        <f ca="1">SUM($E498:AQ498)</f>
        <v>6273858.8671458848</v>
      </c>
      <c r="AR522" s="103">
        <f ca="1">SUM($E498:AR498)</f>
        <v>6273858.8671458848</v>
      </c>
      <c r="AS522" s="92"/>
      <c r="AT522" s="92"/>
    </row>
    <row r="523" spans="1:46" ht="11.25" customHeight="1" x14ac:dyDescent="0.2">
      <c r="A523" s="153"/>
      <c r="B523" s="64"/>
      <c r="C523" s="64"/>
      <c r="D523" s="65"/>
      <c r="E523" s="64"/>
      <c r="F523" s="64"/>
      <c r="G523" s="64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64"/>
      <c r="AA523" s="64"/>
      <c r="AB523" s="64"/>
      <c r="AC523" s="64"/>
      <c r="AD523" s="64"/>
      <c r="AE523" s="64"/>
      <c r="AF523" s="64"/>
      <c r="AG523" s="64"/>
      <c r="AH523" s="64"/>
      <c r="AI523" s="64"/>
      <c r="AJ523" s="64"/>
      <c r="AK523" s="64"/>
      <c r="AL523" s="64"/>
      <c r="AM523" s="64"/>
      <c r="AN523" s="64"/>
      <c r="AO523" s="64"/>
      <c r="AP523" s="64"/>
      <c r="AQ523" s="64"/>
      <c r="AR523" s="64"/>
      <c r="AS523" s="64"/>
      <c r="AT523" s="92"/>
    </row>
    <row r="524" spans="1:46" ht="11.25" customHeight="1" x14ac:dyDescent="0.2">
      <c r="A524" s="354" t="s">
        <v>701</v>
      </c>
      <c r="B524" s="225" t="s">
        <v>390</v>
      </c>
      <c r="C524" s="287">
        <v>1</v>
      </c>
      <c r="D524" s="65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N524" s="64"/>
      <c r="AO524" s="64"/>
      <c r="AP524" s="64"/>
      <c r="AQ524" s="64"/>
      <c r="AR524" s="64"/>
      <c r="AS524" s="41"/>
      <c r="AT524" s="92"/>
    </row>
    <row r="525" spans="1:46" ht="11.25" customHeight="1" x14ac:dyDescent="0.2">
      <c r="A525" s="93" t="s">
        <v>481</v>
      </c>
      <c r="B525" s="217">
        <f ca="1">AT525</f>
        <v>407250</v>
      </c>
      <c r="C525" s="3" t="str">
        <f>CHOOSE(C524,Параметры!$B$64,Параметры!$B$108,Параметры!$B$117)</f>
        <v>тыс. руб.</v>
      </c>
      <c r="E525" s="346">
        <f>E526+E527</f>
        <v>0</v>
      </c>
      <c r="F525" s="346">
        <f t="shared" ref="F525:AR525" ca="1" si="227">F526+F527</f>
        <v>0</v>
      </c>
      <c r="G525" s="346">
        <f t="shared" ca="1" si="227"/>
        <v>0</v>
      </c>
      <c r="H525" s="346">
        <f t="shared" ca="1" si="227"/>
        <v>0</v>
      </c>
      <c r="I525" s="346">
        <f t="shared" ca="1" si="227"/>
        <v>0</v>
      </c>
      <c r="J525" s="346">
        <f t="shared" ca="1" si="227"/>
        <v>1000.0318861108526</v>
      </c>
      <c r="K525" s="346">
        <f t="shared" ca="1" si="227"/>
        <v>1000.0318861108526</v>
      </c>
      <c r="L525" s="346">
        <f t="shared" ca="1" si="227"/>
        <v>1009.441750841768</v>
      </c>
      <c r="M525" s="346">
        <f t="shared" ca="1" si="227"/>
        <v>1018.9401583036547</v>
      </c>
      <c r="N525" s="346">
        <f t="shared" ca="1" si="227"/>
        <v>1028.5279416450671</v>
      </c>
      <c r="O525" s="346">
        <f t="shared" ca="1" si="227"/>
        <v>9789.8628804723394</v>
      </c>
      <c r="P525" s="346">
        <f t="shared" ca="1" si="227"/>
        <v>1594.6509547354606</v>
      </c>
      <c r="Q525" s="346">
        <f t="shared" ca="1" si="227"/>
        <v>1612.4299840332176</v>
      </c>
      <c r="R525" s="346">
        <f t="shared" ca="1" si="227"/>
        <v>1630.4072346921009</v>
      </c>
      <c r="S525" s="346">
        <f t="shared" ca="1" si="227"/>
        <v>6213.4515893743246</v>
      </c>
      <c r="T525" s="346">
        <f t="shared" ca="1" si="227"/>
        <v>27253.662425870105</v>
      </c>
      <c r="U525" s="346">
        <f t="shared" ca="1" si="227"/>
        <v>33048.408915747459</v>
      </c>
      <c r="V525" s="346">
        <f t="shared" ca="1" si="227"/>
        <v>33376.232728754119</v>
      </c>
      <c r="W525" s="346">
        <f t="shared" ca="1" si="227"/>
        <v>106640.07890610778</v>
      </c>
      <c r="X525" s="346">
        <f t="shared" ca="1" si="227"/>
        <v>40289.666342360943</v>
      </c>
      <c r="Y525" s="346">
        <f t="shared" ca="1" si="227"/>
        <v>40870.272412639461</v>
      </c>
      <c r="Z525" s="346">
        <f t="shared" ca="1" si="227"/>
        <v>58019.532144945959</v>
      </c>
      <c r="AA525" s="346">
        <f t="shared" ca="1" si="227"/>
        <v>41854.369857254555</v>
      </c>
      <c r="AB525" s="346">
        <f t="shared" ca="1" si="227"/>
        <v>0</v>
      </c>
      <c r="AC525" s="346">
        <f t="shared" ca="1" si="227"/>
        <v>0</v>
      </c>
      <c r="AD525" s="346">
        <f t="shared" ca="1" si="227"/>
        <v>0</v>
      </c>
      <c r="AE525" s="346">
        <f t="shared" ca="1" si="227"/>
        <v>0</v>
      </c>
      <c r="AF525" s="346">
        <f t="shared" ca="1" si="227"/>
        <v>0</v>
      </c>
      <c r="AG525" s="346">
        <f t="shared" ca="1" si="227"/>
        <v>0</v>
      </c>
      <c r="AH525" s="346">
        <f t="shared" ca="1" si="227"/>
        <v>0</v>
      </c>
      <c r="AI525" s="346">
        <f t="shared" ca="1" si="227"/>
        <v>0</v>
      </c>
      <c r="AJ525" s="346">
        <f t="shared" ca="1" si="227"/>
        <v>0</v>
      </c>
      <c r="AK525" s="346">
        <f t="shared" ca="1" si="227"/>
        <v>0</v>
      </c>
      <c r="AL525" s="346">
        <f t="shared" ca="1" si="227"/>
        <v>0</v>
      </c>
      <c r="AM525" s="346">
        <f t="shared" ca="1" si="227"/>
        <v>0</v>
      </c>
      <c r="AN525" s="346">
        <f t="shared" ca="1" si="227"/>
        <v>0</v>
      </c>
      <c r="AO525" s="346">
        <f t="shared" ca="1" si="227"/>
        <v>0</v>
      </c>
      <c r="AP525" s="346">
        <f t="shared" ca="1" si="227"/>
        <v>0</v>
      </c>
      <c r="AQ525" s="346">
        <f t="shared" ca="1" si="227"/>
        <v>0</v>
      </c>
      <c r="AR525" s="346">
        <f t="shared" ca="1" si="227"/>
        <v>0</v>
      </c>
      <c r="AS525" s="94"/>
      <c r="AT525" s="84">
        <f ca="1">SUM(E525:AS525)</f>
        <v>407250</v>
      </c>
    </row>
    <row r="526" spans="1:46" s="40" customFormat="1" ht="11.25" customHeight="1" x14ac:dyDescent="0.2">
      <c r="A526" s="472" t="s">
        <v>553</v>
      </c>
      <c r="B526" s="306">
        <f t="shared" ref="B526:B527" ca="1" si="228">AT526</f>
        <v>407250</v>
      </c>
      <c r="C526" s="3" t="str">
        <f>CHOOSE(C524,Параметры!$B$64,Параметры!$B$108,Параметры!$B$117)</f>
        <v>тыс. руб.</v>
      </c>
      <c r="E526" s="556">
        <v>0</v>
      </c>
      <c r="F526" s="353">
        <f ca="1">IF(AND(F2&gt;=MATCH(ИД!$C$194,$E$509:$AR$509,0),F2&lt;ИД!$C$192+MATCH(ИД!$C$194,$E$509:$AR$509,0)),1,0)*MIN(F522-SUM($E526:E526),ИД!$C$191*ИД!$C$30-SUM($E526:E526),Резиденты!E232-Резиденты!E233*(1-ИД!$C$193))*ИД!$C$196</f>
        <v>0</v>
      </c>
      <c r="G526" s="353">
        <f ca="1">IF(AND(G2&gt;=MATCH(ИД!$C$194,$E$509:$AR$509,0),G2&lt;ИД!$C$192+MATCH(ИД!$C$194,$E$509:$AR$509,0)),1,0)*MIN(G522-SUM($E526:F526),ИД!$C$191*ИД!$C$30-SUM($E526:F526),Резиденты!F232-Резиденты!F233*(1-ИД!$C$193))*ИД!$C$196</f>
        <v>0</v>
      </c>
      <c r="H526" s="353">
        <f ca="1">IF(AND(H2&gt;=MATCH(ИД!$C$194,$E$509:$AR$509,0),H2&lt;ИД!$C$192+MATCH(ИД!$C$194,$E$509:$AR$509,0)),1,0)*MIN(H522-SUM($E526:G526),ИД!$C$191*ИД!$C$30-SUM($E526:G526),Резиденты!G232-Резиденты!G233*(1-ИД!$C$193))*ИД!$C$196</f>
        <v>0</v>
      </c>
      <c r="I526" s="353">
        <f ca="1">IF(AND(I2&gt;=MATCH(ИД!$C$194,$E$509:$AR$509,0),I2&lt;ИД!$C$192+MATCH(ИД!$C$194,$E$509:$AR$509,0)),1,0)*MIN(I522-SUM($E526:H526),ИД!$C$191*ИД!$C$30-SUM($E526:H526),Резиденты!H232-Резиденты!H233*(1-ИД!$C$193))*ИД!$C$196</f>
        <v>0</v>
      </c>
      <c r="J526" s="353">
        <f ca="1">IF(AND(J2&gt;=MATCH(ИД!$C$194,$E$509:$AR$509,0),J2&lt;ИД!$C$192+MATCH(ИД!$C$194,$E$509:$AR$509,0)),1,0)*MIN(J522-SUM($E526:I526),ИД!$C$191*ИД!$C$30-SUM($E526:I526),Резиденты!I232-Резиденты!I233*(1-ИД!$C$193))*ИД!$C$196</f>
        <v>1000.0318861108526</v>
      </c>
      <c r="K526" s="353">
        <f ca="1">IF(AND(K2&gt;=MATCH(ИД!$C$194,$E$509:$AR$509,0),K2&lt;ИД!$C$192+MATCH(ИД!$C$194,$E$509:$AR$509,0)),1,0)*MIN(K522-SUM($E526:J526),ИД!$C$191*ИД!$C$30-SUM($E526:J526),Резиденты!J232-Резиденты!J233*(1-ИД!$C$193))*ИД!$C$196</f>
        <v>1000.0318861108526</v>
      </c>
      <c r="L526" s="353">
        <f ca="1">IF(AND(L2&gt;=MATCH(ИД!$C$194,$E$509:$AR$509,0),L2&lt;ИД!$C$192+MATCH(ИД!$C$194,$E$509:$AR$509,0)),1,0)*MIN(L522-SUM($E526:K526),ИД!$C$191*ИД!$C$30-SUM($E526:K526),Резиденты!K232-Резиденты!K233*(1-ИД!$C$193))*ИД!$C$196</f>
        <v>1009.441750841768</v>
      </c>
      <c r="M526" s="353">
        <f ca="1">IF(AND(M2&gt;=MATCH(ИД!$C$194,$E$509:$AR$509,0),M2&lt;ИД!$C$192+MATCH(ИД!$C$194,$E$509:$AR$509,0)),1,0)*MIN(M522-SUM($E526:L526),ИД!$C$191*ИД!$C$30-SUM($E526:L526),Резиденты!L232-Резиденты!L233*(1-ИД!$C$193))*ИД!$C$196</f>
        <v>1018.9401583036547</v>
      </c>
      <c r="N526" s="353">
        <f ca="1">IF(AND(N2&gt;=MATCH(ИД!$C$194,$E$509:$AR$509,0),N2&lt;ИД!$C$192+MATCH(ИД!$C$194,$E$509:$AR$509,0)),1,0)*MIN(N522-SUM($E526:M526),ИД!$C$191*ИД!$C$30-SUM($E526:M526),Резиденты!M232-Резиденты!M233*(1-ИД!$C$193))*ИД!$C$196</f>
        <v>1028.5279416450671</v>
      </c>
      <c r="O526" s="353">
        <f ca="1">IF(AND(O2&gt;=MATCH(ИД!$C$194,$E$509:$AR$509,0),O2&lt;ИД!$C$192+MATCH(ИД!$C$194,$E$509:$AR$509,0)),1,0)*MIN(O522-SUM($E526:N526),ИД!$C$191*ИД!$C$30-SUM($E526:N526),Резиденты!N232-Резиденты!N233*(1-ИД!$C$193))*ИД!$C$196</f>
        <v>9789.8628804723394</v>
      </c>
      <c r="P526" s="353">
        <f ca="1">IF(AND(P2&gt;=MATCH(ИД!$C$194,$E$509:$AR$509,0),P2&lt;ИД!$C$192+MATCH(ИД!$C$194,$E$509:$AR$509,0)),1,0)*MIN(P522-SUM($E526:O526),ИД!$C$191*ИД!$C$30-SUM($E526:O526),Резиденты!O232-Резиденты!O233*(1-ИД!$C$193))*ИД!$C$196</f>
        <v>1594.6509547354606</v>
      </c>
      <c r="Q526" s="353">
        <f ca="1">IF(AND(Q2&gt;=MATCH(ИД!$C$194,$E$509:$AR$509,0),Q2&lt;ИД!$C$192+MATCH(ИД!$C$194,$E$509:$AR$509,0)),1,0)*MIN(Q522-SUM($E526:P526),ИД!$C$191*ИД!$C$30-SUM($E526:P526),Резиденты!P232-Резиденты!P233*(1-ИД!$C$193))*ИД!$C$196</f>
        <v>1612.4299840332176</v>
      </c>
      <c r="R526" s="353">
        <f ca="1">IF(AND(R2&gt;=MATCH(ИД!$C$194,$E$509:$AR$509,0),R2&lt;ИД!$C$192+MATCH(ИД!$C$194,$E$509:$AR$509,0)),1,0)*MIN(R522-SUM($E526:Q526),ИД!$C$191*ИД!$C$30-SUM($E526:Q526),Резиденты!Q232-Резиденты!Q233*(1-ИД!$C$193))*ИД!$C$196</f>
        <v>1630.4072346921009</v>
      </c>
      <c r="S526" s="353">
        <f ca="1">IF(AND(S2&gt;=MATCH(ИД!$C$194,$E$509:$AR$509,0),S2&lt;ИД!$C$192+MATCH(ИД!$C$194,$E$509:$AR$509,0)),1,0)*MIN(S522-SUM($E526:R526),ИД!$C$191*ИД!$C$30-SUM($E526:R526),Резиденты!R232-Резиденты!R233*(1-ИД!$C$193))*ИД!$C$196</f>
        <v>6213.4515893743246</v>
      </c>
      <c r="T526" s="353">
        <f ca="1">IF(AND(T2&gt;=MATCH(ИД!$C$194,$E$509:$AR$509,0),T2&lt;ИД!$C$192+MATCH(ИД!$C$194,$E$509:$AR$509,0)),1,0)*MIN(T522-SUM($E526:S526),ИД!$C$191*ИД!$C$30-SUM($E526:S526),Резиденты!S232-Резиденты!S233*(1-ИД!$C$193))*ИД!$C$196</f>
        <v>27253.662425870105</v>
      </c>
      <c r="U526" s="353">
        <f ca="1">IF(AND(U2&gt;=MATCH(ИД!$C$194,$E$509:$AR$509,0),U2&lt;ИД!$C$192+MATCH(ИД!$C$194,$E$509:$AR$509,0)),1,0)*MIN(U522-SUM($E526:T526),ИД!$C$191*ИД!$C$30-SUM($E526:T526),Резиденты!T232-Резиденты!T233*(1-ИД!$C$193))*ИД!$C$196</f>
        <v>33048.408915747459</v>
      </c>
      <c r="V526" s="353">
        <f ca="1">IF(AND(V2&gt;=MATCH(ИД!$C$194,$E$509:$AR$509,0),V2&lt;ИД!$C$192+MATCH(ИД!$C$194,$E$509:$AR$509,0)),1,0)*MIN(V522-SUM($E526:U526),ИД!$C$191*ИД!$C$30-SUM($E526:U526),Резиденты!U232-Резиденты!U233*(1-ИД!$C$193))*ИД!$C$196</f>
        <v>33376.232728754119</v>
      </c>
      <c r="W526" s="353">
        <f ca="1">IF(AND(W2&gt;=MATCH(ИД!$C$194,$E$509:$AR$509,0),W2&lt;ИД!$C$192+MATCH(ИД!$C$194,$E$509:$AR$509,0)),1,0)*MIN(W522-SUM($E526:V526),ИД!$C$191*ИД!$C$30-SUM($E526:V526),Резиденты!V232-Резиденты!V233*(1-ИД!$C$193))*ИД!$C$196</f>
        <v>106640.07890610778</v>
      </c>
      <c r="X526" s="353">
        <f ca="1">IF(AND(X2&gt;=MATCH(ИД!$C$194,$E$509:$AR$509,0),X2&lt;ИД!$C$192+MATCH(ИД!$C$194,$E$509:$AR$509,0)),1,0)*MIN(X522-SUM($E526:W526),ИД!$C$191*ИД!$C$30-SUM($E526:W526),Резиденты!W232-Резиденты!W233*(1-ИД!$C$193))*ИД!$C$196</f>
        <v>40289.666342360943</v>
      </c>
      <c r="Y526" s="353">
        <f ca="1">IF(AND(Y2&gt;=MATCH(ИД!$C$194,$E$509:$AR$509,0),Y2&lt;ИД!$C$192+MATCH(ИД!$C$194,$E$509:$AR$509,0)),1,0)*MIN(Y522-SUM($E526:X526),ИД!$C$191*ИД!$C$30-SUM($E526:X526),Резиденты!X232-Резиденты!X233*(1-ИД!$C$193))*ИД!$C$196</f>
        <v>40870.272412639461</v>
      </c>
      <c r="Z526" s="353">
        <f ca="1">IF(AND(Z2&gt;=MATCH(ИД!$C$194,$E$509:$AR$509,0),Z2&lt;ИД!$C$192+MATCH(ИД!$C$194,$E$509:$AR$509,0)),1,0)*MIN(Z522-SUM($E526:Y526),ИД!$C$191*ИД!$C$30-SUM($E526:Y526),Резиденты!Y232-Резиденты!Y233*(1-ИД!$C$193))*ИД!$C$196</f>
        <v>58019.532144945959</v>
      </c>
      <c r="AA526" s="353">
        <f ca="1">IF(AND(AA2&gt;=MATCH(ИД!$C$194,$E$509:$AR$509,0),AA2&lt;ИД!$C$192+MATCH(ИД!$C$194,$E$509:$AR$509,0)),1,0)*MIN(AA522-SUM($E526:Z526),ИД!$C$191*ИД!$C$30-SUM($E526:Z526),Резиденты!Z232-Резиденты!Z233*(1-ИД!$C$193))*ИД!$C$196</f>
        <v>41854.369857254555</v>
      </c>
      <c r="AB526" s="353">
        <f ca="1">IF(AND(AB2&gt;=MATCH(ИД!$C$194,$E$509:$AR$509,0),AB2&lt;ИД!$C$192+MATCH(ИД!$C$194,$E$509:$AR$509,0)),1,0)*MIN(AB522-SUM($E526:AA526),ИД!$C$191*ИД!$C$30-SUM($E526:AA526),Резиденты!AA232-Резиденты!AA233*(1-ИД!$C$193))*ИД!$C$196</f>
        <v>0</v>
      </c>
      <c r="AC526" s="353">
        <f ca="1">IF(AND(AC2&gt;=MATCH(ИД!$C$194,$E$509:$AR$509,0),AC2&lt;ИД!$C$192+MATCH(ИД!$C$194,$E$509:$AR$509,0)),1,0)*MIN(AC522-SUM($E526:AB526),ИД!$C$191*ИД!$C$30-SUM($E526:AB526),Резиденты!AB232-Резиденты!AB233*(1-ИД!$C$193))*ИД!$C$196</f>
        <v>0</v>
      </c>
      <c r="AD526" s="353">
        <f ca="1">IF(AND(AD2&gt;=MATCH(ИД!$C$194,$E$509:$AR$509,0),AD2&lt;ИД!$C$192+MATCH(ИД!$C$194,$E$509:$AR$509,0)),1,0)*MIN(AD522-SUM($E526:AC526),ИД!$C$191*ИД!$C$30-SUM($E526:AC526),Резиденты!AC232-Резиденты!AC233*(1-ИД!$C$193))*ИД!$C$196</f>
        <v>0</v>
      </c>
      <c r="AE526" s="353">
        <f ca="1">IF(AND(AE2&gt;=MATCH(ИД!$C$194,$E$509:$AR$509,0),AE2&lt;ИД!$C$192+MATCH(ИД!$C$194,$E$509:$AR$509,0)),1,0)*MIN(AE522-SUM($E526:AD526),ИД!$C$191*ИД!$C$30-SUM($E526:AD526),Резиденты!AD232-Резиденты!AD233*(1-ИД!$C$193))*ИД!$C$196</f>
        <v>0</v>
      </c>
      <c r="AF526" s="353">
        <f ca="1">IF(AND(AF2&gt;=MATCH(ИД!$C$194,$E$509:$AR$509,0),AF2&lt;ИД!$C$192+MATCH(ИД!$C$194,$E$509:$AR$509,0)),1,0)*MIN(AF522-SUM($E526:AE526),ИД!$C$191*ИД!$C$30-SUM($E526:AE526),Резиденты!AE232-Резиденты!AE233*(1-ИД!$C$193))*ИД!$C$196</f>
        <v>0</v>
      </c>
      <c r="AG526" s="353">
        <f ca="1">IF(AND(AG2&gt;=MATCH(ИД!$C$194,$E$509:$AR$509,0),AG2&lt;ИД!$C$192+MATCH(ИД!$C$194,$E$509:$AR$509,0)),1,0)*MIN(AG522-SUM($E526:AF526),ИД!$C$191*ИД!$C$30-SUM($E526:AF526),Резиденты!AF232-Резиденты!AF233*(1-ИД!$C$193))*ИД!$C$196</f>
        <v>0</v>
      </c>
      <c r="AH526" s="353">
        <f ca="1">IF(AND(AH2&gt;=MATCH(ИД!$C$194,$E$509:$AR$509,0),AH2&lt;ИД!$C$192+MATCH(ИД!$C$194,$E$509:$AR$509,0)),1,0)*MIN(AH522-SUM($E526:AG526),ИД!$C$191*ИД!$C$30-SUM($E526:AG526),Резиденты!AG232-Резиденты!AG233*(1-ИД!$C$193))*ИД!$C$196</f>
        <v>0</v>
      </c>
      <c r="AI526" s="353">
        <f ca="1">IF(AND(AI2&gt;=MATCH(ИД!$C$194,$E$509:$AR$509,0),AI2&lt;ИД!$C$192+MATCH(ИД!$C$194,$E$509:$AR$509,0)),1,0)*MIN(AI522-SUM($E526:AH526),ИД!$C$191*ИД!$C$30-SUM($E526:AH526),Резиденты!AH232-Резиденты!AH233*(1-ИД!$C$193))*ИД!$C$196</f>
        <v>0</v>
      </c>
      <c r="AJ526" s="353">
        <f ca="1">IF(AND(AJ2&gt;=MATCH(ИД!$C$194,$E$509:$AR$509,0),AJ2&lt;ИД!$C$192+MATCH(ИД!$C$194,$E$509:$AR$509,0)),1,0)*MIN(AJ522-SUM($E526:AI526),ИД!$C$191*ИД!$C$30-SUM($E526:AI526),Резиденты!AI232-Резиденты!AI233*(1-ИД!$C$193))*ИД!$C$196</f>
        <v>0</v>
      </c>
      <c r="AK526" s="353">
        <f ca="1">IF(AND(AK2&gt;=MATCH(ИД!$C$194,$E$509:$AR$509,0),AK2&lt;ИД!$C$192+MATCH(ИД!$C$194,$E$509:$AR$509,0)),1,0)*MIN(AK522-SUM($E526:AJ526),ИД!$C$191*ИД!$C$30-SUM($E526:AJ526),Резиденты!AJ232-Резиденты!AJ233*(1-ИД!$C$193))*ИД!$C$196</f>
        <v>0</v>
      </c>
      <c r="AL526" s="353">
        <f ca="1">IF(AND(AL2&gt;=MATCH(ИД!$C$194,$E$509:$AR$509,0),AL2&lt;ИД!$C$192+MATCH(ИД!$C$194,$E$509:$AR$509,0)),1,0)*MIN(AL522-SUM($E526:AK526),ИД!$C$191*ИД!$C$30-SUM($E526:AK526),Резиденты!AK232-Резиденты!AK233*(1-ИД!$C$193))*ИД!$C$196</f>
        <v>0</v>
      </c>
      <c r="AM526" s="353">
        <f ca="1">IF(AND(AM2&gt;=MATCH(ИД!$C$194,$E$509:$AR$509,0),AM2&lt;ИД!$C$192+MATCH(ИД!$C$194,$E$509:$AR$509,0)),1,0)*MIN(AM522-SUM($E526:AL526),ИД!$C$191*ИД!$C$30-SUM($E526:AL526),Резиденты!AL232-Резиденты!AL233*(1-ИД!$C$193))*ИД!$C$196</f>
        <v>0</v>
      </c>
      <c r="AN526" s="353">
        <f ca="1">IF(AND(AN2&gt;=MATCH(ИД!$C$194,$E$509:$AR$509,0),AN2&lt;ИД!$C$192+MATCH(ИД!$C$194,$E$509:$AR$509,0)),1,0)*MIN(AN522-SUM($E526:AM526),ИД!$C$191*ИД!$C$30-SUM($E526:AM526),Резиденты!AM232-Резиденты!AM233*(1-ИД!$C$193))*ИД!$C$196</f>
        <v>0</v>
      </c>
      <c r="AO526" s="353">
        <f ca="1">IF(AND(AO2&gt;=MATCH(ИД!$C$194,$E$509:$AR$509,0),AO2&lt;ИД!$C$192+MATCH(ИД!$C$194,$E$509:$AR$509,0)),1,0)*MIN(AO522-SUM($E526:AN526),ИД!$C$191*ИД!$C$30-SUM($E526:AN526),Резиденты!AN232-Резиденты!AN233*(1-ИД!$C$193))*ИД!$C$196</f>
        <v>0</v>
      </c>
      <c r="AP526" s="353">
        <f ca="1">IF(AND(AP2&gt;=MATCH(ИД!$C$194,$E$509:$AR$509,0),AP2&lt;ИД!$C$192+MATCH(ИД!$C$194,$E$509:$AR$509,0)),1,0)*MIN(AP522-SUM($E526:AO526),ИД!$C$191*ИД!$C$30-SUM($E526:AO526),Резиденты!AO232-Резиденты!AO233*(1-ИД!$C$193))*ИД!$C$196</f>
        <v>0</v>
      </c>
      <c r="AQ526" s="353">
        <f ca="1">IF(AND(AQ2&gt;=MATCH(ИД!$C$194,$E$509:$AR$509,0),AQ2&lt;ИД!$C$192+MATCH(ИД!$C$194,$E$509:$AR$509,0)),1,0)*MIN(AQ522-SUM($E526:AP526),ИД!$C$191*ИД!$C$30-SUM($E526:AP526),Резиденты!AP232-Резиденты!AP233*(1-ИД!$C$193))*ИД!$C$196</f>
        <v>0</v>
      </c>
      <c r="AR526" s="353">
        <f ca="1">IF(AND(AR2&gt;=MATCH(ИД!$C$194,$E$509:$AR$509,0),AR2&lt;ИД!$C$192+MATCH(ИД!$C$194,$E$509:$AR$509,0)),1,0)*MIN(AR522-SUM($E526:AQ526),ИД!$C$191*ИД!$C$30-SUM($E526:AQ526),Резиденты!AQ232-Резиденты!AQ233*(1-ИД!$C$193))*ИД!$C$196</f>
        <v>0</v>
      </c>
      <c r="AS526" s="102"/>
      <c r="AT526" s="103">
        <f ca="1">SUM(E526:AS526)</f>
        <v>407250</v>
      </c>
    </row>
    <row r="527" spans="1:46" s="40" customFormat="1" ht="11.25" customHeight="1" x14ac:dyDescent="0.2">
      <c r="A527" s="472" t="s">
        <v>554</v>
      </c>
      <c r="B527" s="306">
        <f t="shared" si="228"/>
        <v>0</v>
      </c>
      <c r="C527" s="3" t="str">
        <f>CHOOSE(C524,Параметры!$B$64,Параметры!$B$108,Параметры!$B$117)</f>
        <v>тыс. руб.</v>
      </c>
      <c r="E527" s="353">
        <v>0</v>
      </c>
      <c r="F527" s="353">
        <v>0</v>
      </c>
      <c r="G527" s="353">
        <v>0</v>
      </c>
      <c r="H527" s="353">
        <v>0</v>
      </c>
      <c r="I527" s="353">
        <v>0</v>
      </c>
      <c r="J527" s="353">
        <v>0</v>
      </c>
      <c r="K527" s="353">
        <v>0</v>
      </c>
      <c r="L527" s="353">
        <v>0</v>
      </c>
      <c r="M527" s="353">
        <v>0</v>
      </c>
      <c r="N527" s="353">
        <v>0</v>
      </c>
      <c r="O527" s="353">
        <v>0</v>
      </c>
      <c r="P527" s="353">
        <v>0</v>
      </c>
      <c r="Q527" s="353">
        <v>0</v>
      </c>
      <c r="R527" s="353">
        <v>0</v>
      </c>
      <c r="S527" s="353">
        <v>0</v>
      </c>
      <c r="T527" s="353">
        <v>0</v>
      </c>
      <c r="U527" s="353">
        <v>0</v>
      </c>
      <c r="V527" s="353">
        <v>0</v>
      </c>
      <c r="W527" s="353">
        <v>0</v>
      </c>
      <c r="X527" s="353">
        <v>0</v>
      </c>
      <c r="Y527" s="353">
        <v>0</v>
      </c>
      <c r="Z527" s="353">
        <v>0</v>
      </c>
      <c r="AA527" s="353">
        <v>0</v>
      </c>
      <c r="AB527" s="353">
        <v>0</v>
      </c>
      <c r="AC527" s="353">
        <v>0</v>
      </c>
      <c r="AD527" s="353">
        <v>0</v>
      </c>
      <c r="AE527" s="353">
        <v>0</v>
      </c>
      <c r="AF527" s="353">
        <v>0</v>
      </c>
      <c r="AG527" s="353">
        <v>0</v>
      </c>
      <c r="AH527" s="353">
        <v>0</v>
      </c>
      <c r="AI527" s="353">
        <v>0</v>
      </c>
      <c r="AJ527" s="353">
        <v>0</v>
      </c>
      <c r="AK527" s="353">
        <v>0</v>
      </c>
      <c r="AL527" s="353">
        <v>0</v>
      </c>
      <c r="AM527" s="353">
        <v>0</v>
      </c>
      <c r="AN527" s="353">
        <v>0</v>
      </c>
      <c r="AO527" s="353">
        <v>0</v>
      </c>
      <c r="AP527" s="353">
        <v>0</v>
      </c>
      <c r="AQ527" s="353">
        <v>0</v>
      </c>
      <c r="AR527" s="353">
        <v>0</v>
      </c>
      <c r="AS527" s="102"/>
      <c r="AT527" s="103">
        <f>SUM(E527:AS527)</f>
        <v>0</v>
      </c>
    </row>
    <row r="528" spans="1:46" s="116" customFormat="1" ht="11.25" customHeight="1" x14ac:dyDescent="0.2">
      <c r="A528" s="448" t="s">
        <v>399</v>
      </c>
      <c r="B528" s="306">
        <f ca="1">AT528</f>
        <v>407250</v>
      </c>
      <c r="C528" s="139" t="str">
        <f>CHOOSE(C524,Параметры!$B$64,Параметры!$B$108,Параметры!$B$117)</f>
        <v>тыс. руб.</v>
      </c>
      <c r="E528" s="449">
        <f>E525</f>
        <v>0</v>
      </c>
      <c r="F528" s="449">
        <f t="shared" ref="F528:AR528" ca="1" si="229">F525</f>
        <v>0</v>
      </c>
      <c r="G528" s="449">
        <f t="shared" ca="1" si="229"/>
        <v>0</v>
      </c>
      <c r="H528" s="449">
        <f t="shared" ca="1" si="229"/>
        <v>0</v>
      </c>
      <c r="I528" s="449">
        <f t="shared" ca="1" si="229"/>
        <v>0</v>
      </c>
      <c r="J528" s="449">
        <f t="shared" ca="1" si="229"/>
        <v>1000.0318861108526</v>
      </c>
      <c r="K528" s="449">
        <f t="shared" ca="1" si="229"/>
        <v>1000.0318861108526</v>
      </c>
      <c r="L528" s="449">
        <f t="shared" ca="1" si="229"/>
        <v>1009.441750841768</v>
      </c>
      <c r="M528" s="449">
        <f t="shared" ca="1" si="229"/>
        <v>1018.9401583036547</v>
      </c>
      <c r="N528" s="449">
        <f t="shared" ca="1" si="229"/>
        <v>1028.5279416450671</v>
      </c>
      <c r="O528" s="449">
        <f t="shared" ca="1" si="229"/>
        <v>9789.8628804723394</v>
      </c>
      <c r="P528" s="449">
        <f t="shared" ca="1" si="229"/>
        <v>1594.6509547354606</v>
      </c>
      <c r="Q528" s="449">
        <f t="shared" ca="1" si="229"/>
        <v>1612.4299840332176</v>
      </c>
      <c r="R528" s="449">
        <f t="shared" ca="1" si="229"/>
        <v>1630.4072346921009</v>
      </c>
      <c r="S528" s="449">
        <f t="shared" ca="1" si="229"/>
        <v>6213.4515893743246</v>
      </c>
      <c r="T528" s="449">
        <f t="shared" ca="1" si="229"/>
        <v>27253.662425870105</v>
      </c>
      <c r="U528" s="449">
        <f t="shared" ca="1" si="229"/>
        <v>33048.408915747459</v>
      </c>
      <c r="V528" s="449">
        <f t="shared" ca="1" si="229"/>
        <v>33376.232728754119</v>
      </c>
      <c r="W528" s="449">
        <f t="shared" ca="1" si="229"/>
        <v>106640.07890610778</v>
      </c>
      <c r="X528" s="449">
        <f t="shared" ca="1" si="229"/>
        <v>40289.666342360943</v>
      </c>
      <c r="Y528" s="449">
        <f t="shared" ca="1" si="229"/>
        <v>40870.272412639461</v>
      </c>
      <c r="Z528" s="449">
        <f t="shared" ca="1" si="229"/>
        <v>58019.532144945959</v>
      </c>
      <c r="AA528" s="449">
        <f t="shared" ca="1" si="229"/>
        <v>41854.369857254555</v>
      </c>
      <c r="AB528" s="449">
        <f t="shared" ca="1" si="229"/>
        <v>0</v>
      </c>
      <c r="AC528" s="449">
        <f t="shared" ca="1" si="229"/>
        <v>0</v>
      </c>
      <c r="AD528" s="449">
        <f t="shared" ca="1" si="229"/>
        <v>0</v>
      </c>
      <c r="AE528" s="449">
        <f t="shared" ca="1" si="229"/>
        <v>0</v>
      </c>
      <c r="AF528" s="449">
        <f t="shared" ca="1" si="229"/>
        <v>0</v>
      </c>
      <c r="AG528" s="449">
        <f t="shared" ca="1" si="229"/>
        <v>0</v>
      </c>
      <c r="AH528" s="449">
        <f t="shared" ca="1" si="229"/>
        <v>0</v>
      </c>
      <c r="AI528" s="449">
        <f t="shared" ca="1" si="229"/>
        <v>0</v>
      </c>
      <c r="AJ528" s="449">
        <f t="shared" ca="1" si="229"/>
        <v>0</v>
      </c>
      <c r="AK528" s="449">
        <f t="shared" ca="1" si="229"/>
        <v>0</v>
      </c>
      <c r="AL528" s="449">
        <f t="shared" ca="1" si="229"/>
        <v>0</v>
      </c>
      <c r="AM528" s="449">
        <f t="shared" ca="1" si="229"/>
        <v>0</v>
      </c>
      <c r="AN528" s="449">
        <f t="shared" ca="1" si="229"/>
        <v>0</v>
      </c>
      <c r="AO528" s="449">
        <f t="shared" ca="1" si="229"/>
        <v>0</v>
      </c>
      <c r="AP528" s="449">
        <f t="shared" ca="1" si="229"/>
        <v>0</v>
      </c>
      <c r="AQ528" s="449">
        <f t="shared" ca="1" si="229"/>
        <v>0</v>
      </c>
      <c r="AR528" s="449">
        <f t="shared" ca="1" si="229"/>
        <v>0</v>
      </c>
      <c r="AS528" s="222"/>
      <c r="AT528" s="103">
        <f ca="1">SUM(E528:AS528)</f>
        <v>407250</v>
      </c>
    </row>
    <row r="529" spans="1:46" s="116" customFormat="1" ht="11.25" customHeight="1" x14ac:dyDescent="0.2">
      <c r="A529" s="448" t="s">
        <v>299</v>
      </c>
      <c r="B529" s="306">
        <f>AT529</f>
        <v>0</v>
      </c>
      <c r="C529" s="139" t="str">
        <f>CHOOSE(C524,Параметры!$B$64,Параметры!$B$108,Параметры!$B$117)</f>
        <v>тыс. руб.</v>
      </c>
      <c r="E529" s="449">
        <v>0</v>
      </c>
      <c r="F529" s="449">
        <v>0</v>
      </c>
      <c r="G529" s="449">
        <v>0</v>
      </c>
      <c r="H529" s="449">
        <v>0</v>
      </c>
      <c r="I529" s="449">
        <v>0</v>
      </c>
      <c r="J529" s="449">
        <v>0</v>
      </c>
      <c r="K529" s="449">
        <v>0</v>
      </c>
      <c r="L529" s="449">
        <v>0</v>
      </c>
      <c r="M529" s="449">
        <v>0</v>
      </c>
      <c r="N529" s="449">
        <v>0</v>
      </c>
      <c r="O529" s="449">
        <v>0</v>
      </c>
      <c r="P529" s="449">
        <v>0</v>
      </c>
      <c r="Q529" s="449">
        <v>0</v>
      </c>
      <c r="R529" s="449">
        <v>0</v>
      </c>
      <c r="S529" s="449">
        <v>0</v>
      </c>
      <c r="T529" s="449">
        <v>0</v>
      </c>
      <c r="U529" s="449">
        <v>0</v>
      </c>
      <c r="V529" s="449">
        <v>0</v>
      </c>
      <c r="W529" s="449">
        <v>0</v>
      </c>
      <c r="X529" s="449">
        <v>0</v>
      </c>
      <c r="Y529" s="449">
        <v>0</v>
      </c>
      <c r="Z529" s="449">
        <v>0</v>
      </c>
      <c r="AA529" s="449">
        <v>0</v>
      </c>
      <c r="AB529" s="449">
        <v>0</v>
      </c>
      <c r="AC529" s="449">
        <v>0</v>
      </c>
      <c r="AD529" s="449">
        <v>0</v>
      </c>
      <c r="AE529" s="449">
        <v>0</v>
      </c>
      <c r="AF529" s="449">
        <v>0</v>
      </c>
      <c r="AG529" s="449">
        <v>0</v>
      </c>
      <c r="AH529" s="449">
        <v>0</v>
      </c>
      <c r="AI529" s="449">
        <v>0</v>
      </c>
      <c r="AJ529" s="449">
        <v>0</v>
      </c>
      <c r="AK529" s="449">
        <v>0</v>
      </c>
      <c r="AL529" s="449">
        <v>0</v>
      </c>
      <c r="AM529" s="449">
        <v>0</v>
      </c>
      <c r="AN529" s="449">
        <v>0</v>
      </c>
      <c r="AO529" s="449">
        <v>0</v>
      </c>
      <c r="AP529" s="449">
        <v>0</v>
      </c>
      <c r="AQ529" s="449">
        <v>0</v>
      </c>
      <c r="AR529" s="449">
        <v>0</v>
      </c>
      <c r="AS529" s="222"/>
      <c r="AT529" s="103">
        <f>SUM(E529:AS529)</f>
        <v>0</v>
      </c>
    </row>
    <row r="530" spans="1:46" ht="11.25" customHeight="1" x14ac:dyDescent="0.2">
      <c r="A530" s="354" t="s">
        <v>702</v>
      </c>
      <c r="B530" s="225" t="s">
        <v>390</v>
      </c>
      <c r="C530" s="287">
        <v>1</v>
      </c>
      <c r="D530" s="65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  <c r="AQ530" s="64"/>
      <c r="AR530" s="64"/>
      <c r="AS530" s="41"/>
      <c r="AT530" s="92"/>
    </row>
    <row r="531" spans="1:46" ht="11.25" customHeight="1" x14ac:dyDescent="0.2">
      <c r="A531" s="93" t="s">
        <v>481</v>
      </c>
      <c r="B531" s="217">
        <f ca="1">AT531</f>
        <v>0</v>
      </c>
      <c r="C531" s="3" t="str">
        <f>CHOOSE(C530,Параметры!$B$64,Параметры!$B$108,Параметры!$B$117)</f>
        <v>тыс. руб.</v>
      </c>
      <c r="E531" s="346">
        <f>E532+E533</f>
        <v>0</v>
      </c>
      <c r="F531" s="346">
        <f t="shared" ref="F531:AR531" ca="1" si="230">F532+F533</f>
        <v>0</v>
      </c>
      <c r="G531" s="346">
        <f t="shared" ca="1" si="230"/>
        <v>0</v>
      </c>
      <c r="H531" s="346">
        <f t="shared" ca="1" si="230"/>
        <v>0</v>
      </c>
      <c r="I531" s="346">
        <f t="shared" ca="1" si="230"/>
        <v>0</v>
      </c>
      <c r="J531" s="346">
        <f t="shared" ca="1" si="230"/>
        <v>0</v>
      </c>
      <c r="K531" s="346">
        <f t="shared" ca="1" si="230"/>
        <v>0</v>
      </c>
      <c r="L531" s="346">
        <f t="shared" ca="1" si="230"/>
        <v>0</v>
      </c>
      <c r="M531" s="346">
        <f t="shared" ca="1" si="230"/>
        <v>0</v>
      </c>
      <c r="N531" s="346">
        <f t="shared" ca="1" si="230"/>
        <v>0</v>
      </c>
      <c r="O531" s="346">
        <f t="shared" ca="1" si="230"/>
        <v>0</v>
      </c>
      <c r="P531" s="346">
        <f t="shared" ca="1" si="230"/>
        <v>0</v>
      </c>
      <c r="Q531" s="346">
        <f t="shared" ca="1" si="230"/>
        <v>0</v>
      </c>
      <c r="R531" s="346">
        <f t="shared" ca="1" si="230"/>
        <v>0</v>
      </c>
      <c r="S531" s="346">
        <f t="shared" ca="1" si="230"/>
        <v>0</v>
      </c>
      <c r="T531" s="346">
        <f t="shared" ca="1" si="230"/>
        <v>0</v>
      </c>
      <c r="U531" s="346">
        <f t="shared" ca="1" si="230"/>
        <v>0</v>
      </c>
      <c r="V531" s="346">
        <f t="shared" ca="1" si="230"/>
        <v>0</v>
      </c>
      <c r="W531" s="346">
        <f t="shared" ca="1" si="230"/>
        <v>0</v>
      </c>
      <c r="X531" s="346">
        <f t="shared" ca="1" si="230"/>
        <v>0</v>
      </c>
      <c r="Y531" s="346">
        <f t="shared" ca="1" si="230"/>
        <v>0</v>
      </c>
      <c r="Z531" s="346">
        <f t="shared" ca="1" si="230"/>
        <v>0</v>
      </c>
      <c r="AA531" s="346">
        <f t="shared" ca="1" si="230"/>
        <v>0</v>
      </c>
      <c r="AB531" s="346">
        <f t="shared" ca="1" si="230"/>
        <v>0</v>
      </c>
      <c r="AC531" s="346">
        <f t="shared" ca="1" si="230"/>
        <v>0</v>
      </c>
      <c r="AD531" s="346">
        <f t="shared" ca="1" si="230"/>
        <v>0</v>
      </c>
      <c r="AE531" s="346">
        <f t="shared" ca="1" si="230"/>
        <v>0</v>
      </c>
      <c r="AF531" s="346">
        <f t="shared" ca="1" si="230"/>
        <v>0</v>
      </c>
      <c r="AG531" s="346">
        <f t="shared" ca="1" si="230"/>
        <v>0</v>
      </c>
      <c r="AH531" s="346">
        <f t="shared" ca="1" si="230"/>
        <v>0</v>
      </c>
      <c r="AI531" s="346">
        <f t="shared" ca="1" si="230"/>
        <v>0</v>
      </c>
      <c r="AJ531" s="346">
        <f t="shared" ca="1" si="230"/>
        <v>0</v>
      </c>
      <c r="AK531" s="346">
        <f t="shared" ca="1" si="230"/>
        <v>0</v>
      </c>
      <c r="AL531" s="346">
        <f t="shared" ca="1" si="230"/>
        <v>0</v>
      </c>
      <c r="AM531" s="346">
        <f t="shared" ca="1" si="230"/>
        <v>0</v>
      </c>
      <c r="AN531" s="346">
        <f t="shared" ca="1" si="230"/>
        <v>0</v>
      </c>
      <c r="AO531" s="346">
        <f t="shared" ca="1" si="230"/>
        <v>0</v>
      </c>
      <c r="AP531" s="346">
        <f t="shared" ca="1" si="230"/>
        <v>0</v>
      </c>
      <c r="AQ531" s="346">
        <f t="shared" ca="1" si="230"/>
        <v>0</v>
      </c>
      <c r="AR531" s="346">
        <f t="shared" ca="1" si="230"/>
        <v>0</v>
      </c>
      <c r="AS531" s="94"/>
      <c r="AT531" s="84">
        <f ca="1">SUM(E531:AS531)</f>
        <v>0</v>
      </c>
    </row>
    <row r="532" spans="1:46" s="40" customFormat="1" ht="11.25" customHeight="1" x14ac:dyDescent="0.2">
      <c r="A532" s="472" t="s">
        <v>553</v>
      </c>
      <c r="B532" s="306">
        <f t="shared" ref="B532:B533" ca="1" si="231">AT532</f>
        <v>0</v>
      </c>
      <c r="C532" s="3" t="str">
        <f>CHOOSE(C530,Параметры!$B$64,Параметры!$B$108,Параметры!$B$117)</f>
        <v>тыс. руб.</v>
      </c>
      <c r="E532" s="556">
        <v>0</v>
      </c>
      <c r="F532" s="353">
        <f ca="1">(E649+E98)*MIN(F$647*ИД!$C$200,Параметры!$B$215*ИД!$C$201)/4*IF(F2&gt;=MATCH(ИД!$C$202,$E$554:$AR$554,0),1,0)*ИД!$C$204</f>
        <v>0</v>
      </c>
      <c r="G532" s="353">
        <f ca="1">(F649+F98)*MIN(G$647*ИД!$C$200,Параметры!$B$215*ИД!$C$201)/4*IF(G2&gt;=MATCH(ИД!$C$202,$E$554:$AR$554,0),1,0)*ИД!$C$204</f>
        <v>0</v>
      </c>
      <c r="H532" s="353">
        <f ca="1">(G649+G98)*MIN(H$647*ИД!$C$200,Параметры!$B$215*ИД!$C$201)/4*IF(H2&gt;=MATCH(ИД!$C$202,$E$554:$AR$554,0),1,0)*ИД!$C$204</f>
        <v>0</v>
      </c>
      <c r="I532" s="353">
        <f ca="1">(H649+H98)*MIN(I$647*ИД!$C$200,Параметры!$B$215*ИД!$C$201)/4*IF(I2&gt;=MATCH(ИД!$C$202,$E$554:$AR$554,0),1,0)*ИД!$C$204</f>
        <v>0</v>
      </c>
      <c r="J532" s="353">
        <f ca="1">(I649+I98)*MIN(J$647*ИД!$C$200,Параметры!$B$215*ИД!$C$201)/4*IF(J2&gt;=MATCH(ИД!$C$202,$E$554:$AR$554,0),1,0)*ИД!$C$204</f>
        <v>0</v>
      </c>
      <c r="K532" s="353">
        <f ca="1">(J649+J98)*MIN(K$647*ИД!$C$200,Параметры!$B$215*ИД!$C$201)/4*IF(K2&gt;=MATCH(ИД!$C$202,$E$554:$AR$554,0),1,0)*ИД!$C$204</f>
        <v>0</v>
      </c>
      <c r="L532" s="353">
        <f ca="1">(K649+K98)*MIN(L$647*ИД!$C$200,Параметры!$B$215*ИД!$C$201)/4*IF(L2&gt;=MATCH(ИД!$C$202,$E$554:$AR$554,0),1,0)*ИД!$C$204</f>
        <v>0</v>
      </c>
      <c r="M532" s="353">
        <f ca="1">(L649+L98)*MIN(M$647*ИД!$C$200,Параметры!$B$215*ИД!$C$201)/4*IF(M2&gt;=MATCH(ИД!$C$202,$E$554:$AR$554,0),1,0)*ИД!$C$204</f>
        <v>0</v>
      </c>
      <c r="N532" s="353">
        <f ca="1">(M649+M98)*MIN(N$647*ИД!$C$200,Параметры!$B$215*ИД!$C$201)/4*IF(N2&gt;=MATCH(ИД!$C$202,$E$554:$AR$554,0),1,0)*ИД!$C$204</f>
        <v>0</v>
      </c>
      <c r="O532" s="353">
        <f ca="1">(N649+N98)*MIN(O$647*ИД!$C$200,Параметры!$B$215*ИД!$C$201)/4*IF(O2&gt;=MATCH(ИД!$C$202,$E$554:$AR$554,0),1,0)*ИД!$C$204</f>
        <v>0</v>
      </c>
      <c r="P532" s="353">
        <f ca="1">(O649+O98)*MIN(P$647*ИД!$C$200,Параметры!$B$215*ИД!$C$201)/4*IF(P2&gt;=MATCH(ИД!$C$202,$E$554:$AR$554,0),1,0)*ИД!$C$204</f>
        <v>0</v>
      </c>
      <c r="Q532" s="353">
        <f ca="1">(P649+P98)*MIN(Q$647*ИД!$C$200,Параметры!$B$215*ИД!$C$201)/4*IF(Q2&gt;=MATCH(ИД!$C$202,$E$554:$AR$554,0),1,0)*ИД!$C$204</f>
        <v>0</v>
      </c>
      <c r="R532" s="353">
        <f ca="1">(Q649+Q98)*MIN(R$647*ИД!$C$200,Параметры!$B$215*ИД!$C$201)/4*IF(R2&gt;=MATCH(ИД!$C$202,$E$554:$AR$554,0),1,0)*ИД!$C$204</f>
        <v>0</v>
      </c>
      <c r="S532" s="353">
        <f ca="1">(R649+R98)*MIN(S$647*ИД!$C$200,Параметры!$B$215*ИД!$C$201)/4*IF(S2&gt;=MATCH(ИД!$C$202,$E$554:$AR$554,0),1,0)*ИД!$C$204</f>
        <v>0</v>
      </c>
      <c r="T532" s="353">
        <f ca="1">(S649+S98)*MIN(T$647*ИД!$C$200,Параметры!$B$215*ИД!$C$201)/4*IF(T2&gt;=MATCH(ИД!$C$202,$E$554:$AR$554,0),1,0)*ИД!$C$204</f>
        <v>0</v>
      </c>
      <c r="U532" s="353">
        <f ca="1">(T649+T98)*MIN(U$647*ИД!$C$200,Параметры!$B$215*ИД!$C$201)/4*IF(U2&gt;=MATCH(ИД!$C$202,$E$554:$AR$554,0),1,0)*ИД!$C$204</f>
        <v>0</v>
      </c>
      <c r="V532" s="353">
        <f ca="1">(U649+U98)*MIN(V$647*ИД!$C$200,Параметры!$B$215*ИД!$C$201)/4*IF(V2&gt;=MATCH(ИД!$C$202,$E$554:$AR$554,0),1,0)*ИД!$C$204</f>
        <v>0</v>
      </c>
      <c r="W532" s="353">
        <f ca="1">(V649+V98)*MIN(W$647*ИД!$C$200,Параметры!$B$215*ИД!$C$201)/4*IF(W2&gt;=MATCH(ИД!$C$202,$E$554:$AR$554,0),1,0)*ИД!$C$204</f>
        <v>0</v>
      </c>
      <c r="X532" s="353">
        <f ca="1">(W649+W98)*MIN(X$647*ИД!$C$200,Параметры!$B$215*ИД!$C$201)/4*IF(X2&gt;=MATCH(ИД!$C$202,$E$554:$AR$554,0),1,0)*ИД!$C$204</f>
        <v>0</v>
      </c>
      <c r="Y532" s="353">
        <f ca="1">(X649+X98)*MIN(Y$647*ИД!$C$200,Параметры!$B$215*ИД!$C$201)/4*IF(Y2&gt;=MATCH(ИД!$C$202,$E$554:$AR$554,0),1,0)*ИД!$C$204</f>
        <v>0</v>
      </c>
      <c r="Z532" s="353">
        <f ca="1">(Y649+Y98)*MIN(Z$647*ИД!$C$200,Параметры!$B$215*ИД!$C$201)/4*IF(Z2&gt;=MATCH(ИД!$C$202,$E$554:$AR$554,0),1,0)*ИД!$C$204</f>
        <v>0</v>
      </c>
      <c r="AA532" s="353">
        <f ca="1">(Z649+Z98)*MIN(AA$647*ИД!$C$200,Параметры!$B$215*ИД!$C$201)/4*IF(AA2&gt;=MATCH(ИД!$C$202,$E$554:$AR$554,0),1,0)*ИД!$C$204</f>
        <v>0</v>
      </c>
      <c r="AB532" s="353">
        <f ca="1">(AA649+AA98)*MIN(AB$647*ИД!$C$200,Параметры!$B$215*ИД!$C$201)/4*IF(AB2&gt;=MATCH(ИД!$C$202,$E$554:$AR$554,0),1,0)*ИД!$C$204</f>
        <v>0</v>
      </c>
      <c r="AC532" s="353">
        <f ca="1">(AB649+AB98)*MIN(AC$647*ИД!$C$200,Параметры!$B$215*ИД!$C$201)/4*IF(AC2&gt;=MATCH(ИД!$C$202,$E$554:$AR$554,0),1,0)*ИД!$C$204</f>
        <v>0</v>
      </c>
      <c r="AD532" s="353">
        <f ca="1">(AC649+AC98)*MIN(AD$647*ИД!$C$200,Параметры!$B$215*ИД!$C$201)/4*IF(AD2&gt;=MATCH(ИД!$C$202,$E$554:$AR$554,0),1,0)*ИД!$C$204</f>
        <v>0</v>
      </c>
      <c r="AE532" s="353">
        <f ca="1">(AD649+AD98)*MIN(AE$647*ИД!$C$200,Параметры!$B$215*ИД!$C$201)/4*IF(AE2&gt;=MATCH(ИД!$C$202,$E$554:$AR$554,0),1,0)*ИД!$C$204</f>
        <v>0</v>
      </c>
      <c r="AF532" s="353">
        <f ca="1">(AE649+AE98)*MIN(AF$647*ИД!$C$200,Параметры!$B$215*ИД!$C$201)/4*IF(AF2&gt;=MATCH(ИД!$C$202,$E$554:$AR$554,0),1,0)*ИД!$C$204</f>
        <v>0</v>
      </c>
      <c r="AG532" s="353">
        <f ca="1">(AF649+AF98)*MIN(AG$647*ИД!$C$200,Параметры!$B$215*ИД!$C$201)/4*IF(AG2&gt;=MATCH(ИД!$C$202,$E$554:$AR$554,0),1,0)*ИД!$C$204</f>
        <v>0</v>
      </c>
      <c r="AH532" s="353">
        <f ca="1">(AG649+AG98)*MIN(AH$647*ИД!$C$200,Параметры!$B$215*ИД!$C$201)/4*IF(AH2&gt;=MATCH(ИД!$C$202,$E$554:$AR$554,0),1,0)*ИД!$C$204</f>
        <v>0</v>
      </c>
      <c r="AI532" s="353">
        <f ca="1">(AH649+AH98)*MIN(AI$647*ИД!$C$200,Параметры!$B$215*ИД!$C$201)/4*IF(AI2&gt;=MATCH(ИД!$C$202,$E$554:$AR$554,0),1,0)*ИД!$C$204</f>
        <v>0</v>
      </c>
      <c r="AJ532" s="353">
        <f ca="1">(AI649+AI98)*MIN(AJ$647*ИД!$C$200,Параметры!$B$215*ИД!$C$201)/4*IF(AJ2&gt;=MATCH(ИД!$C$202,$E$554:$AR$554,0),1,0)*ИД!$C$204</f>
        <v>0</v>
      </c>
      <c r="AK532" s="353">
        <f ca="1">(AJ649+AJ98)*MIN(AK$647*ИД!$C$200,Параметры!$B$215*ИД!$C$201)/4*IF(AK2&gt;=MATCH(ИД!$C$202,$E$554:$AR$554,0),1,0)*ИД!$C$204</f>
        <v>0</v>
      </c>
      <c r="AL532" s="353">
        <f ca="1">(AK649+AK98)*MIN(AL$647*ИД!$C$200,Параметры!$B$215*ИД!$C$201)/4*IF(AL2&gt;=MATCH(ИД!$C$202,$E$554:$AR$554,0),1,0)*ИД!$C$204</f>
        <v>0</v>
      </c>
      <c r="AM532" s="353">
        <f ca="1">(AL649+AL98)*MIN(AM$647*ИД!$C$200,Параметры!$B$215*ИД!$C$201)/4*IF(AM2&gt;=MATCH(ИД!$C$202,$E$554:$AR$554,0),1,0)*ИД!$C$204</f>
        <v>0</v>
      </c>
      <c r="AN532" s="353">
        <f ca="1">(AM649+AM98)*MIN(AN$647*ИД!$C$200,Параметры!$B$215*ИД!$C$201)/4*IF(AN2&gt;=MATCH(ИД!$C$202,$E$554:$AR$554,0),1,0)*ИД!$C$204</f>
        <v>0</v>
      </c>
      <c r="AO532" s="353">
        <f ca="1">(AN649+AN98)*MIN(AO$647*ИД!$C$200,Параметры!$B$215*ИД!$C$201)/4*IF(AO2&gt;=MATCH(ИД!$C$202,$E$554:$AR$554,0),1,0)*ИД!$C$204</f>
        <v>0</v>
      </c>
      <c r="AP532" s="353">
        <f ca="1">(AO649+AO98)*MIN(AP$647*ИД!$C$200,Параметры!$B$215*ИД!$C$201)/4*IF(AP2&gt;=MATCH(ИД!$C$202,$E$554:$AR$554,0),1,0)*ИД!$C$204</f>
        <v>0</v>
      </c>
      <c r="AQ532" s="353">
        <f ca="1">(AP649+AP98)*MIN(AQ$647*ИД!$C$200,Параметры!$B$215*ИД!$C$201)/4*IF(AQ2&gt;=MATCH(ИД!$C$202,$E$554:$AR$554,0),1,0)*ИД!$C$204</f>
        <v>0</v>
      </c>
      <c r="AR532" s="353">
        <f ca="1">(AQ649+AQ98)*MIN(AR$647*ИД!$C$200,Параметры!$B$215*ИД!$C$201)/4*IF(AR2&gt;=MATCH(ИД!$C$202,$E$554:$AR$554,0),1,0)*ИД!$C$204</f>
        <v>0</v>
      </c>
      <c r="AS532" s="102"/>
      <c r="AT532" s="103">
        <f ca="1">SUM(E532:AS532)</f>
        <v>0</v>
      </c>
    </row>
    <row r="533" spans="1:46" s="40" customFormat="1" ht="11.25" customHeight="1" x14ac:dyDescent="0.2">
      <c r="A533" s="472" t="s">
        <v>554</v>
      </c>
      <c r="B533" s="306">
        <f t="shared" si="231"/>
        <v>0</v>
      </c>
      <c r="C533" s="3" t="str">
        <f>CHOOSE(C530,Параметры!$B$64,Параметры!$B$108,Параметры!$B$117)</f>
        <v>тыс. руб.</v>
      </c>
      <c r="E533" s="353">
        <v>0</v>
      </c>
      <c r="F533" s="353">
        <v>0</v>
      </c>
      <c r="G533" s="353">
        <v>0</v>
      </c>
      <c r="H533" s="353">
        <v>0</v>
      </c>
      <c r="I533" s="353">
        <v>0</v>
      </c>
      <c r="J533" s="353">
        <v>0</v>
      </c>
      <c r="K533" s="353">
        <v>0</v>
      </c>
      <c r="L533" s="353">
        <v>0</v>
      </c>
      <c r="M533" s="353">
        <v>0</v>
      </c>
      <c r="N533" s="353">
        <v>0</v>
      </c>
      <c r="O533" s="353">
        <v>0</v>
      </c>
      <c r="P533" s="353">
        <v>0</v>
      </c>
      <c r="Q533" s="353">
        <v>0</v>
      </c>
      <c r="R533" s="353">
        <v>0</v>
      </c>
      <c r="S533" s="353">
        <v>0</v>
      </c>
      <c r="T533" s="353">
        <v>0</v>
      </c>
      <c r="U533" s="353">
        <v>0</v>
      </c>
      <c r="V533" s="353">
        <v>0</v>
      </c>
      <c r="W533" s="353">
        <v>0</v>
      </c>
      <c r="X533" s="353">
        <v>0</v>
      </c>
      <c r="Y533" s="353">
        <v>0</v>
      </c>
      <c r="Z533" s="353">
        <v>0</v>
      </c>
      <c r="AA533" s="353">
        <v>0</v>
      </c>
      <c r="AB533" s="353">
        <v>0</v>
      </c>
      <c r="AC533" s="353">
        <v>0</v>
      </c>
      <c r="AD533" s="353">
        <v>0</v>
      </c>
      <c r="AE533" s="353">
        <v>0</v>
      </c>
      <c r="AF533" s="353">
        <v>0</v>
      </c>
      <c r="AG533" s="353">
        <v>0</v>
      </c>
      <c r="AH533" s="353">
        <v>0</v>
      </c>
      <c r="AI533" s="353">
        <v>0</v>
      </c>
      <c r="AJ533" s="353">
        <v>0</v>
      </c>
      <c r="AK533" s="353">
        <v>0</v>
      </c>
      <c r="AL533" s="353">
        <v>0</v>
      </c>
      <c r="AM533" s="353">
        <v>0</v>
      </c>
      <c r="AN533" s="353">
        <v>0</v>
      </c>
      <c r="AO533" s="353">
        <v>0</v>
      </c>
      <c r="AP533" s="353">
        <v>0</v>
      </c>
      <c r="AQ533" s="353">
        <v>0</v>
      </c>
      <c r="AR533" s="353">
        <v>0</v>
      </c>
      <c r="AS533" s="102"/>
      <c r="AT533" s="103">
        <f>SUM(E533:AS533)</f>
        <v>0</v>
      </c>
    </row>
    <row r="534" spans="1:46" s="116" customFormat="1" ht="11.25" customHeight="1" x14ac:dyDescent="0.2">
      <c r="A534" s="448" t="s">
        <v>399</v>
      </c>
      <c r="B534" s="306">
        <f ca="1">AT534</f>
        <v>0</v>
      </c>
      <c r="C534" s="139" t="str">
        <f>CHOOSE(C530,Параметры!$B$64,Параметры!$B$108,Параметры!$B$117)</f>
        <v>тыс. руб.</v>
      </c>
      <c r="E534" s="449">
        <f>E531</f>
        <v>0</v>
      </c>
      <c r="F534" s="449">
        <f t="shared" ref="F534:AR534" ca="1" si="232">F531</f>
        <v>0</v>
      </c>
      <c r="G534" s="449">
        <f t="shared" ca="1" si="232"/>
        <v>0</v>
      </c>
      <c r="H534" s="449">
        <f t="shared" ca="1" si="232"/>
        <v>0</v>
      </c>
      <c r="I534" s="449">
        <f t="shared" ca="1" si="232"/>
        <v>0</v>
      </c>
      <c r="J534" s="449">
        <f t="shared" ca="1" si="232"/>
        <v>0</v>
      </c>
      <c r="K534" s="449">
        <f t="shared" ca="1" si="232"/>
        <v>0</v>
      </c>
      <c r="L534" s="449">
        <f t="shared" ca="1" si="232"/>
        <v>0</v>
      </c>
      <c r="M534" s="449">
        <f t="shared" ca="1" si="232"/>
        <v>0</v>
      </c>
      <c r="N534" s="449">
        <f t="shared" ca="1" si="232"/>
        <v>0</v>
      </c>
      <c r="O534" s="449">
        <f t="shared" ca="1" si="232"/>
        <v>0</v>
      </c>
      <c r="P534" s="449">
        <f t="shared" ca="1" si="232"/>
        <v>0</v>
      </c>
      <c r="Q534" s="449">
        <f t="shared" ca="1" si="232"/>
        <v>0</v>
      </c>
      <c r="R534" s="449">
        <f t="shared" ca="1" si="232"/>
        <v>0</v>
      </c>
      <c r="S534" s="449">
        <f t="shared" ca="1" si="232"/>
        <v>0</v>
      </c>
      <c r="T534" s="449">
        <f t="shared" ca="1" si="232"/>
        <v>0</v>
      </c>
      <c r="U534" s="449">
        <f t="shared" ca="1" si="232"/>
        <v>0</v>
      </c>
      <c r="V534" s="449">
        <f t="shared" ca="1" si="232"/>
        <v>0</v>
      </c>
      <c r="W534" s="449">
        <f t="shared" ca="1" si="232"/>
        <v>0</v>
      </c>
      <c r="X534" s="449">
        <f t="shared" ca="1" si="232"/>
        <v>0</v>
      </c>
      <c r="Y534" s="449">
        <f t="shared" ca="1" si="232"/>
        <v>0</v>
      </c>
      <c r="Z534" s="449">
        <f t="shared" ca="1" si="232"/>
        <v>0</v>
      </c>
      <c r="AA534" s="449">
        <f t="shared" ca="1" si="232"/>
        <v>0</v>
      </c>
      <c r="AB534" s="449">
        <f t="shared" ca="1" si="232"/>
        <v>0</v>
      </c>
      <c r="AC534" s="449">
        <f t="shared" ca="1" si="232"/>
        <v>0</v>
      </c>
      <c r="AD534" s="449">
        <f t="shared" ca="1" si="232"/>
        <v>0</v>
      </c>
      <c r="AE534" s="449">
        <f t="shared" ca="1" si="232"/>
        <v>0</v>
      </c>
      <c r="AF534" s="449">
        <f t="shared" ca="1" si="232"/>
        <v>0</v>
      </c>
      <c r="AG534" s="449">
        <f t="shared" ca="1" si="232"/>
        <v>0</v>
      </c>
      <c r="AH534" s="449">
        <f t="shared" ca="1" si="232"/>
        <v>0</v>
      </c>
      <c r="AI534" s="449">
        <f t="shared" ca="1" si="232"/>
        <v>0</v>
      </c>
      <c r="AJ534" s="449">
        <f t="shared" ca="1" si="232"/>
        <v>0</v>
      </c>
      <c r="AK534" s="449">
        <f t="shared" ca="1" si="232"/>
        <v>0</v>
      </c>
      <c r="AL534" s="449">
        <f t="shared" ca="1" si="232"/>
        <v>0</v>
      </c>
      <c r="AM534" s="449">
        <f t="shared" ca="1" si="232"/>
        <v>0</v>
      </c>
      <c r="AN534" s="449">
        <f t="shared" ca="1" si="232"/>
        <v>0</v>
      </c>
      <c r="AO534" s="449">
        <f t="shared" ca="1" si="232"/>
        <v>0</v>
      </c>
      <c r="AP534" s="449">
        <f t="shared" ca="1" si="232"/>
        <v>0</v>
      </c>
      <c r="AQ534" s="449">
        <f t="shared" ca="1" si="232"/>
        <v>0</v>
      </c>
      <c r="AR534" s="449">
        <f t="shared" ca="1" si="232"/>
        <v>0</v>
      </c>
      <c r="AS534" s="222"/>
      <c r="AT534" s="103">
        <f ca="1">SUM(E534:AS534)</f>
        <v>0</v>
      </c>
    </row>
    <row r="535" spans="1:46" s="116" customFormat="1" ht="11.25" customHeight="1" x14ac:dyDescent="0.2">
      <c r="A535" s="448" t="s">
        <v>299</v>
      </c>
      <c r="B535" s="306">
        <f>AT535</f>
        <v>0</v>
      </c>
      <c r="C535" s="139" t="str">
        <f>CHOOSE(C530,Параметры!$B$64,Параметры!$B$108,Параметры!$B$117)</f>
        <v>тыс. руб.</v>
      </c>
      <c r="E535" s="449">
        <v>0</v>
      </c>
      <c r="F535" s="449">
        <v>0</v>
      </c>
      <c r="G535" s="449">
        <v>0</v>
      </c>
      <c r="H535" s="449">
        <v>0</v>
      </c>
      <c r="I535" s="449">
        <v>0</v>
      </c>
      <c r="J535" s="449">
        <v>0</v>
      </c>
      <c r="K535" s="449">
        <v>0</v>
      </c>
      <c r="L535" s="449">
        <v>0</v>
      </c>
      <c r="M535" s="449">
        <v>0</v>
      </c>
      <c r="N535" s="449">
        <v>0</v>
      </c>
      <c r="O535" s="449">
        <v>0</v>
      </c>
      <c r="P535" s="449">
        <v>0</v>
      </c>
      <c r="Q535" s="449">
        <v>0</v>
      </c>
      <c r="R535" s="449">
        <v>0</v>
      </c>
      <c r="S535" s="449">
        <v>0</v>
      </c>
      <c r="T535" s="449">
        <v>0</v>
      </c>
      <c r="U535" s="449">
        <v>0</v>
      </c>
      <c r="V535" s="449">
        <v>0</v>
      </c>
      <c r="W535" s="449">
        <v>0</v>
      </c>
      <c r="X535" s="449">
        <v>0</v>
      </c>
      <c r="Y535" s="449">
        <v>0</v>
      </c>
      <c r="Z535" s="449">
        <v>0</v>
      </c>
      <c r="AA535" s="449">
        <v>0</v>
      </c>
      <c r="AB535" s="449">
        <v>0</v>
      </c>
      <c r="AC535" s="449">
        <v>0</v>
      </c>
      <c r="AD535" s="449">
        <v>0</v>
      </c>
      <c r="AE535" s="449">
        <v>0</v>
      </c>
      <c r="AF535" s="449">
        <v>0</v>
      </c>
      <c r="AG535" s="449">
        <v>0</v>
      </c>
      <c r="AH535" s="449">
        <v>0</v>
      </c>
      <c r="AI535" s="449">
        <v>0</v>
      </c>
      <c r="AJ535" s="449">
        <v>0</v>
      </c>
      <c r="AK535" s="449">
        <v>0</v>
      </c>
      <c r="AL535" s="449">
        <v>0</v>
      </c>
      <c r="AM535" s="449">
        <v>0</v>
      </c>
      <c r="AN535" s="449">
        <v>0</v>
      </c>
      <c r="AO535" s="449">
        <v>0</v>
      </c>
      <c r="AP535" s="449">
        <v>0</v>
      </c>
      <c r="AQ535" s="449">
        <v>0</v>
      </c>
      <c r="AR535" s="449">
        <v>0</v>
      </c>
      <c r="AS535" s="222"/>
      <c r="AT535" s="103">
        <f>SUM(E535:AS535)</f>
        <v>0</v>
      </c>
    </row>
    <row r="536" spans="1:46" ht="11.25" customHeight="1" x14ac:dyDescent="0.2">
      <c r="AS536" s="1"/>
    </row>
    <row r="537" spans="1:46" s="60" customFormat="1" x14ac:dyDescent="0.2">
      <c r="A537" s="60" t="s">
        <v>446</v>
      </c>
      <c r="B537" s="258">
        <f ca="1">AT537</f>
        <v>4714146.6052248208</v>
      </c>
      <c r="C537" s="224" t="str">
        <f>Параметры!$B$64</f>
        <v>тыс. руб.</v>
      </c>
      <c r="D537" s="169"/>
      <c r="E537" s="85">
        <f ca="1">SUM(E$514*CHOOSE($C$513,1,Параметры!E$109,Параметры!E$118))</f>
        <v>25998.471684000004</v>
      </c>
      <c r="F537" s="85">
        <f ca="1">SUM(F$514*CHOOSE($C$513,1,Параметры!F$109,Параметры!F$118))</f>
        <v>36085.520096491557</v>
      </c>
      <c r="G537" s="85">
        <f ca="1">SUM(G$514*CHOOSE($C$513,1,Параметры!G$109,Параметры!G$118))</f>
        <v>44751.135139393285</v>
      </c>
      <c r="H537" s="85">
        <f ca="1">SUM(H$514*CHOOSE($C$513,1,Параметры!H$109,Параметры!H$118))</f>
        <v>38659.773441337988</v>
      </c>
      <c r="I537" s="85">
        <f ca="1">SUM(I$514*CHOOSE($C$513,1,Параметры!I$109,Параметры!I$118))</f>
        <v>68991.707169755609</v>
      </c>
      <c r="J537" s="85">
        <f ca="1">SUM(J$514*CHOOSE($C$513,1,Параметры!J$109,Параметры!J$118))</f>
        <v>101921.30820085057</v>
      </c>
      <c r="K537" s="85">
        <f ca="1">SUM(K$514*CHOOSE($C$513,1,Параметры!K$109,Параметры!K$118))</f>
        <v>127684.32900629527</v>
      </c>
      <c r="L537" s="85">
        <f ca="1">SUM(L$514*CHOOSE($C$513,1,Параметры!L$109,Параметры!L$118))</f>
        <v>94604.788895157952</v>
      </c>
      <c r="M537" s="85">
        <f ca="1">SUM(M$514*CHOOSE($C$513,1,Параметры!M$109,Параметры!M$118))</f>
        <v>137160.87400907316</v>
      </c>
      <c r="N537" s="85">
        <f ca="1">SUM(N$514*CHOOSE($C$513,1,Параметры!N$109,Параметры!N$118))</f>
        <v>228594.77524424525</v>
      </c>
      <c r="O537" s="85">
        <f ca="1">SUM(O$514*CHOOSE($C$513,1,Параметры!O$109,Параметры!O$118))</f>
        <v>308694.53315702395</v>
      </c>
      <c r="P537" s="85">
        <f ca="1">SUM(P$514*CHOOSE($C$513,1,Параметры!P$109,Параметры!P$118))</f>
        <v>223876.3228870309</v>
      </c>
      <c r="Q537" s="85">
        <f ca="1">SUM(Q$514*CHOOSE($C$513,1,Параметры!Q$109,Параметры!Q$118))</f>
        <v>348357.0184022449</v>
      </c>
      <c r="R537" s="85">
        <f ca="1">SUM(R$514*CHOOSE($C$513,1,Параметры!R$109,Параметры!R$118))</f>
        <v>514140.38183783821</v>
      </c>
      <c r="S537" s="85">
        <f ca="1">SUM(S$514*CHOOSE($C$513,1,Параметры!S$109,Параметры!S$118))</f>
        <v>554642.42018156732</v>
      </c>
      <c r="T537" s="85">
        <f ca="1">SUM(T$514*CHOOSE($C$513,1,Параметры!T$109,Параметры!T$118))</f>
        <v>396281.63661328342</v>
      </c>
      <c r="U537" s="85">
        <f ca="1">SUM(U$514*CHOOSE($C$513,1,Параметры!U$109,Параметры!U$118))</f>
        <v>78290.968214641194</v>
      </c>
      <c r="V537" s="85">
        <f ca="1">SUM(V$514*CHOOSE($C$513,1,Параметры!V$109,Параметры!V$118))</f>
        <v>78266.036622260173</v>
      </c>
      <c r="W537" s="85">
        <f ca="1">SUM(W$514*CHOOSE($C$513,1,Параметры!W$109,Параметры!W$118))</f>
        <v>78240.556605833975</v>
      </c>
      <c r="X537" s="85">
        <f ca="1">SUM(X$514*CHOOSE($C$513,1,Параметры!X$109,Параметры!X$118))</f>
        <v>78214.516076557251</v>
      </c>
      <c r="Y537" s="85">
        <f ca="1">SUM(Y$514*CHOOSE($C$513,1,Параметры!Y$109,Параметры!Y$118))</f>
        <v>78187.902678641229</v>
      </c>
      <c r="Z537" s="85">
        <f ca="1">SUM(Z$514*CHOOSE($C$513,1,Параметры!Z$109,Параметры!Z$118))</f>
        <v>78160.703783406905</v>
      </c>
      <c r="AA537" s="85">
        <f ca="1">SUM(AA$514*CHOOSE($C$513,1,Параметры!AA$109,Параметры!AA$118))</f>
        <v>78132.906483247338</v>
      </c>
      <c r="AB537" s="85">
        <f ca="1">SUM(AB$514*CHOOSE($C$513,1,Параметры!AB$109,Параметры!AB$118))</f>
        <v>78104.497585456047</v>
      </c>
      <c r="AC537" s="85">
        <f ca="1">SUM(AC$514*CHOOSE($C$513,1,Параметры!AC$109,Параметры!AC$118))</f>
        <v>77929.84895555659</v>
      </c>
      <c r="AD537" s="85">
        <f ca="1">SUM(AD$514*CHOOSE($C$513,1,Параметры!AD$109,Параметры!AD$118))</f>
        <v>77911.990773454119</v>
      </c>
      <c r="AE537" s="85">
        <f ca="1">SUM(AE$514*CHOOSE($C$513,1,Параметры!AE$109,Параметры!AE$118))</f>
        <v>77893.745471094182</v>
      </c>
      <c r="AF537" s="85">
        <f ca="1">SUM(AF$514*CHOOSE($C$513,1,Параметры!AF$109,Параметры!AF$118))</f>
        <v>77875.10463204782</v>
      </c>
      <c r="AG537" s="85">
        <f ca="1">SUM(AG$514*CHOOSE($C$513,1,Параметры!AG$109,Параметры!AG$118))</f>
        <v>76968.927558788331</v>
      </c>
      <c r="AH537" s="85">
        <f ca="1">SUM(AH$514*CHOOSE($C$513,1,Параметры!AH$109,Параметры!AH$118))</f>
        <v>77067.902013256098</v>
      </c>
      <c r="AI537" s="85">
        <f ca="1">SUM(AI$514*CHOOSE($C$513,1,Параметры!AI$109,Параметры!AI$118))</f>
        <v>77169.119292622054</v>
      </c>
      <c r="AJ537" s="85">
        <f ca="1">SUM(AJ$514*CHOOSE($C$513,1,Параметры!AJ$109,Параметры!AJ$118))</f>
        <v>77272.630178439838</v>
      </c>
      <c r="AK537" s="85">
        <f ca="1">SUM(AK$514*CHOOSE($C$513,1,Параметры!AK$109,Параметры!AK$118))</f>
        <v>77378.486601207958</v>
      </c>
      <c r="AL537" s="85">
        <f ca="1">SUM(AL$514*CHOOSE($C$513,1,Параметры!AL$109,Параметры!AL$118))</f>
        <v>77486.741666348185</v>
      </c>
      <c r="AM537" s="85">
        <f ca="1">SUM(AM$514*CHOOSE($C$513,1,Параметры!AM$109,Параметры!AM$118))</f>
        <v>63149.024066370723</v>
      </c>
      <c r="AN537" s="85">
        <f ca="1">SUM(AN$514*CHOOSE($C$513,1,Параметры!AN$109,Параметры!AN$118))</f>
        <v>0</v>
      </c>
      <c r="AO537" s="85">
        <f ca="1">SUM(AO$514*CHOOSE($C$513,1,Параметры!AO$109,Параметры!AO$118))</f>
        <v>0</v>
      </c>
      <c r="AP537" s="85">
        <f ca="1">SUM(AP$514*CHOOSE($C$513,1,Параметры!AP$109,Параметры!AP$118))</f>
        <v>0</v>
      </c>
      <c r="AQ537" s="85">
        <f ca="1">SUM(AQ$514*CHOOSE($C$513,1,Параметры!AQ$109,Параметры!AQ$118))</f>
        <v>0</v>
      </c>
      <c r="AR537" s="85">
        <f ca="1">SUM(AR$514*CHOOSE($C$513,1,Параметры!AR$109,Параметры!AR$118))</f>
        <v>0</v>
      </c>
      <c r="AS537" s="62"/>
      <c r="AT537" s="137">
        <f ca="1">SUM(E537:AS537)</f>
        <v>4714146.6052248208</v>
      </c>
    </row>
    <row r="538" spans="1:46" s="116" customFormat="1" ht="22.5" x14ac:dyDescent="0.2">
      <c r="A538" s="305" t="s">
        <v>447</v>
      </c>
      <c r="B538" s="306">
        <f>AT538</f>
        <v>0</v>
      </c>
      <c r="C538" s="139" t="str">
        <f>Параметры!$B$64</f>
        <v>тыс. руб.</v>
      </c>
      <c r="E538" s="125">
        <f ca="1">E537+IF(Параметры!E$36&gt;1,D538,Деятельность_УК!$B50)</f>
        <v>26008.471684000004</v>
      </c>
      <c r="F538" s="125">
        <f ca="1">F537+IF(Параметры!F$36&gt;1,E538,Деятельность_УК!$B50)</f>
        <v>62093.99178049156</v>
      </c>
      <c r="G538" s="125">
        <f ca="1">G537+IF(Параметры!G$36&gt;1,F538,Деятельность_УК!$B50)</f>
        <v>106845.12691988485</v>
      </c>
      <c r="H538" s="125">
        <f ca="1">H537+IF(Параметры!H$36&gt;1,G538,Деятельность_УК!$B50)</f>
        <v>145504.90036122283</v>
      </c>
      <c r="I538" s="125">
        <f ca="1">I537+IF(Параметры!I$36&gt;1,H538,Деятельность_УК!$B50)</f>
        <v>214496.60753097845</v>
      </c>
      <c r="J538" s="125">
        <f ca="1">J537+IF(Параметры!J$36&gt;1,I538,Деятельность_УК!$B50)</f>
        <v>316417.91573182901</v>
      </c>
      <c r="K538" s="125">
        <f ca="1">K537+IF(Параметры!K$36&gt;1,J538,Деятельность_УК!$B50)</f>
        <v>444102.24473812431</v>
      </c>
      <c r="L538" s="125">
        <f ca="1">L537+IF(Параметры!L$36&gt;1,K538,Деятельность_УК!$B50)</f>
        <v>538707.03363328229</v>
      </c>
      <c r="M538" s="125">
        <f ca="1">M537+IF(Параметры!M$36&gt;1,L538,Деятельность_УК!$B50)</f>
        <v>675867.90764235542</v>
      </c>
      <c r="N538" s="125">
        <f ca="1">N537+IF(Параметры!N$36&gt;1,M538,Деятельность_УК!$B50)</f>
        <v>904462.68288660073</v>
      </c>
      <c r="O538" s="125">
        <f ca="1">O537+IF(Параметры!O$36&gt;1,N538,Деятельность_УК!$B50)</f>
        <v>1213157.2160436246</v>
      </c>
      <c r="P538" s="125">
        <f ca="1">P537+IF(Параметры!P$36&gt;1,O538,Деятельность_УК!$B50)</f>
        <v>1437033.5389306555</v>
      </c>
      <c r="Q538" s="125">
        <f ca="1">Q537+IF(Параметры!Q$36&gt;1,P538,Деятельность_УК!$B50)</f>
        <v>1785390.5573329004</v>
      </c>
      <c r="R538" s="125">
        <f ca="1">R537+IF(Параметры!R$36&gt;1,Q538,Деятельность_УК!$B50)</f>
        <v>2299530.9391707387</v>
      </c>
      <c r="S538" s="125">
        <f ca="1">S537+IF(Параметры!S$36&gt;1,R538,Деятельность_УК!$B50)</f>
        <v>2854173.359352306</v>
      </c>
      <c r="T538" s="125">
        <f ca="1">T537+IF(Параметры!T$36&gt;1,S538,Деятельность_УК!$B50)</f>
        <v>3250454.9959655893</v>
      </c>
      <c r="U538" s="125">
        <f ca="1">U537+IF(Параметры!U$36&gt;1,T538,Деятельность_УК!$B50)</f>
        <v>3328745.9641802306</v>
      </c>
      <c r="V538" s="125">
        <f ca="1">V537+IF(Параметры!V$36&gt;1,U538,Деятельность_УК!$B50)</f>
        <v>3407012.0008024909</v>
      </c>
      <c r="W538" s="125">
        <f ca="1">W537+IF(Параметры!W$36&gt;1,V538,Деятельность_УК!$B50)</f>
        <v>3485252.5574083249</v>
      </c>
      <c r="X538" s="125">
        <f ca="1">X537+IF(Параметры!X$36&gt;1,W538,Деятельность_УК!$B50)</f>
        <v>3563467.0734848822</v>
      </c>
      <c r="Y538" s="125">
        <f ca="1">Y537+IF(Параметры!Y$36&gt;1,X538,Деятельность_УК!$B50)</f>
        <v>3641654.9761635233</v>
      </c>
      <c r="Z538" s="125">
        <f ca="1">Z537+IF(Параметры!Z$36&gt;1,Y538,Деятельность_УК!$B50)</f>
        <v>3719815.6799469301</v>
      </c>
      <c r="AA538" s="125">
        <f ca="1">AA537+IF(Параметры!AA$36&gt;1,Z538,Деятельность_УК!$B50)</f>
        <v>3797948.5864301776</v>
      </c>
      <c r="AB538" s="125">
        <f ca="1">AB537+IF(Параметры!AB$36&gt;1,AA538,Деятельность_УК!$B50)</f>
        <v>3876053.0840156334</v>
      </c>
      <c r="AC538" s="125">
        <f ca="1">AC537+IF(Параметры!AC$36&gt;1,AB538,Деятельность_УК!$B50)</f>
        <v>3953982.9329711902</v>
      </c>
      <c r="AD538" s="125">
        <f ca="1">AD537+IF(Параметры!AD$36&gt;1,AC538,Деятельность_УК!$B50)</f>
        <v>4031894.9237446445</v>
      </c>
      <c r="AE538" s="125">
        <f ca="1">AE537+IF(Параметры!AE$36&gt;1,AD538,Деятельность_УК!$B50)</f>
        <v>4109788.6692157388</v>
      </c>
      <c r="AF538" s="125">
        <f ca="1">AF537+IF(Параметры!AF$36&gt;1,AE538,Деятельность_УК!$B50)</f>
        <v>4187663.7738477867</v>
      </c>
      <c r="AG538" s="125">
        <f ca="1">AG537+IF(Параметры!AG$36&gt;1,AF538,Деятельность_УК!$B50)</f>
        <v>4264632.7014065748</v>
      </c>
      <c r="AH538" s="125">
        <f ca="1">AH537+IF(Параметры!AH$36&gt;1,AG538,Деятельность_УК!$B50)</f>
        <v>4341700.603419831</v>
      </c>
      <c r="AI538" s="125">
        <f ca="1">AI537+IF(Параметры!AI$36&gt;1,AH538,Деятельность_УК!$B50)</f>
        <v>4418869.7227124535</v>
      </c>
      <c r="AJ538" s="125">
        <f ca="1">AJ537+IF(Параметры!AJ$36&gt;1,AI538,Деятельность_УК!$B50)</f>
        <v>4496142.3528908929</v>
      </c>
      <c r="AK538" s="125">
        <f ca="1">AK537+IF(Параметры!AK$36&gt;1,AJ538,Деятельность_УК!$B50)</f>
        <v>4573520.8394921012</v>
      </c>
      <c r="AL538" s="125">
        <f ca="1">AL537+IF(Параметры!AL$36&gt;1,AK538,Деятельность_УК!$B50)</f>
        <v>4651007.5811584499</v>
      </c>
      <c r="AM538" s="125">
        <f ca="1">AM537+IF(Параметры!AM$36&gt;1,AL538,Деятельность_УК!$B50)</f>
        <v>4714156.6052248208</v>
      </c>
      <c r="AN538" s="125">
        <f ca="1">AN537+IF(Параметры!AN$36&gt;1,AM538,Деятельность_УК!$B50)</f>
        <v>4714156.6052248208</v>
      </c>
      <c r="AO538" s="125">
        <f ca="1">AO537+IF(Параметры!AO$36&gt;1,AN538,Деятельность_УК!$B50)</f>
        <v>4714156.6052248208</v>
      </c>
      <c r="AP538" s="125">
        <f ca="1">AP537+IF(Параметры!AP$36&gt;1,AO538,Деятельность_УК!$B50)</f>
        <v>4714156.6052248208</v>
      </c>
      <c r="AQ538" s="125">
        <f ca="1">AQ537+IF(Параметры!AQ$36&gt;1,AP538,Деятельность_УК!$B50)</f>
        <v>4714156.6052248208</v>
      </c>
      <c r="AR538" s="125">
        <f ca="1">AR537+IF(Параметры!AR$36&gt;1,AQ538,Деятельность_УК!$B50)</f>
        <v>4714156.6052248208</v>
      </c>
      <c r="AS538" s="19"/>
      <c r="AT538" s="103"/>
    </row>
    <row r="539" spans="1:46" x14ac:dyDescent="0.2">
      <c r="A539" s="154"/>
      <c r="C539" s="266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82"/>
      <c r="AN539" s="82"/>
      <c r="AO539" s="82"/>
      <c r="AP539" s="82"/>
      <c r="AQ539" s="82"/>
      <c r="AR539" s="82"/>
      <c r="AS539" s="1"/>
      <c r="AT539" s="84"/>
    </row>
    <row r="540" spans="1:46" s="60" customFormat="1" x14ac:dyDescent="0.2">
      <c r="A540" s="60" t="s">
        <v>552</v>
      </c>
      <c r="C540" s="224" t="str">
        <f>Параметры!$B$64</f>
        <v>тыс. руб.</v>
      </c>
      <c r="D540" s="169"/>
      <c r="E540" s="85">
        <f>SUM(E$525*CHOOSE($C$524,1,Параметры!E$109,Параметры!E$118),E$531*CHOOSE($C$530,1,Параметры!E$109,Параметры!E$118))</f>
        <v>0</v>
      </c>
      <c r="F540" s="85">
        <f ca="1">SUM(F$525*CHOOSE($C$524,1,Параметры!F$109,Параметры!F$118),F$531*CHOOSE($C$530,1,Параметры!F$109,Параметры!F$118))</f>
        <v>0</v>
      </c>
      <c r="G540" s="85">
        <f ca="1">SUM(G$525*CHOOSE($C$524,1,Параметры!G$109,Параметры!G$118),G$531*CHOOSE($C$530,1,Параметры!G$109,Параметры!G$118))</f>
        <v>0</v>
      </c>
      <c r="H540" s="85">
        <f ca="1">SUM(H$525*CHOOSE($C$524,1,Параметры!H$109,Параметры!H$118),H$531*CHOOSE($C$530,1,Параметры!H$109,Параметры!H$118))</f>
        <v>0</v>
      </c>
      <c r="I540" s="85">
        <f ca="1">SUM(I$525*CHOOSE($C$524,1,Параметры!I$109,Параметры!I$118),I$531*CHOOSE($C$530,1,Параметры!I$109,Параметры!I$118))</f>
        <v>0</v>
      </c>
      <c r="J540" s="85">
        <f ca="1">SUM(J$525*CHOOSE($C$524,1,Параметры!J$109,Параметры!J$118),J$531*CHOOSE($C$530,1,Параметры!J$109,Параметры!J$118))</f>
        <v>1000.0318861108526</v>
      </c>
      <c r="K540" s="85">
        <f ca="1">SUM(K$525*CHOOSE($C$524,1,Параметры!K$109,Параметры!K$118),K$531*CHOOSE($C$530,1,Параметры!K$109,Параметры!K$118))</f>
        <v>1000.0318861108526</v>
      </c>
      <c r="L540" s="85">
        <f ca="1">SUM(L$525*CHOOSE($C$524,1,Параметры!L$109,Параметры!L$118),L$531*CHOOSE($C$530,1,Параметры!L$109,Параметры!L$118))</f>
        <v>1009.441750841768</v>
      </c>
      <c r="M540" s="85">
        <f ca="1">SUM(M$525*CHOOSE($C$524,1,Параметры!M$109,Параметры!M$118),M$531*CHOOSE($C$530,1,Параметры!M$109,Параметры!M$118))</f>
        <v>1018.9401583036547</v>
      </c>
      <c r="N540" s="85">
        <f ca="1">SUM(N$525*CHOOSE($C$524,1,Параметры!N$109,Параметры!N$118),N$531*CHOOSE($C$530,1,Параметры!N$109,Параметры!N$118))</f>
        <v>1028.5279416450671</v>
      </c>
      <c r="O540" s="85">
        <f ca="1">SUM(O$525*CHOOSE($C$524,1,Параметры!O$109,Параметры!O$118),O$531*CHOOSE($C$530,1,Параметры!O$109,Параметры!O$118))</f>
        <v>9789.8628804723394</v>
      </c>
      <c r="P540" s="85">
        <f ca="1">SUM(P$525*CHOOSE($C$524,1,Параметры!P$109,Параметры!P$118),P$531*CHOOSE($C$530,1,Параметры!P$109,Параметры!P$118))</f>
        <v>1594.6509547354606</v>
      </c>
      <c r="Q540" s="85">
        <f ca="1">SUM(Q$525*CHOOSE($C$524,1,Параметры!Q$109,Параметры!Q$118),Q$531*CHOOSE($C$530,1,Параметры!Q$109,Параметры!Q$118))</f>
        <v>1612.4299840332176</v>
      </c>
      <c r="R540" s="85">
        <f ca="1">SUM(R$525*CHOOSE($C$524,1,Параметры!R$109,Параметры!R$118),R$531*CHOOSE($C$530,1,Параметры!R$109,Параметры!R$118))</f>
        <v>1630.4072346921009</v>
      </c>
      <c r="S540" s="85">
        <f ca="1">SUM(S$525*CHOOSE($C$524,1,Параметры!S$109,Параметры!S$118),S$531*CHOOSE($C$530,1,Параметры!S$109,Параметры!S$118))</f>
        <v>6213.4515893743246</v>
      </c>
      <c r="T540" s="85">
        <f ca="1">SUM(T$525*CHOOSE($C$524,1,Параметры!T$109,Параметры!T$118),T$531*CHOOSE($C$530,1,Параметры!T$109,Параметры!T$118))</f>
        <v>27253.662425870105</v>
      </c>
      <c r="U540" s="85">
        <f ca="1">SUM(U$525*CHOOSE($C$524,1,Параметры!U$109,Параметры!U$118),U$531*CHOOSE($C$530,1,Параметры!U$109,Параметры!U$118))</f>
        <v>33048.408915747459</v>
      </c>
      <c r="V540" s="85">
        <f ca="1">SUM(V$525*CHOOSE($C$524,1,Параметры!V$109,Параметры!V$118),V$531*CHOOSE($C$530,1,Параметры!V$109,Параметры!V$118))</f>
        <v>33376.232728754119</v>
      </c>
      <c r="W540" s="85">
        <f ca="1">SUM(W$525*CHOOSE($C$524,1,Параметры!W$109,Параметры!W$118),W$531*CHOOSE($C$530,1,Параметры!W$109,Параметры!W$118))</f>
        <v>106640.07890610778</v>
      </c>
      <c r="X540" s="85">
        <f ca="1">SUM(X$525*CHOOSE($C$524,1,Параметры!X$109,Параметры!X$118),X$531*CHOOSE($C$530,1,Параметры!X$109,Параметры!X$118))</f>
        <v>40289.666342360943</v>
      </c>
      <c r="Y540" s="85">
        <f ca="1">SUM(Y$525*CHOOSE($C$524,1,Параметры!Y$109,Параметры!Y$118),Y$531*CHOOSE($C$530,1,Параметры!Y$109,Параметры!Y$118))</f>
        <v>40870.272412639461</v>
      </c>
      <c r="Z540" s="85">
        <f ca="1">SUM(Z$525*CHOOSE($C$524,1,Параметры!Z$109,Параметры!Z$118),Z$531*CHOOSE($C$530,1,Параметры!Z$109,Параметры!Z$118))</f>
        <v>58019.532144945959</v>
      </c>
      <c r="AA540" s="85">
        <f ca="1">SUM(AA$525*CHOOSE($C$524,1,Параметры!AA$109,Параметры!AA$118),AA$531*CHOOSE($C$530,1,Параметры!AA$109,Параметры!AA$118))</f>
        <v>41854.369857254555</v>
      </c>
      <c r="AB540" s="85">
        <f ca="1">SUM(AB$525*CHOOSE($C$524,1,Параметры!AB$109,Параметры!AB$118),AB$531*CHOOSE($C$530,1,Параметры!AB$109,Параметры!AB$118))</f>
        <v>0</v>
      </c>
      <c r="AC540" s="85">
        <f ca="1">SUM(AC$525*CHOOSE($C$524,1,Параметры!AC$109,Параметры!AC$118),AC$531*CHOOSE($C$530,1,Параметры!AC$109,Параметры!AC$118))</f>
        <v>0</v>
      </c>
      <c r="AD540" s="85">
        <f ca="1">SUM(AD$525*CHOOSE($C$524,1,Параметры!AD$109,Параметры!AD$118),AD$531*CHOOSE($C$530,1,Параметры!AD$109,Параметры!AD$118))</f>
        <v>0</v>
      </c>
      <c r="AE540" s="85">
        <f ca="1">SUM(AE$525*CHOOSE($C$524,1,Параметры!AE$109,Параметры!AE$118),AE$531*CHOOSE($C$530,1,Параметры!AE$109,Параметры!AE$118))</f>
        <v>0</v>
      </c>
      <c r="AF540" s="85">
        <f ca="1">SUM(AF$525*CHOOSE($C$524,1,Параметры!AF$109,Параметры!AF$118),AF$531*CHOOSE($C$530,1,Параметры!AF$109,Параметры!AF$118))</f>
        <v>0</v>
      </c>
      <c r="AG540" s="85">
        <f ca="1">SUM(AG$525*CHOOSE($C$524,1,Параметры!AG$109,Параметры!AG$118),AG$531*CHOOSE($C$530,1,Параметры!AG$109,Параметры!AG$118))</f>
        <v>0</v>
      </c>
      <c r="AH540" s="85">
        <f ca="1">SUM(AH$525*CHOOSE($C$524,1,Параметры!AH$109,Параметры!AH$118),AH$531*CHOOSE($C$530,1,Параметры!AH$109,Параметры!AH$118))</f>
        <v>0</v>
      </c>
      <c r="AI540" s="85">
        <f ca="1">SUM(AI$525*CHOOSE($C$524,1,Параметры!AI$109,Параметры!AI$118),AI$531*CHOOSE($C$530,1,Параметры!AI$109,Параметры!AI$118))</f>
        <v>0</v>
      </c>
      <c r="AJ540" s="85">
        <f ca="1">SUM(AJ$525*CHOOSE($C$524,1,Параметры!AJ$109,Параметры!AJ$118),AJ$531*CHOOSE($C$530,1,Параметры!AJ$109,Параметры!AJ$118))</f>
        <v>0</v>
      </c>
      <c r="AK540" s="85">
        <f ca="1">SUM(AK$525*CHOOSE($C$524,1,Параметры!AK$109,Параметры!AK$118),AK$531*CHOOSE($C$530,1,Параметры!AK$109,Параметры!AK$118))</f>
        <v>0</v>
      </c>
      <c r="AL540" s="85">
        <f ca="1">SUM(AL$525*CHOOSE($C$524,1,Параметры!AL$109,Параметры!AL$118),AL$531*CHOOSE($C$530,1,Параметры!AL$109,Параметры!AL$118))</f>
        <v>0</v>
      </c>
      <c r="AM540" s="85">
        <f ca="1">SUM(AM$525*CHOOSE($C$524,1,Параметры!AM$109,Параметры!AM$118),AM$531*CHOOSE($C$530,1,Параметры!AM$109,Параметры!AM$118))</f>
        <v>0</v>
      </c>
      <c r="AN540" s="85">
        <f ca="1">SUM(AN$525*CHOOSE($C$524,1,Параметры!AN$109,Параметры!AN$118),AN$531*CHOOSE($C$530,1,Параметры!AN$109,Параметры!AN$118))</f>
        <v>0</v>
      </c>
      <c r="AO540" s="85">
        <f ca="1">SUM(AO$525*CHOOSE($C$524,1,Параметры!AO$109,Параметры!AO$118),AO$531*CHOOSE($C$530,1,Параметры!AO$109,Параметры!AO$118))</f>
        <v>0</v>
      </c>
      <c r="AP540" s="85">
        <f ca="1">SUM(AP$525*CHOOSE($C$524,1,Параметры!AP$109,Параметры!AP$118),AP$531*CHOOSE($C$530,1,Параметры!AP$109,Параметры!AP$118))</f>
        <v>0</v>
      </c>
      <c r="AQ540" s="85">
        <f ca="1">SUM(AQ$525*CHOOSE($C$524,1,Параметры!AQ$109,Параметры!AQ$118),AQ$531*CHOOSE($C$530,1,Параметры!AQ$109,Параметры!AQ$118))</f>
        <v>0</v>
      </c>
      <c r="AR540" s="85">
        <f ca="1">SUM(AR$525*CHOOSE($C$524,1,Параметры!AR$109,Параметры!AR$118),AR$531*CHOOSE($C$530,1,Параметры!AR$109,Параметры!AR$118))</f>
        <v>0</v>
      </c>
      <c r="AS540" s="62"/>
      <c r="AT540" s="137">
        <f ca="1">SUM(E540:AS540)</f>
        <v>407250</v>
      </c>
    </row>
    <row r="541" spans="1:46" s="60" customFormat="1" x14ac:dyDescent="0.2">
      <c r="A541" s="247" t="s">
        <v>553</v>
      </c>
      <c r="B541" s="243">
        <f t="shared" ref="B541:B542" ca="1" si="233">AT541</f>
        <v>407250</v>
      </c>
      <c r="C541" s="266" t="str">
        <f>Параметры!$B$64</f>
        <v>тыс. руб.</v>
      </c>
      <c r="D541" s="40"/>
      <c r="E541" s="82">
        <f t="shared" ref="E541:AR541" si="234">SUM(E$526,E$532)</f>
        <v>0</v>
      </c>
      <c r="F541" s="82">
        <f t="shared" ca="1" si="234"/>
        <v>0</v>
      </c>
      <c r="G541" s="82">
        <f t="shared" ca="1" si="234"/>
        <v>0</v>
      </c>
      <c r="H541" s="82">
        <f t="shared" ca="1" si="234"/>
        <v>0</v>
      </c>
      <c r="I541" s="82">
        <f t="shared" ca="1" si="234"/>
        <v>0</v>
      </c>
      <c r="J541" s="82">
        <f t="shared" ca="1" si="234"/>
        <v>1000.0318861108526</v>
      </c>
      <c r="K541" s="82">
        <f t="shared" ca="1" si="234"/>
        <v>1000.0318861108526</v>
      </c>
      <c r="L541" s="82">
        <f t="shared" ca="1" si="234"/>
        <v>1009.441750841768</v>
      </c>
      <c r="M541" s="82">
        <f t="shared" ca="1" si="234"/>
        <v>1018.9401583036547</v>
      </c>
      <c r="N541" s="82">
        <f t="shared" ca="1" si="234"/>
        <v>1028.5279416450671</v>
      </c>
      <c r="O541" s="82">
        <f t="shared" ca="1" si="234"/>
        <v>9789.8628804723394</v>
      </c>
      <c r="P541" s="82">
        <f t="shared" ca="1" si="234"/>
        <v>1594.6509547354606</v>
      </c>
      <c r="Q541" s="82">
        <f t="shared" ca="1" si="234"/>
        <v>1612.4299840332176</v>
      </c>
      <c r="R541" s="82">
        <f t="shared" ca="1" si="234"/>
        <v>1630.4072346921009</v>
      </c>
      <c r="S541" s="82">
        <f t="shared" ca="1" si="234"/>
        <v>6213.4515893743246</v>
      </c>
      <c r="T541" s="82">
        <f t="shared" ca="1" si="234"/>
        <v>27253.662425870105</v>
      </c>
      <c r="U541" s="82">
        <f t="shared" ca="1" si="234"/>
        <v>33048.408915747459</v>
      </c>
      <c r="V541" s="82">
        <f t="shared" ca="1" si="234"/>
        <v>33376.232728754119</v>
      </c>
      <c r="W541" s="82">
        <f t="shared" ca="1" si="234"/>
        <v>106640.07890610778</v>
      </c>
      <c r="X541" s="82">
        <f t="shared" ca="1" si="234"/>
        <v>40289.666342360943</v>
      </c>
      <c r="Y541" s="82">
        <f t="shared" ca="1" si="234"/>
        <v>40870.272412639461</v>
      </c>
      <c r="Z541" s="82">
        <f t="shared" ca="1" si="234"/>
        <v>58019.532144945959</v>
      </c>
      <c r="AA541" s="82">
        <f t="shared" ca="1" si="234"/>
        <v>41854.369857254555</v>
      </c>
      <c r="AB541" s="82">
        <f t="shared" ca="1" si="234"/>
        <v>0</v>
      </c>
      <c r="AC541" s="82">
        <f t="shared" ca="1" si="234"/>
        <v>0</v>
      </c>
      <c r="AD541" s="82">
        <f t="shared" ca="1" si="234"/>
        <v>0</v>
      </c>
      <c r="AE541" s="82">
        <f t="shared" ca="1" si="234"/>
        <v>0</v>
      </c>
      <c r="AF541" s="82">
        <f t="shared" ca="1" si="234"/>
        <v>0</v>
      </c>
      <c r="AG541" s="82">
        <f t="shared" ca="1" si="234"/>
        <v>0</v>
      </c>
      <c r="AH541" s="82">
        <f t="shared" ca="1" si="234"/>
        <v>0</v>
      </c>
      <c r="AI541" s="82">
        <f t="shared" ca="1" si="234"/>
        <v>0</v>
      </c>
      <c r="AJ541" s="82">
        <f t="shared" ca="1" si="234"/>
        <v>0</v>
      </c>
      <c r="AK541" s="82">
        <f t="shared" ca="1" si="234"/>
        <v>0</v>
      </c>
      <c r="AL541" s="82">
        <f t="shared" ca="1" si="234"/>
        <v>0</v>
      </c>
      <c r="AM541" s="82">
        <f t="shared" ca="1" si="234"/>
        <v>0</v>
      </c>
      <c r="AN541" s="82">
        <f t="shared" ca="1" si="234"/>
        <v>0</v>
      </c>
      <c r="AO541" s="82">
        <f t="shared" ca="1" si="234"/>
        <v>0</v>
      </c>
      <c r="AP541" s="82">
        <f t="shared" ca="1" si="234"/>
        <v>0</v>
      </c>
      <c r="AQ541" s="82">
        <f t="shared" ca="1" si="234"/>
        <v>0</v>
      </c>
      <c r="AR541" s="82">
        <f t="shared" ca="1" si="234"/>
        <v>0</v>
      </c>
      <c r="AS541" s="62"/>
      <c r="AT541" s="84">
        <f ca="1">SUM(E541:AS541)</f>
        <v>407250</v>
      </c>
    </row>
    <row r="542" spans="1:46" s="60" customFormat="1" x14ac:dyDescent="0.2">
      <c r="A542" s="247" t="s">
        <v>554</v>
      </c>
      <c r="B542" s="243">
        <f t="shared" si="233"/>
        <v>0</v>
      </c>
      <c r="C542" s="266" t="str">
        <f>Параметры!$B$64</f>
        <v>тыс. руб.</v>
      </c>
      <c r="D542" s="40"/>
      <c r="E542" s="82">
        <f t="shared" ref="E542:AR542" si="235">SUM(E$527,E$533)</f>
        <v>0</v>
      </c>
      <c r="F542" s="82">
        <f t="shared" si="235"/>
        <v>0</v>
      </c>
      <c r="G542" s="82">
        <f t="shared" si="235"/>
        <v>0</v>
      </c>
      <c r="H542" s="82">
        <f t="shared" si="235"/>
        <v>0</v>
      </c>
      <c r="I542" s="82">
        <f t="shared" si="235"/>
        <v>0</v>
      </c>
      <c r="J542" s="82">
        <f t="shared" si="235"/>
        <v>0</v>
      </c>
      <c r="K542" s="82">
        <f t="shared" si="235"/>
        <v>0</v>
      </c>
      <c r="L542" s="82">
        <f t="shared" si="235"/>
        <v>0</v>
      </c>
      <c r="M542" s="82">
        <f t="shared" si="235"/>
        <v>0</v>
      </c>
      <c r="N542" s="82">
        <f t="shared" si="235"/>
        <v>0</v>
      </c>
      <c r="O542" s="82">
        <f t="shared" si="235"/>
        <v>0</v>
      </c>
      <c r="P542" s="82">
        <f t="shared" si="235"/>
        <v>0</v>
      </c>
      <c r="Q542" s="82">
        <f t="shared" si="235"/>
        <v>0</v>
      </c>
      <c r="R542" s="82">
        <f t="shared" si="235"/>
        <v>0</v>
      </c>
      <c r="S542" s="82">
        <f t="shared" si="235"/>
        <v>0</v>
      </c>
      <c r="T542" s="82">
        <f t="shared" si="235"/>
        <v>0</v>
      </c>
      <c r="U542" s="82">
        <f t="shared" si="235"/>
        <v>0</v>
      </c>
      <c r="V542" s="82">
        <f t="shared" si="235"/>
        <v>0</v>
      </c>
      <c r="W542" s="82">
        <f t="shared" si="235"/>
        <v>0</v>
      </c>
      <c r="X542" s="82">
        <f t="shared" si="235"/>
        <v>0</v>
      </c>
      <c r="Y542" s="82">
        <f t="shared" si="235"/>
        <v>0</v>
      </c>
      <c r="Z542" s="82">
        <f t="shared" si="235"/>
        <v>0</v>
      </c>
      <c r="AA542" s="82">
        <f t="shared" si="235"/>
        <v>0</v>
      </c>
      <c r="AB542" s="82">
        <f t="shared" si="235"/>
        <v>0</v>
      </c>
      <c r="AC542" s="82">
        <f t="shared" si="235"/>
        <v>0</v>
      </c>
      <c r="AD542" s="82">
        <f t="shared" si="235"/>
        <v>0</v>
      </c>
      <c r="AE542" s="82">
        <f t="shared" si="235"/>
        <v>0</v>
      </c>
      <c r="AF542" s="82">
        <f t="shared" si="235"/>
        <v>0</v>
      </c>
      <c r="AG542" s="82">
        <f t="shared" si="235"/>
        <v>0</v>
      </c>
      <c r="AH542" s="82">
        <f t="shared" si="235"/>
        <v>0</v>
      </c>
      <c r="AI542" s="82">
        <f t="shared" si="235"/>
        <v>0</v>
      </c>
      <c r="AJ542" s="82">
        <f t="shared" si="235"/>
        <v>0</v>
      </c>
      <c r="AK542" s="82">
        <f t="shared" si="235"/>
        <v>0</v>
      </c>
      <c r="AL542" s="82">
        <f t="shared" si="235"/>
        <v>0</v>
      </c>
      <c r="AM542" s="82">
        <f t="shared" si="235"/>
        <v>0</v>
      </c>
      <c r="AN542" s="82">
        <f t="shared" si="235"/>
        <v>0</v>
      </c>
      <c r="AO542" s="82">
        <f t="shared" si="235"/>
        <v>0</v>
      </c>
      <c r="AP542" s="82">
        <f t="shared" si="235"/>
        <v>0</v>
      </c>
      <c r="AQ542" s="82">
        <f t="shared" si="235"/>
        <v>0</v>
      </c>
      <c r="AR542" s="82">
        <f t="shared" si="235"/>
        <v>0</v>
      </c>
      <c r="AS542" s="62"/>
      <c r="AT542" s="84">
        <f>SUM(E542:AS542)</f>
        <v>0</v>
      </c>
    </row>
    <row r="543" spans="1:46" s="116" customFormat="1" x14ac:dyDescent="0.2">
      <c r="A543" s="307" t="s">
        <v>555</v>
      </c>
      <c r="B543" s="306">
        <f ca="1">AT540</f>
        <v>407250</v>
      </c>
      <c r="C543" s="139" t="str">
        <f>Параметры!$B$64</f>
        <v>тыс. руб.</v>
      </c>
      <c r="E543" s="125">
        <f>E540</f>
        <v>0</v>
      </c>
      <c r="F543" s="125">
        <f ca="1">E543+F540</f>
        <v>0</v>
      </c>
      <c r="G543" s="125">
        <f t="shared" ref="G543:AR543" ca="1" si="236">F543+G540</f>
        <v>0</v>
      </c>
      <c r="H543" s="125">
        <f t="shared" ca="1" si="236"/>
        <v>0</v>
      </c>
      <c r="I543" s="125">
        <f t="shared" ca="1" si="236"/>
        <v>0</v>
      </c>
      <c r="J543" s="125">
        <f t="shared" ca="1" si="236"/>
        <v>1000.0318861108526</v>
      </c>
      <c r="K543" s="125">
        <f t="shared" ca="1" si="236"/>
        <v>2000.0637722217052</v>
      </c>
      <c r="L543" s="125">
        <f t="shared" ca="1" si="236"/>
        <v>3009.5055230634734</v>
      </c>
      <c r="M543" s="125">
        <f t="shared" ca="1" si="236"/>
        <v>4028.4456813671281</v>
      </c>
      <c r="N543" s="125">
        <f t="shared" ca="1" si="236"/>
        <v>5056.9736230121953</v>
      </c>
      <c r="O543" s="125">
        <f t="shared" ca="1" si="236"/>
        <v>14846.836503484534</v>
      </c>
      <c r="P543" s="125">
        <f t="shared" ca="1" si="236"/>
        <v>16441.487458219995</v>
      </c>
      <c r="Q543" s="125">
        <f t="shared" ca="1" si="236"/>
        <v>18053.917442253212</v>
      </c>
      <c r="R543" s="125">
        <f t="shared" ca="1" si="236"/>
        <v>19684.324676945314</v>
      </c>
      <c r="S543" s="125">
        <f t="shared" ca="1" si="236"/>
        <v>25897.776266319641</v>
      </c>
      <c r="T543" s="125">
        <f t="shared" ca="1" si="236"/>
        <v>53151.438692189746</v>
      </c>
      <c r="U543" s="125">
        <f t="shared" ca="1" si="236"/>
        <v>86199.847607937205</v>
      </c>
      <c r="V543" s="125">
        <f t="shared" ca="1" si="236"/>
        <v>119576.08033669132</v>
      </c>
      <c r="W543" s="125">
        <f t="shared" ca="1" si="236"/>
        <v>226216.1592427991</v>
      </c>
      <c r="X543" s="125">
        <f t="shared" ca="1" si="236"/>
        <v>266505.82558516006</v>
      </c>
      <c r="Y543" s="125">
        <f t="shared" ca="1" si="236"/>
        <v>307376.09799779952</v>
      </c>
      <c r="Z543" s="125">
        <f t="shared" ca="1" si="236"/>
        <v>365395.63014274545</v>
      </c>
      <c r="AA543" s="125">
        <f t="shared" ca="1" si="236"/>
        <v>407250</v>
      </c>
      <c r="AB543" s="125">
        <f t="shared" ca="1" si="236"/>
        <v>407250</v>
      </c>
      <c r="AC543" s="125">
        <f t="shared" ca="1" si="236"/>
        <v>407250</v>
      </c>
      <c r="AD543" s="125">
        <f t="shared" ca="1" si="236"/>
        <v>407250</v>
      </c>
      <c r="AE543" s="125">
        <f t="shared" ca="1" si="236"/>
        <v>407250</v>
      </c>
      <c r="AF543" s="125">
        <f t="shared" ca="1" si="236"/>
        <v>407250</v>
      </c>
      <c r="AG543" s="125">
        <f t="shared" ca="1" si="236"/>
        <v>407250</v>
      </c>
      <c r="AH543" s="125">
        <f t="shared" ca="1" si="236"/>
        <v>407250</v>
      </c>
      <c r="AI543" s="125">
        <f t="shared" ca="1" si="236"/>
        <v>407250</v>
      </c>
      <c r="AJ543" s="125">
        <f t="shared" ca="1" si="236"/>
        <v>407250</v>
      </c>
      <c r="AK543" s="125">
        <f t="shared" ca="1" si="236"/>
        <v>407250</v>
      </c>
      <c r="AL543" s="125">
        <f t="shared" ca="1" si="236"/>
        <v>407250</v>
      </c>
      <c r="AM543" s="125">
        <f t="shared" ca="1" si="236"/>
        <v>407250</v>
      </c>
      <c r="AN543" s="125">
        <f t="shared" ca="1" si="236"/>
        <v>407250</v>
      </c>
      <c r="AO543" s="125">
        <f t="shared" ca="1" si="236"/>
        <v>407250</v>
      </c>
      <c r="AP543" s="125">
        <f t="shared" ca="1" si="236"/>
        <v>407250</v>
      </c>
      <c r="AQ543" s="125">
        <f t="shared" ca="1" si="236"/>
        <v>407250</v>
      </c>
      <c r="AR543" s="125">
        <f t="shared" ca="1" si="236"/>
        <v>407250</v>
      </c>
    </row>
    <row r="544" spans="1:46" x14ac:dyDescent="0.2">
      <c r="A544" s="93" t="s">
        <v>399</v>
      </c>
      <c r="B544" s="217">
        <f ca="1">AT544</f>
        <v>407250</v>
      </c>
      <c r="C544" s="266" t="str">
        <f>Параметры!$B$64</f>
        <v>тыс. руб.</v>
      </c>
      <c r="E544" s="82">
        <f>SUM(E$528*CHOOSE($C$524,1,Параметры!E$109,Параметры!E$118),E$534*CHOOSE($C$530,1,Параметры!E$109,Параметры!E$118))</f>
        <v>0</v>
      </c>
      <c r="F544" s="82">
        <f ca="1">SUM(F$528*CHOOSE($C$524,1,Параметры!F$109,Параметры!F$118),F$534*CHOOSE($C$530,1,Параметры!F$109,Параметры!F$118))</f>
        <v>0</v>
      </c>
      <c r="G544" s="82">
        <f ca="1">SUM(G$528*CHOOSE($C$524,1,Параметры!G$109,Параметры!G$118),G$534*CHOOSE($C$530,1,Параметры!G$109,Параметры!G$118))</f>
        <v>0</v>
      </c>
      <c r="H544" s="82">
        <f ca="1">SUM(H$528*CHOOSE($C$524,1,Параметры!H$109,Параметры!H$118),H$534*CHOOSE($C$530,1,Параметры!H$109,Параметры!H$118))</f>
        <v>0</v>
      </c>
      <c r="I544" s="82">
        <f ca="1">SUM(I$528*CHOOSE($C$524,1,Параметры!I$109,Параметры!I$118),I$534*CHOOSE($C$530,1,Параметры!I$109,Параметры!I$118))</f>
        <v>0</v>
      </c>
      <c r="J544" s="82">
        <f ca="1">SUM(J$528*CHOOSE($C$524,1,Параметры!J$109,Параметры!J$118),J$534*CHOOSE($C$530,1,Параметры!J$109,Параметры!J$118))</f>
        <v>1000.0318861108526</v>
      </c>
      <c r="K544" s="82">
        <f ca="1">SUM(K$528*CHOOSE($C$524,1,Параметры!K$109,Параметры!K$118),K$534*CHOOSE($C$530,1,Параметры!K$109,Параметры!K$118))</f>
        <v>1000.0318861108526</v>
      </c>
      <c r="L544" s="82">
        <f ca="1">SUM(L$528*CHOOSE($C$524,1,Параметры!L$109,Параметры!L$118),L$534*CHOOSE($C$530,1,Параметры!L$109,Параметры!L$118))</f>
        <v>1009.441750841768</v>
      </c>
      <c r="M544" s="82">
        <f ca="1">SUM(M$528*CHOOSE($C$524,1,Параметры!M$109,Параметры!M$118),M$534*CHOOSE($C$530,1,Параметры!M$109,Параметры!M$118))</f>
        <v>1018.9401583036547</v>
      </c>
      <c r="N544" s="82">
        <f ca="1">SUM(N$528*CHOOSE($C$524,1,Параметры!N$109,Параметры!N$118),N$534*CHOOSE($C$530,1,Параметры!N$109,Параметры!N$118))</f>
        <v>1028.5279416450671</v>
      </c>
      <c r="O544" s="82">
        <f ca="1">SUM(O$528*CHOOSE($C$524,1,Параметры!O$109,Параметры!O$118),O$534*CHOOSE($C$530,1,Параметры!O$109,Параметры!O$118))</f>
        <v>9789.8628804723394</v>
      </c>
      <c r="P544" s="82">
        <f ca="1">SUM(P$528*CHOOSE($C$524,1,Параметры!P$109,Параметры!P$118),P$534*CHOOSE($C$530,1,Параметры!P$109,Параметры!P$118))</f>
        <v>1594.6509547354606</v>
      </c>
      <c r="Q544" s="82">
        <f ca="1">SUM(Q$528*CHOOSE($C$524,1,Параметры!Q$109,Параметры!Q$118),Q$534*CHOOSE($C$530,1,Параметры!Q$109,Параметры!Q$118))</f>
        <v>1612.4299840332176</v>
      </c>
      <c r="R544" s="82">
        <f ca="1">SUM(R$528*CHOOSE($C$524,1,Параметры!R$109,Параметры!R$118),R$534*CHOOSE($C$530,1,Параметры!R$109,Параметры!R$118))</f>
        <v>1630.4072346921009</v>
      </c>
      <c r="S544" s="82">
        <f ca="1">SUM(S$528*CHOOSE($C$524,1,Параметры!S$109,Параметры!S$118),S$534*CHOOSE($C$530,1,Параметры!S$109,Параметры!S$118))</f>
        <v>6213.4515893743246</v>
      </c>
      <c r="T544" s="82">
        <f ca="1">SUM(T$528*CHOOSE($C$524,1,Параметры!T$109,Параметры!T$118),T$534*CHOOSE($C$530,1,Параметры!T$109,Параметры!T$118))</f>
        <v>27253.662425870105</v>
      </c>
      <c r="U544" s="82">
        <f ca="1">SUM(U$528*CHOOSE($C$524,1,Параметры!U$109,Параметры!U$118),U$534*CHOOSE($C$530,1,Параметры!U$109,Параметры!U$118))</f>
        <v>33048.408915747459</v>
      </c>
      <c r="V544" s="82">
        <f ca="1">SUM(V$528*CHOOSE($C$524,1,Параметры!V$109,Параметры!V$118),V$534*CHOOSE($C$530,1,Параметры!V$109,Параметры!V$118))</f>
        <v>33376.232728754119</v>
      </c>
      <c r="W544" s="82">
        <f ca="1">SUM(W$528*CHOOSE($C$524,1,Параметры!W$109,Параметры!W$118),W$534*CHOOSE($C$530,1,Параметры!W$109,Параметры!W$118))</f>
        <v>106640.07890610778</v>
      </c>
      <c r="X544" s="82">
        <f ca="1">SUM(X$528*CHOOSE($C$524,1,Параметры!X$109,Параметры!X$118),X$534*CHOOSE($C$530,1,Параметры!X$109,Параметры!X$118))</f>
        <v>40289.666342360943</v>
      </c>
      <c r="Y544" s="82">
        <f ca="1">SUM(Y$528*CHOOSE($C$524,1,Параметры!Y$109,Параметры!Y$118),Y$534*CHOOSE($C$530,1,Параметры!Y$109,Параметры!Y$118))</f>
        <v>40870.272412639461</v>
      </c>
      <c r="Z544" s="82">
        <f ca="1">SUM(Z$528*CHOOSE($C$524,1,Параметры!Z$109,Параметры!Z$118),Z$534*CHOOSE($C$530,1,Параметры!Z$109,Параметры!Z$118))</f>
        <v>58019.532144945959</v>
      </c>
      <c r="AA544" s="82">
        <f ca="1">SUM(AA$528*CHOOSE($C$524,1,Параметры!AA$109,Параметры!AA$118),AA$534*CHOOSE($C$530,1,Параметры!AA$109,Параметры!AA$118))</f>
        <v>41854.369857254555</v>
      </c>
      <c r="AB544" s="82">
        <f ca="1">SUM(AB$528*CHOOSE($C$524,1,Параметры!AB$109,Параметры!AB$118),AB$534*CHOOSE($C$530,1,Параметры!AB$109,Параметры!AB$118))</f>
        <v>0</v>
      </c>
      <c r="AC544" s="82">
        <f ca="1">SUM(AC$528*CHOOSE($C$524,1,Параметры!AC$109,Параметры!AC$118),AC$534*CHOOSE($C$530,1,Параметры!AC$109,Параметры!AC$118))</f>
        <v>0</v>
      </c>
      <c r="AD544" s="82">
        <f ca="1">SUM(AD$528*CHOOSE($C$524,1,Параметры!AD$109,Параметры!AD$118),AD$534*CHOOSE($C$530,1,Параметры!AD$109,Параметры!AD$118))</f>
        <v>0</v>
      </c>
      <c r="AE544" s="82">
        <f ca="1">SUM(AE$528*CHOOSE($C$524,1,Параметры!AE$109,Параметры!AE$118),AE$534*CHOOSE($C$530,1,Параметры!AE$109,Параметры!AE$118))</f>
        <v>0</v>
      </c>
      <c r="AF544" s="82">
        <f ca="1">SUM(AF$528*CHOOSE($C$524,1,Параметры!AF$109,Параметры!AF$118),AF$534*CHOOSE($C$530,1,Параметры!AF$109,Параметры!AF$118))</f>
        <v>0</v>
      </c>
      <c r="AG544" s="82">
        <f ca="1">SUM(AG$528*CHOOSE($C$524,1,Параметры!AG$109,Параметры!AG$118),AG$534*CHOOSE($C$530,1,Параметры!AG$109,Параметры!AG$118))</f>
        <v>0</v>
      </c>
      <c r="AH544" s="82">
        <f ca="1">SUM(AH$528*CHOOSE($C$524,1,Параметры!AH$109,Параметры!AH$118),AH$534*CHOOSE($C$530,1,Параметры!AH$109,Параметры!AH$118))</f>
        <v>0</v>
      </c>
      <c r="AI544" s="82">
        <f ca="1">SUM(AI$528*CHOOSE($C$524,1,Параметры!AI$109,Параметры!AI$118),AI$534*CHOOSE($C$530,1,Параметры!AI$109,Параметры!AI$118))</f>
        <v>0</v>
      </c>
      <c r="AJ544" s="82">
        <f ca="1">SUM(AJ$528*CHOOSE($C$524,1,Параметры!AJ$109,Параметры!AJ$118),AJ$534*CHOOSE($C$530,1,Параметры!AJ$109,Параметры!AJ$118))</f>
        <v>0</v>
      </c>
      <c r="AK544" s="82">
        <f ca="1">SUM(AK$528*CHOOSE($C$524,1,Параметры!AK$109,Параметры!AK$118),AK$534*CHOOSE($C$530,1,Параметры!AK$109,Параметры!AK$118))</f>
        <v>0</v>
      </c>
      <c r="AL544" s="82">
        <f ca="1">SUM(AL$528*CHOOSE($C$524,1,Параметры!AL$109,Параметры!AL$118),AL$534*CHOOSE($C$530,1,Параметры!AL$109,Параметры!AL$118))</f>
        <v>0</v>
      </c>
      <c r="AM544" s="82">
        <f ca="1">SUM(AM$528*CHOOSE($C$524,1,Параметры!AM$109,Параметры!AM$118),AM$534*CHOOSE($C$530,1,Параметры!AM$109,Параметры!AM$118))</f>
        <v>0</v>
      </c>
      <c r="AN544" s="82">
        <f ca="1">SUM(AN$528*CHOOSE($C$524,1,Параметры!AN$109,Параметры!AN$118),AN$534*CHOOSE($C$530,1,Параметры!AN$109,Параметры!AN$118))</f>
        <v>0</v>
      </c>
      <c r="AO544" s="82">
        <f ca="1">SUM(AO$528*CHOOSE($C$524,1,Параметры!AO$109,Параметры!AO$118),AO$534*CHOOSE($C$530,1,Параметры!AO$109,Параметры!AO$118))</f>
        <v>0</v>
      </c>
      <c r="AP544" s="82">
        <f ca="1">SUM(AP$528*CHOOSE($C$524,1,Параметры!AP$109,Параметры!AP$118),AP$534*CHOOSE($C$530,1,Параметры!AP$109,Параметры!AP$118))</f>
        <v>0</v>
      </c>
      <c r="AQ544" s="82">
        <f ca="1">SUM(AQ$528*CHOOSE($C$524,1,Параметры!AQ$109,Параметры!AQ$118),AQ$534*CHOOSE($C$530,1,Параметры!AQ$109,Параметры!AQ$118))</f>
        <v>0</v>
      </c>
      <c r="AR544" s="82">
        <f ca="1">SUM(AR$528*CHOOSE($C$524,1,Параметры!AR$109,Параметры!AR$118),AR$534*CHOOSE($C$530,1,Параметры!AR$109,Параметры!AR$118))</f>
        <v>0</v>
      </c>
      <c r="AS544" s="1"/>
      <c r="AT544" s="137">
        <f ca="1">SUM(E544:AS544)</f>
        <v>407250</v>
      </c>
    </row>
    <row r="545" spans="1:46" x14ac:dyDescent="0.2">
      <c r="A545" s="93" t="s">
        <v>299</v>
      </c>
      <c r="B545" s="217">
        <f>AT545</f>
        <v>0</v>
      </c>
      <c r="C545" s="266" t="str">
        <f>Параметры!$B$64</f>
        <v>тыс. руб.</v>
      </c>
      <c r="E545" s="82">
        <f>SUM(E$529*CHOOSE($C$524,1,Параметры!E$109,Параметры!E$118),E$535*CHOOSE($C$530,1,Параметры!E$109,Параметры!E$118))</f>
        <v>0</v>
      </c>
      <c r="F545" s="82">
        <f>SUM(F$529*CHOOSE($C$524,1,Параметры!F$109,Параметры!F$118),F$535*CHOOSE($C$530,1,Параметры!F$109,Параметры!F$118))</f>
        <v>0</v>
      </c>
      <c r="G545" s="82">
        <f>SUM(G$529*CHOOSE($C$524,1,Параметры!G$109,Параметры!G$118),G$535*CHOOSE($C$530,1,Параметры!G$109,Параметры!G$118))</f>
        <v>0</v>
      </c>
      <c r="H545" s="82">
        <f>SUM(H$529*CHOOSE($C$524,1,Параметры!H$109,Параметры!H$118),H$535*CHOOSE($C$530,1,Параметры!H$109,Параметры!H$118))</f>
        <v>0</v>
      </c>
      <c r="I545" s="82">
        <f>SUM(I$529*CHOOSE($C$524,1,Параметры!I$109,Параметры!I$118),I$535*CHOOSE($C$530,1,Параметры!I$109,Параметры!I$118))</f>
        <v>0</v>
      </c>
      <c r="J545" s="82">
        <f>SUM(J$529*CHOOSE($C$524,1,Параметры!J$109,Параметры!J$118),J$535*CHOOSE($C$530,1,Параметры!J$109,Параметры!J$118))</f>
        <v>0</v>
      </c>
      <c r="K545" s="82">
        <f>SUM(K$529*CHOOSE($C$524,1,Параметры!K$109,Параметры!K$118),K$535*CHOOSE($C$530,1,Параметры!K$109,Параметры!K$118))</f>
        <v>0</v>
      </c>
      <c r="L545" s="82">
        <f>SUM(L$529*CHOOSE($C$524,1,Параметры!L$109,Параметры!L$118),L$535*CHOOSE($C$530,1,Параметры!L$109,Параметры!L$118))</f>
        <v>0</v>
      </c>
      <c r="M545" s="82">
        <f>SUM(M$529*CHOOSE($C$524,1,Параметры!M$109,Параметры!M$118),M$535*CHOOSE($C$530,1,Параметры!M$109,Параметры!M$118))</f>
        <v>0</v>
      </c>
      <c r="N545" s="82">
        <f>SUM(N$529*CHOOSE($C$524,1,Параметры!N$109,Параметры!N$118),N$535*CHOOSE($C$530,1,Параметры!N$109,Параметры!N$118))</f>
        <v>0</v>
      </c>
      <c r="O545" s="82">
        <f>SUM(O$529*CHOOSE($C$524,1,Параметры!O$109,Параметры!O$118),O$535*CHOOSE($C$530,1,Параметры!O$109,Параметры!O$118))</f>
        <v>0</v>
      </c>
      <c r="P545" s="82">
        <f>SUM(P$529*CHOOSE($C$524,1,Параметры!P$109,Параметры!P$118),P$535*CHOOSE($C$530,1,Параметры!P$109,Параметры!P$118))</f>
        <v>0</v>
      </c>
      <c r="Q545" s="82">
        <f>SUM(Q$529*CHOOSE($C$524,1,Параметры!Q$109,Параметры!Q$118),Q$535*CHOOSE($C$530,1,Параметры!Q$109,Параметры!Q$118))</f>
        <v>0</v>
      </c>
      <c r="R545" s="82">
        <f>SUM(R$529*CHOOSE($C$524,1,Параметры!R$109,Параметры!R$118),R$535*CHOOSE($C$530,1,Параметры!R$109,Параметры!R$118))</f>
        <v>0</v>
      </c>
      <c r="S545" s="82">
        <f>SUM(S$529*CHOOSE($C$524,1,Параметры!S$109,Параметры!S$118),S$535*CHOOSE($C$530,1,Параметры!S$109,Параметры!S$118))</f>
        <v>0</v>
      </c>
      <c r="T545" s="82">
        <f>SUM(T$529*CHOOSE($C$524,1,Параметры!T$109,Параметры!T$118),T$535*CHOOSE($C$530,1,Параметры!T$109,Параметры!T$118))</f>
        <v>0</v>
      </c>
      <c r="U545" s="82">
        <f>SUM(U$529*CHOOSE($C$524,1,Параметры!U$109,Параметры!U$118),U$535*CHOOSE($C$530,1,Параметры!U$109,Параметры!U$118))</f>
        <v>0</v>
      </c>
      <c r="V545" s="82">
        <f>SUM(V$529*CHOOSE($C$524,1,Параметры!V$109,Параметры!V$118),V$535*CHOOSE($C$530,1,Параметры!V$109,Параметры!V$118))</f>
        <v>0</v>
      </c>
      <c r="W545" s="82">
        <f>SUM(W$529*CHOOSE($C$524,1,Параметры!W$109,Параметры!W$118),W$535*CHOOSE($C$530,1,Параметры!W$109,Параметры!W$118))</f>
        <v>0</v>
      </c>
      <c r="X545" s="82">
        <f>SUM(X$529*CHOOSE($C$524,1,Параметры!X$109,Параметры!X$118),X$535*CHOOSE($C$530,1,Параметры!X$109,Параметры!X$118))</f>
        <v>0</v>
      </c>
      <c r="Y545" s="82">
        <f>SUM(Y$529*CHOOSE($C$524,1,Параметры!Y$109,Параметры!Y$118),Y$535*CHOOSE($C$530,1,Параметры!Y$109,Параметры!Y$118))</f>
        <v>0</v>
      </c>
      <c r="Z545" s="82">
        <f>SUM(Z$529*CHOOSE($C$524,1,Параметры!Z$109,Параметры!Z$118),Z$535*CHOOSE($C$530,1,Параметры!Z$109,Параметры!Z$118))</f>
        <v>0</v>
      </c>
      <c r="AA545" s="82">
        <f>SUM(AA$529*CHOOSE($C$524,1,Параметры!AA$109,Параметры!AA$118),AA$535*CHOOSE($C$530,1,Параметры!AA$109,Параметры!AA$118))</f>
        <v>0</v>
      </c>
      <c r="AB545" s="82">
        <f>SUM(AB$529*CHOOSE($C$524,1,Параметры!AB$109,Параметры!AB$118),AB$535*CHOOSE($C$530,1,Параметры!AB$109,Параметры!AB$118))</f>
        <v>0</v>
      </c>
      <c r="AC545" s="82">
        <f>SUM(AC$529*CHOOSE($C$524,1,Параметры!AC$109,Параметры!AC$118),AC$535*CHOOSE($C$530,1,Параметры!AC$109,Параметры!AC$118))</f>
        <v>0</v>
      </c>
      <c r="AD545" s="82">
        <f>SUM(AD$529*CHOOSE($C$524,1,Параметры!AD$109,Параметры!AD$118),AD$535*CHOOSE($C$530,1,Параметры!AD$109,Параметры!AD$118))</f>
        <v>0</v>
      </c>
      <c r="AE545" s="82">
        <f>SUM(AE$529*CHOOSE($C$524,1,Параметры!AE$109,Параметры!AE$118),AE$535*CHOOSE($C$530,1,Параметры!AE$109,Параметры!AE$118))</f>
        <v>0</v>
      </c>
      <c r="AF545" s="82">
        <f>SUM(AF$529*CHOOSE($C$524,1,Параметры!AF$109,Параметры!AF$118),AF$535*CHOOSE($C$530,1,Параметры!AF$109,Параметры!AF$118))</f>
        <v>0</v>
      </c>
      <c r="AG545" s="82">
        <f>SUM(AG$529*CHOOSE($C$524,1,Параметры!AG$109,Параметры!AG$118),AG$535*CHOOSE($C$530,1,Параметры!AG$109,Параметры!AG$118))</f>
        <v>0</v>
      </c>
      <c r="AH545" s="82">
        <f>SUM(AH$529*CHOOSE($C$524,1,Параметры!AH$109,Параметры!AH$118),AH$535*CHOOSE($C$530,1,Параметры!AH$109,Параметры!AH$118))</f>
        <v>0</v>
      </c>
      <c r="AI545" s="82">
        <f>SUM(AI$529*CHOOSE($C$524,1,Параметры!AI$109,Параметры!AI$118),AI$535*CHOOSE($C$530,1,Параметры!AI$109,Параметры!AI$118))</f>
        <v>0</v>
      </c>
      <c r="AJ545" s="82">
        <f>SUM(AJ$529*CHOOSE($C$524,1,Параметры!AJ$109,Параметры!AJ$118),AJ$535*CHOOSE($C$530,1,Параметры!AJ$109,Параметры!AJ$118))</f>
        <v>0</v>
      </c>
      <c r="AK545" s="82">
        <f>SUM(AK$529*CHOOSE($C$524,1,Параметры!AK$109,Параметры!AK$118),AK$535*CHOOSE($C$530,1,Параметры!AK$109,Параметры!AK$118))</f>
        <v>0</v>
      </c>
      <c r="AL545" s="82">
        <f>SUM(AL$529*CHOOSE($C$524,1,Параметры!AL$109,Параметры!AL$118),AL$535*CHOOSE($C$530,1,Параметры!AL$109,Параметры!AL$118))</f>
        <v>0</v>
      </c>
      <c r="AM545" s="82">
        <f>SUM(AM$529*CHOOSE($C$524,1,Параметры!AM$109,Параметры!AM$118),AM$535*CHOOSE($C$530,1,Параметры!AM$109,Параметры!AM$118))</f>
        <v>0</v>
      </c>
      <c r="AN545" s="82">
        <f>SUM(AN$529*CHOOSE($C$524,1,Параметры!AN$109,Параметры!AN$118),AN$535*CHOOSE($C$530,1,Параметры!AN$109,Параметры!AN$118))</f>
        <v>0</v>
      </c>
      <c r="AO545" s="82">
        <f>SUM(AO$529*CHOOSE($C$524,1,Параметры!AO$109,Параметры!AO$118),AO$535*CHOOSE($C$530,1,Параметры!AO$109,Параметры!AO$118))</f>
        <v>0</v>
      </c>
      <c r="AP545" s="82">
        <f>SUM(AP$529*CHOOSE($C$524,1,Параметры!AP$109,Параметры!AP$118),AP$535*CHOOSE($C$530,1,Параметры!AP$109,Параметры!AP$118))</f>
        <v>0</v>
      </c>
      <c r="AQ545" s="82">
        <f>SUM(AQ$529*CHOOSE($C$524,1,Параметры!AQ$109,Параметры!AQ$118),AQ$535*CHOOSE($C$530,1,Параметры!AQ$109,Параметры!AQ$118))</f>
        <v>0</v>
      </c>
      <c r="AR545" s="82">
        <f>SUM(AR$529*CHOOSE($C$524,1,Параметры!AR$109,Параметры!AR$118),AR$535*CHOOSE($C$530,1,Параметры!AR$109,Параметры!AR$118))</f>
        <v>0</v>
      </c>
      <c r="AS545" s="1"/>
      <c r="AT545" s="137">
        <f>SUM(E545:AS545)</f>
        <v>0</v>
      </c>
    </row>
    <row r="546" spans="1:46" x14ac:dyDescent="0.2">
      <c r="A546" s="93"/>
      <c r="B546" s="217"/>
      <c r="C546" s="266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82"/>
      <c r="AN546" s="82"/>
      <c r="AO546" s="82"/>
      <c r="AP546" s="82"/>
      <c r="AQ546" s="82"/>
      <c r="AR546" s="82"/>
      <c r="AS546" s="1"/>
      <c r="AT546" s="137"/>
    </row>
    <row r="547" spans="1:46" x14ac:dyDescent="0.2">
      <c r="C547" s="266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82"/>
      <c r="AN547" s="82"/>
      <c r="AO547" s="82"/>
      <c r="AP547" s="82"/>
      <c r="AQ547" s="82"/>
      <c r="AR547" s="82"/>
      <c r="AS547" s="1"/>
      <c r="AT547" s="84"/>
    </row>
    <row r="548" spans="1:46" x14ac:dyDescent="0.2">
      <c r="A548" s="29" t="s">
        <v>428</v>
      </c>
      <c r="B548" s="217">
        <f>AT548</f>
        <v>0</v>
      </c>
      <c r="C548" s="266" t="str">
        <f>Параметры!$B$64</f>
        <v>тыс. руб.</v>
      </c>
      <c r="E548" s="346">
        <v>0</v>
      </c>
      <c r="F548" s="346">
        <v>0</v>
      </c>
      <c r="G548" s="346">
        <v>0</v>
      </c>
      <c r="H548" s="346">
        <v>0</v>
      </c>
      <c r="I548" s="346">
        <v>0</v>
      </c>
      <c r="J548" s="346">
        <v>0</v>
      </c>
      <c r="K548" s="346">
        <v>0</v>
      </c>
      <c r="L548" s="346">
        <v>0</v>
      </c>
      <c r="M548" s="346">
        <v>0</v>
      </c>
      <c r="N548" s="346">
        <v>0</v>
      </c>
      <c r="O548" s="346">
        <v>0</v>
      </c>
      <c r="P548" s="346">
        <v>0</v>
      </c>
      <c r="Q548" s="346">
        <v>0</v>
      </c>
      <c r="R548" s="346">
        <v>0</v>
      </c>
      <c r="S548" s="346">
        <v>0</v>
      </c>
      <c r="T548" s="346">
        <v>0</v>
      </c>
      <c r="U548" s="346">
        <v>0</v>
      </c>
      <c r="V548" s="346">
        <v>0</v>
      </c>
      <c r="W548" s="346">
        <v>0</v>
      </c>
      <c r="X548" s="346">
        <v>0</v>
      </c>
      <c r="Y548" s="346">
        <v>0</v>
      </c>
      <c r="Z548" s="346">
        <v>0</v>
      </c>
      <c r="AA548" s="346">
        <v>0</v>
      </c>
      <c r="AB548" s="346">
        <v>0</v>
      </c>
      <c r="AC548" s="346">
        <v>0</v>
      </c>
      <c r="AD548" s="346">
        <v>0</v>
      </c>
      <c r="AE548" s="346">
        <v>0</v>
      </c>
      <c r="AF548" s="346">
        <v>0</v>
      </c>
      <c r="AG548" s="346">
        <v>0</v>
      </c>
      <c r="AH548" s="346">
        <v>0</v>
      </c>
      <c r="AI548" s="346">
        <v>0</v>
      </c>
      <c r="AJ548" s="346">
        <v>0</v>
      </c>
      <c r="AK548" s="346">
        <v>0</v>
      </c>
      <c r="AL548" s="346">
        <v>0</v>
      </c>
      <c r="AM548" s="346">
        <v>0</v>
      </c>
      <c r="AN548" s="346">
        <v>0</v>
      </c>
      <c r="AO548" s="346">
        <v>0</v>
      </c>
      <c r="AP548" s="346">
        <v>0</v>
      </c>
      <c r="AQ548" s="346">
        <v>0</v>
      </c>
      <c r="AR548" s="346">
        <v>0</v>
      </c>
      <c r="AS548" s="94"/>
      <c r="AT548" s="84">
        <f>SUM(E548:AS548)</f>
        <v>0</v>
      </c>
    </row>
    <row r="549" spans="1:46" x14ac:dyDescent="0.2">
      <c r="C549" s="266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82"/>
      <c r="AN549" s="82"/>
      <c r="AO549" s="82"/>
      <c r="AP549" s="82"/>
      <c r="AQ549" s="82"/>
      <c r="AR549" s="82"/>
      <c r="AS549" s="1"/>
      <c r="AT549" s="84"/>
    </row>
    <row r="550" spans="1:46" s="60" customFormat="1" x14ac:dyDescent="0.2">
      <c r="A550" s="104" t="s">
        <v>201</v>
      </c>
      <c r="B550" s="104"/>
      <c r="C550" s="31" t="str">
        <f>Параметры!$B$64</f>
        <v>тыс. руб.</v>
      </c>
      <c r="D550" s="116"/>
      <c r="E550" s="30">
        <f ca="1">OFFSET(Результаты_УК!$D$77,0,Параметры!E$36)*Параметры!E$126</f>
        <v>5266.9274999999907</v>
      </c>
      <c r="F550" s="30">
        <f ca="1">OFFSET(Результаты_УК!$D$77,0,Параметры!F$36)*Параметры!F$126</f>
        <v>12494.617499999993</v>
      </c>
      <c r="G550" s="30">
        <f ca="1">OFFSET(Результаты_УК!$D$77,0,Параметры!G$36)*Параметры!G$126</f>
        <v>27773.723314400369</v>
      </c>
      <c r="H550" s="30">
        <f ca="1">OFFSET(Результаты_УК!$D$77,0,Параметры!H$36)*Параметры!H$126</f>
        <v>43480.451816223431</v>
      </c>
      <c r="I550" s="30">
        <f ca="1">OFFSET(Результаты_УК!$D$77,0,Параметры!I$36)*Параметры!I$126</f>
        <v>61363.006025075549</v>
      </c>
      <c r="J550" s="30">
        <f ca="1">OFFSET(Результаты_УК!$D$77,0,Параметры!J$36)*Параметры!J$126</f>
        <v>80161.554013026078</v>
      </c>
      <c r="K550" s="30">
        <f ca="1">OFFSET(Результаты_УК!$D$77,0,Параметры!K$36)*Параметры!K$126</f>
        <v>100158.88671369549</v>
      </c>
      <c r="L550" s="30">
        <f ca="1">OFFSET(Результаты_УК!$D$77,0,Параметры!L$36)*Параметры!L$126</f>
        <v>120781.38680531505</v>
      </c>
      <c r="M550" s="30">
        <f ca="1">OFFSET(Результаты_УК!$D$77,0,Параметры!M$36)*Параметры!M$126</f>
        <v>145833.69400960038</v>
      </c>
      <c r="N550" s="30">
        <f ca="1">OFFSET(Результаты_УК!$D$77,0,Параметры!N$36)*Параметры!N$126</f>
        <v>173435.14022491331</v>
      </c>
      <c r="O550" s="30">
        <f ca="1">OFFSET(Результаты_УК!$D$77,0,Параметры!O$36)*Параметры!O$126</f>
        <v>204739.96003162785</v>
      </c>
      <c r="P550" s="30">
        <f ca="1">OFFSET(Результаты_УК!$D$77,0,Параметры!P$36)*Параметры!P$126</f>
        <v>238131.54163153394</v>
      </c>
      <c r="Q550" s="30">
        <f ca="1">OFFSET(Результаты_УК!$D$77,0,Параметры!Q$36)*Параметры!Q$126</f>
        <v>305183.58507898502</v>
      </c>
      <c r="R550" s="30">
        <f ca="1">OFFSET(Результаты_УК!$D$77,0,Параметры!R$36)*Параметры!R$126</f>
        <v>376493.70322219311</v>
      </c>
      <c r="S550" s="30">
        <f ca="1">OFFSET(Результаты_УК!$D$77,0,Параметры!S$36)*Параметры!S$126</f>
        <v>452463.23233844183</v>
      </c>
      <c r="T550" s="30">
        <f ca="1">OFFSET(Результаты_УК!$D$77,0,Параметры!T$36)*Параметры!T$126</f>
        <v>530778.59554901929</v>
      </c>
      <c r="U550" s="30">
        <f ca="1">OFFSET(Результаты_УК!$D$77,0,Параметры!U$36)*Параметры!U$126</f>
        <v>613282.20976021967</v>
      </c>
      <c r="V550" s="30">
        <f ca="1">OFFSET(Результаты_УК!$D$77,0,Параметры!V$36)*Параметры!V$126</f>
        <v>705648.19211424177</v>
      </c>
      <c r="W550" s="30">
        <f ca="1">OFFSET(Результаты_УК!$D$77,0,Параметры!W$36)*Параметры!W$126</f>
        <v>873948.12222168525</v>
      </c>
      <c r="X550" s="30">
        <f ca="1">OFFSET(Результаты_УК!$D$77,0,Параметры!X$36)*Параметры!X$126</f>
        <v>978596.9500301244</v>
      </c>
      <c r="Y550" s="30">
        <f ca="1">OFFSET(Результаты_УК!$D$77,0,Параметры!Y$36)*Параметры!Y$126</f>
        <v>1086555.2260112632</v>
      </c>
      <c r="Z550" s="30">
        <f ca="1">OFFSET(Результаты_УК!$D$77,0,Параметры!Z$36)*Параметры!Z$126</f>
        <v>1214368.3253104754</v>
      </c>
      <c r="AA550" s="30">
        <f ca="1">OFFSET(Результаты_УК!$D$77,0,Параметры!AA$36)*Параметры!AA$126</f>
        <v>1328751.2273864893</v>
      </c>
      <c r="AB550" s="30">
        <f ca="1">OFFSET(Результаты_УК!$D$77,0,Параметры!AB$36)*Параметры!AB$126</f>
        <v>1404044.0360056132</v>
      </c>
      <c r="AC550" s="30">
        <f ca="1">OFFSET(Результаты_УК!$D$77,0,Параметры!AC$36)*Параметры!AC$126</f>
        <v>1482470.5176294076</v>
      </c>
      <c r="AD550" s="30">
        <f ca="1">OFFSET(Результаты_УК!$D$77,0,Параметры!AD$36)*Параметры!AD$126</f>
        <v>1555473.2985978157</v>
      </c>
      <c r="AE550" s="30">
        <f ca="1">OFFSET(Результаты_УК!$D$77,0,Параметры!AE$36)*Параметры!AE$126</f>
        <v>1624611.3265331232</v>
      </c>
      <c r="AF550" s="30">
        <f ca="1">OFFSET(Результаты_УК!$D$77,0,Параметры!AF$36)*Параметры!AF$126</f>
        <v>1695532.055461619</v>
      </c>
      <c r="AG550" s="30">
        <f ca="1">OFFSET(Результаты_УК!$D$77,0,Параметры!AG$36)*Параметры!AG$126</f>
        <v>1770316.3249207479</v>
      </c>
      <c r="AH550" s="30">
        <f ca="1">OFFSET(Результаты_УК!$D$77,0,Параметры!AH$36)*Параметры!AH$126</f>
        <v>1820765.8720936822</v>
      </c>
      <c r="AI550" s="30">
        <f ca="1">OFFSET(Результаты_УК!$D$77,0,Параметры!AI$36)*Параметры!AI$126</f>
        <v>1872807.7513591677</v>
      </c>
      <c r="AJ550" s="30">
        <f ca="1">OFFSET(Результаты_УК!$D$77,0,Параметры!AJ$36)*Параметры!AJ$126</f>
        <v>1926441.9743763444</v>
      </c>
      <c r="AK550" s="30">
        <f ca="1">OFFSET(Результаты_УК!$D$77,0,Параметры!AK$36)*Параметры!AK$126</f>
        <v>2461024.7153861295</v>
      </c>
      <c r="AL550" s="30">
        <f ca="1">OFFSET(Результаты_УК!$D$77,0,Параметры!AL$36)*Параметры!AL$126</f>
        <v>2468875.2294769166</v>
      </c>
      <c r="AM550" s="30">
        <f ca="1">OFFSET(Результаты_УК!$D$77,0,Параметры!AM$36)*Параметры!AM$126</f>
        <v>2551542.7640369441</v>
      </c>
      <c r="AN550" s="30">
        <f ca="1">OFFSET(Результаты_УК!$D$77,0,Параметры!AN$36)*Параметры!AN$126</f>
        <v>2572503.6230487865</v>
      </c>
      <c r="AO550" s="30">
        <f ca="1">OFFSET(Результаты_УК!$D$77,0,Параметры!AO$36)*Параметры!AO$126</f>
        <v>10294285.705005927</v>
      </c>
      <c r="AP550" s="30">
        <f ca="1">OFFSET(Результаты_УК!$D$77,0,Параметры!AP$36)*Параметры!AP$126</f>
        <v>8296165.7109658662</v>
      </c>
      <c r="AQ550" s="30">
        <f ca="1">OFFSET(Результаты_УК!$D$77,0,Параметры!AQ$36)*Параметры!AQ$126</f>
        <v>8382978.1160642123</v>
      </c>
      <c r="AR550" s="30">
        <f ca="1">OFFSET(Результаты_УК!$D$77,0,Параметры!AR$36)*Параметры!AR$126</f>
        <v>8467797.5368973203</v>
      </c>
      <c r="AS550" s="96"/>
      <c r="AT550" s="100"/>
    </row>
    <row r="551" spans="1:46" x14ac:dyDescent="0.2">
      <c r="A551" s="46"/>
      <c r="B551" s="46"/>
      <c r="C551" s="46"/>
      <c r="D551" s="47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73"/>
      <c r="AT551" s="91"/>
    </row>
    <row r="553" spans="1:46" ht="12" thickBot="1" x14ac:dyDescent="0.25"/>
    <row r="554" spans="1:46" s="43" customFormat="1" ht="25.5" customHeight="1" thickBot="1" x14ac:dyDescent="0.25">
      <c r="A554" s="481" t="s">
        <v>85</v>
      </c>
      <c r="B554" s="479"/>
      <c r="C554" s="490"/>
      <c r="D554" s="491"/>
      <c r="E554" s="479" t="str">
        <f>CHOOSE($D$2,Параметры!E$53,Параметры!E$54)</f>
        <v>1 кв. 2020</v>
      </c>
      <c r="F554" s="479" t="str">
        <f>CHOOSE($D$2,Параметры!F$53,Параметры!F$54)</f>
        <v>2 кв. 2020</v>
      </c>
      <c r="G554" s="479" t="str">
        <f>CHOOSE($D$2,Параметры!G$53,Параметры!G$54)</f>
        <v>3 кв. 2020</v>
      </c>
      <c r="H554" s="479" t="str">
        <f>CHOOSE($D$2,Параметры!H$53,Параметры!H$54)</f>
        <v>4 кв. 2020</v>
      </c>
      <c r="I554" s="479" t="str">
        <f>CHOOSE($D$2,Параметры!I$53,Параметры!I$54)</f>
        <v>1 кв. 2021</v>
      </c>
      <c r="J554" s="479" t="str">
        <f>CHOOSE($D$2,Параметры!J$53,Параметры!J$54)</f>
        <v>2 кв. 2021</v>
      </c>
      <c r="K554" s="479" t="str">
        <f>CHOOSE($D$2,Параметры!K$53,Параметры!K$54)</f>
        <v>3 кв. 2021</v>
      </c>
      <c r="L554" s="479" t="str">
        <f>CHOOSE($D$2,Параметры!L$53,Параметры!L$54)</f>
        <v>4 кв. 2021</v>
      </c>
      <c r="M554" s="479" t="str">
        <f>CHOOSE($D$2,Параметры!M$53,Параметры!M$54)</f>
        <v>1 кв. 2022</v>
      </c>
      <c r="N554" s="479" t="str">
        <f>CHOOSE($D$2,Параметры!N$53,Параметры!N$54)</f>
        <v>2 кв. 2022</v>
      </c>
      <c r="O554" s="479" t="str">
        <f>CHOOSE($D$2,Параметры!O$53,Параметры!O$54)</f>
        <v>3 кв. 2022</v>
      </c>
      <c r="P554" s="479" t="str">
        <f>CHOOSE($D$2,Параметры!P$53,Параметры!P$54)</f>
        <v>4 кв. 2022</v>
      </c>
      <c r="Q554" s="479" t="str">
        <f>CHOOSE($D$2,Параметры!Q$53,Параметры!Q$54)</f>
        <v>1 кв. 2023</v>
      </c>
      <c r="R554" s="479" t="str">
        <f>CHOOSE($D$2,Параметры!R$53,Параметры!R$54)</f>
        <v>2 кв. 2023</v>
      </c>
      <c r="S554" s="479" t="str">
        <f>CHOOSE($D$2,Параметры!S$53,Параметры!S$54)</f>
        <v>3 кв. 2023</v>
      </c>
      <c r="T554" s="479" t="str">
        <f>CHOOSE($D$2,Параметры!T$53,Параметры!T$54)</f>
        <v>4 кв. 2023</v>
      </c>
      <c r="U554" s="479" t="str">
        <f>CHOOSE($D$2,Параметры!U$53,Параметры!U$54)</f>
        <v>1 кв. 2024</v>
      </c>
      <c r="V554" s="479" t="str">
        <f>CHOOSE($D$2,Параметры!V$53,Параметры!V$54)</f>
        <v>2 кв. 2024</v>
      </c>
      <c r="W554" s="479" t="str">
        <f>CHOOSE($D$2,Параметры!W$53,Параметры!W$54)</f>
        <v>3 кв. 2024</v>
      </c>
      <c r="X554" s="479" t="str">
        <f>CHOOSE($D$2,Параметры!X$53,Параметры!X$54)</f>
        <v>4 кв. 2024</v>
      </c>
      <c r="Y554" s="479" t="str">
        <f>CHOOSE($D$2,Параметры!Y$53,Параметры!Y$54)</f>
        <v>1 кв. 2025</v>
      </c>
      <c r="Z554" s="479" t="str">
        <f>CHOOSE($D$2,Параметры!Z$53,Параметры!Z$54)</f>
        <v>2 кв. 2025</v>
      </c>
      <c r="AA554" s="479" t="str">
        <f>CHOOSE($D$2,Параметры!AA$53,Параметры!AA$54)</f>
        <v>3 кв. 2025</v>
      </c>
      <c r="AB554" s="479" t="str">
        <f>CHOOSE($D$2,Параметры!AB$53,Параметры!AB$54)</f>
        <v>4 кв. 2025</v>
      </c>
      <c r="AC554" s="479" t="str">
        <f>CHOOSE($D$2,Параметры!AC$53,Параметры!AC$54)</f>
        <v>1 кв. 2026</v>
      </c>
      <c r="AD554" s="479" t="str">
        <f>CHOOSE($D$2,Параметры!AD$53,Параметры!AD$54)</f>
        <v>2 кв. 2026</v>
      </c>
      <c r="AE554" s="479" t="str">
        <f>CHOOSE($D$2,Параметры!AE$53,Параметры!AE$54)</f>
        <v>3 кв. 2026</v>
      </c>
      <c r="AF554" s="479" t="str">
        <f>CHOOSE($D$2,Параметры!AF$53,Параметры!AF$54)</f>
        <v>4 кв. 2026</v>
      </c>
      <c r="AG554" s="479" t="str">
        <f>CHOOSE($D$2,Параметры!AG$53,Параметры!AG$54)</f>
        <v>1 кв. 2027</v>
      </c>
      <c r="AH554" s="479" t="str">
        <f>CHOOSE($D$2,Параметры!AH$53,Параметры!AH$54)</f>
        <v>2 кв. 2027</v>
      </c>
      <c r="AI554" s="479" t="str">
        <f>CHOOSE($D$2,Параметры!AI$53,Параметры!AI$54)</f>
        <v>3 кв. 2027</v>
      </c>
      <c r="AJ554" s="479" t="str">
        <f>CHOOSE($D$2,Параметры!AJ$53,Параметры!AJ$54)</f>
        <v>4 кв. 2027</v>
      </c>
      <c r="AK554" s="479" t="str">
        <f>CHOOSE($D$2,Параметры!AK$53,Параметры!AK$54)</f>
        <v>1 кв. 2028</v>
      </c>
      <c r="AL554" s="479" t="str">
        <f>CHOOSE($D$2,Параметры!AL$53,Параметры!AL$54)</f>
        <v>2 кв. 2028</v>
      </c>
      <c r="AM554" s="479" t="str">
        <f>CHOOSE($D$2,Параметры!AM$53,Параметры!AM$54)</f>
        <v>3 кв. 2028</v>
      </c>
      <c r="AN554" s="479" t="str">
        <f>CHOOSE($D$2,Параметры!AN$53,Параметры!AN$54)</f>
        <v>4 кв. 2028</v>
      </c>
      <c r="AO554" s="479" t="str">
        <f>CHOOSE($D$2,Параметры!AO$53,Параметры!AO$54)</f>
        <v>1 кв. 2029</v>
      </c>
      <c r="AP554" s="479" t="str">
        <f>CHOOSE($D$2,Параметры!AP$53,Параметры!AP$54)</f>
        <v>2 кв. 2029</v>
      </c>
      <c r="AQ554" s="479" t="str">
        <f>CHOOSE($D$2,Параметры!AQ$53,Параметры!AQ$54)</f>
        <v>3 кв. 2029</v>
      </c>
      <c r="AR554" s="479" t="str">
        <f>CHOOSE($D$2,Параметры!AR$53,Параметры!AR$54)</f>
        <v>4 кв. 2029</v>
      </c>
      <c r="AS554" s="479"/>
      <c r="AT554" s="479" t="s">
        <v>0</v>
      </c>
    </row>
    <row r="555" spans="1:46" ht="11.25" customHeight="1" x14ac:dyDescent="0.2">
      <c r="AS555" s="1"/>
    </row>
    <row r="556" spans="1:46" s="64" customFormat="1" ht="11.25" customHeight="1" x14ac:dyDescent="0.2">
      <c r="A556" s="133" t="s">
        <v>86</v>
      </c>
      <c r="B556" s="46"/>
      <c r="C556" s="46"/>
      <c r="D556" s="47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73"/>
      <c r="AT556" s="91"/>
    </row>
    <row r="557" spans="1:46" s="64" customFormat="1" ht="11.25" customHeight="1" x14ac:dyDescent="0.2">
      <c r="D557" s="65"/>
      <c r="AS557" s="41"/>
      <c r="AT557" s="92"/>
    </row>
    <row r="558" spans="1:46" ht="11.25" customHeight="1" x14ac:dyDescent="0.2">
      <c r="A558" s="354" t="s">
        <v>990</v>
      </c>
      <c r="B558" s="225" t="s">
        <v>390</v>
      </c>
      <c r="C558" s="287">
        <v>1</v>
      </c>
      <c r="D558" s="65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  <c r="AN558" s="64"/>
      <c r="AO558" s="64"/>
      <c r="AP558" s="64"/>
      <c r="AQ558" s="64"/>
      <c r="AR558" s="64"/>
      <c r="AS558" s="41"/>
      <c r="AT558" s="92"/>
    </row>
    <row r="559" spans="1:46" ht="11.25" customHeight="1" x14ac:dyDescent="0.2">
      <c r="A559" s="93" t="s">
        <v>88</v>
      </c>
      <c r="B559" s="351">
        <f>ИД!C216</f>
        <v>0.08</v>
      </c>
      <c r="C559" s="9" t="s">
        <v>14</v>
      </c>
      <c r="E559" s="352">
        <f>B559</f>
        <v>0.08</v>
      </c>
      <c r="F559" s="352">
        <f>E559</f>
        <v>0.08</v>
      </c>
      <c r="G559" s="352">
        <f t="shared" ref="G559" si="237">F559</f>
        <v>0.08</v>
      </c>
      <c r="H559" s="352">
        <f t="shared" ref="H559" si="238">G559</f>
        <v>0.08</v>
      </c>
      <c r="I559" s="352">
        <f t="shared" ref="I559" si="239">H559</f>
        <v>0.08</v>
      </c>
      <c r="J559" s="352">
        <f t="shared" ref="J559" si="240">I559</f>
        <v>0.08</v>
      </c>
      <c r="K559" s="352">
        <f t="shared" ref="K559" si="241">J559</f>
        <v>0.08</v>
      </c>
      <c r="L559" s="352">
        <f t="shared" ref="L559" si="242">K559</f>
        <v>0.08</v>
      </c>
      <c r="M559" s="352">
        <f t="shared" ref="M559" si="243">L559</f>
        <v>0.08</v>
      </c>
      <c r="N559" s="352">
        <f t="shared" ref="N559" si="244">M559</f>
        <v>0.08</v>
      </c>
      <c r="O559" s="352">
        <f t="shared" ref="O559" si="245">N559</f>
        <v>0.08</v>
      </c>
      <c r="P559" s="352">
        <f t="shared" ref="P559" si="246">O559</f>
        <v>0.08</v>
      </c>
      <c r="Q559" s="352">
        <f t="shared" ref="Q559" si="247">P559</f>
        <v>0.08</v>
      </c>
      <c r="R559" s="352">
        <f t="shared" ref="R559" si="248">Q559</f>
        <v>0.08</v>
      </c>
      <c r="S559" s="352">
        <f t="shared" ref="S559" si="249">R559</f>
        <v>0.08</v>
      </c>
      <c r="T559" s="352">
        <f t="shared" ref="T559" si="250">S559</f>
        <v>0.08</v>
      </c>
      <c r="U559" s="352">
        <f t="shared" ref="U559" si="251">T559</f>
        <v>0.08</v>
      </c>
      <c r="V559" s="352">
        <f t="shared" ref="V559" si="252">U559</f>
        <v>0.08</v>
      </c>
      <c r="W559" s="352">
        <f t="shared" ref="W559" si="253">V559</f>
        <v>0.08</v>
      </c>
      <c r="X559" s="352">
        <f t="shared" ref="X559" si="254">W559</f>
        <v>0.08</v>
      </c>
      <c r="Y559" s="352">
        <f t="shared" ref="Y559" si="255">X559</f>
        <v>0.08</v>
      </c>
      <c r="Z559" s="352">
        <f t="shared" ref="Z559" si="256">Y559</f>
        <v>0.08</v>
      </c>
      <c r="AA559" s="352">
        <f t="shared" ref="AA559" si="257">Z559</f>
        <v>0.08</v>
      </c>
      <c r="AB559" s="352">
        <f t="shared" ref="AB559" si="258">AA559</f>
        <v>0.08</v>
      </c>
      <c r="AC559" s="352">
        <f t="shared" ref="AC559" si="259">AB559</f>
        <v>0.08</v>
      </c>
      <c r="AD559" s="352">
        <f t="shared" ref="AD559" si="260">AC559</f>
        <v>0.08</v>
      </c>
      <c r="AE559" s="352">
        <f t="shared" ref="AE559" si="261">AD559</f>
        <v>0.08</v>
      </c>
      <c r="AF559" s="352">
        <f t="shared" ref="AF559" si="262">AE559</f>
        <v>0.08</v>
      </c>
      <c r="AG559" s="352">
        <f t="shared" ref="AG559" si="263">AF559</f>
        <v>0.08</v>
      </c>
      <c r="AH559" s="352">
        <f t="shared" ref="AH559" si="264">AG559</f>
        <v>0.08</v>
      </c>
      <c r="AI559" s="352">
        <f t="shared" ref="AI559" si="265">AH559</f>
        <v>0.08</v>
      </c>
      <c r="AJ559" s="352">
        <f t="shared" ref="AJ559" si="266">AI559</f>
        <v>0.08</v>
      </c>
      <c r="AK559" s="352">
        <f t="shared" ref="AK559" si="267">AJ559</f>
        <v>0.08</v>
      </c>
      <c r="AL559" s="352">
        <f t="shared" ref="AL559" si="268">AK559</f>
        <v>0.08</v>
      </c>
      <c r="AM559" s="352">
        <f t="shared" ref="AM559" si="269">AL559</f>
        <v>0.08</v>
      </c>
      <c r="AN559" s="352">
        <f t="shared" ref="AN559" si="270">AM559</f>
        <v>0.08</v>
      </c>
      <c r="AO559" s="352">
        <f t="shared" ref="AO559" si="271">AN559</f>
        <v>0.08</v>
      </c>
      <c r="AP559" s="352">
        <f t="shared" ref="AP559" si="272">AO559</f>
        <v>0.08</v>
      </c>
      <c r="AQ559" s="352">
        <f t="shared" ref="AQ559" si="273">AP559</f>
        <v>0.08</v>
      </c>
      <c r="AR559" s="352">
        <f t="shared" ref="AR559" si="274">AQ559</f>
        <v>0.08</v>
      </c>
      <c r="AS559" s="95"/>
      <c r="AT559" s="96"/>
    </row>
    <row r="560" spans="1:46" ht="11.25" customHeight="1" x14ac:dyDescent="0.2">
      <c r="A560" s="429" t="s">
        <v>89</v>
      </c>
      <c r="B560" s="430">
        <v>0</v>
      </c>
      <c r="C560" s="431" t="str">
        <f>Параметры!$C$24</f>
        <v>кв.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96"/>
    </row>
    <row r="561" spans="1:46" ht="11.25" customHeight="1" x14ac:dyDescent="0.2">
      <c r="A561" s="429" t="s">
        <v>521</v>
      </c>
      <c r="B561" s="430">
        <f>ИД!C217*4</f>
        <v>36</v>
      </c>
      <c r="C561" s="431" t="str">
        <f>Параметры!$C$24</f>
        <v>кв.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96"/>
    </row>
    <row r="562" spans="1:46" ht="11.25" customHeight="1" x14ac:dyDescent="0.2">
      <c r="A562" s="429" t="s">
        <v>522</v>
      </c>
      <c r="B562" s="415">
        <f>ИД!C219*4</f>
        <v>4</v>
      </c>
      <c r="C562" s="431" t="str">
        <f>Параметры!$C$24</f>
        <v>кв.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96"/>
    </row>
    <row r="563" spans="1:46" ht="11.25" customHeight="1" x14ac:dyDescent="0.2">
      <c r="A563" s="429" t="s">
        <v>1015</v>
      </c>
      <c r="B563" s="347">
        <f>ИД!C220</f>
        <v>0</v>
      </c>
      <c r="C563" s="43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96"/>
    </row>
    <row r="564" spans="1:46" ht="22.5" x14ac:dyDescent="0.2">
      <c r="A564" s="389" t="s">
        <v>475</v>
      </c>
      <c r="B564" s="347">
        <v>1</v>
      </c>
      <c r="C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020"/>
      <c r="AP564" s="1"/>
      <c r="AQ564" s="1"/>
      <c r="AR564" s="1"/>
      <c r="AS564" s="1"/>
      <c r="AT564" s="96"/>
    </row>
    <row r="565" spans="1:46" ht="11.25" customHeight="1" x14ac:dyDescent="0.2">
      <c r="A565" s="93" t="s">
        <v>90</v>
      </c>
      <c r="B565" s="215">
        <f ca="1">AT565</f>
        <v>257375.67955732453</v>
      </c>
      <c r="C565" s="3" t="str">
        <f>CHOOSE(C558,Параметры!$B$64,Параметры!$B$108,Параметры!$B$117)</f>
        <v>тыс. руб.</v>
      </c>
      <c r="E565" s="346">
        <f>E457*1.2*ИД!$C$215</f>
        <v>12820</v>
      </c>
      <c r="F565" s="346">
        <f ca="1">F457*1.2*ИД!$C$215</f>
        <v>38460</v>
      </c>
      <c r="G565" s="346">
        <f ca="1">G457*1.2*ИД!$C$215</f>
        <v>64100</v>
      </c>
      <c r="H565" s="346">
        <f ca="1">H457*1.2*ИД!$C$215</f>
        <v>71792</v>
      </c>
      <c r="I565" s="346">
        <f ca="1">I457*1.2*ИД!$C$215</f>
        <v>30768</v>
      </c>
      <c r="J565" s="346">
        <f ca="1">J457*1.2*ИД!$C$215</f>
        <v>12981.256758545695</v>
      </c>
      <c r="K565" s="346">
        <f ca="1">K457*1.2*ИД!$C$215</f>
        <v>13144.54189011609</v>
      </c>
      <c r="L565" s="346">
        <f ca="1">L457*1.2*ИД!$C$215</f>
        <v>13309.880908662755</v>
      </c>
      <c r="M565" s="346">
        <f ca="1">M457*1.2*ИД!$C$215</f>
        <v>0</v>
      </c>
      <c r="N565" s="346">
        <f ca="1">N457*1.2*ИД!$C$215</f>
        <v>0</v>
      </c>
      <c r="O565" s="346">
        <f ca="1">O457*1.2*ИД!$C$215</f>
        <v>0</v>
      </c>
      <c r="P565" s="346">
        <f ca="1">P457*1.2*ИД!$C$215</f>
        <v>0</v>
      </c>
      <c r="Q565" s="346">
        <f ca="1">Q457*1.2*ИД!$C$215</f>
        <v>0</v>
      </c>
      <c r="R565" s="346">
        <f ca="1">R457*1.2*ИД!$C$215</f>
        <v>0</v>
      </c>
      <c r="S565" s="346">
        <f ca="1">S457*1.2*ИД!$C$215</f>
        <v>0</v>
      </c>
      <c r="T565" s="346">
        <f ca="1">T457*1.2*ИД!$C$215</f>
        <v>0</v>
      </c>
      <c r="U565" s="346">
        <f ca="1">U457*1.2*ИД!$C$215</f>
        <v>0</v>
      </c>
      <c r="V565" s="346">
        <f ca="1">V457*1.2*ИД!$C$215</f>
        <v>0</v>
      </c>
      <c r="W565" s="346">
        <f ca="1">W457*1.2*ИД!$C$215</f>
        <v>0</v>
      </c>
      <c r="X565" s="346">
        <f ca="1">X457*1.2*ИД!$C$215</f>
        <v>0</v>
      </c>
      <c r="Y565" s="346">
        <f ca="1">Y457*1.2*ИД!$C$215</f>
        <v>0</v>
      </c>
      <c r="Z565" s="346">
        <f ca="1">Z457*1.2*ИД!$C$215</f>
        <v>0</v>
      </c>
      <c r="AA565" s="346">
        <f ca="1">AA457*1.2*ИД!$C$215</f>
        <v>0</v>
      </c>
      <c r="AB565" s="346">
        <f ca="1">AB457*1.2*ИД!$C$215</f>
        <v>0</v>
      </c>
      <c r="AC565" s="346">
        <f ca="1">AC457*1.2*ИД!$C$215</f>
        <v>0</v>
      </c>
      <c r="AD565" s="346">
        <f ca="1">AD457*1.2*ИД!$C$215</f>
        <v>0</v>
      </c>
      <c r="AE565" s="346">
        <f ca="1">AE457*1.2*ИД!$C$215</f>
        <v>0</v>
      </c>
      <c r="AF565" s="346">
        <f ca="1">AF457*1.2*ИД!$C$215</f>
        <v>0</v>
      </c>
      <c r="AG565" s="346">
        <f ca="1">AG457*1.2*ИД!$C$215</f>
        <v>0</v>
      </c>
      <c r="AH565" s="346">
        <f ca="1">AH457*1.2*ИД!$C$215</f>
        <v>0</v>
      </c>
      <c r="AI565" s="346">
        <f ca="1">AI457*1.2*ИД!$C$215</f>
        <v>0</v>
      </c>
      <c r="AJ565" s="346">
        <f ca="1">AJ457*1.2*ИД!$C$215</f>
        <v>0</v>
      </c>
      <c r="AK565" s="346">
        <f ca="1">AK457*1.2*ИД!$C$215</f>
        <v>0</v>
      </c>
      <c r="AL565" s="346">
        <f ca="1">AL457*1.2*ИД!$C$215</f>
        <v>0</v>
      </c>
      <c r="AM565" s="346">
        <f ca="1">AM457*1.2*ИД!$C$215</f>
        <v>0</v>
      </c>
      <c r="AN565" s="346">
        <f ca="1">AN457*1.2*ИД!$C$215</f>
        <v>0</v>
      </c>
      <c r="AO565" s="346">
        <f ca="1">AO457*1.2*ИД!$C$215</f>
        <v>0</v>
      </c>
      <c r="AP565" s="346">
        <f ca="1">AP457*1.2*ИД!$C$215</f>
        <v>0</v>
      </c>
      <c r="AQ565" s="346">
        <f ca="1">AQ457*1.2*ИД!$C$215</f>
        <v>0</v>
      </c>
      <c r="AR565" s="346">
        <f ca="1">AR457*1.2*ИД!$C$215</f>
        <v>0</v>
      </c>
      <c r="AS565" s="94"/>
      <c r="AT565" s="84">
        <f ca="1">SUM(E565:AS565)</f>
        <v>257375.67955732453</v>
      </c>
    </row>
    <row r="566" spans="1:46" ht="11.25" customHeight="1" x14ac:dyDescent="0.2">
      <c r="A566" s="93" t="s">
        <v>91</v>
      </c>
      <c r="B566" s="215">
        <f ca="1">AT566</f>
        <v>257375.67955732456</v>
      </c>
      <c r="C566" s="3" t="str">
        <f>CHOOSE(C558,Параметры!$B$64,Параметры!$B$108,Параметры!$B$117)</f>
        <v>тыс. руб.</v>
      </c>
      <c r="E566" s="346">
        <f ca="1">IF(E$2&gt;=$B570+$B562,IF($B563,MIN($B565/($B561-($B562)),D567),IFERROR(-PPMT($B559/4,E$2-$B562-$B570+1,$B561-$B562,$B565,0),0)),0)</f>
        <v>0</v>
      </c>
      <c r="F566" s="346">
        <f t="shared" ref="F566" ca="1" si="275">IF(F$2&gt;=$B570+$B562,IF($B563,MIN($B565/($B561-($B562)),E567),IFERROR(-PPMT($B559/4,F$2-$B562-$B570+1,$B561-$B562,$B565,0),0)),0)</f>
        <v>0</v>
      </c>
      <c r="G566" s="346">
        <f t="shared" ref="G566" ca="1" si="276">IF(G$2&gt;=$B570+$B562,IF($B563,MIN($B565/($B561-($B562)),F567),IFERROR(-PPMT($B559/4,G$2-$B562-$B570+1,$B561-$B562,$B565,0),0)),0)</f>
        <v>0</v>
      </c>
      <c r="H566" s="346">
        <f t="shared" ref="H566" ca="1" si="277">IF(H$2&gt;=$B570+$B562,IF($B563,MIN($B565/($B561-($B562)),G567),IFERROR(-PPMT($B559/4,H$2-$B562-$B570+1,$B561-$B562,$B565,0),0)),0)</f>
        <v>0</v>
      </c>
      <c r="I566" s="346">
        <f t="shared" ref="I566" ca="1" si="278">IF(I$2&gt;=$B570+$B562,IF($B563,MIN($B565/($B561-($B562)),H567),IFERROR(-PPMT($B559/4,I$2-$B562-$B570+1,$B561-$B562,$B565,0),0)),0)</f>
        <v>5819.4204280881422</v>
      </c>
      <c r="J566" s="346">
        <f t="shared" ref="J566" ca="1" si="279">IF(J$2&gt;=$B570+$B562,IF($B563,MIN($B565/($B561-($B562)),I567),IFERROR(-PPMT($B559/4,J$2-$B562-$B570+1,$B561-$B562,$B565,0),0)),0)</f>
        <v>5935.8088366499042</v>
      </c>
      <c r="K566" s="346">
        <f t="shared" ref="K566" ca="1" si="280">IF(K$2&gt;=$B570+$B562,IF($B563,MIN($B565/($B561-($B562)),J567),IFERROR(-PPMT($B559/4,K$2-$B562-$B570+1,$B561-$B562,$B565,0),0)),0)</f>
        <v>6054.5250133829031</v>
      </c>
      <c r="L566" s="346">
        <f t="shared" ref="L566" ca="1" si="281">IF(L$2&gt;=$B570+$B562,IF($B563,MIN($B565/($B561-($B562)),K567),IFERROR(-PPMT($B559/4,L$2-$B562-$B570+1,$B561-$B562,$B565,0),0)),0)</f>
        <v>6175.6155136505595</v>
      </c>
      <c r="M566" s="346">
        <f t="shared" ref="M566" ca="1" si="282">IF(M$2&gt;=$B570+$B562,IF($B563,MIN($B565/($B561-($B562)),L567),IFERROR(-PPMT($B559/4,M$2-$B562-$B570+1,$B561-$B562,$B565,0),0)),0)</f>
        <v>6299.1278239235717</v>
      </c>
      <c r="N566" s="346">
        <f t="shared" ref="N566" ca="1" si="283">IF(N$2&gt;=$B570+$B562,IF($B563,MIN($B565/($B561-($B562)),M567),IFERROR(-PPMT($B559/4,N$2-$B562-$B570+1,$B561-$B562,$B565,0),0)),0)</f>
        <v>6425.1103804020431</v>
      </c>
      <c r="O566" s="346">
        <f t="shared" ref="O566" ca="1" si="284">IF(O$2&gt;=$B570+$B562,IF($B563,MIN($B565/($B561-($B562)),N567),IFERROR(-PPMT($B559/4,O$2-$B562-$B570+1,$B561-$B562,$B565,0),0)),0)</f>
        <v>6553.6125880100835</v>
      </c>
      <c r="P566" s="346">
        <f t="shared" ref="P566" ca="1" si="285">IF(P$2&gt;=$B570+$B562,IF($B563,MIN($B565/($B561-($B562)),O567),IFERROR(-PPMT($B559/4,P$2-$B562-$B570+1,$B561-$B562,$B565,0),0)),0)</f>
        <v>6684.6848397702843</v>
      </c>
      <c r="Q566" s="346">
        <f t="shared" ref="Q566" ca="1" si="286">IF(Q$2&gt;=$B570+$B562,IF($B563,MIN($B565/($B561-($B562)),P567),IFERROR(-PPMT($B559/4,Q$2-$B562-$B570+1,$B561-$B562,$B565,0),0)),0)</f>
        <v>6818.3785365656904</v>
      </c>
      <c r="R566" s="346">
        <f t="shared" ref="R566" ca="1" si="287">IF(R$2&gt;=$B570+$B562,IF($B563,MIN($B565/($B561-($B562)),Q567),IFERROR(-PPMT($B559/4,R$2-$B562-$B570+1,$B561-$B562,$B565,0),0)),0)</f>
        <v>6954.7461072970054</v>
      </c>
      <c r="S566" s="346">
        <f t="shared" ref="S566" ca="1" si="288">IF(S$2&gt;=$B570+$B562,IF($B563,MIN($B565/($B561-($B562)),R567),IFERROR(-PPMT($B559/4,S$2-$B562-$B570+1,$B561-$B562,$B565,0),0)),0)</f>
        <v>7093.841029442945</v>
      </c>
      <c r="T566" s="346">
        <f t="shared" ref="T566" ca="1" si="289">IF(T$2&gt;=$B570+$B562,IF($B563,MIN($B565/($B561-($B562)),S567),IFERROR(-PPMT($B559/4,T$2-$B562-$B570+1,$B561-$B562,$B565,0),0)),0)</f>
        <v>7235.7178500318032</v>
      </c>
      <c r="U566" s="346">
        <f t="shared" ref="U566" ca="1" si="290">IF(U$2&gt;=$B570+$B562,IF($B563,MIN($B565/($B561-($B562)),T567),IFERROR(-PPMT($B559/4,U$2-$B562-$B570+1,$B561-$B562,$B565,0),0)),0)</f>
        <v>7380.4322070324397</v>
      </c>
      <c r="V566" s="346">
        <f t="shared" ref="V566" ca="1" si="291">IF(V$2&gt;=$B570+$B562,IF($B563,MIN($B565/($B561-($B562)),U567),IFERROR(-PPMT($B559/4,V$2-$B562-$B570+1,$B561-$B562,$B565,0),0)),0)</f>
        <v>7528.0408511730875</v>
      </c>
      <c r="W566" s="346">
        <f t="shared" ref="W566" ca="1" si="292">IF(W$2&gt;=$B570+$B562,IF($B563,MIN($B565/($B561-($B562)),V567),IFERROR(-PPMT($B559/4,W$2-$B562-$B570+1,$B561-$B562,$B565,0),0)),0)</f>
        <v>7678.6016681965502</v>
      </c>
      <c r="X566" s="346">
        <f t="shared" ref="X566" ca="1" si="293">IF(X$2&gt;=$B570+$B562,IF($B563,MIN($B565/($B561-($B562)),W567),IFERROR(-PPMT($B559/4,X$2-$B562-$B570+1,$B561-$B562,$B565,0),0)),0)</f>
        <v>7832.1737015604813</v>
      </c>
      <c r="Y566" s="346">
        <f t="shared" ref="Y566" ca="1" si="294">IF(Y$2&gt;=$B570+$B562,IF($B563,MIN($B565/($B561-($B562)),X567),IFERROR(-PPMT($B559/4,Y$2-$B562-$B570+1,$B561-$B562,$B565,0),0)),0)</f>
        <v>7988.8171755916919</v>
      </c>
      <c r="Z566" s="346">
        <f t="shared" ref="Z566" ca="1" si="295">IF(Z$2&gt;=$B570+$B562,IF($B563,MIN($B565/($B561-($B562)),Y567),IFERROR(-PPMT($B559/4,Z$2-$B562-$B570+1,$B561-$B562,$B565,0),0)),0)</f>
        <v>8148.5935191035251</v>
      </c>
      <c r="AA566" s="346">
        <f t="shared" ref="AA566" ca="1" si="296">IF(AA$2&gt;=$B570+$B562,IF($B563,MIN($B565/($B561-($B562)),Z567),IFERROR(-PPMT($B559/4,AA$2-$B562-$B570+1,$B561-$B562,$B565,0),0)),0)</f>
        <v>8311.565389485595</v>
      </c>
      <c r="AB566" s="346">
        <f t="shared" ref="AB566" ca="1" si="297">IF(AB$2&gt;=$B570+$B562,IF($B563,MIN($B565/($B561-($B562)),AA567),IFERROR(-PPMT($B559/4,AB$2-$B562-$B570+1,$B561-$B562,$B565,0),0)),0)</f>
        <v>8477.7966972753075</v>
      </c>
      <c r="AC566" s="346">
        <f t="shared" ref="AC566" ca="1" si="298">IF(AC$2&gt;=$B570+$B562,IF($B563,MIN($B565/($B561-($B562)),AB567),IFERROR(-PPMT($B559/4,AC$2-$B562-$B570+1,$B561-$B562,$B565,0),0)),0)</f>
        <v>8647.3526312208123</v>
      </c>
      <c r="AD566" s="346">
        <f t="shared" ref="AD566" ca="1" si="299">IF(AD$2&gt;=$B570+$B562,IF($B563,MIN($B565/($B561-($B562)),AC567),IFERROR(-PPMT($B559/4,AD$2-$B562-$B570+1,$B561-$B562,$B565,0),0)),0)</f>
        <v>8820.2996838452309</v>
      </c>
      <c r="AE566" s="346">
        <f t="shared" ref="AE566" ca="1" si="300">IF(AE$2&gt;=$B570+$B562,IF($B563,MIN($B565/($B561-($B562)),AD567),IFERROR(-PPMT($B559/4,AE$2-$B562-$B570+1,$B561-$B562,$B565,0),0)),0)</f>
        <v>8996.7056775221354</v>
      </c>
      <c r="AF566" s="346">
        <f t="shared" ref="AF566" ca="1" si="301">IF(AF$2&gt;=$B570+$B562,IF($B563,MIN($B565/($B561-($B562)),AE567),IFERROR(-PPMT($B559/4,AF$2-$B562-$B570+1,$B561-$B562,$B565,0),0)),0)</f>
        <v>9176.6397910725773</v>
      </c>
      <c r="AG566" s="346">
        <f t="shared" ref="AG566" ca="1" si="302">IF(AG$2&gt;=$B570+$B562,IF($B563,MIN($B565/($B561-($B562)),AF567),IFERROR(-PPMT($B559/4,AG$2-$B562-$B570+1,$B561-$B562,$B565,0),0)),0)</f>
        <v>9360.1725868940266</v>
      </c>
      <c r="AH566" s="346">
        <f t="shared" ref="AH566" ca="1" si="303">IF(AH$2&gt;=$B570+$B562,IF($B563,MIN($B565/($B561-($B562)),AG567),IFERROR(-PPMT($B559/4,AH$2-$B562-$B570+1,$B561-$B562,$B565,0),0)),0)</f>
        <v>9547.3760386319082</v>
      </c>
      <c r="AI566" s="346">
        <f t="shared" ref="AI566" ca="1" si="304">IF(AI$2&gt;=$B570+$B562,IF($B563,MIN($B565/($B561-($B562)),AH567),IFERROR(-PPMT($B559/4,AI$2-$B562-$B570+1,$B561-$B562,$B565,0),0)),0)</f>
        <v>9738.3235594045473</v>
      </c>
      <c r="AJ566" s="346">
        <f t="shared" ref="AJ566" ca="1" si="305">IF(AJ$2&gt;=$B570+$B562,IF($B563,MIN($B565/($B561-($B562)),AI567),IFERROR(-PPMT($B559/4,AJ$2-$B562-$B570+1,$B561-$B562,$B565,0),0)),0)</f>
        <v>9933.0900305926389</v>
      </c>
      <c r="AK566" s="346">
        <f t="shared" ref="AK566" ca="1" si="306">IF(AK$2&gt;=$B570+$B562,IF($B563,MIN($B565/($B561-($B562)),AJ567),IFERROR(-PPMT($B559/4,AK$2-$B562-$B570+1,$B561-$B562,$B565,0),0)),0)</f>
        <v>10131.75183120449</v>
      </c>
      <c r="AL566" s="346">
        <f t="shared" ref="AL566" ca="1" si="307">IF(AL$2&gt;=$B570+$B562,IF($B563,MIN($B565/($B561-($B562)),AK567),IFERROR(-PPMT($B559/4,AL$2-$B562-$B570+1,$B561-$B562,$B565,0),0)),0)</f>
        <v>10334.386867828582</v>
      </c>
      <c r="AM566" s="346">
        <f t="shared" ref="AM566" ca="1" si="308">IF(AM$2&gt;=$B570+$B562,IF($B563,MIN($B565/($B561-($B562)),AL567),IFERROR(-PPMT($B559/4,AM$2-$B562-$B570+1,$B561-$B562,$B565,0),0)),0)</f>
        <v>10541.074605185153</v>
      </c>
      <c r="AN566" s="346">
        <f t="shared" ref="AN566" ca="1" si="309">IF(AN$2&gt;=$B570+$B562,IF($B563,MIN($B565/($B561-($B562)),AM567),IFERROR(-PPMT($B559/4,AN$2-$B562-$B570+1,$B561-$B562,$B565,0),0)),0)</f>
        <v>10751.896097288854</v>
      </c>
      <c r="AO566" s="346">
        <f t="shared" ref="AO566" ca="1" si="310">IF(AO$2&gt;=$B570+$B562,IF($B563,MIN($B565/($B561-($B562)),AN567),IFERROR(-PPMT($B559/4,AO$2-$B562-$B570+1,$B561-$B562,$B565,0),0)),0)</f>
        <v>0</v>
      </c>
      <c r="AP566" s="346">
        <f t="shared" ref="AP566" ca="1" si="311">IF(AP$2&gt;=$B570+$B562,IF($B563,MIN($B565/($B561-($B562)),AO567),IFERROR(-PPMT($B559/4,AP$2-$B562-$B570+1,$B561-$B562,$B565,0),0)),0)</f>
        <v>0</v>
      </c>
      <c r="AQ566" s="346">
        <f t="shared" ref="AQ566" ca="1" si="312">IF(AQ$2&gt;=$B570+$B562,IF($B563,MIN($B565/($B561-($B562)),AP567),IFERROR(-PPMT($B559/4,AQ$2-$B562-$B570+1,$B561-$B562,$B565,0),0)),0)</f>
        <v>0</v>
      </c>
      <c r="AR566" s="346">
        <f t="shared" ref="AR566" ca="1" si="313">IF(AR$2&gt;=$B570+$B562,IF($B563,MIN($B565/($B561-($B562)),AQ567),IFERROR(-PPMT($B559/4,AR$2-$B562-$B570+1,$B561-$B562,$B565,0),0)),0)</f>
        <v>0</v>
      </c>
      <c r="AS566" s="94"/>
      <c r="AT566" s="84">
        <f ca="1">SUM(E566:AS566)</f>
        <v>257375.67955732456</v>
      </c>
    </row>
    <row r="567" spans="1:46" ht="11.25" customHeight="1" x14ac:dyDescent="0.2">
      <c r="A567" s="97" t="s">
        <v>94</v>
      </c>
      <c r="B567" s="11"/>
      <c r="C567" s="3" t="str">
        <f>CHOOSE(C558,Параметры!$B$64,Параметры!$B$108,Параметры!$B$117)</f>
        <v>тыс. руб.</v>
      </c>
      <c r="E567" s="98">
        <f ca="1">SUM($E568:E568)-SUM($E569:E569)+SUM($E565:E565)-SUM($E566:E566)</f>
        <v>12820</v>
      </c>
      <c r="F567" s="98">
        <f ca="1">SUM($E568:F568)-SUM($E569:F569)+SUM($E565:F565)-SUM($E566:F566)</f>
        <v>51280</v>
      </c>
      <c r="G567" s="98">
        <f ca="1">SUM($E568:G568)-SUM($E569:G569)+SUM($E565:G565)-SUM($E566:G566)</f>
        <v>115380</v>
      </c>
      <c r="H567" s="98">
        <f ca="1">SUM($E568:H568)-SUM($E569:H569)+SUM($E565:H565)-SUM($E566:H566)</f>
        <v>187172</v>
      </c>
      <c r="I567" s="98">
        <f ca="1">SUM($E568:I568)-SUM($E569:I569)+SUM($E565:I565)-SUM($E566:I566)</f>
        <v>212120.57957191186</v>
      </c>
      <c r="J567" s="98">
        <f ca="1">SUM($E568:J568)-SUM($E569:J569)+SUM($E565:J565)-SUM($E566:J566)</f>
        <v>219166.02749380766</v>
      </c>
      <c r="K567" s="98">
        <f ca="1">SUM($E568:K568)-SUM($E569:K569)+SUM($E565:K565)-SUM($E566:K566)</f>
        <v>226256.04437054083</v>
      </c>
      <c r="L567" s="98">
        <f ca="1">SUM($E568:L568)-SUM($E569:L569)+SUM($E565:L565)-SUM($E566:L566)</f>
        <v>233390.30976555301</v>
      </c>
      <c r="M567" s="98">
        <f ca="1">SUM($E568:M568)-SUM($E569:M569)+SUM($E565:M565)-SUM($E566:M566)</f>
        <v>227091.18194162945</v>
      </c>
      <c r="N567" s="98">
        <f ca="1">SUM($E568:N568)-SUM($E569:N569)+SUM($E565:N565)-SUM($E566:N566)</f>
        <v>220666.07156122741</v>
      </c>
      <c r="O567" s="98">
        <f ca="1">SUM($E568:O568)-SUM($E569:O569)+SUM($E565:O565)-SUM($E566:O566)</f>
        <v>214112.45897321732</v>
      </c>
      <c r="P567" s="98">
        <f ca="1">SUM($E568:P568)-SUM($E569:P569)+SUM($E565:P565)-SUM($E566:P566)</f>
        <v>207427.77413344703</v>
      </c>
      <c r="Q567" s="98">
        <f ca="1">SUM($E568:Q568)-SUM($E569:Q569)+SUM($E565:Q565)-SUM($E566:Q566)</f>
        <v>200609.39559688134</v>
      </c>
      <c r="R567" s="98">
        <f ca="1">SUM($E568:R568)-SUM($E569:R569)+SUM($E565:R565)-SUM($E566:R566)</f>
        <v>193654.64948958435</v>
      </c>
      <c r="S567" s="98">
        <f ca="1">SUM($E568:S568)-SUM($E569:S569)+SUM($E565:S565)-SUM($E566:S566)</f>
        <v>186560.80846014142</v>
      </c>
      <c r="T567" s="98">
        <f ca="1">SUM($E568:T568)-SUM($E569:T569)+SUM($E565:T565)-SUM($E566:T566)</f>
        <v>179325.09061010962</v>
      </c>
      <c r="U567" s="98">
        <f ca="1">SUM($E568:U568)-SUM($E569:U569)+SUM($E565:U565)-SUM($E566:U566)</f>
        <v>171944.65840307716</v>
      </c>
      <c r="V567" s="98">
        <f ca="1">SUM($E568:V568)-SUM($E569:V569)+SUM($E565:V565)-SUM($E566:V566)</f>
        <v>164416.61755190406</v>
      </c>
      <c r="W567" s="98">
        <f ca="1">SUM($E568:W568)-SUM($E569:W569)+SUM($E565:W565)-SUM($E566:W566)</f>
        <v>156738.0158837075</v>
      </c>
      <c r="X567" s="98">
        <f ca="1">SUM($E568:X568)-SUM($E569:X569)+SUM($E565:X565)-SUM($E566:X566)</f>
        <v>148905.84218214703</v>
      </c>
      <c r="Y567" s="98">
        <f ca="1">SUM($E568:Y568)-SUM($E569:Y569)+SUM($E565:Y565)-SUM($E566:Y566)</f>
        <v>140917.02500655534</v>
      </c>
      <c r="Z567" s="98">
        <f ca="1">SUM($E568:Z568)-SUM($E569:Z569)+SUM($E565:Z565)-SUM($E566:Z566)</f>
        <v>132768.43148745183</v>
      </c>
      <c r="AA567" s="98">
        <f ca="1">SUM($E568:AA568)-SUM($E569:AA569)+SUM($E565:AA565)-SUM($E566:AA566)</f>
        <v>124456.86609796621</v>
      </c>
      <c r="AB567" s="98">
        <f ca="1">SUM($E568:AB568)-SUM($E569:AB569)+SUM($E565:AB565)-SUM($E566:AB566)</f>
        <v>115979.0694006909</v>
      </c>
      <c r="AC567" s="98">
        <f ca="1">SUM($E568:AC568)-SUM($E569:AC569)+SUM($E565:AC565)-SUM($E566:AC566)</f>
        <v>107331.71676947011</v>
      </c>
      <c r="AD567" s="98">
        <f ca="1">SUM($E568:AD568)-SUM($E569:AD569)+SUM($E565:AD565)-SUM($E566:AD566)</f>
        <v>98511.417085624882</v>
      </c>
      <c r="AE567" s="98">
        <f ca="1">SUM($E568:AE568)-SUM($E569:AE569)+SUM($E565:AE565)-SUM($E566:AE566)</f>
        <v>89514.711408102739</v>
      </c>
      <c r="AF567" s="98">
        <f ca="1">SUM($E568:AF568)-SUM($E569:AF569)+SUM($E565:AF565)-SUM($E566:AF566)</f>
        <v>80338.07161703016</v>
      </c>
      <c r="AG567" s="98">
        <f ca="1">SUM($E568:AG568)-SUM($E569:AG569)+SUM($E565:AG565)-SUM($E566:AG566)</f>
        <v>70977.899030136148</v>
      </c>
      <c r="AH567" s="98">
        <f ca="1">SUM($E568:AH568)-SUM($E569:AH569)+SUM($E565:AH565)-SUM($E566:AH566)</f>
        <v>61430.522991504229</v>
      </c>
      <c r="AI567" s="98">
        <f ca="1">SUM($E568:AI568)-SUM($E569:AI569)+SUM($E565:AI565)-SUM($E566:AI566)</f>
        <v>51692.199432099675</v>
      </c>
      <c r="AJ567" s="98">
        <f ca="1">SUM($E568:AJ568)-SUM($E569:AJ569)+SUM($E565:AJ565)-SUM($E566:AJ566)</f>
        <v>41759.109401507041</v>
      </c>
      <c r="AK567" s="98">
        <f ca="1">SUM($E568:AK568)-SUM($E569:AK569)+SUM($E565:AK565)-SUM($E566:AK566)</f>
        <v>31627.357570302556</v>
      </c>
      <c r="AL567" s="98">
        <f ca="1">SUM($E568:AL568)-SUM($E569:AL569)+SUM($E565:AL565)-SUM($E566:AL566)</f>
        <v>21292.970702473976</v>
      </c>
      <c r="AM567" s="98">
        <f ca="1">SUM($E568:AM568)-SUM($E569:AM569)+SUM($E565:AM565)-SUM($E566:AM566)</f>
        <v>10751.896097288816</v>
      </c>
      <c r="AN567" s="98">
        <f ca="1">SUM($E568:AN568)-SUM($E569:AN569)+SUM($E565:AN565)-SUM($E566:AN566)</f>
        <v>0</v>
      </c>
      <c r="AO567" s="98">
        <f ca="1">SUM($E568:AO568)-SUM($E569:AO569)+SUM($E565:AO565)-SUM($E566:AO566)</f>
        <v>0</v>
      </c>
      <c r="AP567" s="98">
        <f ca="1">SUM($E568:AP568)-SUM($E569:AP569)+SUM($E565:AP565)-SUM($E566:AP566)</f>
        <v>0</v>
      </c>
      <c r="AQ567" s="98">
        <f ca="1">SUM($E568:AQ568)-SUM($E569:AQ569)+SUM($E565:AQ565)-SUM($E566:AQ566)</f>
        <v>0</v>
      </c>
      <c r="AR567" s="98">
        <f ca="1">SUM($E568:AR568)-SUM($E569:AR569)+SUM($E565:AR565)-SUM($E566:AR566)</f>
        <v>0</v>
      </c>
      <c r="AS567" s="99"/>
      <c r="AT567" s="100"/>
    </row>
    <row r="568" spans="1:46" ht="11.25" customHeight="1" x14ac:dyDescent="0.2">
      <c r="A568" s="97" t="s">
        <v>92</v>
      </c>
      <c r="B568" s="215">
        <f ca="1">AT568</f>
        <v>94167.73580174183</v>
      </c>
      <c r="C568" s="3" t="str">
        <f>CHOOSE(C558,Параметры!$B$64,Параметры!$B$108,Параметры!$B$117)</f>
        <v>тыс. руб.</v>
      </c>
      <c r="E568" s="98">
        <f ca="1">MAX((SUM($E565:E565)-SUM($E566:E566)+IF(AND($B564=1,Параметры!E$36&gt;1),SUM($D568:D568)-SUM($D569:D569),0)),0)*E559/12*Параметры!E$40</f>
        <v>256.39999999999998</v>
      </c>
      <c r="F568" s="98">
        <f ca="1">MAX((SUM($E565:F565)-SUM($E566:F566)+IF(AND($B564=1,Параметры!F$36&gt;1),SUM($D568:E568)-SUM($D569:E569),0)),0)*F559/12*Параметры!F$40</f>
        <v>1025.5999999999999</v>
      </c>
      <c r="G568" s="98">
        <f ca="1">MAX((SUM($E565:G565)-SUM($E566:G566)+IF(AND($B564=1,Параметры!G$36&gt;1),SUM($D568:F568)-SUM($D569:F569),0)),0)*G559/12*Параметры!G$40</f>
        <v>2307.6</v>
      </c>
      <c r="H568" s="98">
        <f ca="1">MAX((SUM($E565:H565)-SUM($E566:H566)+IF(AND($B564=1,Параметры!H$36&gt;1),SUM($D568:G568)-SUM($D569:G569),0)),0)*H559/12*Параметры!H$40</f>
        <v>3743.4399999999996</v>
      </c>
      <c r="I568" s="98">
        <f ca="1">MAX((SUM($E565:I565)-SUM($E566:I566)+IF(AND($B564=1,Параметры!I$36&gt;1),SUM($D568:H568)-SUM($D569:H569),0)),0)*I559/12*Параметры!I$40</f>
        <v>4242.4115914382373</v>
      </c>
      <c r="J568" s="98">
        <f ca="1">MAX((SUM($E565:J565)-SUM($E566:J566)+IF(AND($B564=1,Параметры!J$36&gt;1),SUM($D568:I568)-SUM($D569:I569),0)),0)*J559/12*Параметры!J$40</f>
        <v>4383.3205498761536</v>
      </c>
      <c r="K568" s="98">
        <f ca="1">MAX((SUM($E565:K565)-SUM($E566:K566)+IF(AND($B564=1,Параметры!K$36&gt;1),SUM($D568:J568)-SUM($D569:J569),0)),0)*K559/12*Параметры!K$40</f>
        <v>4525.120887410817</v>
      </c>
      <c r="L568" s="98">
        <f ca="1">MAX((SUM($E565:L565)-SUM($E566:L566)+IF(AND($B564=1,Параметры!L$36&gt;1),SUM($D568:K568)-SUM($D569:K569),0)),0)*L559/12*Параметры!L$40</f>
        <v>4667.80619531106</v>
      </c>
      <c r="M568" s="98">
        <f ca="1">MAX((SUM($E565:M565)-SUM($E566:M566)+IF(AND($B564=1,Параметры!M$36&gt;1),SUM($D568:L568)-SUM($D569:L569),0)),0)*M559/12*Параметры!M$40</f>
        <v>4541.8236388325886</v>
      </c>
      <c r="N568" s="98">
        <f ca="1">MAX((SUM($E565:N565)-SUM($E566:N566)+IF(AND($B564=1,Параметры!N$36&gt;1),SUM($D568:M568)-SUM($D569:M569),0)),0)*N559/12*Параметры!N$40</f>
        <v>4413.3214312245482</v>
      </c>
      <c r="O568" s="98">
        <f ca="1">MAX((SUM($E565:O565)-SUM($E566:O566)+IF(AND($B564=1,Параметры!O$36&gt;1),SUM($D568:N568)-SUM($D569:N569),0)),0)*O559/12*Параметры!O$40</f>
        <v>4282.2491794643465</v>
      </c>
      <c r="P568" s="98">
        <f ca="1">MAX((SUM($E565:P565)-SUM($E566:P566)+IF(AND($B564=1,Параметры!P$36&gt;1),SUM($D568:O568)-SUM($D569:O569),0)),0)*P559/12*Параметры!P$40</f>
        <v>4148.5554826689404</v>
      </c>
      <c r="Q568" s="98">
        <f ca="1">MAX((SUM($E565:Q565)-SUM($E566:Q566)+IF(AND($B564=1,Параметры!Q$36&gt;1),SUM($D568:P568)-SUM($D569:P569),0)),0)*Q559/12*Параметры!Q$40</f>
        <v>4012.1879119376272</v>
      </c>
      <c r="R568" s="98">
        <f ca="1">MAX((SUM($E565:R565)-SUM($E566:R566)+IF(AND($B564=1,Параметры!R$36&gt;1),SUM($D568:Q568)-SUM($D569:Q569),0)),0)*R559/12*Параметры!R$40</f>
        <v>3873.0929897916867</v>
      </c>
      <c r="S568" s="98">
        <f ca="1">MAX((SUM($E565:S565)-SUM($E566:S566)+IF(AND($B564=1,Параметры!S$36&gt;1),SUM($D568:R568)-SUM($D569:R569),0)),0)*S559/12*Параметры!S$40</f>
        <v>3731.2161692028285</v>
      </c>
      <c r="T568" s="98">
        <f ca="1">MAX((SUM($E565:T565)-SUM($E566:T566)+IF(AND($B564=1,Параметры!T$36&gt;1),SUM($D568:S568)-SUM($D569:S569),0)),0)*T559/12*Параметры!T$40</f>
        <v>3586.5018122021925</v>
      </c>
      <c r="U568" s="98">
        <f ca="1">MAX((SUM($E565:U565)-SUM($E566:U566)+IF(AND($B564=1,Параметры!U$36&gt;1),SUM($D568:T568)-SUM($D569:T569),0)),0)*U559/12*Параметры!U$40</f>
        <v>3438.8931680615433</v>
      </c>
      <c r="V568" s="98">
        <f ca="1">MAX((SUM($E565:V565)-SUM($E566:V566)+IF(AND($B564=1,Параметры!V$36&gt;1),SUM($D568:U568)-SUM($D569:U569),0)),0)*V559/12*Параметры!V$40</f>
        <v>3288.332351038081</v>
      </c>
      <c r="W568" s="98">
        <f ca="1">MAX((SUM($E565:W565)-SUM($E566:W566)+IF(AND($B564=1,Параметры!W$36&gt;1),SUM($D568:V568)-SUM($D569:V569),0)),0)*W559/12*Параметры!W$40</f>
        <v>3134.7603176741504</v>
      </c>
      <c r="X568" s="98">
        <f ca="1">MAX((SUM($E565:X565)-SUM($E566:X566)+IF(AND($B564=1,Параметры!X$36&gt;1),SUM($D568:W568)-SUM($D569:W569),0)),0)*X559/12*Параметры!X$40</f>
        <v>2978.1168436429407</v>
      </c>
      <c r="Y568" s="98">
        <f ca="1">MAX((SUM($E565:Y565)-SUM($E566:Y566)+IF(AND($B564=1,Параметры!Y$36&gt;1),SUM($D568:X568)-SUM($D569:X569),0)),0)*Y559/12*Параметры!Y$40</f>
        <v>2818.3405001311071</v>
      </c>
      <c r="Z568" s="98">
        <f ca="1">MAX((SUM($E565:Z565)-SUM($E566:Z566)+IF(AND($B564=1,Параметры!Z$36&gt;1),SUM($D568:Y568)-SUM($D569:Y569),0)),0)*Z559/12*Параметры!Z$40</f>
        <v>2655.3686297490367</v>
      </c>
      <c r="AA568" s="98">
        <f ca="1">MAX((SUM($E565:AA565)-SUM($E566:AA566)+IF(AND($B564=1,Параметры!AA$36&gt;1),SUM($D568:Z568)-SUM($D569:Z569),0)),0)*AA559/12*Параметры!AA$40</f>
        <v>2489.1373219593243</v>
      </c>
      <c r="AB568" s="98">
        <f ca="1">MAX((SUM($E565:AB565)-SUM($E566:AB566)+IF(AND($B564=1,Параметры!AB$36&gt;1),SUM($D568:AA568)-SUM($D569:AA569),0)),0)*AB559/12*Параметры!AB$40</f>
        <v>2319.581388013818</v>
      </c>
      <c r="AC568" s="98">
        <f ca="1">MAX((SUM($E565:AC565)-SUM($E566:AC566)+IF(AND($B564=1,Параметры!AC$36&gt;1),SUM($D568:AB568)-SUM($D569:AB569),0)),0)*AC559/12*Параметры!AC$40</f>
        <v>2146.6343353894022</v>
      </c>
      <c r="AD568" s="98">
        <f ca="1">MAX((SUM($E565:AD565)-SUM($E566:AD566)+IF(AND($B564=1,Параметры!AD$36&gt;1),SUM($D568:AC568)-SUM($D569:AC569),0)),0)*AD559/12*Параметры!AD$40</f>
        <v>1970.2283417124977</v>
      </c>
      <c r="AE568" s="98">
        <f ca="1">MAX((SUM($E565:AE565)-SUM($E566:AE566)+IF(AND($B564=1,Параметры!AE$36&gt;1),SUM($D568:AD568)-SUM($D569:AD569),0)),0)*AE559/12*Параметры!AE$40</f>
        <v>1790.2942281620549</v>
      </c>
      <c r="AF568" s="98">
        <f ca="1">MAX((SUM($E565:AF565)-SUM($E566:AF566)+IF(AND($B564=1,Параметры!AF$36&gt;1),SUM($D568:AE568)-SUM($D569:AE569),0)),0)*AF559/12*Параметры!AF$40</f>
        <v>1606.7614323406033</v>
      </c>
      <c r="AG568" s="98">
        <f ca="1">MAX((SUM($E565:AG565)-SUM($E566:AG566)+IF(AND($B564=1,Параметры!AG$36&gt;1),SUM($D568:AF568)-SUM($D569:AF569),0)),0)*AG559/12*Параметры!AG$40</f>
        <v>1419.5579806027231</v>
      </c>
      <c r="AH568" s="98">
        <f ca="1">MAX((SUM($E565:AH565)-SUM($E566:AH566)+IF(AND($B564=1,Параметры!AH$36&gt;1),SUM($D568:AG568)-SUM($D569:AG569),0)),0)*AH559/12*Параметры!AH$40</f>
        <v>1228.6104598300847</v>
      </c>
      <c r="AI568" s="98">
        <f ca="1">MAX((SUM($E565:AI565)-SUM($E566:AI566)+IF(AND($B564=1,Параметры!AI$36&gt;1),SUM($D568:AH568)-SUM($D569:AH569),0)),0)*AI559/12*Параметры!AI$40</f>
        <v>1033.8439886419935</v>
      </c>
      <c r="AJ568" s="98">
        <f ca="1">MAX((SUM($E565:AJ565)-SUM($E566:AJ566)+IF(AND($B564=1,Параметры!AJ$36&gt;1),SUM($D568:AI568)-SUM($D569:AI569),0)),0)*AJ559/12*Параметры!AJ$40</f>
        <v>835.18218803014088</v>
      </c>
      <c r="AK568" s="98">
        <f ca="1">MAX((SUM($E565:AK565)-SUM($E566:AK566)+IF(AND($B564=1,Параметры!AK$36&gt;1),SUM($D568:AJ568)-SUM($D569:AJ569),0)),0)*AK559/12*Параметры!AK$40</f>
        <v>632.54715140605117</v>
      </c>
      <c r="AL568" s="98">
        <f ca="1">MAX((SUM($E565:AL565)-SUM($E566:AL566)+IF(AND($B564=1,Параметры!AL$36&gt;1),SUM($D568:AK568)-SUM($D569:AK569),0)),0)*AL559/12*Параметры!AL$40</f>
        <v>425.85941404947948</v>
      </c>
      <c r="AM568" s="98">
        <f ca="1">MAX((SUM($E565:AM565)-SUM($E566:AM566)+IF(AND($B564=1,Параметры!AM$36&gt;1),SUM($D568:AL568)-SUM($D569:AL569),0)),0)*AM559/12*Параметры!AM$40</f>
        <v>215.03792194577636</v>
      </c>
      <c r="AN568" s="98">
        <f ca="1">MAX((SUM($E565:AN565)-SUM($E566:AN566)+IF(AND($B564=1,Параметры!AN$36&gt;1),SUM($D568:AM568)-SUM($D569:AM569),0)),0)*AN559/12*Параметры!AN$40</f>
        <v>0</v>
      </c>
      <c r="AO568" s="98">
        <f ca="1">MAX((SUM($E565:AO565)-SUM($E566:AO566)+IF(AND($B564=1,Параметры!AO$36&gt;1),SUM($D568:AN568)-SUM($D569:AN569),0)),0)*AO559/12*Параметры!AO$40</f>
        <v>0</v>
      </c>
      <c r="AP568" s="98">
        <f ca="1">MAX((SUM($E565:AP565)-SUM($E566:AP566)+IF(AND($B564=1,Параметры!AP$36&gt;1),SUM($D568:AO568)-SUM($D569:AO569),0)),0)*AP559/12*Параметры!AP$40</f>
        <v>0</v>
      </c>
      <c r="AQ568" s="98">
        <f ca="1">MAX((SUM($E565:AQ565)-SUM($E566:AQ566)+IF(AND($B564=1,Параметры!AQ$36&gt;1),SUM($D568:AP568)-SUM($D569:AP569),0)),0)*AQ559/12*Параметры!AQ$40</f>
        <v>0</v>
      </c>
      <c r="AR568" s="98">
        <f ca="1">MAX((SUM($E565:AR565)-SUM($E566:AR566)+IF(AND($B564=1,Параметры!AR$36&gt;1),SUM($D568:AQ568)-SUM($D569:AQ569),0)),0)*AR559/12*Параметры!AR$40</f>
        <v>0</v>
      </c>
      <c r="AS568" s="99"/>
      <c r="AT568" s="100">
        <f ca="1">SUM(E568:AS568)</f>
        <v>94167.73580174183</v>
      </c>
    </row>
    <row r="569" spans="1:46" ht="11.25" customHeight="1" collapsed="1" x14ac:dyDescent="0.2">
      <c r="A569" s="101" t="s">
        <v>93</v>
      </c>
      <c r="B569" s="216">
        <f ca="1">AT569</f>
        <v>94167.73580174183</v>
      </c>
      <c r="C569" s="2" t="str">
        <f>CHOOSE(C558,Параметры!$B$64,Параметры!$B$108,Параметры!$B$117)</f>
        <v>тыс. руб.</v>
      </c>
      <c r="E569" s="353">
        <f ca="1">IF(Параметры!E$36&gt;=E570+$B560,E568,0)</f>
        <v>256.39999999999998</v>
      </c>
      <c r="F569" s="353">
        <f ca="1">IF(Параметры!F$36&gt;=F570+$B560,F568,0)</f>
        <v>1025.5999999999999</v>
      </c>
      <c r="G569" s="353">
        <f ca="1">IF(Параметры!G$36&gt;=G570+$B560,G568,0)</f>
        <v>2307.6</v>
      </c>
      <c r="H569" s="353">
        <f ca="1">IF(Параметры!H$36&gt;=H570+$B560,H568,0)</f>
        <v>3743.4399999999996</v>
      </c>
      <c r="I569" s="353">
        <f ca="1">IF(Параметры!I$36&gt;=I570+$B560,I568,0)</f>
        <v>4242.4115914382373</v>
      </c>
      <c r="J569" s="353">
        <f ca="1">IF(Параметры!J$36&gt;=J570+$B560,J568,0)</f>
        <v>4383.3205498761536</v>
      </c>
      <c r="K569" s="353">
        <f ca="1">IF(Параметры!K$36&gt;=K570+$B560,K568,0)</f>
        <v>4525.120887410817</v>
      </c>
      <c r="L569" s="353">
        <f ca="1">IF(Параметры!L$36&gt;=L570+$B560,L568,0)</f>
        <v>4667.80619531106</v>
      </c>
      <c r="M569" s="353">
        <f ca="1">IF(Параметры!M$36&gt;=M570+$B560,M568,0)</f>
        <v>4541.8236388325886</v>
      </c>
      <c r="N569" s="353">
        <f ca="1">IF(Параметры!N$36&gt;=N570+$B560,N568,0)</f>
        <v>4413.3214312245482</v>
      </c>
      <c r="O569" s="353">
        <f ca="1">IF(Параметры!O$36&gt;=O570+$B560,O568,0)</f>
        <v>4282.2491794643465</v>
      </c>
      <c r="P569" s="353">
        <f ca="1">IF(Параметры!P$36&gt;=P570+$B560,P568,0)</f>
        <v>4148.5554826689404</v>
      </c>
      <c r="Q569" s="353">
        <f ca="1">IF(Параметры!Q$36&gt;=Q570+$B560,Q568,0)</f>
        <v>4012.1879119376272</v>
      </c>
      <c r="R569" s="353">
        <f ca="1">IF(Параметры!R$36&gt;=R570+$B560,R568,0)</f>
        <v>3873.0929897916867</v>
      </c>
      <c r="S569" s="353">
        <f ca="1">IF(Параметры!S$36&gt;=S570+$B560,S568,0)</f>
        <v>3731.2161692028285</v>
      </c>
      <c r="T569" s="353">
        <f ca="1">IF(Параметры!T$36&gt;=T570+$B560,T568,0)</f>
        <v>3586.5018122021925</v>
      </c>
      <c r="U569" s="353">
        <f ca="1">IF(Параметры!U$36&gt;=U570+$B560,U568,0)</f>
        <v>3438.8931680615433</v>
      </c>
      <c r="V569" s="353">
        <f ca="1">IF(Параметры!V$36&gt;=V570+$B560,V568,0)</f>
        <v>3288.332351038081</v>
      </c>
      <c r="W569" s="353">
        <f ca="1">IF(Параметры!W$36&gt;=W570+$B560,W568,0)</f>
        <v>3134.7603176741504</v>
      </c>
      <c r="X569" s="353">
        <f ca="1">IF(Параметры!X$36&gt;=X570+$B560,X568,0)</f>
        <v>2978.1168436429407</v>
      </c>
      <c r="Y569" s="353">
        <f ca="1">IF(Параметры!Y$36&gt;=Y570+$B560,Y568,0)</f>
        <v>2818.3405001311071</v>
      </c>
      <c r="Z569" s="353">
        <f ca="1">IF(Параметры!Z$36&gt;=Z570+$B560,Z568,0)</f>
        <v>2655.3686297490367</v>
      </c>
      <c r="AA569" s="353">
        <f ca="1">IF(Параметры!AA$36&gt;=AA570+$B560,AA568,0)</f>
        <v>2489.1373219593243</v>
      </c>
      <c r="AB569" s="353">
        <f ca="1">IF(Параметры!AB$36&gt;=AB570+$B560,AB568,0)</f>
        <v>2319.581388013818</v>
      </c>
      <c r="AC569" s="353">
        <f ca="1">IF(Параметры!AC$36&gt;=AC570+$B560,AC568,0)</f>
        <v>2146.6343353894022</v>
      </c>
      <c r="AD569" s="353">
        <f ca="1">IF(Параметры!AD$36&gt;=AD570+$B560,AD568,0)</f>
        <v>1970.2283417124977</v>
      </c>
      <c r="AE569" s="353">
        <f ca="1">IF(Параметры!AE$36&gt;=AE570+$B560,AE568,0)</f>
        <v>1790.2942281620549</v>
      </c>
      <c r="AF569" s="353">
        <f ca="1">IF(Параметры!AF$36&gt;=AF570+$B560,AF568,0)</f>
        <v>1606.7614323406033</v>
      </c>
      <c r="AG569" s="353">
        <f ca="1">IF(Параметры!AG$36&gt;=AG570+$B560,AG568,0)</f>
        <v>1419.5579806027231</v>
      </c>
      <c r="AH569" s="353">
        <f ca="1">IF(Параметры!AH$36&gt;=AH570+$B560,AH568,0)</f>
        <v>1228.6104598300847</v>
      </c>
      <c r="AI569" s="353">
        <f ca="1">IF(Параметры!AI$36&gt;=AI570+$B560,AI568,0)</f>
        <v>1033.8439886419935</v>
      </c>
      <c r="AJ569" s="353">
        <f ca="1">IF(Параметры!AJ$36&gt;=AJ570+$B560,AJ568,0)</f>
        <v>835.18218803014088</v>
      </c>
      <c r="AK569" s="353">
        <f ca="1">IF(Параметры!AK$36&gt;=AK570+$B560,AK568,0)</f>
        <v>632.54715140605117</v>
      </c>
      <c r="AL569" s="353">
        <f ca="1">IF(Параметры!AL$36&gt;=AL570+$B560,AL568,0)</f>
        <v>425.85941404947948</v>
      </c>
      <c r="AM569" s="353">
        <f ca="1">IF(Параметры!AM$36&gt;=AM570+$B560,AM568,0)</f>
        <v>215.03792194577636</v>
      </c>
      <c r="AN569" s="353">
        <f ca="1">IF(Параметры!AN$36&gt;=AN570+$B560,AN568,0)</f>
        <v>0</v>
      </c>
      <c r="AO569" s="353">
        <f ca="1">IF(Параметры!AO$36&gt;=AO570+$B560,AO568,0)</f>
        <v>0</v>
      </c>
      <c r="AP569" s="353">
        <f ca="1">IF(Параметры!AP$36&gt;=AP570+$B560,AP568,0)</f>
        <v>0</v>
      </c>
      <c r="AQ569" s="353">
        <f ca="1">IF(Параметры!AQ$36&gt;=AQ570+$B560,AQ568,0)</f>
        <v>0</v>
      </c>
      <c r="AR569" s="353">
        <f ca="1">IF(Параметры!AR$36&gt;=AR570+$B560,AR568,0)</f>
        <v>0</v>
      </c>
      <c r="AS569" s="102"/>
      <c r="AT569" s="103">
        <f ca="1">SUM(E569:AS569)</f>
        <v>94167.73580174183</v>
      </c>
    </row>
    <row r="570" spans="1:46" ht="11.25" customHeight="1" outlineLevel="1" x14ac:dyDescent="0.2">
      <c r="A570" s="101" t="s">
        <v>95</v>
      </c>
      <c r="B570" s="471">
        <f ca="1">MAX(E570,OFFSET(E570,0,Параметры!$B$24-1))</f>
        <v>1</v>
      </c>
      <c r="C570" s="2" t="s">
        <v>3</v>
      </c>
      <c r="E570" s="155">
        <f>IF(AND(Параметры!E$36=1,E565&gt;0),1,IF(AND(D570=0,E565&lt;&gt;0,SUM($D565:D565)=0),Параметры!E$36,IF(Параметры!E$36=1,0,D570)))</f>
        <v>1</v>
      </c>
      <c r="F570" s="155">
        <f ca="1">IF(AND(Параметры!F$36=1,F565&gt;0),1,IF(AND(E570=0,F565&lt;&gt;0,SUM($D565:E565)=0),Параметры!F$36,IF(Параметры!F$36=1,0,E570)))</f>
        <v>1</v>
      </c>
      <c r="G570" s="155">
        <f ca="1">IF(AND(Параметры!G$36=1,G565&gt;0),1,IF(AND(F570=0,G565&lt;&gt;0,SUM($D565:F565)=0),Параметры!G$36,IF(Параметры!G$36=1,0,F570)))</f>
        <v>1</v>
      </c>
      <c r="H570" s="155">
        <f ca="1">IF(AND(Параметры!H$36=1,H565&gt;0),1,IF(AND(G570=0,H565&lt;&gt;0,SUM($D565:G565)=0),Параметры!H$36,IF(Параметры!H$36=1,0,G570)))</f>
        <v>1</v>
      </c>
      <c r="I570" s="155">
        <f ca="1">IF(AND(Параметры!I$36=1,I565&gt;0),1,IF(AND(H570=0,I565&lt;&gt;0,SUM($D565:H565)=0),Параметры!I$36,IF(Параметры!I$36=1,0,H570)))</f>
        <v>1</v>
      </c>
      <c r="J570" s="155">
        <f ca="1">IF(AND(Параметры!J$36=1,J565&gt;0),1,IF(AND(I570=0,J565&lt;&gt;0,SUM($D565:I565)=0),Параметры!J$36,IF(Параметры!J$36=1,0,I570)))</f>
        <v>1</v>
      </c>
      <c r="K570" s="155">
        <f ca="1">IF(AND(Параметры!K$36=1,K565&gt;0),1,IF(AND(J570=0,K565&lt;&gt;0,SUM($D565:J565)=0),Параметры!K$36,IF(Параметры!K$36=1,0,J570)))</f>
        <v>1</v>
      </c>
      <c r="L570" s="155">
        <f ca="1">IF(AND(Параметры!L$36=1,L565&gt;0),1,IF(AND(K570=0,L565&lt;&gt;0,SUM($D565:K565)=0),Параметры!L$36,IF(Параметры!L$36=1,0,K570)))</f>
        <v>1</v>
      </c>
      <c r="M570" s="155">
        <f ca="1">IF(AND(Параметры!M$36=1,M565&gt;0),1,IF(AND(L570=0,M565&lt;&gt;0,SUM($D565:L565)=0),Параметры!M$36,IF(Параметры!M$36=1,0,L570)))</f>
        <v>1</v>
      </c>
      <c r="N570" s="155">
        <f ca="1">IF(AND(Параметры!N$36=1,N565&gt;0),1,IF(AND(M570=0,N565&lt;&gt;0,SUM($D565:M565)=0),Параметры!N$36,IF(Параметры!N$36=1,0,M570)))</f>
        <v>1</v>
      </c>
      <c r="O570" s="155">
        <f ca="1">IF(AND(Параметры!O$36=1,O565&gt;0),1,IF(AND(N570=0,O565&lt;&gt;0,SUM($D565:N565)=0),Параметры!O$36,IF(Параметры!O$36=1,0,N570)))</f>
        <v>1</v>
      </c>
      <c r="P570" s="155">
        <f ca="1">IF(AND(Параметры!P$36=1,P565&gt;0),1,IF(AND(O570=0,P565&lt;&gt;0,SUM($D565:O565)=0),Параметры!P$36,IF(Параметры!P$36=1,0,O570)))</f>
        <v>1</v>
      </c>
      <c r="Q570" s="155">
        <f ca="1">IF(AND(Параметры!Q$36=1,Q565&gt;0),1,IF(AND(P570=0,Q565&lt;&gt;0,SUM($D565:P565)=0),Параметры!Q$36,IF(Параметры!Q$36=1,0,P570)))</f>
        <v>1</v>
      </c>
      <c r="R570" s="155">
        <f ca="1">IF(AND(Параметры!R$36=1,R565&gt;0),1,IF(AND(Q570=0,R565&lt;&gt;0,SUM($D565:Q565)=0),Параметры!R$36,IF(Параметры!R$36=1,0,Q570)))</f>
        <v>1</v>
      </c>
      <c r="S570" s="155">
        <f ca="1">IF(AND(Параметры!S$36=1,S565&gt;0),1,IF(AND(R570=0,S565&lt;&gt;0,SUM($D565:R565)=0),Параметры!S$36,IF(Параметры!S$36=1,0,R570)))</f>
        <v>1</v>
      </c>
      <c r="T570" s="155">
        <f ca="1">IF(AND(Параметры!T$36=1,T565&gt;0),1,IF(AND(S570=0,T565&lt;&gt;0,SUM($D565:S565)=0),Параметры!T$36,IF(Параметры!T$36=1,0,S570)))</f>
        <v>1</v>
      </c>
      <c r="U570" s="155">
        <f ca="1">IF(AND(Параметры!U$36=1,U565&gt;0),1,IF(AND(T570=0,U565&lt;&gt;0,SUM($D565:T565)=0),Параметры!U$36,IF(Параметры!U$36=1,0,T570)))</f>
        <v>1</v>
      </c>
      <c r="V570" s="155">
        <f ca="1">IF(AND(Параметры!V$36=1,V565&gt;0),1,IF(AND(U570=0,V565&lt;&gt;0,SUM($D565:U565)=0),Параметры!V$36,IF(Параметры!V$36=1,0,U570)))</f>
        <v>1</v>
      </c>
      <c r="W570" s="155">
        <f ca="1">IF(AND(Параметры!W$36=1,W565&gt;0),1,IF(AND(V570=0,W565&lt;&gt;0,SUM($D565:V565)=0),Параметры!W$36,IF(Параметры!W$36=1,0,V570)))</f>
        <v>1</v>
      </c>
      <c r="X570" s="155">
        <f ca="1">IF(AND(Параметры!X$36=1,X565&gt;0),1,IF(AND(W570=0,X565&lt;&gt;0,SUM($D565:W565)=0),Параметры!X$36,IF(Параметры!X$36=1,0,W570)))</f>
        <v>1</v>
      </c>
      <c r="Y570" s="155">
        <f ca="1">IF(AND(Параметры!Y$36=1,Y565&gt;0),1,IF(AND(X570=0,Y565&lt;&gt;0,SUM($D565:X565)=0),Параметры!Y$36,IF(Параметры!Y$36=1,0,X570)))</f>
        <v>1</v>
      </c>
      <c r="Z570" s="155">
        <f ca="1">IF(AND(Параметры!Z$36=1,Z565&gt;0),1,IF(AND(Y570=0,Z565&lt;&gt;0,SUM($D565:Y565)=0),Параметры!Z$36,IF(Параметры!Z$36=1,0,Y570)))</f>
        <v>1</v>
      </c>
      <c r="AA570" s="155">
        <f ca="1">IF(AND(Параметры!AA$36=1,AA565&gt;0),1,IF(AND(Z570=0,AA565&lt;&gt;0,SUM($D565:Z565)=0),Параметры!AA$36,IF(Параметры!AA$36=1,0,Z570)))</f>
        <v>1</v>
      </c>
      <c r="AB570" s="155">
        <f ca="1">IF(AND(Параметры!AB$36=1,AB565&gt;0),1,IF(AND(AA570=0,AB565&lt;&gt;0,SUM($D565:AA565)=0),Параметры!AB$36,IF(Параметры!AB$36=1,0,AA570)))</f>
        <v>1</v>
      </c>
      <c r="AC570" s="155">
        <f ca="1">IF(AND(Параметры!AC$36=1,AC565&gt;0),1,IF(AND(AB570=0,AC565&lt;&gt;0,SUM($D565:AB565)=0),Параметры!AC$36,IF(Параметры!AC$36=1,0,AB570)))</f>
        <v>1</v>
      </c>
      <c r="AD570" s="155">
        <f ca="1">IF(AND(Параметры!AD$36=1,AD565&gt;0),1,IF(AND(AC570=0,AD565&lt;&gt;0,SUM($D565:AC565)=0),Параметры!AD$36,IF(Параметры!AD$36=1,0,AC570)))</f>
        <v>1</v>
      </c>
      <c r="AE570" s="155">
        <f ca="1">IF(AND(Параметры!AE$36=1,AE565&gt;0),1,IF(AND(AD570=0,AE565&lt;&gt;0,SUM($D565:AD565)=0),Параметры!AE$36,IF(Параметры!AE$36=1,0,AD570)))</f>
        <v>1</v>
      </c>
      <c r="AF570" s="155">
        <f ca="1">IF(AND(Параметры!AF$36=1,AF565&gt;0),1,IF(AND(AE570=0,AF565&lt;&gt;0,SUM($D565:AE565)=0),Параметры!AF$36,IF(Параметры!AF$36=1,0,AE570)))</f>
        <v>1</v>
      </c>
      <c r="AG570" s="155">
        <f ca="1">IF(AND(Параметры!AG$36=1,AG565&gt;0),1,IF(AND(AF570=0,AG565&lt;&gt;0,SUM($D565:AF565)=0),Параметры!AG$36,IF(Параметры!AG$36=1,0,AF570)))</f>
        <v>1</v>
      </c>
      <c r="AH570" s="155">
        <f ca="1">IF(AND(Параметры!AH$36=1,AH565&gt;0),1,IF(AND(AG570=0,AH565&lt;&gt;0,SUM($D565:AG565)=0),Параметры!AH$36,IF(Параметры!AH$36=1,0,AG570)))</f>
        <v>1</v>
      </c>
      <c r="AI570" s="155">
        <f ca="1">IF(AND(Параметры!AI$36=1,AI565&gt;0),1,IF(AND(AH570=0,AI565&lt;&gt;0,SUM($D565:AH565)=0),Параметры!AI$36,IF(Параметры!AI$36=1,0,AH570)))</f>
        <v>1</v>
      </c>
      <c r="AJ570" s="155">
        <f ca="1">IF(AND(Параметры!AJ$36=1,AJ565&gt;0),1,IF(AND(AI570=0,AJ565&lt;&gt;0,SUM($D565:AI565)=0),Параметры!AJ$36,IF(Параметры!AJ$36=1,0,AI570)))</f>
        <v>1</v>
      </c>
      <c r="AK570" s="155">
        <f ca="1">IF(AND(Параметры!AK$36=1,AK565&gt;0),1,IF(AND(AJ570=0,AK565&lt;&gt;0,SUM($D565:AJ565)=0),Параметры!AK$36,IF(Параметры!AK$36=1,0,AJ570)))</f>
        <v>1</v>
      </c>
      <c r="AL570" s="155">
        <f ca="1">IF(AND(Параметры!AL$36=1,AL565&gt;0),1,IF(AND(AK570=0,AL565&lt;&gt;0,SUM($D565:AK565)=0),Параметры!AL$36,IF(Параметры!AL$36=1,0,AK570)))</f>
        <v>1</v>
      </c>
      <c r="AM570" s="155">
        <f ca="1">IF(AND(Параметры!AM$36=1,AM565&gt;0),1,IF(AND(AL570=0,AM565&lt;&gt;0,SUM($D565:AL565)=0),Параметры!AM$36,IF(Параметры!AM$36=1,0,AL570)))</f>
        <v>1</v>
      </c>
      <c r="AN570" s="155">
        <f ca="1">IF(AND(Параметры!AN$36=1,AN565&gt;0),1,IF(AND(AM570=0,AN565&lt;&gt;0,SUM($D565:AM565)=0),Параметры!AN$36,IF(Параметры!AN$36=1,0,AM570)))</f>
        <v>1</v>
      </c>
      <c r="AO570" s="155">
        <f ca="1">IF(AND(Параметры!AO$36=1,AO565&gt;0),1,IF(AND(AN570=0,AO565&lt;&gt;0,SUM($D565:AN565)=0),Параметры!AO$36,IF(Параметры!AO$36=1,0,AN570)))</f>
        <v>1</v>
      </c>
      <c r="AP570" s="155">
        <f ca="1">IF(AND(Параметры!AP$36=1,AP565&gt;0),1,IF(AND(AO570=0,AP565&lt;&gt;0,SUM($D565:AO565)=0),Параметры!AP$36,IF(Параметры!AP$36=1,0,AO570)))</f>
        <v>1</v>
      </c>
      <c r="AQ570" s="155">
        <f ca="1">IF(AND(Параметры!AQ$36=1,AQ565&gt;0),1,IF(AND(AP570=0,AQ565&lt;&gt;0,SUM($D565:AP565)=0),Параметры!AQ$36,IF(Параметры!AQ$36=1,0,AP570)))</f>
        <v>1</v>
      </c>
      <c r="AR570" s="155">
        <f ca="1">IF(AND(Параметры!AR$36=1,AR565&gt;0),1,IF(AND(AQ570=0,AR565&lt;&gt;0,SUM($D565:AQ565)=0),Параметры!AR$36,IF(Параметры!AR$36=1,0,AQ570)))</f>
        <v>1</v>
      </c>
      <c r="AS570" s="129"/>
      <c r="AT570" s="103"/>
    </row>
    <row r="571" spans="1:46" ht="11.25" customHeight="1" outlineLevel="1" x14ac:dyDescent="0.2">
      <c r="A571" s="101" t="s">
        <v>551</v>
      </c>
      <c r="B571" s="471">
        <f ca="1">MIN(E571:AR571)</f>
        <v>8</v>
      </c>
      <c r="C571" s="2" t="s">
        <v>3</v>
      </c>
      <c r="E571" s="155" t="str">
        <f ca="1">IF(SUM($E565:E565)=$B565,E$2,"")</f>
        <v/>
      </c>
      <c r="F571" s="155" t="str">
        <f ca="1">IF(SUM($E565:F565)=$B565,F$2,"")</f>
        <v/>
      </c>
      <c r="G571" s="155" t="str">
        <f ca="1">IF(SUM($E565:G565)=$B565,G$2,"")</f>
        <v/>
      </c>
      <c r="H571" s="155" t="str">
        <f ca="1">IF(SUM($E565:H565)=$B565,H$2,"")</f>
        <v/>
      </c>
      <c r="I571" s="155" t="str">
        <f ca="1">IF(SUM($E565:I565)=$B565,I$2,"")</f>
        <v/>
      </c>
      <c r="J571" s="155" t="str">
        <f ca="1">IF(SUM($E565:J565)=$B565,J$2,"")</f>
        <v/>
      </c>
      <c r="K571" s="155" t="str">
        <f ca="1">IF(SUM($E565:K565)=$B565,K$2,"")</f>
        <v/>
      </c>
      <c r="L571" s="155">
        <f ca="1">IF(SUM($E565:L565)=$B565,L$2,"")</f>
        <v>8</v>
      </c>
      <c r="M571" s="155">
        <f ca="1">IF(SUM($E565:M565)=$B565,M$2,"")</f>
        <v>9</v>
      </c>
      <c r="N571" s="155">
        <f ca="1">IF(SUM($E565:N565)=$B565,N$2,"")</f>
        <v>10</v>
      </c>
      <c r="O571" s="155">
        <f ca="1">IF(SUM($E565:O565)=$B565,O$2,"")</f>
        <v>11</v>
      </c>
      <c r="P571" s="155">
        <f ca="1">IF(SUM($E565:P565)=$B565,P$2,"")</f>
        <v>12</v>
      </c>
      <c r="Q571" s="155">
        <f ca="1">IF(SUM($E565:Q565)=$B565,Q$2,"")</f>
        <v>13</v>
      </c>
      <c r="R571" s="155">
        <f ca="1">IF(SUM($E565:R565)=$B565,R$2,"")</f>
        <v>14</v>
      </c>
      <c r="S571" s="155">
        <f ca="1">IF(SUM($E565:S565)=$B565,S$2,"")</f>
        <v>15</v>
      </c>
      <c r="T571" s="155">
        <f ca="1">IF(SUM($E565:T565)=$B565,T$2,"")</f>
        <v>16</v>
      </c>
      <c r="U571" s="155">
        <f ca="1">IF(SUM($E565:U565)=$B565,U$2,"")</f>
        <v>17</v>
      </c>
      <c r="V571" s="155">
        <f ca="1">IF(SUM($E565:V565)=$B565,V$2,"")</f>
        <v>18</v>
      </c>
      <c r="W571" s="155">
        <f ca="1">IF(SUM($E565:W565)=$B565,W$2,"")</f>
        <v>19</v>
      </c>
      <c r="X571" s="155">
        <f ca="1">IF(SUM($E565:X565)=$B565,X$2,"")</f>
        <v>20</v>
      </c>
      <c r="Y571" s="155">
        <f ca="1">IF(SUM($E565:Y565)=$B565,Y$2,"")</f>
        <v>21</v>
      </c>
      <c r="Z571" s="155">
        <f ca="1">IF(SUM($E565:Z565)=$B565,Z$2,"")</f>
        <v>22</v>
      </c>
      <c r="AA571" s="155">
        <f ca="1">IF(SUM($E565:AA565)=$B565,AA$2,"")</f>
        <v>23</v>
      </c>
      <c r="AB571" s="155">
        <f ca="1">IF(SUM($E565:AB565)=$B565,AB$2,"")</f>
        <v>24</v>
      </c>
      <c r="AC571" s="155">
        <f ca="1">IF(SUM($E565:AC565)=$B565,AC$2,"")</f>
        <v>25</v>
      </c>
      <c r="AD571" s="155">
        <f ca="1">IF(SUM($E565:AD565)=$B565,AD$2,"")</f>
        <v>26</v>
      </c>
      <c r="AE571" s="155">
        <f ca="1">IF(SUM($E565:AE565)=$B565,AE$2,"")</f>
        <v>27</v>
      </c>
      <c r="AF571" s="155">
        <f ca="1">IF(SUM($E565:AF565)=$B565,AF$2,"")</f>
        <v>28</v>
      </c>
      <c r="AG571" s="155">
        <f ca="1">IF(SUM($E565:AG565)=$B565,AG$2,"")</f>
        <v>29</v>
      </c>
      <c r="AH571" s="155">
        <f ca="1">IF(SUM($E565:AH565)=$B565,AH$2,"")</f>
        <v>30</v>
      </c>
      <c r="AI571" s="155">
        <f ca="1">IF(SUM($E565:AI565)=$B565,AI$2,"")</f>
        <v>31</v>
      </c>
      <c r="AJ571" s="155">
        <f ca="1">IF(SUM($E565:AJ565)=$B565,AJ$2,"")</f>
        <v>32</v>
      </c>
      <c r="AK571" s="155">
        <f ca="1">IF(SUM($E565:AK565)=$B565,AK$2,"")</f>
        <v>33</v>
      </c>
      <c r="AL571" s="155">
        <f ca="1">IF(SUM($E565:AL565)=$B565,AL$2,"")</f>
        <v>34</v>
      </c>
      <c r="AM571" s="155">
        <f ca="1">IF(SUM($E565:AM565)=$B565,AM$2,"")</f>
        <v>35</v>
      </c>
      <c r="AN571" s="155">
        <f ca="1">IF(SUM($E565:AN565)=$B565,AN$2,"")</f>
        <v>36</v>
      </c>
      <c r="AO571" s="155">
        <f ca="1">IF(SUM($E565:AO565)=$B565,AO$2,"")</f>
        <v>37</v>
      </c>
      <c r="AP571" s="155">
        <f ca="1">IF(SUM($E565:AP565)=$B565,AP$2,"")</f>
        <v>38</v>
      </c>
      <c r="AQ571" s="155">
        <f ca="1">IF(SUM($E565:AQ565)=$B565,AQ$2,"")</f>
        <v>39</v>
      </c>
      <c r="AR571" s="155">
        <f ca="1">IF(SUM($E565:AR565)=$B565,AR$2,"")</f>
        <v>40</v>
      </c>
      <c r="AS571" s="129"/>
      <c r="AT571" s="103"/>
    </row>
    <row r="572" spans="1:46" ht="11.25" customHeight="1" x14ac:dyDescent="0.2">
      <c r="A572" s="354" t="s">
        <v>995</v>
      </c>
      <c r="B572" s="225" t="s">
        <v>390</v>
      </c>
      <c r="C572" s="287">
        <v>1</v>
      </c>
      <c r="D572" s="65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  <c r="AA572" s="64"/>
      <c r="AB572" s="64"/>
      <c r="AC572" s="64"/>
      <c r="AD572" s="64"/>
      <c r="AE572" s="64"/>
      <c r="AF572" s="64"/>
      <c r="AG572" s="64"/>
      <c r="AH572" s="64"/>
      <c r="AI572" s="64"/>
      <c r="AJ572" s="64"/>
      <c r="AK572" s="64"/>
      <c r="AL572" s="64"/>
      <c r="AM572" s="64"/>
      <c r="AN572" s="64"/>
      <c r="AO572" s="64"/>
      <c r="AP572" s="64"/>
      <c r="AQ572" s="64"/>
      <c r="AR572" s="64"/>
      <c r="AS572" s="41"/>
      <c r="AT572" s="92"/>
    </row>
    <row r="573" spans="1:46" ht="11.25" customHeight="1" x14ac:dyDescent="0.2">
      <c r="A573" s="93" t="s">
        <v>88</v>
      </c>
      <c r="B573" s="351">
        <f>ИД!C224</f>
        <v>0.09</v>
      </c>
      <c r="C573" s="9" t="s">
        <v>14</v>
      </c>
      <c r="E573" s="352">
        <f ca="1">IF(E$2&lt;$B584+20,$B573,ИД!$E$224)</f>
        <v>0.09</v>
      </c>
      <c r="F573" s="352">
        <f ca="1">IF(F$2&lt;$B584+20,$B573,ИД!$E$224)</f>
        <v>0.09</v>
      </c>
      <c r="G573" s="352">
        <f ca="1">IF(G$2&lt;$B584+20,$B573,ИД!$E$224)</f>
        <v>0.09</v>
      </c>
      <c r="H573" s="352">
        <f ca="1">IF(H$2&lt;$B584+20,$B573,ИД!$E$224)</f>
        <v>0.09</v>
      </c>
      <c r="I573" s="352">
        <f ca="1">IF(I$2&lt;$B584+20,$B573,ИД!$E$224)</f>
        <v>0.09</v>
      </c>
      <c r="J573" s="352">
        <f ca="1">IF(J$2&lt;$B584+20,$B573,ИД!$E$224)</f>
        <v>0.09</v>
      </c>
      <c r="K573" s="352">
        <f ca="1">IF(K$2&lt;$B584+20,$B573,ИД!$E$224)</f>
        <v>0.09</v>
      </c>
      <c r="L573" s="352">
        <f ca="1">IF(L$2&lt;$B584+20,$B573,ИД!$E$224)</f>
        <v>0.09</v>
      </c>
      <c r="M573" s="352">
        <f ca="1">IF(M$2&lt;$B584+20,$B573,ИД!$E$224)</f>
        <v>0.09</v>
      </c>
      <c r="N573" s="352">
        <f ca="1">IF(N$2&lt;$B584+20,$B573,ИД!$E$224)</f>
        <v>0.09</v>
      </c>
      <c r="O573" s="352">
        <f ca="1">IF(O$2&lt;$B584+20,$B573,ИД!$E$224)</f>
        <v>0.09</v>
      </c>
      <c r="P573" s="352">
        <f ca="1">IF(P$2&lt;$B584+20,$B573,ИД!$E$224)</f>
        <v>0.09</v>
      </c>
      <c r="Q573" s="352">
        <f ca="1">IF(Q$2&lt;$B584+20,$B573,ИД!$E$224)</f>
        <v>0.09</v>
      </c>
      <c r="R573" s="352">
        <f ca="1">IF(R$2&lt;$B584+20,$B573,ИД!$E$224)</f>
        <v>0.09</v>
      </c>
      <c r="S573" s="352">
        <f ca="1">IF(S$2&lt;$B584+20,$B573,ИД!$E$224)</f>
        <v>0.09</v>
      </c>
      <c r="T573" s="352">
        <f ca="1">IF(T$2&lt;$B584+20,$B573,ИД!$E$224)</f>
        <v>0.09</v>
      </c>
      <c r="U573" s="352">
        <f ca="1">IF(U$2&lt;$B584+20,$B573,ИД!$E$224)</f>
        <v>0.09</v>
      </c>
      <c r="V573" s="352">
        <f ca="1">IF(V$2&lt;$B584+20,$B573,ИД!$E$224)</f>
        <v>0.09</v>
      </c>
      <c r="W573" s="352">
        <f ca="1">IF(W$2&lt;$B584+20,$B573,ИД!$E$224)</f>
        <v>0.09</v>
      </c>
      <c r="X573" s="352">
        <f ca="1">IF(X$2&lt;$B584+20,$B573,ИД!$E$224)</f>
        <v>0.09</v>
      </c>
      <c r="Y573" s="352">
        <f ca="1">IF(Y$2&lt;$B584+20,$B573,ИД!$E$224)</f>
        <v>0.09</v>
      </c>
      <c r="Z573" s="352">
        <f ca="1">IF(Z$2&lt;$B584+20,$B573,ИД!$E$224)</f>
        <v>0.09</v>
      </c>
      <c r="AA573" s="352">
        <f ca="1">IF(AA$2&lt;$B584+20,$B573,ИД!$E$224)</f>
        <v>0.09</v>
      </c>
      <c r="AB573" s="352">
        <f ca="1">IF(AB$2&lt;$B584+20,$B573,ИД!$E$224)</f>
        <v>0.09</v>
      </c>
      <c r="AC573" s="352">
        <f ca="1">IF(AC$2&lt;$B584+20,$B573,ИД!$E$224)</f>
        <v>0.08</v>
      </c>
      <c r="AD573" s="352">
        <f ca="1">IF(AD$2&lt;$B584+20,$B573,ИД!$E$224)</f>
        <v>0.08</v>
      </c>
      <c r="AE573" s="352">
        <f ca="1">IF(AE$2&lt;$B584+20,$B573,ИД!$E$224)</f>
        <v>0.08</v>
      </c>
      <c r="AF573" s="352">
        <f ca="1">IF(AF$2&lt;$B584+20,$B573,ИД!$E$224)</f>
        <v>0.08</v>
      </c>
      <c r="AG573" s="352">
        <f ca="1">IF(AG$2&lt;$B584+20,$B573,ИД!$E$224)</f>
        <v>0.08</v>
      </c>
      <c r="AH573" s="352">
        <f ca="1">IF(AH$2&lt;$B584+20,$B573,ИД!$E$224)</f>
        <v>0.08</v>
      </c>
      <c r="AI573" s="352">
        <f ca="1">IF(AI$2&lt;$B584+20,$B573,ИД!$E$224)</f>
        <v>0.08</v>
      </c>
      <c r="AJ573" s="352">
        <f ca="1">IF(AJ$2&lt;$B584+20,$B573,ИД!$E$224)</f>
        <v>0.08</v>
      </c>
      <c r="AK573" s="352">
        <f ca="1">IF(AK$2&lt;$B584+20,$B573,ИД!$E$224)</f>
        <v>0.08</v>
      </c>
      <c r="AL573" s="352">
        <f ca="1">IF(AL$2&lt;$B584+20,$B573,ИД!$E$224)</f>
        <v>0.08</v>
      </c>
      <c r="AM573" s="352">
        <f ca="1">IF(AM$2&lt;$B584+20,$B573,ИД!$E$224)</f>
        <v>0.08</v>
      </c>
      <c r="AN573" s="352">
        <f ca="1">IF(AN$2&lt;$B584+20,$B573,ИД!$E$224)</f>
        <v>0.08</v>
      </c>
      <c r="AO573" s="352">
        <f ca="1">IF(AO$2&lt;$B584+20,$B573,ИД!$E$224)</f>
        <v>0.08</v>
      </c>
      <c r="AP573" s="352">
        <f ca="1">IF(AP$2&lt;$B584+20,$B573,ИД!$E$224)</f>
        <v>0.08</v>
      </c>
      <c r="AQ573" s="352">
        <f ca="1">IF(AQ$2&lt;$B584+20,$B573,ИД!$E$224)</f>
        <v>0.08</v>
      </c>
      <c r="AR573" s="352">
        <f ca="1">IF(AR$2&lt;$B584+20,$B573,ИД!$E$224)</f>
        <v>0.08</v>
      </c>
      <c r="AS573" s="95"/>
      <c r="AT573" s="96"/>
    </row>
    <row r="574" spans="1:46" ht="11.25" customHeight="1" x14ac:dyDescent="0.2">
      <c r="A574" s="429" t="s">
        <v>89</v>
      </c>
      <c r="B574" s="430">
        <v>0</v>
      </c>
      <c r="C574" s="431" t="str">
        <f>Параметры!$C$24</f>
        <v>кв.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96"/>
    </row>
    <row r="575" spans="1:46" ht="11.25" customHeight="1" x14ac:dyDescent="0.2">
      <c r="A575" s="429" t="s">
        <v>521</v>
      </c>
      <c r="B575" s="432">
        <f>ИД!C225*4</f>
        <v>32</v>
      </c>
      <c r="C575" s="431" t="str">
        <f>Параметры!$C$24</f>
        <v>кв.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96"/>
    </row>
    <row r="576" spans="1:46" ht="11.25" customHeight="1" x14ac:dyDescent="0.2">
      <c r="A576" s="429" t="s">
        <v>522</v>
      </c>
      <c r="B576" s="415">
        <f>ИД!C227*4</f>
        <v>4</v>
      </c>
      <c r="C576" s="431" t="str">
        <f>Параметры!$C$24</f>
        <v>кв.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96"/>
    </row>
    <row r="577" spans="1:46" ht="11.25" customHeight="1" x14ac:dyDescent="0.2">
      <c r="A577" s="429" t="s">
        <v>1015</v>
      </c>
      <c r="B577" s="347">
        <f>ИД!C228</f>
        <v>0</v>
      </c>
      <c r="C577" s="43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96"/>
    </row>
    <row r="578" spans="1:46" ht="22.5" x14ac:dyDescent="0.2">
      <c r="A578" s="389" t="s">
        <v>475</v>
      </c>
      <c r="B578" s="347">
        <v>1</v>
      </c>
      <c r="C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96"/>
    </row>
    <row r="579" spans="1:46" ht="11.25" customHeight="1" x14ac:dyDescent="0.2">
      <c r="A579" s="93" t="s">
        <v>90</v>
      </c>
      <c r="B579" s="215">
        <f ca="1">AT579</f>
        <v>28513.79500368984</v>
      </c>
      <c r="C579" s="3" t="str">
        <f>CHOOSE(C572,Параметры!$B$64,Параметры!$B$108,Параметры!$B$117)</f>
        <v>тыс. руб.</v>
      </c>
      <c r="E579" s="346">
        <f>E454*1.2*ИД!$C$223</f>
        <v>0</v>
      </c>
      <c r="F579" s="346">
        <f ca="1">F454*1.2*ИД!$C$223</f>
        <v>0</v>
      </c>
      <c r="G579" s="346">
        <f ca="1">G454*1.2*ИД!$C$223</f>
        <v>0</v>
      </c>
      <c r="H579" s="346">
        <f ca="1">H454*1.2*ИД!$C$223</f>
        <v>0</v>
      </c>
      <c r="I579" s="346">
        <f ca="1">I454*1.2*ИД!$C$223</f>
        <v>4200</v>
      </c>
      <c r="J579" s="346">
        <f ca="1">J454*1.2*ИД!$C$223</f>
        <v>9923.2695970162113</v>
      </c>
      <c r="K579" s="346">
        <f ca="1">K454*1.2*ИД!$C$223</f>
        <v>11483.531136450874</v>
      </c>
      <c r="L579" s="346">
        <f ca="1">L454*1.2*ИД!$C$223</f>
        <v>2906.9942702227549</v>
      </c>
      <c r="M579" s="346">
        <f ca="1">M454*1.2*ИД!$C$223</f>
        <v>0</v>
      </c>
      <c r="N579" s="346">
        <f ca="1">N454*1.2*ИД!$C$223</f>
        <v>0</v>
      </c>
      <c r="O579" s="346">
        <f ca="1">O454*1.2*ИД!$C$223</f>
        <v>0</v>
      </c>
      <c r="P579" s="346">
        <f ca="1">P454*1.2*ИД!$C$223</f>
        <v>0</v>
      </c>
      <c r="Q579" s="346">
        <f ca="1">Q454*1.2*ИД!$C$223</f>
        <v>0</v>
      </c>
      <c r="R579" s="346">
        <f ca="1">R454*1.2*ИД!$C$223</f>
        <v>0</v>
      </c>
      <c r="S579" s="346">
        <f ca="1">S454*1.2*ИД!$C$223</f>
        <v>0</v>
      </c>
      <c r="T579" s="346">
        <f ca="1">T454*1.2*ИД!$C$223</f>
        <v>0</v>
      </c>
      <c r="U579" s="346">
        <f ca="1">U454*1.2*ИД!$C$223</f>
        <v>0</v>
      </c>
      <c r="V579" s="346">
        <f ca="1">V454*1.2*ИД!$C$223</f>
        <v>0</v>
      </c>
      <c r="W579" s="346">
        <f ca="1">W454*1.2*ИД!$C$223</f>
        <v>0</v>
      </c>
      <c r="X579" s="346">
        <f ca="1">X454*1.2*ИД!$C$223</f>
        <v>0</v>
      </c>
      <c r="Y579" s="346">
        <f ca="1">Y454*1.2*ИД!$C$223</f>
        <v>0</v>
      </c>
      <c r="Z579" s="346">
        <f ca="1">Z454*1.2*ИД!$C$223</f>
        <v>0</v>
      </c>
      <c r="AA579" s="346">
        <f ca="1">AA454*1.2*ИД!$C$223</f>
        <v>0</v>
      </c>
      <c r="AB579" s="346">
        <f ca="1">AB454*1.2*ИД!$C$223</f>
        <v>0</v>
      </c>
      <c r="AC579" s="346">
        <f ca="1">AC454*1.2*ИД!$C$223</f>
        <v>0</v>
      </c>
      <c r="AD579" s="346">
        <f ca="1">AD454*1.2*ИД!$C$223</f>
        <v>0</v>
      </c>
      <c r="AE579" s="346">
        <f ca="1">AE454*1.2*ИД!$C$223</f>
        <v>0</v>
      </c>
      <c r="AF579" s="346">
        <f ca="1">AF454*1.2*ИД!$C$223</f>
        <v>0</v>
      </c>
      <c r="AG579" s="346">
        <f ca="1">AG454*1.2*ИД!$C$223</f>
        <v>0</v>
      </c>
      <c r="AH579" s="346">
        <f ca="1">AH454*1.2*ИД!$C$223</f>
        <v>0</v>
      </c>
      <c r="AI579" s="346">
        <f ca="1">AI454*1.2*ИД!$C$223</f>
        <v>0</v>
      </c>
      <c r="AJ579" s="346">
        <f ca="1">AJ454*1.2*ИД!$C$223</f>
        <v>0</v>
      </c>
      <c r="AK579" s="346">
        <f ca="1">AK454*1.2*ИД!$C$223</f>
        <v>0</v>
      </c>
      <c r="AL579" s="346">
        <f ca="1">AL454*1.2*ИД!$C$223</f>
        <v>0</v>
      </c>
      <c r="AM579" s="346">
        <f ca="1">AM454*1.2*ИД!$C$223</f>
        <v>0</v>
      </c>
      <c r="AN579" s="346">
        <f ca="1">AN454*1.2*ИД!$C$223</f>
        <v>0</v>
      </c>
      <c r="AO579" s="346">
        <f ca="1">AO454*1.2*ИД!$C$223</f>
        <v>0</v>
      </c>
      <c r="AP579" s="346">
        <f ca="1">AP454*1.2*ИД!$C$223</f>
        <v>0</v>
      </c>
      <c r="AQ579" s="346">
        <f ca="1">AQ454*1.2*ИД!$C$223</f>
        <v>0</v>
      </c>
      <c r="AR579" s="346">
        <f ca="1">AR454*1.2*ИД!$C$223</f>
        <v>0</v>
      </c>
      <c r="AS579" s="94"/>
      <c r="AT579" s="84">
        <f ca="1">SUM(E579:AS579)</f>
        <v>28513.79500368984</v>
      </c>
    </row>
    <row r="580" spans="1:46" ht="11.25" customHeight="1" x14ac:dyDescent="0.2">
      <c r="A580" s="93" t="s">
        <v>91</v>
      </c>
      <c r="B580" s="215">
        <f ca="1">AT580</f>
        <v>28513.795003689836</v>
      </c>
      <c r="C580" s="3" t="str">
        <f>CHOOSE(C572,Параметры!$B$64,Параметры!$B$108,Параметры!$B$117)</f>
        <v>тыс. руб.</v>
      </c>
      <c r="E580" s="346">
        <f ca="1">IF(E$2&gt;=$B584+$B576,IF($B577,MIN($B579/($B575-($B576)),D581),IFERROR(-PPMT($B573/4,E$2-$B576-$B584+1,$B575-$B576,$B579,0),0)),0)</f>
        <v>0</v>
      </c>
      <c r="F580" s="346">
        <f t="shared" ref="F580:AR580" ca="1" si="314">IF(F$2&gt;=$B584+$B576,IF($B577,MIN($B579/($B575-($B576)),E581),IFERROR(-PPMT($B573/4,F$2-$B576-$B584+1,$B575-$B576,$B579,0),0)),0)</f>
        <v>0</v>
      </c>
      <c r="G580" s="346">
        <f t="shared" ca="1" si="314"/>
        <v>0</v>
      </c>
      <c r="H580" s="346">
        <f t="shared" ca="1" si="314"/>
        <v>0</v>
      </c>
      <c r="I580" s="346">
        <f t="shared" ca="1" si="314"/>
        <v>0</v>
      </c>
      <c r="J580" s="346">
        <f t="shared" ca="1" si="314"/>
        <v>0</v>
      </c>
      <c r="K580" s="346">
        <f t="shared" ca="1" si="314"/>
        <v>0</v>
      </c>
      <c r="L580" s="346">
        <f t="shared" ca="1" si="314"/>
        <v>0</v>
      </c>
      <c r="M580" s="346">
        <f t="shared" ca="1" si="314"/>
        <v>742.07865982018461</v>
      </c>
      <c r="N580" s="346">
        <f t="shared" ca="1" si="314"/>
        <v>758.77542966613885</v>
      </c>
      <c r="O580" s="346">
        <f t="shared" ca="1" si="314"/>
        <v>775.84787683362697</v>
      </c>
      <c r="P580" s="346">
        <f t="shared" ca="1" si="314"/>
        <v>793.30445406238346</v>
      </c>
      <c r="Q580" s="346">
        <f t="shared" ca="1" si="314"/>
        <v>811.15380427878711</v>
      </c>
      <c r="R580" s="346">
        <f t="shared" ca="1" si="314"/>
        <v>829.40476487505987</v>
      </c>
      <c r="S580" s="346">
        <f t="shared" ca="1" si="314"/>
        <v>848.06637208474876</v>
      </c>
      <c r="T580" s="346">
        <f t="shared" ca="1" si="314"/>
        <v>867.1478654566555</v>
      </c>
      <c r="U580" s="346">
        <f t="shared" ca="1" si="314"/>
        <v>886.6586924294304</v>
      </c>
      <c r="V580" s="346">
        <f t="shared" ca="1" si="314"/>
        <v>906.60851300909246</v>
      </c>
      <c r="W580" s="346">
        <f t="shared" ca="1" si="314"/>
        <v>927.00720455179703</v>
      </c>
      <c r="X580" s="346">
        <f t="shared" ca="1" si="314"/>
        <v>947.86486665421251</v>
      </c>
      <c r="Y580" s="346">
        <f t="shared" ca="1" si="314"/>
        <v>969.19182615393231</v>
      </c>
      <c r="Z580" s="346">
        <f t="shared" ca="1" si="314"/>
        <v>990.9986422423957</v>
      </c>
      <c r="AA580" s="346">
        <f t="shared" ca="1" si="314"/>
        <v>1013.2961116928496</v>
      </c>
      <c r="AB580" s="346">
        <f t="shared" ca="1" si="314"/>
        <v>1036.0952742059387</v>
      </c>
      <c r="AC580" s="346">
        <f t="shared" ca="1" si="314"/>
        <v>1059.4074178755725</v>
      </c>
      <c r="AD580" s="346">
        <f t="shared" ca="1" si="314"/>
        <v>1083.2440847777727</v>
      </c>
      <c r="AE580" s="346">
        <f t="shared" ca="1" si="314"/>
        <v>1107.6170766852727</v>
      </c>
      <c r="AF580" s="346">
        <f t="shared" ca="1" si="314"/>
        <v>1132.5384609106914</v>
      </c>
      <c r="AG580" s="346">
        <f t="shared" ca="1" si="314"/>
        <v>1158.0205762811818</v>
      </c>
      <c r="AH580" s="346">
        <f t="shared" ca="1" si="314"/>
        <v>1184.0760392475083</v>
      </c>
      <c r="AI580" s="346">
        <f t="shared" ca="1" si="314"/>
        <v>1210.7177501305773</v>
      </c>
      <c r="AJ580" s="346">
        <f t="shared" ca="1" si="314"/>
        <v>1237.9588995085153</v>
      </c>
      <c r="AK580" s="346">
        <f t="shared" ca="1" si="314"/>
        <v>1265.812974747457</v>
      </c>
      <c r="AL580" s="346">
        <f t="shared" ca="1" si="314"/>
        <v>1294.2937666792748</v>
      </c>
      <c r="AM580" s="346">
        <f t="shared" ca="1" si="314"/>
        <v>1323.4153764295584</v>
      </c>
      <c r="AN580" s="346">
        <f t="shared" ca="1" si="314"/>
        <v>1353.1922223992233</v>
      </c>
      <c r="AO580" s="346">
        <f t="shared" ca="1" si="314"/>
        <v>0</v>
      </c>
      <c r="AP580" s="346">
        <f t="shared" ca="1" si="314"/>
        <v>0</v>
      </c>
      <c r="AQ580" s="346">
        <f t="shared" ca="1" si="314"/>
        <v>0</v>
      </c>
      <c r="AR580" s="346">
        <f t="shared" ca="1" si="314"/>
        <v>0</v>
      </c>
      <c r="AS580" s="94"/>
      <c r="AT580" s="84">
        <f ca="1">SUM(E580:AS580)</f>
        <v>28513.795003689836</v>
      </c>
    </row>
    <row r="581" spans="1:46" ht="11.25" customHeight="1" x14ac:dyDescent="0.2">
      <c r="A581" s="97" t="s">
        <v>94</v>
      </c>
      <c r="B581" s="11"/>
      <c r="C581" s="3" t="str">
        <f>CHOOSE(C572,Параметры!$B$64,Параметры!$B$108,Параметры!$B$117)</f>
        <v>тыс. руб.</v>
      </c>
      <c r="E581" s="98">
        <f ca="1">SUM($E582:E582)-SUM($E583:E583)+SUM($E579:E579)-SUM($E580:E580)</f>
        <v>0</v>
      </c>
      <c r="F581" s="98">
        <f ca="1">SUM($E582:F582)-SUM($E583:F583)+SUM($E579:F579)-SUM($E580:F580)</f>
        <v>0</v>
      </c>
      <c r="G581" s="98">
        <f ca="1">SUM($E582:G582)-SUM($E583:G583)+SUM($E579:G579)-SUM($E580:G580)</f>
        <v>0</v>
      </c>
      <c r="H581" s="98">
        <f ca="1">SUM($E582:H582)-SUM($E583:H583)+SUM($E579:H579)-SUM($E580:H580)</f>
        <v>0</v>
      </c>
      <c r="I581" s="98">
        <f ca="1">SUM($E582:I582)-SUM($E583:I583)+SUM($E579:I579)-SUM($E580:I580)</f>
        <v>4200</v>
      </c>
      <c r="J581" s="98">
        <f ca="1">SUM($E582:J582)-SUM($E583:J583)+SUM($E579:J579)-SUM($E580:J580)</f>
        <v>14123.269597016211</v>
      </c>
      <c r="K581" s="98">
        <f ca="1">SUM($E582:K582)-SUM($E583:K583)+SUM($E579:K579)-SUM($E580:K580)</f>
        <v>25606.800733467084</v>
      </c>
      <c r="L581" s="98">
        <f ca="1">SUM($E582:L582)-SUM($E583:L583)+SUM($E579:L579)-SUM($E580:L580)</f>
        <v>28513.79500368984</v>
      </c>
      <c r="M581" s="98">
        <f ca="1">SUM($E582:M582)-SUM($E583:M583)+SUM($E579:M579)-SUM($E580:M580)</f>
        <v>27771.716343869655</v>
      </c>
      <c r="N581" s="98">
        <f ca="1">SUM($E582:N582)-SUM($E583:N583)+SUM($E579:N579)-SUM($E580:N580)</f>
        <v>27012.940914203515</v>
      </c>
      <c r="O581" s="98">
        <f ca="1">SUM($E582:O582)-SUM($E583:O583)+SUM($E579:O579)-SUM($E580:O580)</f>
        <v>26237.09303736989</v>
      </c>
      <c r="P581" s="98">
        <f ca="1">SUM($E582:P582)-SUM($E583:P583)+SUM($E579:P579)-SUM($E580:P580)</f>
        <v>25443.788583307505</v>
      </c>
      <c r="Q581" s="98">
        <f ca="1">SUM($E582:Q582)-SUM($E583:Q583)+SUM($E579:Q579)-SUM($E580:Q580)</f>
        <v>24632.634779028718</v>
      </c>
      <c r="R581" s="98">
        <f ca="1">SUM($E582:R582)-SUM($E583:R583)+SUM($E579:R579)-SUM($E580:R580)</f>
        <v>23803.230014153658</v>
      </c>
      <c r="S581" s="98">
        <f ca="1">SUM($E582:S582)-SUM($E583:S583)+SUM($E579:S579)-SUM($E580:S580)</f>
        <v>22955.16364206891</v>
      </c>
      <c r="T581" s="98">
        <f ca="1">SUM($E582:T582)-SUM($E583:T583)+SUM($E579:T579)-SUM($E580:T580)</f>
        <v>22088.015776612254</v>
      </c>
      <c r="U581" s="98">
        <f ca="1">SUM($E582:U582)-SUM($E583:U583)+SUM($E579:U579)-SUM($E580:U580)</f>
        <v>21201.357084182826</v>
      </c>
      <c r="V581" s="98">
        <f ca="1">SUM($E582:V582)-SUM($E583:V583)+SUM($E579:V579)-SUM($E580:V580)</f>
        <v>20294.748571173732</v>
      </c>
      <c r="W581" s="98">
        <f ca="1">SUM($E582:W582)-SUM($E583:W583)+SUM($E579:W579)-SUM($E580:W580)</f>
        <v>19367.741366621936</v>
      </c>
      <c r="X581" s="98">
        <f ca="1">SUM($E582:X582)-SUM($E583:X583)+SUM($E579:X579)-SUM($E580:X580)</f>
        <v>18419.876499967722</v>
      </c>
      <c r="Y581" s="98">
        <f ca="1">SUM($E582:Y582)-SUM($E583:Y583)+SUM($E579:Y579)-SUM($E580:Y580)</f>
        <v>17450.68467381379</v>
      </c>
      <c r="Z581" s="98">
        <f ca="1">SUM($E582:Z582)-SUM($E583:Z583)+SUM($E579:Z579)-SUM($E580:Z580)</f>
        <v>16459.686031571393</v>
      </c>
      <c r="AA581" s="98">
        <f ca="1">SUM($E582:AA582)-SUM($E583:AA583)+SUM($E579:AA579)-SUM($E580:AA580)</f>
        <v>15446.389919878546</v>
      </c>
      <c r="AB581" s="98">
        <f ca="1">SUM($E582:AB582)-SUM($E583:AB583)+SUM($E579:AB579)-SUM($E580:AB580)</f>
        <v>14410.294645672608</v>
      </c>
      <c r="AC581" s="98">
        <f ca="1">SUM($E582:AC582)-SUM($E583:AC583)+SUM($E579:AC579)-SUM($E580:AC580)</f>
        <v>13350.887227797035</v>
      </c>
      <c r="AD581" s="98">
        <f ca="1">SUM($E582:AD582)-SUM($E583:AD583)+SUM($E579:AD579)-SUM($E580:AD580)</f>
        <v>12267.643143019262</v>
      </c>
      <c r="AE581" s="98">
        <f ca="1">SUM($E582:AE582)-SUM($E583:AE583)+SUM($E579:AE579)-SUM($E580:AE580)</f>
        <v>11160.02606633399</v>
      </c>
      <c r="AF581" s="98">
        <f ca="1">SUM($E582:AF582)-SUM($E583:AF583)+SUM($E579:AF579)-SUM($E580:AF580)</f>
        <v>10027.487605423299</v>
      </c>
      <c r="AG581" s="98">
        <f ca="1">SUM($E582:AG582)-SUM($E583:AG583)+SUM($E579:AG579)-SUM($E580:AG580)</f>
        <v>8869.4670291421171</v>
      </c>
      <c r="AH581" s="98">
        <f ca="1">SUM($E582:AH582)-SUM($E583:AH583)+SUM($E579:AH579)-SUM($E580:AH580)</f>
        <v>7685.3909898946076</v>
      </c>
      <c r="AI581" s="98">
        <f ca="1">SUM($E582:AI582)-SUM($E583:AI583)+SUM($E579:AI579)-SUM($E580:AI580)</f>
        <v>6474.6732397640299</v>
      </c>
      <c r="AJ581" s="98">
        <f ca="1">SUM($E582:AJ582)-SUM($E583:AJ583)+SUM($E579:AJ579)-SUM($E580:AJ580)</f>
        <v>5236.7143402555157</v>
      </c>
      <c r="AK581" s="98">
        <f ca="1">SUM($E582:AK582)-SUM($E583:AK583)+SUM($E579:AK579)-SUM($E580:AK580)</f>
        <v>3970.9013655080598</v>
      </c>
      <c r="AL581" s="98">
        <f ca="1">SUM($E582:AL582)-SUM($E583:AL583)+SUM($E579:AL579)-SUM($E580:AL580)</f>
        <v>2676.6075988287848</v>
      </c>
      <c r="AM581" s="98">
        <f ca="1">SUM($E582:AM582)-SUM($E583:AM583)+SUM($E579:AM579)-SUM($E580:AM580)</f>
        <v>1353.192222399226</v>
      </c>
      <c r="AN581" s="98">
        <f ca="1">SUM($E582:AN582)-SUM($E583:AN583)+SUM($E579:AN579)-SUM($E580:AN580)</f>
        <v>0</v>
      </c>
      <c r="AO581" s="98">
        <f ca="1">SUM($E582:AO582)-SUM($E583:AO583)+SUM($E579:AO579)-SUM($E580:AO580)</f>
        <v>0</v>
      </c>
      <c r="AP581" s="98">
        <f ca="1">SUM($E582:AP582)-SUM($E583:AP583)+SUM($E579:AP579)-SUM($E580:AP580)</f>
        <v>0</v>
      </c>
      <c r="AQ581" s="98">
        <f ca="1">SUM($E582:AQ582)-SUM($E583:AQ583)+SUM($E579:AQ579)-SUM($E580:AQ580)</f>
        <v>0</v>
      </c>
      <c r="AR581" s="98">
        <f ca="1">SUM($E582:AR582)-SUM($E583:AR583)+SUM($E579:AR579)-SUM($E580:AR580)</f>
        <v>0</v>
      </c>
      <c r="AS581" s="99"/>
      <c r="AT581" s="100"/>
    </row>
    <row r="582" spans="1:46" ht="11.25" customHeight="1" x14ac:dyDescent="0.2">
      <c r="A582" s="97" t="s">
        <v>92</v>
      </c>
      <c r="B582" s="215">
        <f ca="1">AT582</f>
        <v>11008.842428964886</v>
      </c>
      <c r="C582" s="3" t="str">
        <f>CHOOSE(C572,Параметры!$B$64,Параметры!$B$108,Параметры!$B$117)</f>
        <v>тыс. руб.</v>
      </c>
      <c r="E582" s="98">
        <f ca="1">MAX((SUM($E579:E579)-SUM($E580:E580)+IF(AND($B578=1,Параметры!E$36&gt;1),SUM($D582:D582)-SUM($D583:D583),0)),0)*E573/12*Параметры!E$40</f>
        <v>0</v>
      </c>
      <c r="F582" s="98">
        <f ca="1">MAX((SUM($E579:F579)-SUM($E580:F580)+IF(AND($B578=1,Параметры!F$36&gt;1),SUM($D582:E582)-SUM($D583:E583),0)),0)*F573/12*Параметры!F$40</f>
        <v>0</v>
      </c>
      <c r="G582" s="98">
        <f ca="1">MAX((SUM($E579:G579)-SUM($E580:G580)+IF(AND($B578=1,Параметры!G$36&gt;1),SUM($D582:F582)-SUM($D583:F583),0)),0)*G573/12*Параметры!G$40</f>
        <v>0</v>
      </c>
      <c r="H582" s="98">
        <f ca="1">MAX((SUM($E579:H579)-SUM($E580:H580)+IF(AND($B578=1,Параметры!H$36&gt;1),SUM($D582:G582)-SUM($D583:G583),0)),0)*H573/12*Параметры!H$40</f>
        <v>0</v>
      </c>
      <c r="I582" s="98">
        <f ca="1">MAX((SUM($E579:I579)-SUM($E580:I580)+IF(AND($B578=1,Параметры!I$36&gt;1),SUM($D582:H582)-SUM($D583:H583),0)),0)*I573/12*Параметры!I$40</f>
        <v>94.5</v>
      </c>
      <c r="J582" s="98">
        <f ca="1">MAX((SUM($E579:J579)-SUM($E580:J580)+IF(AND($B578=1,Параметры!J$36&gt;1),SUM($D582:I582)-SUM($D583:I583),0)),0)*J573/12*Параметры!J$40</f>
        <v>317.77356593286476</v>
      </c>
      <c r="K582" s="98">
        <f ca="1">MAX((SUM($E579:K579)-SUM($E580:K580)+IF(AND($B578=1,Параметры!K$36&gt;1),SUM($D582:J582)-SUM($D583:J583),0)),0)*K573/12*Параметры!K$40</f>
        <v>576.15301650300933</v>
      </c>
      <c r="L582" s="98">
        <f ca="1">MAX((SUM($E579:L579)-SUM($E580:L580)+IF(AND($B578=1,Параметры!L$36&gt;1),SUM($D582:K582)-SUM($D583:K583),0)),0)*L573/12*Параметры!L$40</f>
        <v>641.56038758302134</v>
      </c>
      <c r="M582" s="98">
        <f ca="1">MAX((SUM($E579:M579)-SUM($E580:M580)+IF(AND($B578=1,Параметры!M$36&gt;1),SUM($D582:L582)-SUM($D583:L583),0)),0)*M573/12*Параметры!M$40</f>
        <v>624.86361773706722</v>
      </c>
      <c r="N582" s="98">
        <f ca="1">MAX((SUM($E579:N579)-SUM($E580:N580)+IF(AND($B578=1,Параметры!N$36&gt;1),SUM($D582:M582)-SUM($D583:M583),0)),0)*N573/12*Параметры!N$40</f>
        <v>607.79117056957909</v>
      </c>
      <c r="O582" s="98">
        <f ca="1">MAX((SUM($E579:O579)-SUM($E580:O580)+IF(AND($B578=1,Параметры!O$36&gt;1),SUM($D582:N582)-SUM($D583:N583),0)),0)*O573/12*Параметры!O$40</f>
        <v>590.33459334082249</v>
      </c>
      <c r="P582" s="98">
        <f ca="1">MAX((SUM($E579:P579)-SUM($E580:P580)+IF(AND($B578=1,Параметры!P$36&gt;1),SUM($D582:O582)-SUM($D583:O583),0)),0)*P573/12*Параметры!P$40</f>
        <v>572.48524312441884</v>
      </c>
      <c r="Q582" s="98">
        <f ca="1">MAX((SUM($E579:Q579)-SUM($E580:Q580)+IF(AND($B578=1,Параметры!Q$36&gt;1),SUM($D582:P582)-SUM($D583:P583),0)),0)*Q573/12*Параметры!Q$40</f>
        <v>554.23428252814608</v>
      </c>
      <c r="R582" s="98">
        <f ca="1">MAX((SUM($E579:R579)-SUM($E580:R580)+IF(AND($B578=1,Параметры!R$36&gt;1),SUM($D582:Q582)-SUM($D583:Q583),0)),0)*R573/12*Параметры!R$40</f>
        <v>535.5726753184573</v>
      </c>
      <c r="S582" s="98">
        <f ca="1">MAX((SUM($E579:S579)-SUM($E580:S580)+IF(AND($B578=1,Параметры!S$36&gt;1),SUM($D582:R582)-SUM($D583:R583),0)),0)*S573/12*Параметры!S$40</f>
        <v>516.49118194655045</v>
      </c>
      <c r="T582" s="98">
        <f ca="1">MAX((SUM($E579:T579)-SUM($E580:T580)+IF(AND($B578=1,Параметры!T$36&gt;1),SUM($D582:S582)-SUM($D583:S583),0)),0)*T573/12*Параметры!T$40</f>
        <v>496.98035497377572</v>
      </c>
      <c r="U582" s="98">
        <f ca="1">MAX((SUM($E579:U579)-SUM($E580:U580)+IF(AND($B578=1,Параметры!U$36&gt;1),SUM($D582:T582)-SUM($D583:T583),0)),0)*U573/12*Параметры!U$40</f>
        <v>477.0305343941136</v>
      </c>
      <c r="V582" s="98">
        <f ca="1">MAX((SUM($E579:V579)-SUM($E580:V580)+IF(AND($B578=1,Параметры!V$36&gt;1),SUM($D582:U582)-SUM($D583:U583),0)),0)*V573/12*Параметры!V$40</f>
        <v>456.63184285140892</v>
      </c>
      <c r="W582" s="98">
        <f ca="1">MAX((SUM($E579:W579)-SUM($E580:W580)+IF(AND($B578=1,Параметры!W$36&gt;1),SUM($D582:V582)-SUM($D583:V583),0)),0)*W573/12*Параметры!W$40</f>
        <v>435.77418074899356</v>
      </c>
      <c r="X582" s="98">
        <f ca="1">MAX((SUM($E579:X579)-SUM($E580:X580)+IF(AND($B578=1,Параметры!X$36&gt;1),SUM($D582:W582)-SUM($D583:W583),0)),0)*X573/12*Параметры!X$40</f>
        <v>414.44722124927375</v>
      </c>
      <c r="Y582" s="98">
        <f ca="1">MAX((SUM($E579:Y579)-SUM($E580:Y580)+IF(AND($B578=1,Параметры!Y$36&gt;1),SUM($D582:X582)-SUM($D583:X583),0)),0)*Y573/12*Параметры!Y$40</f>
        <v>392.64040516081025</v>
      </c>
      <c r="Z582" s="98">
        <f ca="1">MAX((SUM($E579:Z579)-SUM($E580:Z580)+IF(AND($B578=1,Параметры!Z$36&gt;1),SUM($D582:Y582)-SUM($D583:Y583),0)),0)*Z573/12*Параметры!Z$40</f>
        <v>370.3429357103563</v>
      </c>
      <c r="AA582" s="98">
        <f ca="1">MAX((SUM($E579:AA579)-SUM($E580:AA580)+IF(AND($B578=1,Параметры!AA$36&gt;1),SUM($D582:Z582)-SUM($D583:Z583),0)),0)*AA573/12*Параметры!AA$40</f>
        <v>347.54377319726729</v>
      </c>
      <c r="AB582" s="98">
        <f ca="1">MAX((SUM($E579:AB579)-SUM($E580:AB580)+IF(AND($B578=1,Параметры!AB$36&gt;1),SUM($D582:AA582)-SUM($D583:AA583),0)),0)*AB573/12*Параметры!AB$40</f>
        <v>324.23162952763369</v>
      </c>
      <c r="AC582" s="98">
        <f ca="1">MAX((SUM($E579:AC579)-SUM($E580:AC580)+IF(AND($B578=1,Параметры!AC$36&gt;1),SUM($D582:AB582)-SUM($D583:AB583),0)),0)*AC573/12*Параметры!AC$40</f>
        <v>267.01774455594068</v>
      </c>
      <c r="AD582" s="98">
        <f ca="1">MAX((SUM($E579:AD579)-SUM($E580:AD580)+IF(AND($B578=1,Параметры!AD$36&gt;1),SUM($D582:AC582)-SUM($D583:AC583),0)),0)*AD573/12*Параметры!AD$40</f>
        <v>245.35286286038524</v>
      </c>
      <c r="AE582" s="98">
        <f ca="1">MAX((SUM($E579:AE579)-SUM($E580:AE580)+IF(AND($B578=1,Параметры!AE$36&gt;1),SUM($D582:AD582)-SUM($D583:AD583),0)),0)*AE573/12*Параметры!AE$40</f>
        <v>223.20052132667979</v>
      </c>
      <c r="AF582" s="98">
        <f ca="1">MAX((SUM($E579:AF579)-SUM($E580:AF580)+IF(AND($B578=1,Параметры!AF$36&gt;1),SUM($D582:AE582)-SUM($D583:AE583),0)),0)*AF573/12*Параметры!AF$40</f>
        <v>200.54975210846601</v>
      </c>
      <c r="AG582" s="98">
        <f ca="1">MAX((SUM($E579:AG579)-SUM($E580:AG580)+IF(AND($B578=1,Параметры!AG$36&gt;1),SUM($D582:AF582)-SUM($D583:AF583),0)),0)*AG573/12*Параметры!AG$40</f>
        <v>177.38934058284235</v>
      </c>
      <c r="AH582" s="98">
        <f ca="1">MAX((SUM($E579:AH579)-SUM($E580:AH580)+IF(AND($B578=1,Параметры!AH$36&gt;1),SUM($D582:AG582)-SUM($D583:AG583),0)),0)*AH573/12*Параметры!AH$40</f>
        <v>153.70781979789214</v>
      </c>
      <c r="AI582" s="98">
        <f ca="1">MAX((SUM($E579:AI579)-SUM($E580:AI580)+IF(AND($B578=1,Параметры!AI$36&gt;1),SUM($D582:AH582)-SUM($D583:AH583),0)),0)*AI573/12*Параметры!AI$40</f>
        <v>129.4934647952806</v>
      </c>
      <c r="AJ582" s="98">
        <f ca="1">MAX((SUM($E579:AJ579)-SUM($E580:AJ580)+IF(AND($B578=1,Параметры!AJ$36&gt;1),SUM($D582:AI582)-SUM($D583:AI583),0)),0)*AJ573/12*Параметры!AJ$40</f>
        <v>104.73428680511032</v>
      </c>
      <c r="AK582" s="98">
        <f ca="1">MAX((SUM($E579:AK579)-SUM($E580:AK580)+IF(AND($B578=1,Параметры!AK$36&gt;1),SUM($D582:AJ582)-SUM($D583:AJ583),0)),0)*AK573/12*Параметры!AK$40</f>
        <v>79.418027310161193</v>
      </c>
      <c r="AL582" s="98">
        <f ca="1">MAX((SUM($E579:AL579)-SUM($E580:AL580)+IF(AND($B578=1,Параметры!AL$36&gt;1),SUM($D582:AK582)-SUM($D583:AK583),0)),0)*AL573/12*Параметры!AL$40</f>
        <v>53.532151976575705</v>
      </c>
      <c r="AM582" s="98">
        <f ca="1">MAX((SUM($E579:AM579)-SUM($E580:AM580)+IF(AND($B578=1,Параметры!AM$36&gt;1),SUM($D582:AL582)-SUM($D583:AL583),0)),0)*AM573/12*Параметры!AM$40</f>
        <v>27.063844447984522</v>
      </c>
      <c r="AN582" s="98">
        <f ca="1">MAX((SUM($E579:AN579)-SUM($E580:AN580)+IF(AND($B578=1,Параметры!AN$36&gt;1),SUM($D582:AM582)-SUM($D583:AM583),0)),0)*AN573/12*Параметры!AN$40</f>
        <v>7.2759576141834261E-14</v>
      </c>
      <c r="AO582" s="98">
        <f ca="1">MAX((SUM($E579:AO579)-SUM($E580:AO580)+IF(AND($B578=1,Параметры!AO$36&gt;1),SUM($D582:AN582)-SUM($D583:AN583),0)),0)*AO573/12*Параметры!AO$40</f>
        <v>7.2759576141834261E-14</v>
      </c>
      <c r="AP582" s="98">
        <f ca="1">MAX((SUM($E579:AP579)-SUM($E580:AP580)+IF(AND($B578=1,Параметры!AP$36&gt;1),SUM($D582:AO582)-SUM($D583:AO583),0)),0)*AP573/12*Параметры!AP$40</f>
        <v>7.2759576141834261E-14</v>
      </c>
      <c r="AQ582" s="98">
        <f ca="1">MAX((SUM($E579:AQ579)-SUM($E580:AQ580)+IF(AND($B578=1,Параметры!AQ$36&gt;1),SUM($D582:AP582)-SUM($D583:AP583),0)),0)*AQ573/12*Параметры!AQ$40</f>
        <v>7.2759576141834261E-14</v>
      </c>
      <c r="AR582" s="98">
        <f ca="1">MAX((SUM($E579:AR579)-SUM($E580:AR580)+IF(AND($B578=1,Параметры!AR$36&gt;1),SUM($D582:AQ582)-SUM($D583:AQ583),0)),0)*AR573/12*Параметры!AR$40</f>
        <v>7.2759576141834261E-14</v>
      </c>
      <c r="AS582" s="99"/>
      <c r="AT582" s="100">
        <f ca="1">SUM(E582:AS582)</f>
        <v>11008.842428964886</v>
      </c>
    </row>
    <row r="583" spans="1:46" ht="11.25" customHeight="1" x14ac:dyDescent="0.2">
      <c r="A583" s="101" t="s">
        <v>93</v>
      </c>
      <c r="B583" s="216">
        <f ca="1">AT583</f>
        <v>11008.842428964886</v>
      </c>
      <c r="C583" s="2" t="str">
        <f>CHOOSE(C572,Параметры!$B$64,Параметры!$B$108,Параметры!$B$117)</f>
        <v>тыс. руб.</v>
      </c>
      <c r="E583" s="353">
        <f ca="1">IF(Параметры!E$36&gt;=E584+$B574,E582,0)</f>
        <v>0</v>
      </c>
      <c r="F583" s="353">
        <f ca="1">IF(Параметры!F$36&gt;=F584+$B574,F582,0)</f>
        <v>0</v>
      </c>
      <c r="G583" s="353">
        <f ca="1">IF(Параметры!G$36&gt;=G584+$B574,G582,0)</f>
        <v>0</v>
      </c>
      <c r="H583" s="353">
        <f ca="1">IF(Параметры!H$36&gt;=H584+$B574,H582,0)</f>
        <v>0</v>
      </c>
      <c r="I583" s="353">
        <f ca="1">IF(Параметры!I$36&gt;=I584+$B574,I582,0)</f>
        <v>94.5</v>
      </c>
      <c r="J583" s="353">
        <f ca="1">IF(Параметры!J$36&gt;=J584+$B574,J582,0)</f>
        <v>317.77356593286476</v>
      </c>
      <c r="K583" s="353">
        <f ca="1">IF(Параметры!K$36&gt;=K584+$B574,K582,0)</f>
        <v>576.15301650300933</v>
      </c>
      <c r="L583" s="353">
        <f ca="1">IF(Параметры!L$36&gt;=L584+$B574,L582,0)</f>
        <v>641.56038758302134</v>
      </c>
      <c r="M583" s="353">
        <f ca="1">IF(Параметры!M$36&gt;=M584+$B574,M582,0)</f>
        <v>624.86361773706722</v>
      </c>
      <c r="N583" s="353">
        <f ca="1">IF(Параметры!N$36&gt;=N584+$B574,N582,0)</f>
        <v>607.79117056957909</v>
      </c>
      <c r="O583" s="353">
        <f ca="1">IF(Параметры!O$36&gt;=O584+$B574,O582,0)</f>
        <v>590.33459334082249</v>
      </c>
      <c r="P583" s="353">
        <f ca="1">IF(Параметры!P$36&gt;=P584+$B574,P582,0)</f>
        <v>572.48524312441884</v>
      </c>
      <c r="Q583" s="353">
        <f ca="1">IF(Параметры!Q$36&gt;=Q584+$B574,Q582,0)</f>
        <v>554.23428252814608</v>
      </c>
      <c r="R583" s="353">
        <f ca="1">IF(Параметры!R$36&gt;=R584+$B574,R582,0)</f>
        <v>535.5726753184573</v>
      </c>
      <c r="S583" s="353">
        <f ca="1">IF(Параметры!S$36&gt;=S584+$B574,S582,0)</f>
        <v>516.49118194655045</v>
      </c>
      <c r="T583" s="353">
        <f ca="1">IF(Параметры!T$36&gt;=T584+$B574,T582,0)</f>
        <v>496.98035497377572</v>
      </c>
      <c r="U583" s="353">
        <f ca="1">IF(Параметры!U$36&gt;=U584+$B574,U582,0)</f>
        <v>477.0305343941136</v>
      </c>
      <c r="V583" s="353">
        <f ca="1">IF(Параметры!V$36&gt;=V584+$B574,V582,0)</f>
        <v>456.63184285140892</v>
      </c>
      <c r="W583" s="353">
        <f ca="1">IF(Параметры!W$36&gt;=W584+$B574,W582,0)</f>
        <v>435.77418074899356</v>
      </c>
      <c r="X583" s="353">
        <f ca="1">IF(Параметры!X$36&gt;=X584+$B574,X582,0)</f>
        <v>414.44722124927375</v>
      </c>
      <c r="Y583" s="353">
        <f ca="1">IF(Параметры!Y$36&gt;=Y584+$B574,Y582,0)</f>
        <v>392.64040516081025</v>
      </c>
      <c r="Z583" s="353">
        <f ca="1">IF(Параметры!Z$36&gt;=Z584+$B574,Z582,0)</f>
        <v>370.3429357103563</v>
      </c>
      <c r="AA583" s="353">
        <f ca="1">IF(Параметры!AA$36&gt;=AA584+$B574,AA582,0)</f>
        <v>347.54377319726729</v>
      </c>
      <c r="AB583" s="353">
        <f ca="1">IF(Параметры!AB$36&gt;=AB584+$B574,AB582,0)</f>
        <v>324.23162952763369</v>
      </c>
      <c r="AC583" s="353">
        <f ca="1">IF(Параметры!AC$36&gt;=AC584+$B574,AC582,0)</f>
        <v>267.01774455594068</v>
      </c>
      <c r="AD583" s="353">
        <f ca="1">IF(Параметры!AD$36&gt;=AD584+$B574,AD582,0)</f>
        <v>245.35286286038524</v>
      </c>
      <c r="AE583" s="353">
        <f ca="1">IF(Параметры!AE$36&gt;=AE584+$B574,AE582,0)</f>
        <v>223.20052132667979</v>
      </c>
      <c r="AF583" s="353">
        <f ca="1">IF(Параметры!AF$36&gt;=AF584+$B574,AF582,0)</f>
        <v>200.54975210846601</v>
      </c>
      <c r="AG583" s="353">
        <f ca="1">IF(Параметры!AG$36&gt;=AG584+$B574,AG582,0)</f>
        <v>177.38934058284235</v>
      </c>
      <c r="AH583" s="353">
        <f ca="1">IF(Параметры!AH$36&gt;=AH584+$B574,AH582,0)</f>
        <v>153.70781979789214</v>
      </c>
      <c r="AI583" s="353">
        <f ca="1">IF(Параметры!AI$36&gt;=AI584+$B574,AI582,0)</f>
        <v>129.4934647952806</v>
      </c>
      <c r="AJ583" s="353">
        <f ca="1">IF(Параметры!AJ$36&gt;=AJ584+$B574,AJ582,0)</f>
        <v>104.73428680511032</v>
      </c>
      <c r="AK583" s="353">
        <f ca="1">IF(Параметры!AK$36&gt;=AK584+$B574,AK582,0)</f>
        <v>79.418027310161193</v>
      </c>
      <c r="AL583" s="353">
        <f ca="1">IF(Параметры!AL$36&gt;=AL584+$B574,AL582,0)</f>
        <v>53.532151976575705</v>
      </c>
      <c r="AM583" s="353">
        <f ca="1">IF(Параметры!AM$36&gt;=AM584+$B574,AM582,0)</f>
        <v>27.063844447984522</v>
      </c>
      <c r="AN583" s="353">
        <f ca="1">IF(Параметры!AN$36&gt;=AN584+$B574,AN582,0)</f>
        <v>7.2759576141834261E-14</v>
      </c>
      <c r="AO583" s="353">
        <f ca="1">IF(Параметры!AO$36&gt;=AO584+$B574,AO582,0)</f>
        <v>7.2759576141834261E-14</v>
      </c>
      <c r="AP583" s="353">
        <f ca="1">IF(Параметры!AP$36&gt;=AP584+$B574,AP582,0)</f>
        <v>7.2759576141834261E-14</v>
      </c>
      <c r="AQ583" s="353">
        <f ca="1">IF(Параметры!AQ$36&gt;=AQ584+$B574,AQ582,0)</f>
        <v>7.2759576141834261E-14</v>
      </c>
      <c r="AR583" s="353">
        <f ca="1">IF(Параметры!AR$36&gt;=AR584+$B574,AR582,0)</f>
        <v>7.2759576141834261E-14</v>
      </c>
      <c r="AS583" s="102"/>
      <c r="AT583" s="103">
        <f ca="1">SUM(E583:AS583)</f>
        <v>11008.842428964886</v>
      </c>
    </row>
    <row r="584" spans="1:46" ht="11.25" customHeight="1" outlineLevel="1" x14ac:dyDescent="0.2">
      <c r="A584" s="101" t="s">
        <v>95</v>
      </c>
      <c r="B584" s="471">
        <f ca="1">MAX(E584,OFFSET(E584,0,Параметры!$B$24-1))</f>
        <v>5</v>
      </c>
      <c r="C584" s="2" t="s">
        <v>3</v>
      </c>
      <c r="E584" s="155">
        <f>IF(AND(Параметры!E$36=1,E579&gt;0),1,IF(AND(D584=0,E579&lt;&gt;0,SUM($D579:D579)=0),Параметры!E$36,IF(Параметры!E$36=1,0,D584)))</f>
        <v>0</v>
      </c>
      <c r="F584" s="155">
        <f ca="1">IF(AND(Параметры!F$36=1,F579&gt;0),1,IF(AND(E584=0,F579&lt;&gt;0,SUM($D579:E579)=0),Параметры!F$36,IF(Параметры!F$36=1,0,E584)))</f>
        <v>0</v>
      </c>
      <c r="G584" s="155">
        <f ca="1">IF(AND(Параметры!G$36=1,G579&gt;0),1,IF(AND(F584=0,G579&lt;&gt;0,SUM($D579:F579)=0),Параметры!G$36,IF(Параметры!G$36=1,0,F584)))</f>
        <v>0</v>
      </c>
      <c r="H584" s="155">
        <f ca="1">IF(AND(Параметры!H$36=1,H579&gt;0),1,IF(AND(G584=0,H579&lt;&gt;0,SUM($D579:G579)=0),Параметры!H$36,IF(Параметры!H$36=1,0,G584)))</f>
        <v>0</v>
      </c>
      <c r="I584" s="155">
        <f ca="1">IF(AND(Параметры!I$36=1,I579&gt;0),1,IF(AND(H584=0,I579&lt;&gt;0,SUM($D579:H579)=0),Параметры!I$36,IF(Параметры!I$36=1,0,H584)))</f>
        <v>5</v>
      </c>
      <c r="J584" s="155">
        <f ca="1">IF(AND(Параметры!J$36=1,J579&gt;0),1,IF(AND(I584=0,J579&lt;&gt;0,SUM($D579:I579)=0),Параметры!J$36,IF(Параметры!J$36=1,0,I584)))</f>
        <v>5</v>
      </c>
      <c r="K584" s="155">
        <f ca="1">IF(AND(Параметры!K$36=1,K579&gt;0),1,IF(AND(J584=0,K579&lt;&gt;0,SUM($D579:J579)=0),Параметры!K$36,IF(Параметры!K$36=1,0,J584)))</f>
        <v>5</v>
      </c>
      <c r="L584" s="155">
        <f ca="1">IF(AND(Параметры!L$36=1,L579&gt;0),1,IF(AND(K584=0,L579&lt;&gt;0,SUM($D579:K579)=0),Параметры!L$36,IF(Параметры!L$36=1,0,K584)))</f>
        <v>5</v>
      </c>
      <c r="M584" s="155">
        <f ca="1">IF(AND(Параметры!M$36=1,M579&gt;0),1,IF(AND(L584=0,M579&lt;&gt;0,SUM($D579:L579)=0),Параметры!M$36,IF(Параметры!M$36=1,0,L584)))</f>
        <v>5</v>
      </c>
      <c r="N584" s="155">
        <f ca="1">IF(AND(Параметры!N$36=1,N579&gt;0),1,IF(AND(M584=0,N579&lt;&gt;0,SUM($D579:M579)=0),Параметры!N$36,IF(Параметры!N$36=1,0,M584)))</f>
        <v>5</v>
      </c>
      <c r="O584" s="155">
        <f ca="1">IF(AND(Параметры!O$36=1,O579&gt;0),1,IF(AND(N584=0,O579&lt;&gt;0,SUM($D579:N579)=0),Параметры!O$36,IF(Параметры!O$36=1,0,N584)))</f>
        <v>5</v>
      </c>
      <c r="P584" s="155">
        <f ca="1">IF(AND(Параметры!P$36=1,P579&gt;0),1,IF(AND(O584=0,P579&lt;&gt;0,SUM($D579:O579)=0),Параметры!P$36,IF(Параметры!P$36=1,0,O584)))</f>
        <v>5</v>
      </c>
      <c r="Q584" s="155">
        <f ca="1">IF(AND(Параметры!Q$36=1,Q579&gt;0),1,IF(AND(P584=0,Q579&lt;&gt;0,SUM($D579:P579)=0),Параметры!Q$36,IF(Параметры!Q$36=1,0,P584)))</f>
        <v>5</v>
      </c>
      <c r="R584" s="155">
        <f ca="1">IF(AND(Параметры!R$36=1,R579&gt;0),1,IF(AND(Q584=0,R579&lt;&gt;0,SUM($D579:Q579)=0),Параметры!R$36,IF(Параметры!R$36=1,0,Q584)))</f>
        <v>5</v>
      </c>
      <c r="S584" s="155">
        <f ca="1">IF(AND(Параметры!S$36=1,S579&gt;0),1,IF(AND(R584=0,S579&lt;&gt;0,SUM($D579:R579)=0),Параметры!S$36,IF(Параметры!S$36=1,0,R584)))</f>
        <v>5</v>
      </c>
      <c r="T584" s="155">
        <f ca="1">IF(AND(Параметры!T$36=1,T579&gt;0),1,IF(AND(S584=0,T579&lt;&gt;0,SUM($D579:S579)=0),Параметры!T$36,IF(Параметры!T$36=1,0,S584)))</f>
        <v>5</v>
      </c>
      <c r="U584" s="155">
        <f ca="1">IF(AND(Параметры!U$36=1,U579&gt;0),1,IF(AND(T584=0,U579&lt;&gt;0,SUM($D579:T579)=0),Параметры!U$36,IF(Параметры!U$36=1,0,T584)))</f>
        <v>5</v>
      </c>
      <c r="V584" s="155">
        <f ca="1">IF(AND(Параметры!V$36=1,V579&gt;0),1,IF(AND(U584=0,V579&lt;&gt;0,SUM($D579:U579)=0),Параметры!V$36,IF(Параметры!V$36=1,0,U584)))</f>
        <v>5</v>
      </c>
      <c r="W584" s="155">
        <f ca="1">IF(AND(Параметры!W$36=1,W579&gt;0),1,IF(AND(V584=0,W579&lt;&gt;0,SUM($D579:V579)=0),Параметры!W$36,IF(Параметры!W$36=1,0,V584)))</f>
        <v>5</v>
      </c>
      <c r="X584" s="155">
        <f ca="1">IF(AND(Параметры!X$36=1,X579&gt;0),1,IF(AND(W584=0,X579&lt;&gt;0,SUM($D579:W579)=0),Параметры!X$36,IF(Параметры!X$36=1,0,W584)))</f>
        <v>5</v>
      </c>
      <c r="Y584" s="155">
        <f ca="1">IF(AND(Параметры!Y$36=1,Y579&gt;0),1,IF(AND(X584=0,Y579&lt;&gt;0,SUM($D579:X579)=0),Параметры!Y$36,IF(Параметры!Y$36=1,0,X584)))</f>
        <v>5</v>
      </c>
      <c r="Z584" s="155">
        <f ca="1">IF(AND(Параметры!Z$36=1,Z579&gt;0),1,IF(AND(Y584=0,Z579&lt;&gt;0,SUM($D579:Y579)=0),Параметры!Z$36,IF(Параметры!Z$36=1,0,Y584)))</f>
        <v>5</v>
      </c>
      <c r="AA584" s="155">
        <f ca="1">IF(AND(Параметры!AA$36=1,AA579&gt;0),1,IF(AND(Z584=0,AA579&lt;&gt;0,SUM($D579:Z579)=0),Параметры!AA$36,IF(Параметры!AA$36=1,0,Z584)))</f>
        <v>5</v>
      </c>
      <c r="AB584" s="155">
        <f ca="1">IF(AND(Параметры!AB$36=1,AB579&gt;0),1,IF(AND(AA584=0,AB579&lt;&gt;0,SUM($D579:AA579)=0),Параметры!AB$36,IF(Параметры!AB$36=1,0,AA584)))</f>
        <v>5</v>
      </c>
      <c r="AC584" s="155">
        <f ca="1">IF(AND(Параметры!AC$36=1,AC579&gt;0),1,IF(AND(AB584=0,AC579&lt;&gt;0,SUM($D579:AB579)=0),Параметры!AC$36,IF(Параметры!AC$36=1,0,AB584)))</f>
        <v>5</v>
      </c>
      <c r="AD584" s="155">
        <f ca="1">IF(AND(Параметры!AD$36=1,AD579&gt;0),1,IF(AND(AC584=0,AD579&lt;&gt;0,SUM($D579:AC579)=0),Параметры!AD$36,IF(Параметры!AD$36=1,0,AC584)))</f>
        <v>5</v>
      </c>
      <c r="AE584" s="155">
        <f ca="1">IF(AND(Параметры!AE$36=1,AE579&gt;0),1,IF(AND(AD584=0,AE579&lt;&gt;0,SUM($D579:AD579)=0),Параметры!AE$36,IF(Параметры!AE$36=1,0,AD584)))</f>
        <v>5</v>
      </c>
      <c r="AF584" s="155">
        <f ca="1">IF(AND(Параметры!AF$36=1,AF579&gt;0),1,IF(AND(AE584=0,AF579&lt;&gt;0,SUM($D579:AE579)=0),Параметры!AF$36,IF(Параметры!AF$36=1,0,AE584)))</f>
        <v>5</v>
      </c>
      <c r="AG584" s="155">
        <f ca="1">IF(AND(Параметры!AG$36=1,AG579&gt;0),1,IF(AND(AF584=0,AG579&lt;&gt;0,SUM($D579:AF579)=0),Параметры!AG$36,IF(Параметры!AG$36=1,0,AF584)))</f>
        <v>5</v>
      </c>
      <c r="AH584" s="155">
        <f ca="1">IF(AND(Параметры!AH$36=1,AH579&gt;0),1,IF(AND(AG584=0,AH579&lt;&gt;0,SUM($D579:AG579)=0),Параметры!AH$36,IF(Параметры!AH$36=1,0,AG584)))</f>
        <v>5</v>
      </c>
      <c r="AI584" s="155">
        <f ca="1">IF(AND(Параметры!AI$36=1,AI579&gt;0),1,IF(AND(AH584=0,AI579&lt;&gt;0,SUM($D579:AH579)=0),Параметры!AI$36,IF(Параметры!AI$36=1,0,AH584)))</f>
        <v>5</v>
      </c>
      <c r="AJ584" s="155">
        <f ca="1">IF(AND(Параметры!AJ$36=1,AJ579&gt;0),1,IF(AND(AI584=0,AJ579&lt;&gt;0,SUM($D579:AI579)=0),Параметры!AJ$36,IF(Параметры!AJ$36=1,0,AI584)))</f>
        <v>5</v>
      </c>
      <c r="AK584" s="155">
        <f ca="1">IF(AND(Параметры!AK$36=1,AK579&gt;0),1,IF(AND(AJ584=0,AK579&lt;&gt;0,SUM($D579:AJ579)=0),Параметры!AK$36,IF(Параметры!AK$36=1,0,AJ584)))</f>
        <v>5</v>
      </c>
      <c r="AL584" s="155">
        <f ca="1">IF(AND(Параметры!AL$36=1,AL579&gt;0),1,IF(AND(AK584=0,AL579&lt;&gt;0,SUM($D579:AK579)=0),Параметры!AL$36,IF(Параметры!AL$36=1,0,AK584)))</f>
        <v>5</v>
      </c>
      <c r="AM584" s="155">
        <f ca="1">IF(AND(Параметры!AM$36=1,AM579&gt;0),1,IF(AND(AL584=0,AM579&lt;&gt;0,SUM($D579:AL579)=0),Параметры!AM$36,IF(Параметры!AM$36=1,0,AL584)))</f>
        <v>5</v>
      </c>
      <c r="AN584" s="155">
        <f ca="1">IF(AND(Параметры!AN$36=1,AN579&gt;0),1,IF(AND(AM584=0,AN579&lt;&gt;0,SUM($D579:AM579)=0),Параметры!AN$36,IF(Параметры!AN$36=1,0,AM584)))</f>
        <v>5</v>
      </c>
      <c r="AO584" s="155">
        <f ca="1">IF(AND(Параметры!AO$36=1,AO579&gt;0),1,IF(AND(AN584=0,AO579&lt;&gt;0,SUM($D579:AN579)=0),Параметры!AO$36,IF(Параметры!AO$36=1,0,AN584)))</f>
        <v>5</v>
      </c>
      <c r="AP584" s="155">
        <f ca="1">IF(AND(Параметры!AP$36=1,AP579&gt;0),1,IF(AND(AO584=0,AP579&lt;&gt;0,SUM($D579:AO579)=0),Параметры!AP$36,IF(Параметры!AP$36=1,0,AO584)))</f>
        <v>5</v>
      </c>
      <c r="AQ584" s="155">
        <f ca="1">IF(AND(Параметры!AQ$36=1,AQ579&gt;0),1,IF(AND(AP584=0,AQ579&lt;&gt;0,SUM($D579:AP579)=0),Параметры!AQ$36,IF(Параметры!AQ$36=1,0,AP584)))</f>
        <v>5</v>
      </c>
      <c r="AR584" s="155">
        <f ca="1">IF(AND(Параметры!AR$36=1,AR579&gt;0),1,IF(AND(AQ584=0,AR579&lt;&gt;0,SUM($D579:AQ579)=0),Параметры!AR$36,IF(Параметры!AR$36=1,0,AQ584)))</f>
        <v>5</v>
      </c>
      <c r="AS584" s="129"/>
      <c r="AT584" s="103"/>
    </row>
    <row r="585" spans="1:46" ht="11.25" customHeight="1" outlineLevel="1" x14ac:dyDescent="0.2">
      <c r="A585" s="101" t="s">
        <v>551</v>
      </c>
      <c r="B585" s="471">
        <f ca="1">MIN(E585:AR585)</f>
        <v>8</v>
      </c>
      <c r="C585" s="2" t="s">
        <v>3</v>
      </c>
      <c r="E585" s="155" t="str">
        <f ca="1">IF(SUM($E579:E579)=$B579,E$2,"")</f>
        <v/>
      </c>
      <c r="F585" s="155" t="str">
        <f ca="1">IF(SUM($E579:F579)=$B579,F$2,"")</f>
        <v/>
      </c>
      <c r="G585" s="155" t="str">
        <f ca="1">IF(SUM($E579:G579)=$B579,G$2,"")</f>
        <v/>
      </c>
      <c r="H585" s="155" t="str">
        <f ca="1">IF(SUM($E579:H579)=$B579,H$2,"")</f>
        <v/>
      </c>
      <c r="I585" s="155" t="str">
        <f ca="1">IF(SUM($E579:I579)=$B579,I$2,"")</f>
        <v/>
      </c>
      <c r="J585" s="155" t="str">
        <f ca="1">IF(SUM($E579:J579)=$B579,J$2,"")</f>
        <v/>
      </c>
      <c r="K585" s="155" t="str">
        <f ca="1">IF(SUM($E579:K579)=$B579,K$2,"")</f>
        <v/>
      </c>
      <c r="L585" s="155">
        <f ca="1">IF(SUM($E579:L579)=$B579,L$2,"")</f>
        <v>8</v>
      </c>
      <c r="M585" s="155">
        <f ca="1">IF(SUM($E579:M579)=$B579,M$2,"")</f>
        <v>9</v>
      </c>
      <c r="N585" s="155">
        <f ca="1">IF(SUM($E579:N579)=$B579,N$2,"")</f>
        <v>10</v>
      </c>
      <c r="O585" s="155">
        <f ca="1">IF(SUM($E579:O579)=$B579,O$2,"")</f>
        <v>11</v>
      </c>
      <c r="P585" s="155">
        <f ca="1">IF(SUM($E579:P579)=$B579,P$2,"")</f>
        <v>12</v>
      </c>
      <c r="Q585" s="155">
        <f ca="1">IF(SUM($E579:Q579)=$B579,Q$2,"")</f>
        <v>13</v>
      </c>
      <c r="R585" s="155">
        <f ca="1">IF(SUM($E579:R579)=$B579,R$2,"")</f>
        <v>14</v>
      </c>
      <c r="S585" s="155">
        <f ca="1">IF(SUM($E579:S579)=$B579,S$2,"")</f>
        <v>15</v>
      </c>
      <c r="T585" s="155">
        <f ca="1">IF(SUM($E579:T579)=$B579,T$2,"")</f>
        <v>16</v>
      </c>
      <c r="U585" s="155">
        <f ca="1">IF(SUM($E579:U579)=$B579,U$2,"")</f>
        <v>17</v>
      </c>
      <c r="V585" s="155">
        <f ca="1">IF(SUM($E579:V579)=$B579,V$2,"")</f>
        <v>18</v>
      </c>
      <c r="W585" s="155">
        <f ca="1">IF(SUM($E579:W579)=$B579,W$2,"")</f>
        <v>19</v>
      </c>
      <c r="X585" s="155">
        <f ca="1">IF(SUM($E579:X579)=$B579,X$2,"")</f>
        <v>20</v>
      </c>
      <c r="Y585" s="155">
        <f ca="1">IF(SUM($E579:Y579)=$B579,Y$2,"")</f>
        <v>21</v>
      </c>
      <c r="Z585" s="155">
        <f ca="1">IF(SUM($E579:Z579)=$B579,Z$2,"")</f>
        <v>22</v>
      </c>
      <c r="AA585" s="155">
        <f ca="1">IF(SUM($E579:AA579)=$B579,AA$2,"")</f>
        <v>23</v>
      </c>
      <c r="AB585" s="155">
        <f ca="1">IF(SUM($E579:AB579)=$B579,AB$2,"")</f>
        <v>24</v>
      </c>
      <c r="AC585" s="155">
        <f ca="1">IF(SUM($E579:AC579)=$B579,AC$2,"")</f>
        <v>25</v>
      </c>
      <c r="AD585" s="155">
        <f ca="1">IF(SUM($E579:AD579)=$B579,AD$2,"")</f>
        <v>26</v>
      </c>
      <c r="AE585" s="155">
        <f ca="1">IF(SUM($E579:AE579)=$B579,AE$2,"")</f>
        <v>27</v>
      </c>
      <c r="AF585" s="155">
        <f ca="1">IF(SUM($E579:AF579)=$B579,AF$2,"")</f>
        <v>28</v>
      </c>
      <c r="AG585" s="155">
        <f ca="1">IF(SUM($E579:AG579)=$B579,AG$2,"")</f>
        <v>29</v>
      </c>
      <c r="AH585" s="155">
        <f ca="1">IF(SUM($E579:AH579)=$B579,AH$2,"")</f>
        <v>30</v>
      </c>
      <c r="AI585" s="155">
        <f ca="1">IF(SUM($E579:AI579)=$B579,AI$2,"")</f>
        <v>31</v>
      </c>
      <c r="AJ585" s="155">
        <f ca="1">IF(SUM($E579:AJ579)=$B579,AJ$2,"")</f>
        <v>32</v>
      </c>
      <c r="AK585" s="155">
        <f ca="1">IF(SUM($E579:AK579)=$B579,AK$2,"")</f>
        <v>33</v>
      </c>
      <c r="AL585" s="155">
        <f ca="1">IF(SUM($E579:AL579)=$B579,AL$2,"")</f>
        <v>34</v>
      </c>
      <c r="AM585" s="155">
        <f ca="1">IF(SUM($E579:AM579)=$B579,AM$2,"")</f>
        <v>35</v>
      </c>
      <c r="AN585" s="155">
        <f ca="1">IF(SUM($E579:AN579)=$B579,AN$2,"")</f>
        <v>36</v>
      </c>
      <c r="AO585" s="155">
        <f ca="1">IF(SUM($E579:AO579)=$B579,AO$2,"")</f>
        <v>37</v>
      </c>
      <c r="AP585" s="155">
        <f ca="1">IF(SUM($E579:AP579)=$B579,AP$2,"")</f>
        <v>38</v>
      </c>
      <c r="AQ585" s="155">
        <f ca="1">IF(SUM($E579:AQ579)=$B579,AQ$2,"")</f>
        <v>39</v>
      </c>
      <c r="AR585" s="155">
        <f ca="1">IF(SUM($E579:AR579)=$B579,AR$2,"")</f>
        <v>40</v>
      </c>
      <c r="AS585" s="129"/>
      <c r="AT585" s="103"/>
    </row>
    <row r="586" spans="1:46" ht="11.25" customHeight="1" x14ac:dyDescent="0.2">
      <c r="A586" s="354" t="s">
        <v>996</v>
      </c>
      <c r="B586" s="225" t="s">
        <v>390</v>
      </c>
      <c r="C586" s="287">
        <v>1</v>
      </c>
      <c r="D586" s="65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  <c r="AL586" s="64"/>
      <c r="AM586" s="64"/>
      <c r="AN586" s="64"/>
      <c r="AO586" s="64"/>
      <c r="AP586" s="64"/>
      <c r="AQ586" s="64"/>
      <c r="AR586" s="64"/>
      <c r="AS586" s="41"/>
      <c r="AT586" s="92"/>
    </row>
    <row r="587" spans="1:46" ht="11.25" customHeight="1" x14ac:dyDescent="0.2">
      <c r="A587" s="93" t="s">
        <v>88</v>
      </c>
      <c r="B587" s="351">
        <f>ИД!C232</f>
        <v>0.09</v>
      </c>
      <c r="C587" s="9" t="s">
        <v>14</v>
      </c>
      <c r="E587" s="352">
        <f ca="1">IF(E$2&lt;$B598+20,$B587,ИД!$E$232)</f>
        <v>0.09</v>
      </c>
      <c r="F587" s="352">
        <f ca="1">IF(F$2&lt;$B598+20,$B587,ИД!$E$232)</f>
        <v>0.09</v>
      </c>
      <c r="G587" s="352">
        <f ca="1">IF(G$2&lt;$B598+20,$B587,ИД!$E$232)</f>
        <v>0.09</v>
      </c>
      <c r="H587" s="352">
        <f ca="1">IF(H$2&lt;$B598+20,$B587,ИД!$E$232)</f>
        <v>0.09</v>
      </c>
      <c r="I587" s="352">
        <f ca="1">IF(I$2&lt;$B598+20,$B587,ИД!$E$232)</f>
        <v>0.09</v>
      </c>
      <c r="J587" s="352">
        <f ca="1">IF(J$2&lt;$B598+20,$B587,ИД!$E$232)</f>
        <v>0.09</v>
      </c>
      <c r="K587" s="352">
        <f ca="1">IF(K$2&lt;$B598+20,$B587,ИД!$E$232)</f>
        <v>0.09</v>
      </c>
      <c r="L587" s="352">
        <f ca="1">IF(L$2&lt;$B598+20,$B587,ИД!$E$232)</f>
        <v>0.09</v>
      </c>
      <c r="M587" s="352">
        <f ca="1">IF(M$2&lt;$B598+20,$B587,ИД!$E$232)</f>
        <v>0.09</v>
      </c>
      <c r="N587" s="352">
        <f ca="1">IF(N$2&lt;$B598+20,$B587,ИД!$E$232)</f>
        <v>0.09</v>
      </c>
      <c r="O587" s="352">
        <f ca="1">IF(O$2&lt;$B598+20,$B587,ИД!$E$232)</f>
        <v>0.09</v>
      </c>
      <c r="P587" s="352">
        <f ca="1">IF(P$2&lt;$B598+20,$B587,ИД!$E$232)</f>
        <v>0.09</v>
      </c>
      <c r="Q587" s="352">
        <f ca="1">IF(Q$2&lt;$B598+20,$B587,ИД!$E$232)</f>
        <v>0.09</v>
      </c>
      <c r="R587" s="352">
        <f ca="1">IF(R$2&lt;$B598+20,$B587,ИД!$E$232)</f>
        <v>0.09</v>
      </c>
      <c r="S587" s="352">
        <f ca="1">IF(S$2&lt;$B598+20,$B587,ИД!$E$232)</f>
        <v>0.09</v>
      </c>
      <c r="T587" s="352">
        <f ca="1">IF(T$2&lt;$B598+20,$B587,ИД!$E$232)</f>
        <v>0.09</v>
      </c>
      <c r="U587" s="352">
        <f ca="1">IF(U$2&lt;$B598+20,$B587,ИД!$E$232)</f>
        <v>0.09</v>
      </c>
      <c r="V587" s="352">
        <f ca="1">IF(V$2&lt;$B598+20,$B587,ИД!$E$232)</f>
        <v>0.09</v>
      </c>
      <c r="W587" s="352">
        <f ca="1">IF(W$2&lt;$B598+20,$B587,ИД!$E$232)</f>
        <v>0.09</v>
      </c>
      <c r="X587" s="352">
        <f ca="1">IF(X$2&lt;$B598+20,$B587,ИД!$E$232)</f>
        <v>0.09</v>
      </c>
      <c r="Y587" s="352">
        <f ca="1">IF(Y$2&lt;$B598+20,$B587,ИД!$E$232)</f>
        <v>0.09</v>
      </c>
      <c r="Z587" s="352">
        <f ca="1">IF(Z$2&lt;$B598+20,$B587,ИД!$E$232)</f>
        <v>0.09</v>
      </c>
      <c r="AA587" s="352">
        <f ca="1">IF(AA$2&lt;$B598+20,$B587,ИД!$E$232)</f>
        <v>0.09</v>
      </c>
      <c r="AB587" s="352">
        <f ca="1">IF(AB$2&lt;$B598+20,$B587,ИД!$E$232)</f>
        <v>0.09</v>
      </c>
      <c r="AC587" s="352">
        <f ca="1">IF(AC$2&lt;$B598+20,$B587,ИД!$E$232)</f>
        <v>0.09</v>
      </c>
      <c r="AD587" s="352">
        <f ca="1">IF(AD$2&lt;$B598+20,$B587,ИД!$E$232)</f>
        <v>0.09</v>
      </c>
      <c r="AE587" s="352">
        <f ca="1">IF(AE$2&lt;$B598+20,$B587,ИД!$E$232)</f>
        <v>0.09</v>
      </c>
      <c r="AF587" s="352">
        <f ca="1">IF(AF$2&lt;$B598+20,$B587,ИД!$E$232)</f>
        <v>0.09</v>
      </c>
      <c r="AG587" s="352">
        <f ca="1">IF(AG$2&lt;$B598+20,$B587,ИД!$E$232)</f>
        <v>0.08</v>
      </c>
      <c r="AH587" s="352">
        <f ca="1">IF(AH$2&lt;$B598+20,$B587,ИД!$E$232)</f>
        <v>0.08</v>
      </c>
      <c r="AI587" s="352">
        <f ca="1">IF(AI$2&lt;$B598+20,$B587,ИД!$E$232)</f>
        <v>0.08</v>
      </c>
      <c r="AJ587" s="352">
        <f ca="1">IF(AJ$2&lt;$B598+20,$B587,ИД!$E$232)</f>
        <v>0.08</v>
      </c>
      <c r="AK587" s="352">
        <f ca="1">IF(AK$2&lt;$B598+20,$B587,ИД!$E$232)</f>
        <v>0.08</v>
      </c>
      <c r="AL587" s="352">
        <f ca="1">IF(AL$2&lt;$B598+20,$B587,ИД!$E$232)</f>
        <v>0.08</v>
      </c>
      <c r="AM587" s="352">
        <f ca="1">IF(AM$2&lt;$B598+20,$B587,ИД!$E$232)</f>
        <v>0.08</v>
      </c>
      <c r="AN587" s="352">
        <f ca="1">IF(AN$2&lt;$B598+20,$B587,ИД!$E$232)</f>
        <v>0.08</v>
      </c>
      <c r="AO587" s="352">
        <f ca="1">IF(AO$2&lt;$B598+20,$B587,ИД!$E$232)</f>
        <v>0.08</v>
      </c>
      <c r="AP587" s="352">
        <f ca="1">IF(AP$2&lt;$B598+20,$B587,ИД!$E$232)</f>
        <v>0.08</v>
      </c>
      <c r="AQ587" s="352">
        <f ca="1">IF(AQ$2&lt;$B598+20,$B587,ИД!$E$232)</f>
        <v>0.08</v>
      </c>
      <c r="AR587" s="352">
        <f ca="1">IF(AR$2&lt;$B598+20,$B587,ИД!$E$232)</f>
        <v>0.08</v>
      </c>
      <c r="AS587" s="95"/>
      <c r="AT587" s="96"/>
    </row>
    <row r="588" spans="1:46" ht="11.25" customHeight="1" x14ac:dyDescent="0.2">
      <c r="A588" s="429" t="s">
        <v>89</v>
      </c>
      <c r="B588" s="430">
        <v>0</v>
      </c>
      <c r="C588" s="431" t="str">
        <f>Параметры!$C$24</f>
        <v>кв.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96"/>
    </row>
    <row r="589" spans="1:46" ht="11.25" customHeight="1" x14ac:dyDescent="0.2">
      <c r="A589" s="429" t="s">
        <v>521</v>
      </c>
      <c r="B589" s="432">
        <f>ИД!C233*4</f>
        <v>28</v>
      </c>
      <c r="C589" s="431" t="str">
        <f>Параметры!$C$24</f>
        <v>кв.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96"/>
    </row>
    <row r="590" spans="1:46" ht="11.25" customHeight="1" x14ac:dyDescent="0.2">
      <c r="A590" s="429" t="s">
        <v>522</v>
      </c>
      <c r="B590" s="415">
        <f>ИД!C235*4</f>
        <v>4</v>
      </c>
      <c r="C590" s="431" t="str">
        <f>Параметры!$C$24</f>
        <v>кв.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96"/>
    </row>
    <row r="591" spans="1:46" ht="11.25" customHeight="1" x14ac:dyDescent="0.2">
      <c r="A591" s="429" t="s">
        <v>1015</v>
      </c>
      <c r="B591" s="347">
        <f>ИД!C236</f>
        <v>0</v>
      </c>
      <c r="C591" s="43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96"/>
    </row>
    <row r="592" spans="1:46" ht="22.5" x14ac:dyDescent="0.2">
      <c r="A592" s="389" t="s">
        <v>475</v>
      </c>
      <c r="B592" s="347">
        <v>1</v>
      </c>
      <c r="C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96"/>
    </row>
    <row r="593" spans="1:46" ht="11.25" customHeight="1" x14ac:dyDescent="0.2">
      <c r="A593" s="93" t="s">
        <v>90</v>
      </c>
      <c r="B593" s="215">
        <f ca="1">AT593</f>
        <v>262045.86395389249</v>
      </c>
      <c r="C593" s="3" t="str">
        <f>CHOOSE(C586,Параметры!$B$64,Параметры!$B$108,Параметры!$B$117)</f>
        <v>тыс. руб.</v>
      </c>
      <c r="E593" s="346">
        <f>E455*1.2*ИД!$C$231</f>
        <v>0</v>
      </c>
      <c r="F593" s="346">
        <f ca="1">F455*1.2*ИД!$C$231</f>
        <v>0</v>
      </c>
      <c r="G593" s="346">
        <f ca="1">G455*1.2*ИД!$C$231</f>
        <v>0</v>
      </c>
      <c r="H593" s="346">
        <f ca="1">H455*1.2*ИД!$C$231</f>
        <v>0</v>
      </c>
      <c r="I593" s="346">
        <f ca="1">I455*1.2*ИД!$C$231</f>
        <v>0</v>
      </c>
      <c r="J593" s="346">
        <f ca="1">J455*1.2*ИД!$C$231</f>
        <v>0</v>
      </c>
      <c r="K593" s="346">
        <f ca="1">K455*1.2*ИД!$C$231</f>
        <v>0</v>
      </c>
      <c r="L593" s="346">
        <f ca="1">L455*1.2*ИД!$C$231</f>
        <v>0</v>
      </c>
      <c r="M593" s="346">
        <f ca="1">M455*1.2*ИД!$C$231</f>
        <v>51512.299750717473</v>
      </c>
      <c r="N593" s="346">
        <f ca="1">N455*1.2*ИД!$C$231</f>
        <v>78223.472655573627</v>
      </c>
      <c r="O593" s="346">
        <f ca="1">O455*1.2*ИД!$C$231</f>
        <v>105587.06611229487</v>
      </c>
      <c r="P593" s="346">
        <f ca="1">P455*1.2*ИД!$C$231</f>
        <v>26723.025435306525</v>
      </c>
      <c r="Q593" s="346">
        <f ca="1">Q455*1.2*ИД!$C$231</f>
        <v>0</v>
      </c>
      <c r="R593" s="346">
        <f ca="1">R455*1.2*ИД!$C$231</f>
        <v>0</v>
      </c>
      <c r="S593" s="346">
        <f ca="1">S455*1.2*ИД!$C$231</f>
        <v>0</v>
      </c>
      <c r="T593" s="346">
        <f ca="1">T455*1.2*ИД!$C$231</f>
        <v>0</v>
      </c>
      <c r="U593" s="346">
        <f ca="1">U455*1.2*ИД!$C$231</f>
        <v>0</v>
      </c>
      <c r="V593" s="346">
        <f ca="1">V455*1.2*ИД!$C$231</f>
        <v>0</v>
      </c>
      <c r="W593" s="346">
        <f ca="1">W455*1.2*ИД!$C$231</f>
        <v>0</v>
      </c>
      <c r="X593" s="346">
        <f ca="1">X455*1.2*ИД!$C$231</f>
        <v>0</v>
      </c>
      <c r="Y593" s="346">
        <f ca="1">Y455*1.2*ИД!$C$231</f>
        <v>0</v>
      </c>
      <c r="Z593" s="346">
        <f ca="1">Z455*1.2*ИД!$C$231</f>
        <v>0</v>
      </c>
      <c r="AA593" s="346">
        <f ca="1">AA455*1.2*ИД!$C$231</f>
        <v>0</v>
      </c>
      <c r="AB593" s="346">
        <f ca="1">AB455*1.2*ИД!$C$231</f>
        <v>0</v>
      </c>
      <c r="AC593" s="346">
        <f ca="1">AC455*1.2*ИД!$C$231</f>
        <v>0</v>
      </c>
      <c r="AD593" s="346">
        <f ca="1">AD455*1.2*ИД!$C$231</f>
        <v>0</v>
      </c>
      <c r="AE593" s="346">
        <f ca="1">AE455*1.2*ИД!$C$231</f>
        <v>0</v>
      </c>
      <c r="AF593" s="346">
        <f ca="1">AF455*1.2*ИД!$C$231</f>
        <v>0</v>
      </c>
      <c r="AG593" s="346">
        <f ca="1">AG455*1.2*ИД!$C$231</f>
        <v>0</v>
      </c>
      <c r="AH593" s="346">
        <f ca="1">AH455*1.2*ИД!$C$231</f>
        <v>0</v>
      </c>
      <c r="AI593" s="346">
        <f ca="1">AI455*1.2*ИД!$C$231</f>
        <v>0</v>
      </c>
      <c r="AJ593" s="346">
        <f ca="1">AJ455*1.2*ИД!$C$231</f>
        <v>0</v>
      </c>
      <c r="AK593" s="346">
        <f ca="1">AK455*1.2*ИД!$C$231</f>
        <v>0</v>
      </c>
      <c r="AL593" s="346">
        <f ca="1">AL455*1.2*ИД!$C$231</f>
        <v>0</v>
      </c>
      <c r="AM593" s="346">
        <f ca="1">AM455*1.2*ИД!$C$231</f>
        <v>0</v>
      </c>
      <c r="AN593" s="346">
        <f ca="1">AN455*1.2*ИД!$C$231</f>
        <v>0</v>
      </c>
      <c r="AO593" s="346">
        <f ca="1">AO455*1.2*ИД!$C$231</f>
        <v>0</v>
      </c>
      <c r="AP593" s="346">
        <f ca="1">AP455*1.2*ИД!$C$231</f>
        <v>0</v>
      </c>
      <c r="AQ593" s="346">
        <f ca="1">AQ455*1.2*ИД!$C$231</f>
        <v>0</v>
      </c>
      <c r="AR593" s="346">
        <f ca="1">AR455*1.2*ИД!$C$231</f>
        <v>0</v>
      </c>
      <c r="AS593" s="94"/>
      <c r="AT593" s="84">
        <f ca="1">SUM(E593:AS593)</f>
        <v>262045.86395389249</v>
      </c>
    </row>
    <row r="594" spans="1:46" ht="11.25" customHeight="1" x14ac:dyDescent="0.2">
      <c r="A594" s="93" t="s">
        <v>91</v>
      </c>
      <c r="B594" s="215">
        <f ca="1">AT594</f>
        <v>262045.86395389249</v>
      </c>
      <c r="C594" s="3" t="str">
        <f>CHOOSE(C586,Параметры!$B$64,Параметры!$B$108,Параметры!$B$117)</f>
        <v>тыс. руб.</v>
      </c>
      <c r="E594" s="346">
        <f ca="1">IF(E$2&gt;=$B598+$B590,IF($B591,MIN($B593/($B589-($B590)),D595),IFERROR(-PPMT($B587/4,E$2-$B590-$B598+1,$B589-$B590,$B593,0),0)),0)</f>
        <v>0</v>
      </c>
      <c r="F594" s="346">
        <f t="shared" ref="F594" ca="1" si="315">IF(F$2&gt;=$B598+$B590,IF($B591,MIN($B593/($B589-($B590)),E595),IFERROR(-PPMT($B587/4,F$2-$B590-$B598+1,$B589-$B590,$B593,0),0)),0)</f>
        <v>0</v>
      </c>
      <c r="G594" s="346">
        <f t="shared" ref="G594" ca="1" si="316">IF(G$2&gt;=$B598+$B590,IF($B591,MIN($B593/($B589-($B590)),F595),IFERROR(-PPMT($B587/4,G$2-$B590-$B598+1,$B589-$B590,$B593,0),0)),0)</f>
        <v>0</v>
      </c>
      <c r="H594" s="346">
        <f t="shared" ref="H594" ca="1" si="317">IF(H$2&gt;=$B598+$B590,IF($B591,MIN($B593/($B589-($B590)),G595),IFERROR(-PPMT($B587/4,H$2-$B590-$B598+1,$B589-$B590,$B593,0),0)),0)</f>
        <v>0</v>
      </c>
      <c r="I594" s="346">
        <f t="shared" ref="I594" ca="1" si="318">IF(I$2&gt;=$B598+$B590,IF($B591,MIN($B593/($B589-($B590)),H595),IFERROR(-PPMT($B587/4,I$2-$B590-$B598+1,$B589-$B590,$B593,0),0)),0)</f>
        <v>0</v>
      </c>
      <c r="J594" s="346">
        <f t="shared" ref="J594" ca="1" si="319">IF(J$2&gt;=$B598+$B590,IF($B591,MIN($B593/($B589-($B590)),I595),IFERROR(-PPMT($B587/4,J$2-$B590-$B598+1,$B589-$B590,$B593,0),0)),0)</f>
        <v>0</v>
      </c>
      <c r="K594" s="346">
        <f t="shared" ref="K594" ca="1" si="320">IF(K$2&gt;=$B598+$B590,IF($B591,MIN($B593/($B589-($B590)),J595),IFERROR(-PPMT($B587/4,K$2-$B590-$B598+1,$B589-$B590,$B593,0),0)),0)</f>
        <v>0</v>
      </c>
      <c r="L594" s="346">
        <f t="shared" ref="L594" ca="1" si="321">IF(L$2&gt;=$B598+$B590,IF($B591,MIN($B593/($B589-($B590)),K595),IFERROR(-PPMT($B587/4,L$2-$B590-$B598+1,$B589-$B590,$B593,0),0)),0)</f>
        <v>0</v>
      </c>
      <c r="M594" s="346">
        <f t="shared" ref="M594" ca="1" si="322">IF(M$2&gt;=$B598+$B590,IF($B591,MIN($B593/($B589-($B590)),L595),IFERROR(-PPMT($B587/4,M$2-$B590-$B598+1,$B589-$B590,$B593,0),0)),0)</f>
        <v>0</v>
      </c>
      <c r="N594" s="346">
        <f t="shared" ref="N594" ca="1" si="323">IF(N$2&gt;=$B598+$B590,IF($B591,MIN($B593/($B589-($B590)),M595),IFERROR(-PPMT($B587/4,N$2-$B590-$B598+1,$B589-$B590,$B593,0),0)),0)</f>
        <v>0</v>
      </c>
      <c r="O594" s="346">
        <f t="shared" ref="O594" ca="1" si="324">IF(O$2&gt;=$B598+$B590,IF($B591,MIN($B593/($B589-($B590)),N595),IFERROR(-PPMT($B587/4,O$2-$B590-$B598+1,$B589-$B590,$B593,0),0)),0)</f>
        <v>0</v>
      </c>
      <c r="P594" s="346">
        <f t="shared" ref="P594" ca="1" si="325">IF(P$2&gt;=$B598+$B590,IF($B591,MIN($B593/($B589-($B590)),O595),IFERROR(-PPMT($B587/4,P$2-$B590-$B598+1,$B589-$B590,$B593,0),0)),0)</f>
        <v>0</v>
      </c>
      <c r="Q594" s="346">
        <f t="shared" ref="Q594" ca="1" si="326">IF(Q$2&gt;=$B598+$B590,IF($B591,MIN($B593/($B589-($B590)),P595),IFERROR(-PPMT($B587/4,Q$2-$B590-$B598+1,$B589-$B590,$B593,0),0)),0)</f>
        <v>8354.0821267934862</v>
      </c>
      <c r="R594" s="346">
        <f t="shared" ref="R594" ca="1" si="327">IF(R$2&gt;=$B598+$B590,IF($B591,MIN($B593/($B589-($B590)),Q595),IFERROR(-PPMT($B587/4,R$2-$B590-$B598+1,$B589-$B590,$B593,0),0)),0)</f>
        <v>8542.048974646339</v>
      </c>
      <c r="S594" s="346">
        <f t="shared" ref="S594" ca="1" si="328">IF(S$2&gt;=$B598+$B590,IF($B591,MIN($B593/($B589-($B590)),R595),IFERROR(-PPMT($B587/4,S$2-$B590-$B598+1,$B589-$B590,$B593,0),0)),0)</f>
        <v>8734.2450765758822</v>
      </c>
      <c r="T594" s="346">
        <f t="shared" ref="T594" ca="1" si="329">IF(T$2&gt;=$B598+$B590,IF($B591,MIN($B593/($B589-($B590)),S595),IFERROR(-PPMT($B587/4,T$2-$B590-$B598+1,$B589-$B590,$B593,0),0)),0)</f>
        <v>8930.7655907988392</v>
      </c>
      <c r="U594" s="346">
        <f t="shared" ref="U594" ca="1" si="330">IF(U$2&gt;=$B598+$B590,IF($B591,MIN($B593/($B589-($B590)),T595),IFERROR(-PPMT($B587/4,U$2-$B590-$B598+1,$B589-$B590,$B593,0),0)),0)</f>
        <v>9131.7078165918138</v>
      </c>
      <c r="V594" s="346">
        <f t="shared" ref="V594" ca="1" si="331">IF(V$2&gt;=$B598+$B590,IF($B591,MIN($B593/($B589-($B590)),U595),IFERROR(-PPMT($B587/4,V$2-$B590-$B598+1,$B589-$B590,$B593,0),0)),0)</f>
        <v>9337.1712424651287</v>
      </c>
      <c r="W594" s="346">
        <f t="shared" ref="W594" ca="1" si="332">IF(W$2&gt;=$B598+$B590,IF($B591,MIN($B593/($B589-($B590)),V595),IFERROR(-PPMT($B587/4,W$2-$B590-$B598+1,$B589-$B590,$B593,0),0)),0)</f>
        <v>9547.257595420595</v>
      </c>
      <c r="X594" s="346">
        <f t="shared" ref="X594" ca="1" si="333">IF(X$2&gt;=$B598+$B590,IF($B591,MIN($B593/($B589-($B590)),W595),IFERROR(-PPMT($B587/4,X$2-$B590-$B598+1,$B589-$B590,$B593,0),0)),0)</f>
        <v>9762.0708913175586</v>
      </c>
      <c r="Y594" s="346">
        <f t="shared" ref="Y594" ca="1" si="334">IF(Y$2&gt;=$B598+$B590,IF($B591,MIN($B593/($B589-($B590)),X595),IFERROR(-PPMT($B587/4,Y$2-$B590-$B598+1,$B589-$B590,$B593,0),0)),0)</f>
        <v>9981.717486372203</v>
      </c>
      <c r="Z594" s="346">
        <f t="shared" ref="Z594" ca="1" si="335">IF(Z$2&gt;=$B598+$B590,IF($B591,MIN($B593/($B589-($B590)),Y595),IFERROR(-PPMT($B587/4,Z$2-$B590-$B598+1,$B589-$B590,$B593,0),0)),0)</f>
        <v>10206.306129815579</v>
      </c>
      <c r="AA594" s="346">
        <f t="shared" ref="AA594" ca="1" si="336">IF(AA$2&gt;=$B598+$B590,IF($B591,MIN($B593/($B589-($B590)),Z595),IFERROR(-PPMT($B587/4,AA$2-$B590-$B598+1,$B589-$B590,$B593,0),0)),0)</f>
        <v>10435.948017736429</v>
      </c>
      <c r="AB594" s="346">
        <f t="shared" ref="AB594" ca="1" si="337">IF(AB$2&gt;=$B598+$B590,IF($B591,MIN($B593/($B589-($B590)),AA595),IFERROR(-PPMT($B587/4,AB$2-$B590-$B598+1,$B589-$B590,$B593,0),0)),0)</f>
        <v>10670.756848135499</v>
      </c>
      <c r="AC594" s="346">
        <f t="shared" ref="AC594" ca="1" si="338">IF(AC$2&gt;=$B598+$B590,IF($B591,MIN($B593/($B589-($B590)),AB595),IFERROR(-PPMT($B587/4,AC$2-$B590-$B598+1,$B589-$B590,$B593,0),0)),0)</f>
        <v>10910.848877218546</v>
      </c>
      <c r="AD594" s="346">
        <f t="shared" ref="AD594" ca="1" si="339">IF(AD$2&gt;=$B598+$B590,IF($B591,MIN($B593/($B589-($B590)),AC595),IFERROR(-PPMT($B587/4,AD$2-$B590-$B598+1,$B589-$B590,$B593,0),0)),0)</f>
        <v>11156.342976955963</v>
      </c>
      <c r="AE594" s="346">
        <f t="shared" ref="AE594" ca="1" si="340">IF(AE$2&gt;=$B598+$B590,IF($B591,MIN($B593/($B589-($B590)),AD595),IFERROR(-PPMT($B587/4,AE$2-$B590-$B598+1,$B589-$B590,$B593,0),0)),0)</f>
        <v>11407.360693937473</v>
      </c>
      <c r="AF594" s="346">
        <f t="shared" ref="AF594" ca="1" si="341">IF(AF$2&gt;=$B598+$B590,IF($B591,MIN($B593/($B589-($B590)),AE595),IFERROR(-PPMT($B587/4,AF$2-$B590-$B598+1,$B589-$B590,$B593,0),0)),0)</f>
        <v>11664.026309551067</v>
      </c>
      <c r="AG594" s="346">
        <f t="shared" ref="AG594" ca="1" si="342">IF(AG$2&gt;=$B598+$B590,IF($B591,MIN($B593/($B589-($B590)),AF595),IFERROR(-PPMT($B587/4,AG$2-$B590-$B598+1,$B589-$B590,$B593,0),0)),0)</f>
        <v>11926.466901515965</v>
      </c>
      <c r="AH594" s="346">
        <f t="shared" ref="AH594" ca="1" si="343">IF(AH$2&gt;=$B598+$B590,IF($B591,MIN($B593/($B589-($B590)),AG595),IFERROR(-PPMT($B587/4,AH$2-$B590-$B598+1,$B589-$B590,$B593,0),0)),0)</f>
        <v>12194.812406800074</v>
      </c>
      <c r="AI594" s="346">
        <f t="shared" ref="AI594" ca="1" si="344">IF(AI$2&gt;=$B598+$B590,IF($B591,MIN($B593/($B589-($B590)),AH595),IFERROR(-PPMT($B587/4,AI$2-$B590-$B598+1,$B589-$B590,$B593,0),0)),0)</f>
        <v>12469.195685953075</v>
      </c>
      <c r="AJ594" s="346">
        <f t="shared" ref="AJ594" ca="1" si="345">IF(AJ$2&gt;=$B598+$B590,IF($B591,MIN($B593/($B589-($B590)),AI595),IFERROR(-PPMT($B587/4,AJ$2-$B590-$B598+1,$B589-$B590,$B593,0),0)),0)</f>
        <v>12749.75258888702</v>
      </c>
      <c r="AK594" s="346">
        <f t="shared" ref="AK594" ca="1" si="346">IF(AK$2&gt;=$B598+$B590,IF($B591,MIN($B593/($B589-($B590)),AJ595),IFERROR(-PPMT($B587/4,AK$2-$B590-$B598+1,$B589-$B590,$B593,0),0)),0)</f>
        <v>13036.62202213698</v>
      </c>
      <c r="AL594" s="346">
        <f t="shared" ref="AL594" ca="1" si="347">IF(AL$2&gt;=$B598+$B590,IF($B591,MIN($B593/($B589-($B590)),AK595),IFERROR(-PPMT($B587/4,AL$2-$B590-$B598+1,$B589-$B590,$B593,0),0)),0)</f>
        <v>13329.94601763506</v>
      </c>
      <c r="AM594" s="346">
        <f t="shared" ref="AM594" ca="1" si="348">IF(AM$2&gt;=$B598+$B590,IF($B591,MIN($B593/($B589-($B590)),AL595),IFERROR(-PPMT($B587/4,AM$2-$B590-$B598+1,$B589-$B590,$B593,0),0)),0)</f>
        <v>13629.86980303185</v>
      </c>
      <c r="AN594" s="346">
        <f t="shared" ref="AN594" ca="1" si="349">IF(AN$2&gt;=$B598+$B590,IF($B591,MIN($B593/($B589-($B590)),AM595),IFERROR(-PPMT($B587/4,AN$2-$B590-$B598+1,$B589-$B590,$B593,0),0)),0)</f>
        <v>13936.541873600065</v>
      </c>
      <c r="AO594" s="346">
        <f t="shared" ref="AO594" ca="1" si="350">IF(AO$2&gt;=$B598+$B590,IF($B591,MIN($B593/($B589-($B590)),AN595),IFERROR(-PPMT($B587/4,AO$2-$B590-$B598+1,$B589-$B590,$B593,0),0)),0)</f>
        <v>0</v>
      </c>
      <c r="AP594" s="346">
        <f t="shared" ref="AP594" ca="1" si="351">IF(AP$2&gt;=$B598+$B590,IF($B591,MIN($B593/($B589-($B590)),AO595),IFERROR(-PPMT($B587/4,AP$2-$B590-$B598+1,$B589-$B590,$B593,0),0)),0)</f>
        <v>0</v>
      </c>
      <c r="AQ594" s="346">
        <f t="shared" ref="AQ594" ca="1" si="352">IF(AQ$2&gt;=$B598+$B590,IF($B591,MIN($B593/($B589-($B590)),AP595),IFERROR(-PPMT($B587/4,AQ$2-$B590-$B598+1,$B589-$B590,$B593,0),0)),0)</f>
        <v>0</v>
      </c>
      <c r="AR594" s="346">
        <f t="shared" ref="AR594" ca="1" si="353">IF(AR$2&gt;=$B598+$B590,IF($B591,MIN($B593/($B589-($B590)),AQ595),IFERROR(-PPMT($B587/4,AR$2-$B590-$B598+1,$B589-$B590,$B593,0),0)),0)</f>
        <v>0</v>
      </c>
      <c r="AS594" s="94"/>
      <c r="AT594" s="84">
        <f ca="1">SUM(E594:AS594)</f>
        <v>262045.86395389249</v>
      </c>
    </row>
    <row r="595" spans="1:46" ht="11.25" customHeight="1" x14ac:dyDescent="0.2">
      <c r="A595" s="97" t="s">
        <v>94</v>
      </c>
      <c r="B595" s="11"/>
      <c r="C595" s="3" t="str">
        <f>CHOOSE(C586,Параметры!$B$64,Параметры!$B$108,Параметры!$B$117)</f>
        <v>тыс. руб.</v>
      </c>
      <c r="E595" s="98">
        <f ca="1">SUM($E596:E596)-SUM($E597:E597)+SUM($E593:E593)-SUM($E594:E594)</f>
        <v>0</v>
      </c>
      <c r="F595" s="98">
        <f ca="1">SUM($E596:F596)-SUM($E597:F597)+SUM($E593:F593)-SUM($E594:F594)</f>
        <v>0</v>
      </c>
      <c r="G595" s="98">
        <f ca="1">SUM($E596:G596)-SUM($E597:G597)+SUM($E593:G593)-SUM($E594:G594)</f>
        <v>0</v>
      </c>
      <c r="H595" s="98">
        <f ca="1">SUM($E596:H596)-SUM($E597:H597)+SUM($E593:H593)-SUM($E594:H594)</f>
        <v>0</v>
      </c>
      <c r="I595" s="98">
        <f ca="1">SUM($E596:I596)-SUM($E597:I597)+SUM($E593:I593)-SUM($E594:I594)</f>
        <v>0</v>
      </c>
      <c r="J595" s="98">
        <f ca="1">SUM($E596:J596)-SUM($E597:J597)+SUM($E593:J593)-SUM($E594:J594)</f>
        <v>0</v>
      </c>
      <c r="K595" s="98">
        <f ca="1">SUM($E596:K596)-SUM($E597:K597)+SUM($E593:K593)-SUM($E594:K594)</f>
        <v>0</v>
      </c>
      <c r="L595" s="98">
        <f ca="1">SUM($E596:L596)-SUM($E597:L597)+SUM($E593:L593)-SUM($E594:L594)</f>
        <v>0</v>
      </c>
      <c r="M595" s="98">
        <f ca="1">SUM($E596:M596)-SUM($E597:M597)+SUM($E593:M593)-SUM($E594:M594)</f>
        <v>51512.299750717473</v>
      </c>
      <c r="N595" s="98">
        <f ca="1">SUM($E596:N596)-SUM($E597:N597)+SUM($E593:N593)-SUM($E594:N594)</f>
        <v>129735.7724062911</v>
      </c>
      <c r="O595" s="98">
        <f ca="1">SUM($E596:O596)-SUM($E597:O597)+SUM($E593:O593)-SUM($E594:O594)</f>
        <v>235322.83851858595</v>
      </c>
      <c r="P595" s="98">
        <f ca="1">SUM($E596:P596)-SUM($E597:P597)+SUM($E593:P593)-SUM($E594:P594)</f>
        <v>262045.86395389249</v>
      </c>
      <c r="Q595" s="98">
        <f ca="1">SUM($E596:Q596)-SUM($E597:Q597)+SUM($E593:Q593)-SUM($E594:Q594)</f>
        <v>253691.78182709901</v>
      </c>
      <c r="R595" s="98">
        <f ca="1">SUM($E596:R596)-SUM($E597:R597)+SUM($E593:R593)-SUM($E594:R594)</f>
        <v>245149.73285245267</v>
      </c>
      <c r="S595" s="98">
        <f ca="1">SUM($E596:S596)-SUM($E597:S597)+SUM($E593:S593)-SUM($E594:S594)</f>
        <v>236415.48777587677</v>
      </c>
      <c r="T595" s="98">
        <f ca="1">SUM($E596:T596)-SUM($E597:T597)+SUM($E593:T593)-SUM($E594:T594)</f>
        <v>227484.72218507796</v>
      </c>
      <c r="U595" s="98">
        <f ca="1">SUM($E596:U596)-SUM($E597:U597)+SUM($E593:U593)-SUM($E594:U594)</f>
        <v>218353.01436848613</v>
      </c>
      <c r="V595" s="98">
        <f ca="1">SUM($E596:V596)-SUM($E597:V597)+SUM($E593:V593)-SUM($E594:V594)</f>
        <v>209015.84312602101</v>
      </c>
      <c r="W595" s="98">
        <f ca="1">SUM($E596:W596)-SUM($E597:W597)+SUM($E593:W593)-SUM($E594:W594)</f>
        <v>199468.58553060039</v>
      </c>
      <c r="X595" s="98">
        <f ca="1">SUM($E596:X596)-SUM($E597:X597)+SUM($E593:X593)-SUM($E594:X594)</f>
        <v>189706.51463928283</v>
      </c>
      <c r="Y595" s="98">
        <f ca="1">SUM($E596:Y596)-SUM($E597:Y597)+SUM($E593:Y593)-SUM($E594:Y594)</f>
        <v>179724.79715291064</v>
      </c>
      <c r="Z595" s="98">
        <f ca="1">SUM($E596:Z596)-SUM($E597:Z597)+SUM($E593:Z593)-SUM($E594:Z594)</f>
        <v>169518.49102309506</v>
      </c>
      <c r="AA595" s="98">
        <f ca="1">SUM($E596:AA596)-SUM($E597:AA597)+SUM($E593:AA593)-SUM($E594:AA594)</f>
        <v>159082.54300535863</v>
      </c>
      <c r="AB595" s="98">
        <f ca="1">SUM($E596:AB596)-SUM($E597:AB597)+SUM($E593:AB593)-SUM($E594:AB594)</f>
        <v>148411.78615722313</v>
      </c>
      <c r="AC595" s="98">
        <f ca="1">SUM($E596:AC596)-SUM($E597:AC597)+SUM($E593:AC593)-SUM($E594:AC594)</f>
        <v>137500.93728000458</v>
      </c>
      <c r="AD595" s="98">
        <f ca="1">SUM($E596:AD596)-SUM($E597:AD597)+SUM($E593:AD593)-SUM($E594:AD594)</f>
        <v>126344.59430304862</v>
      </c>
      <c r="AE595" s="98">
        <f ca="1">SUM($E596:AE596)-SUM($E597:AE597)+SUM($E593:AE593)-SUM($E594:AE594)</f>
        <v>114937.23360911116</v>
      </c>
      <c r="AF595" s="98">
        <f ca="1">SUM($E596:AF596)-SUM($E597:AF597)+SUM($E593:AF593)-SUM($E594:AF594)</f>
        <v>103273.2072995601</v>
      </c>
      <c r="AG595" s="98">
        <f ca="1">SUM($E596:AG596)-SUM($E597:AG597)+SUM($E593:AG593)-SUM($E594:AG594)</f>
        <v>91346.740398044145</v>
      </c>
      <c r="AH595" s="98">
        <f ca="1">SUM($E596:AH596)-SUM($E597:AH597)+SUM($E593:AH593)-SUM($E594:AH594)</f>
        <v>79151.927991244069</v>
      </c>
      <c r="AI595" s="98">
        <f ca="1">SUM($E596:AI596)-SUM($E597:AI597)+SUM($E593:AI593)-SUM($E594:AI594)</f>
        <v>66682.732305290992</v>
      </c>
      <c r="AJ595" s="98">
        <f ca="1">SUM($E596:AJ596)-SUM($E597:AJ597)+SUM($E593:AJ593)-SUM($E594:AJ594)</f>
        <v>53932.979716403963</v>
      </c>
      <c r="AK595" s="98">
        <f ca="1">SUM($E596:AK596)-SUM($E597:AK597)+SUM($E593:AK593)-SUM($E594:AK594)</f>
        <v>40896.357694266975</v>
      </c>
      <c r="AL595" s="98">
        <f ca="1">SUM($E596:AL596)-SUM($E597:AL597)+SUM($E593:AL593)-SUM($E594:AL594)</f>
        <v>27566.41167663192</v>
      </c>
      <c r="AM595" s="98">
        <f ca="1">SUM($E596:AM596)-SUM($E597:AM597)+SUM($E593:AM593)-SUM($E594:AM594)</f>
        <v>13936.541873600072</v>
      </c>
      <c r="AN595" s="98">
        <f ca="1">SUM($E596:AN596)-SUM($E597:AN597)+SUM($E593:AN593)-SUM($E594:AN594)</f>
        <v>0</v>
      </c>
      <c r="AO595" s="98">
        <f ca="1">SUM($E596:AO596)-SUM($E597:AO597)+SUM($E593:AO593)-SUM($E594:AO594)</f>
        <v>0</v>
      </c>
      <c r="AP595" s="98">
        <f ca="1">SUM($E596:AP596)-SUM($E597:AP597)+SUM($E593:AP593)-SUM($E594:AP594)</f>
        <v>0</v>
      </c>
      <c r="AQ595" s="98">
        <f ca="1">SUM($E596:AQ596)-SUM($E597:AQ597)+SUM($E593:AQ593)-SUM($E594:AQ594)</f>
        <v>0</v>
      </c>
      <c r="AR595" s="98">
        <f ca="1">SUM($E596:AR596)-SUM($E597:AR597)+SUM($E593:AR593)-SUM($E594:AR594)</f>
        <v>0</v>
      </c>
      <c r="AS595" s="99"/>
      <c r="AT595" s="100"/>
    </row>
    <row r="596" spans="1:46" ht="11.25" customHeight="1" x14ac:dyDescent="0.2">
      <c r="A596" s="97" t="s">
        <v>92</v>
      </c>
      <c r="B596" s="215">
        <f ca="1">AT596</f>
        <v>88395.934885315291</v>
      </c>
      <c r="C596" s="3" t="str">
        <f>CHOOSE(C586,Параметры!$B$64,Параметры!$B$108,Параметры!$B$117)</f>
        <v>тыс. руб.</v>
      </c>
      <c r="E596" s="98">
        <f ca="1">MAX((SUM($E593:E593)-SUM($E594:E594)+IF(AND($B592=1,Параметры!E$36&gt;1),SUM($D596:D596)-SUM($D597:D597),0)),0)*E587/12*Параметры!E$40</f>
        <v>0</v>
      </c>
      <c r="F596" s="98">
        <f ca="1">MAX((SUM($E593:F593)-SUM($E594:F594)+IF(AND($B592=1,Параметры!F$36&gt;1),SUM($D596:E596)-SUM($D597:E597),0)),0)*F587/12*Параметры!F$40</f>
        <v>0</v>
      </c>
      <c r="G596" s="98">
        <f ca="1">MAX((SUM($E593:G593)-SUM($E594:G594)+IF(AND($B592=1,Параметры!G$36&gt;1),SUM($D596:F596)-SUM($D597:F597),0)),0)*G587/12*Параметры!G$40</f>
        <v>0</v>
      </c>
      <c r="H596" s="98">
        <f ca="1">MAX((SUM($E593:H593)-SUM($E594:H594)+IF(AND($B592=1,Параметры!H$36&gt;1),SUM($D596:G596)-SUM($D597:G597),0)),0)*H587/12*Параметры!H$40</f>
        <v>0</v>
      </c>
      <c r="I596" s="98">
        <f ca="1">MAX((SUM($E593:I593)-SUM($E594:I594)+IF(AND($B592=1,Параметры!I$36&gt;1),SUM($D596:H596)-SUM($D597:H597),0)),0)*I587/12*Параметры!I$40</f>
        <v>0</v>
      </c>
      <c r="J596" s="98">
        <f ca="1">MAX((SUM($E593:J593)-SUM($E594:J594)+IF(AND($B592=1,Параметры!J$36&gt;1),SUM($D596:I596)-SUM($D597:I597),0)),0)*J587/12*Параметры!J$40</f>
        <v>0</v>
      </c>
      <c r="K596" s="98">
        <f ca="1">MAX((SUM($E593:K593)-SUM($E594:K594)+IF(AND($B592=1,Параметры!K$36&gt;1),SUM($D596:J596)-SUM($D597:J597),0)),0)*K587/12*Параметры!K$40</f>
        <v>0</v>
      </c>
      <c r="L596" s="98">
        <f ca="1">MAX((SUM($E593:L593)-SUM($E594:L594)+IF(AND($B592=1,Параметры!L$36&gt;1),SUM($D596:K596)-SUM($D597:K597),0)),0)*L587/12*Параметры!L$40</f>
        <v>0</v>
      </c>
      <c r="M596" s="98">
        <f ca="1">MAX((SUM($E593:M593)-SUM($E594:M594)+IF(AND($B592=1,Параметры!M$36&gt;1),SUM($D596:L596)-SUM($D597:L597),0)),0)*M587/12*Параметры!M$40</f>
        <v>1159.0267443911432</v>
      </c>
      <c r="N596" s="98">
        <f ca="1">MAX((SUM($E593:N593)-SUM($E594:N594)+IF(AND($B592=1,Параметры!N$36&gt;1),SUM($D596:M596)-SUM($D597:M597),0)),0)*N587/12*Параметры!N$40</f>
        <v>2919.0548791415495</v>
      </c>
      <c r="O596" s="98">
        <f ca="1">MAX((SUM($E593:O593)-SUM($E594:O594)+IF(AND($B592=1,Параметры!O$36&gt;1),SUM($D596:N596)-SUM($D597:N597),0)),0)*O587/12*Параметры!O$40</f>
        <v>5294.7638666681842</v>
      </c>
      <c r="P596" s="98">
        <f ca="1">MAX((SUM($E593:P593)-SUM($E594:P594)+IF(AND($B592=1,Параметры!P$36&gt;1),SUM($D596:O596)-SUM($D597:O597),0)),0)*P587/12*Параметры!P$40</f>
        <v>5896.0319389625811</v>
      </c>
      <c r="Q596" s="98">
        <f ca="1">MAX((SUM($E593:Q593)-SUM($E594:Q594)+IF(AND($B592=1,Параметры!Q$36&gt;1),SUM($D596:P596)-SUM($D597:P597),0)),0)*Q587/12*Параметры!Q$40</f>
        <v>5708.0650911097273</v>
      </c>
      <c r="R596" s="98">
        <f ca="1">MAX((SUM($E593:R593)-SUM($E594:R594)+IF(AND($B592=1,Параметры!R$36&gt;1),SUM($D596:Q596)-SUM($D597:Q597),0)),0)*R587/12*Параметры!R$40</f>
        <v>5515.8689891801851</v>
      </c>
      <c r="S596" s="98">
        <f ca="1">MAX((SUM($E593:S593)-SUM($E594:S594)+IF(AND($B592=1,Параметры!S$36&gt;1),SUM($D596:R596)-SUM($D597:R597),0)),0)*S587/12*Параметры!S$40</f>
        <v>5319.3484749572272</v>
      </c>
      <c r="T596" s="98">
        <f ca="1">MAX((SUM($E593:T593)-SUM($E594:T594)+IF(AND($B592=1,Параметры!T$36&gt;1),SUM($D596:S596)-SUM($D597:S597),0)),0)*T587/12*Параметры!T$40</f>
        <v>5118.4062491642535</v>
      </c>
      <c r="U596" s="98">
        <f ca="1">MAX((SUM($E593:U593)-SUM($E594:U594)+IF(AND($B592=1,Параметры!U$36&gt;1),SUM($D596:T596)-SUM($D597:T597),0)),0)*U587/12*Параметры!U$40</f>
        <v>4912.9428232909377</v>
      </c>
      <c r="V596" s="98">
        <f ca="1">MAX((SUM($E593:V593)-SUM($E594:V594)+IF(AND($B592=1,Параметры!V$36&gt;1),SUM($D596:U596)-SUM($D597:U597),0)),0)*V587/12*Параметры!V$40</f>
        <v>4702.8564703354723</v>
      </c>
      <c r="W596" s="98">
        <f ca="1">MAX((SUM($E593:W593)-SUM($E594:W594)+IF(AND($B592=1,Параметры!W$36&gt;1),SUM($D596:V596)-SUM($D597:V597),0)),0)*W587/12*Параметры!W$40</f>
        <v>4488.0431744385087</v>
      </c>
      <c r="X596" s="98">
        <f ca="1">MAX((SUM($E593:X593)-SUM($E594:X594)+IF(AND($B592=1,Параметры!X$36&gt;1),SUM($D596:W596)-SUM($D597:W597),0)),0)*X587/12*Параметры!X$40</f>
        <v>4268.3965793838634</v>
      </c>
      <c r="Y596" s="98">
        <f ca="1">MAX((SUM($E593:Y593)-SUM($E594:Y594)+IF(AND($B592=1,Параметры!Y$36&gt;1),SUM($D596:X596)-SUM($D597:X597),0)),0)*Y587/12*Параметры!Y$40</f>
        <v>4043.8079359404892</v>
      </c>
      <c r="Z596" s="98">
        <f ca="1">MAX((SUM($E593:Z593)-SUM($E594:Z594)+IF(AND($B592=1,Параметры!Z$36&gt;1),SUM($D596:Y596)-SUM($D597:Y597),0)),0)*Z587/12*Параметры!Z$40</f>
        <v>3814.1660480196388</v>
      </c>
      <c r="AA596" s="98">
        <f ca="1">MAX((SUM($E593:AA593)-SUM($E594:AA594)+IF(AND($B592=1,Параметры!AA$36&gt;1),SUM($D596:Z596)-SUM($D597:Z597),0)),0)*AA587/12*Параметры!AA$40</f>
        <v>3579.3572176205689</v>
      </c>
      <c r="AB596" s="98">
        <f ca="1">MAX((SUM($E593:AB593)-SUM($E594:AB594)+IF(AND($B592=1,Параметры!AB$36&gt;1),SUM($D596:AA596)-SUM($D597:AA597),0)),0)*AB587/12*Параметры!AB$40</f>
        <v>3339.2651885375208</v>
      </c>
      <c r="AC596" s="98">
        <f ca="1">MAX((SUM($E593:AC593)-SUM($E594:AC594)+IF(AND($B592=1,Параметры!AC$36&gt;1),SUM($D596:AB596)-SUM($D597:AB597),0)),0)*AC587/12*Параметры!AC$40</f>
        <v>3093.7710888001029</v>
      </c>
      <c r="AD596" s="98">
        <f ca="1">MAX((SUM($E593:AD593)-SUM($E594:AD594)+IF(AND($B592=1,Параметры!AD$36&gt;1),SUM($D596:AC596)-SUM($D597:AC597),0)),0)*AD587/12*Параметры!AD$40</f>
        <v>2842.7533718185941</v>
      </c>
      <c r="AE596" s="98">
        <f ca="1">MAX((SUM($E593:AE593)-SUM($E594:AE594)+IF(AND($B592=1,Параметры!AE$36&gt;1),SUM($D596:AD596)-SUM($D597:AD597),0)),0)*AE587/12*Параметры!AE$40</f>
        <v>2586.0877562050009</v>
      </c>
      <c r="AF596" s="98">
        <f ca="1">MAX((SUM($E593:AF593)-SUM($E594:AF594)+IF(AND($B592=1,Параметры!AF$36&gt;1),SUM($D596:AE596)-SUM($D597:AE597),0)),0)*AF587/12*Параметры!AF$40</f>
        <v>2323.6471642401025</v>
      </c>
      <c r="AG596" s="98">
        <f ca="1">MAX((SUM($E593:AG593)-SUM($E594:AG594)+IF(AND($B592=1,Параметры!AG$36&gt;1),SUM($D596:AF596)-SUM($D597:AF597),0)),0)*AG587/12*Параметры!AG$40</f>
        <v>1826.9348079608831</v>
      </c>
      <c r="AH596" s="98">
        <f ca="1">MAX((SUM($E593:AH593)-SUM($E594:AH594)+IF(AND($B592=1,Параметры!AH$36&gt;1),SUM($D596:AG596)-SUM($D597:AG597),0)),0)*AH587/12*Параметры!AH$40</f>
        <v>1583.0385598248813</v>
      </c>
      <c r="AI596" s="98">
        <f ca="1">MAX((SUM($E593:AI593)-SUM($E594:AI594)+IF(AND($B592=1,Параметры!AI$36&gt;1),SUM($D596:AH596)-SUM($D597:AH597),0)),0)*AI587/12*Параметры!AI$40</f>
        <v>1333.6546461058199</v>
      </c>
      <c r="AJ596" s="98">
        <f ca="1">MAX((SUM($E593:AJ593)-SUM($E594:AJ594)+IF(AND($B592=1,Параметры!AJ$36&gt;1),SUM($D596:AI596)-SUM($D597:AI597),0)),0)*AJ587/12*Параметры!AJ$40</f>
        <v>1078.6595943280793</v>
      </c>
      <c r="AK596" s="98">
        <f ca="1">MAX((SUM($E593:AK593)-SUM($E594:AK594)+IF(AND($B592=1,Параметры!AK$36&gt;1),SUM($D596:AJ596)-SUM($D597:AJ597),0)),0)*AK587/12*Параметры!AK$40</f>
        <v>817.92715388533952</v>
      </c>
      <c r="AL596" s="98">
        <f ca="1">MAX((SUM($E593:AL593)-SUM($E594:AL594)+IF(AND($B592=1,Параметры!AL$36&gt;1),SUM($D596:AK596)-SUM($D597:AK597),0)),0)*AL587/12*Параметры!AL$40</f>
        <v>551.32823353263836</v>
      </c>
      <c r="AM596" s="98">
        <f ca="1">MAX((SUM($E593:AM593)-SUM($E594:AM594)+IF(AND($B592=1,Параметры!AM$36&gt;1),SUM($D596:AL596)-SUM($D597:AL597),0)),0)*AM587/12*Параметры!AM$40</f>
        <v>278.73083747200144</v>
      </c>
      <c r="AN596" s="98">
        <f ca="1">MAX((SUM($E593:AN593)-SUM($E594:AN594)+IF(AND($B592=1,Параметры!AN$36&gt;1),SUM($D596:AM596)-SUM($D597:AM597),0)),0)*AN587/12*Параметры!AN$40</f>
        <v>0</v>
      </c>
      <c r="AO596" s="98">
        <f ca="1">MAX((SUM($E593:AO593)-SUM($E594:AO594)+IF(AND($B592=1,Параметры!AO$36&gt;1),SUM($D596:AN596)-SUM($D597:AN597),0)),0)*AO587/12*Параметры!AO$40</f>
        <v>0</v>
      </c>
      <c r="AP596" s="98">
        <f ca="1">MAX((SUM($E593:AP593)-SUM($E594:AP594)+IF(AND($B592=1,Параметры!AP$36&gt;1),SUM($D596:AO596)-SUM($D597:AO597),0)),0)*AP587/12*Параметры!AP$40</f>
        <v>0</v>
      </c>
      <c r="AQ596" s="98">
        <f ca="1">MAX((SUM($E593:AQ593)-SUM($E594:AQ594)+IF(AND($B592=1,Параметры!AQ$36&gt;1),SUM($D596:AP596)-SUM($D597:AP597),0)),0)*AQ587/12*Параметры!AQ$40</f>
        <v>0</v>
      </c>
      <c r="AR596" s="98">
        <f ca="1">MAX((SUM($E593:AR593)-SUM($E594:AR594)+IF(AND($B592=1,Параметры!AR$36&gt;1),SUM($D596:AQ596)-SUM($D597:AQ597),0)),0)*AR587/12*Параметры!AR$40</f>
        <v>0</v>
      </c>
      <c r="AS596" s="99"/>
      <c r="AT596" s="100">
        <f ca="1">SUM(E596:AS596)</f>
        <v>88395.934885315291</v>
      </c>
    </row>
    <row r="597" spans="1:46" ht="11.25" customHeight="1" collapsed="1" x14ac:dyDescent="0.2">
      <c r="A597" s="101" t="s">
        <v>93</v>
      </c>
      <c r="B597" s="216">
        <f ca="1">AT597</f>
        <v>88395.934885315291</v>
      </c>
      <c r="C597" s="2" t="str">
        <f>CHOOSE(C586,Параметры!$B$64,Параметры!$B$108,Параметры!$B$117)</f>
        <v>тыс. руб.</v>
      </c>
      <c r="E597" s="353">
        <f ca="1">IF(Параметры!E$36&gt;=E598+$B588,E596,0)</f>
        <v>0</v>
      </c>
      <c r="F597" s="353">
        <f ca="1">IF(Параметры!F$36&gt;=F598+$B588,F596,0)</f>
        <v>0</v>
      </c>
      <c r="G597" s="353">
        <f ca="1">IF(Параметры!G$36&gt;=G598+$B588,G596,0)</f>
        <v>0</v>
      </c>
      <c r="H597" s="353">
        <f ca="1">IF(Параметры!H$36&gt;=H598+$B588,H596,0)</f>
        <v>0</v>
      </c>
      <c r="I597" s="353">
        <f ca="1">IF(Параметры!I$36&gt;=I598+$B588,I596,0)</f>
        <v>0</v>
      </c>
      <c r="J597" s="353">
        <f ca="1">IF(Параметры!J$36&gt;=J598+$B588,J596,0)</f>
        <v>0</v>
      </c>
      <c r="K597" s="353">
        <f ca="1">IF(Параметры!K$36&gt;=K598+$B588,K596,0)</f>
        <v>0</v>
      </c>
      <c r="L597" s="353">
        <f ca="1">IF(Параметры!L$36&gt;=L598+$B588,L596,0)</f>
        <v>0</v>
      </c>
      <c r="M597" s="353">
        <f ca="1">IF(Параметры!M$36&gt;=M598+$B588,M596,0)</f>
        <v>1159.0267443911432</v>
      </c>
      <c r="N597" s="353">
        <f ca="1">IF(Параметры!N$36&gt;=N598+$B588,N596,0)</f>
        <v>2919.0548791415495</v>
      </c>
      <c r="O597" s="353">
        <f ca="1">IF(Параметры!O$36&gt;=O598+$B588,O596,0)</f>
        <v>5294.7638666681842</v>
      </c>
      <c r="P597" s="353">
        <f ca="1">IF(Параметры!P$36&gt;=P598+$B588,P596,0)</f>
        <v>5896.0319389625811</v>
      </c>
      <c r="Q597" s="353">
        <f ca="1">IF(Параметры!Q$36&gt;=Q598+$B588,Q596,0)</f>
        <v>5708.0650911097273</v>
      </c>
      <c r="R597" s="353">
        <f ca="1">IF(Параметры!R$36&gt;=R598+$B588,R596,0)</f>
        <v>5515.8689891801851</v>
      </c>
      <c r="S597" s="353">
        <f ca="1">IF(Параметры!S$36&gt;=S598+$B588,S596,0)</f>
        <v>5319.3484749572272</v>
      </c>
      <c r="T597" s="353">
        <f ca="1">IF(Параметры!T$36&gt;=T598+$B588,T596,0)</f>
        <v>5118.4062491642535</v>
      </c>
      <c r="U597" s="353">
        <f ca="1">IF(Параметры!U$36&gt;=U598+$B588,U596,0)</f>
        <v>4912.9428232909377</v>
      </c>
      <c r="V597" s="353">
        <f ca="1">IF(Параметры!V$36&gt;=V598+$B588,V596,0)</f>
        <v>4702.8564703354723</v>
      </c>
      <c r="W597" s="353">
        <f ca="1">IF(Параметры!W$36&gt;=W598+$B588,W596,0)</f>
        <v>4488.0431744385087</v>
      </c>
      <c r="X597" s="353">
        <f ca="1">IF(Параметры!X$36&gt;=X598+$B588,X596,0)</f>
        <v>4268.3965793838634</v>
      </c>
      <c r="Y597" s="353">
        <f ca="1">IF(Параметры!Y$36&gt;=Y598+$B588,Y596,0)</f>
        <v>4043.8079359404892</v>
      </c>
      <c r="Z597" s="353">
        <f ca="1">IF(Параметры!Z$36&gt;=Z598+$B588,Z596,0)</f>
        <v>3814.1660480196388</v>
      </c>
      <c r="AA597" s="353">
        <f ca="1">IF(Параметры!AA$36&gt;=AA598+$B588,AA596,0)</f>
        <v>3579.3572176205689</v>
      </c>
      <c r="AB597" s="353">
        <f ca="1">IF(Параметры!AB$36&gt;=AB598+$B588,AB596,0)</f>
        <v>3339.2651885375208</v>
      </c>
      <c r="AC597" s="353">
        <f ca="1">IF(Параметры!AC$36&gt;=AC598+$B588,AC596,0)</f>
        <v>3093.7710888001029</v>
      </c>
      <c r="AD597" s="353">
        <f ca="1">IF(Параметры!AD$36&gt;=AD598+$B588,AD596,0)</f>
        <v>2842.7533718185941</v>
      </c>
      <c r="AE597" s="353">
        <f ca="1">IF(Параметры!AE$36&gt;=AE598+$B588,AE596,0)</f>
        <v>2586.0877562050009</v>
      </c>
      <c r="AF597" s="353">
        <f ca="1">IF(Параметры!AF$36&gt;=AF598+$B588,AF596,0)</f>
        <v>2323.6471642401025</v>
      </c>
      <c r="AG597" s="353">
        <f ca="1">IF(Параметры!AG$36&gt;=AG598+$B588,AG596,0)</f>
        <v>1826.9348079608831</v>
      </c>
      <c r="AH597" s="353">
        <f ca="1">IF(Параметры!AH$36&gt;=AH598+$B588,AH596,0)</f>
        <v>1583.0385598248813</v>
      </c>
      <c r="AI597" s="353">
        <f ca="1">IF(Параметры!AI$36&gt;=AI598+$B588,AI596,0)</f>
        <v>1333.6546461058199</v>
      </c>
      <c r="AJ597" s="353">
        <f ca="1">IF(Параметры!AJ$36&gt;=AJ598+$B588,AJ596,0)</f>
        <v>1078.6595943280793</v>
      </c>
      <c r="AK597" s="353">
        <f ca="1">IF(Параметры!AK$36&gt;=AK598+$B588,AK596,0)</f>
        <v>817.92715388533952</v>
      </c>
      <c r="AL597" s="353">
        <f ca="1">IF(Параметры!AL$36&gt;=AL598+$B588,AL596,0)</f>
        <v>551.32823353263836</v>
      </c>
      <c r="AM597" s="353">
        <f ca="1">IF(Параметры!AM$36&gt;=AM598+$B588,AM596,0)</f>
        <v>278.73083747200144</v>
      </c>
      <c r="AN597" s="353">
        <f ca="1">IF(Параметры!AN$36&gt;=AN598+$B588,AN596,0)</f>
        <v>0</v>
      </c>
      <c r="AO597" s="353">
        <f ca="1">IF(Параметры!AO$36&gt;=AO598+$B588,AO596,0)</f>
        <v>0</v>
      </c>
      <c r="AP597" s="353">
        <f ca="1">IF(Параметры!AP$36&gt;=AP598+$B588,AP596,0)</f>
        <v>0</v>
      </c>
      <c r="AQ597" s="353">
        <f ca="1">IF(Параметры!AQ$36&gt;=AQ598+$B588,AQ596,0)</f>
        <v>0</v>
      </c>
      <c r="AR597" s="353">
        <f ca="1">IF(Параметры!AR$36&gt;=AR598+$B588,AR596,0)</f>
        <v>0</v>
      </c>
      <c r="AS597" s="102"/>
      <c r="AT597" s="103">
        <f ca="1">SUM(E597:AS597)</f>
        <v>88395.934885315291</v>
      </c>
    </row>
    <row r="598" spans="1:46" ht="11.25" customHeight="1" outlineLevel="1" x14ac:dyDescent="0.2">
      <c r="A598" s="101" t="s">
        <v>95</v>
      </c>
      <c r="B598" s="471">
        <f ca="1">MAX(E598,OFFSET(E598,0,Параметры!$B$24-1))</f>
        <v>9</v>
      </c>
      <c r="C598" s="2" t="s">
        <v>3</v>
      </c>
      <c r="E598" s="155">
        <f>IF(AND(Параметры!E$36=1,E593&gt;0),1,IF(AND(D598=0,E593&lt;&gt;0,SUM($D593:D593)=0),Параметры!E$36,IF(Параметры!E$36=1,0,D598)))</f>
        <v>0</v>
      </c>
      <c r="F598" s="155">
        <f ca="1">IF(AND(Параметры!F$36=1,F593&gt;0),1,IF(AND(E598=0,F593&lt;&gt;0,SUM($D593:E593)=0),Параметры!F$36,IF(Параметры!F$36=1,0,E598)))</f>
        <v>0</v>
      </c>
      <c r="G598" s="155">
        <f ca="1">IF(AND(Параметры!G$36=1,G593&gt;0),1,IF(AND(F598=0,G593&lt;&gt;0,SUM($D593:F593)=0),Параметры!G$36,IF(Параметры!G$36=1,0,F598)))</f>
        <v>0</v>
      </c>
      <c r="H598" s="155">
        <f ca="1">IF(AND(Параметры!H$36=1,H593&gt;0),1,IF(AND(G598=0,H593&lt;&gt;0,SUM($D593:G593)=0),Параметры!H$36,IF(Параметры!H$36=1,0,G598)))</f>
        <v>0</v>
      </c>
      <c r="I598" s="155">
        <f ca="1">IF(AND(Параметры!I$36=1,I593&gt;0),1,IF(AND(H598=0,I593&lt;&gt;0,SUM($D593:H593)=0),Параметры!I$36,IF(Параметры!I$36=1,0,H598)))</f>
        <v>0</v>
      </c>
      <c r="J598" s="155">
        <f ca="1">IF(AND(Параметры!J$36=1,J593&gt;0),1,IF(AND(I598=0,J593&lt;&gt;0,SUM($D593:I593)=0),Параметры!J$36,IF(Параметры!J$36=1,0,I598)))</f>
        <v>0</v>
      </c>
      <c r="K598" s="155">
        <f ca="1">IF(AND(Параметры!K$36=1,K593&gt;0),1,IF(AND(J598=0,K593&lt;&gt;0,SUM($D593:J593)=0),Параметры!K$36,IF(Параметры!K$36=1,0,J598)))</f>
        <v>0</v>
      </c>
      <c r="L598" s="155">
        <f ca="1">IF(AND(Параметры!L$36=1,L593&gt;0),1,IF(AND(K598=0,L593&lt;&gt;0,SUM($D593:K593)=0),Параметры!L$36,IF(Параметры!L$36=1,0,K598)))</f>
        <v>0</v>
      </c>
      <c r="M598" s="155">
        <f ca="1">IF(AND(Параметры!M$36=1,M593&gt;0),1,IF(AND(L598=0,M593&lt;&gt;0,SUM($D593:L593)=0),Параметры!M$36,IF(Параметры!M$36=1,0,L598)))</f>
        <v>9</v>
      </c>
      <c r="N598" s="155">
        <f ca="1">IF(AND(Параметры!N$36=1,N593&gt;0),1,IF(AND(M598=0,N593&lt;&gt;0,SUM($D593:M593)=0),Параметры!N$36,IF(Параметры!N$36=1,0,M598)))</f>
        <v>9</v>
      </c>
      <c r="O598" s="155">
        <f ca="1">IF(AND(Параметры!O$36=1,O593&gt;0),1,IF(AND(N598=0,O593&lt;&gt;0,SUM($D593:N593)=0),Параметры!O$36,IF(Параметры!O$36=1,0,N598)))</f>
        <v>9</v>
      </c>
      <c r="P598" s="155">
        <f ca="1">IF(AND(Параметры!P$36=1,P593&gt;0),1,IF(AND(O598=0,P593&lt;&gt;0,SUM($D593:O593)=0),Параметры!P$36,IF(Параметры!P$36=1,0,O598)))</f>
        <v>9</v>
      </c>
      <c r="Q598" s="155">
        <f ca="1">IF(AND(Параметры!Q$36=1,Q593&gt;0),1,IF(AND(P598=0,Q593&lt;&gt;0,SUM($D593:P593)=0),Параметры!Q$36,IF(Параметры!Q$36=1,0,P598)))</f>
        <v>9</v>
      </c>
      <c r="R598" s="155">
        <f ca="1">IF(AND(Параметры!R$36=1,R593&gt;0),1,IF(AND(Q598=0,R593&lt;&gt;0,SUM($D593:Q593)=0),Параметры!R$36,IF(Параметры!R$36=1,0,Q598)))</f>
        <v>9</v>
      </c>
      <c r="S598" s="155">
        <f ca="1">IF(AND(Параметры!S$36=1,S593&gt;0),1,IF(AND(R598=0,S593&lt;&gt;0,SUM($D593:R593)=0),Параметры!S$36,IF(Параметры!S$36=1,0,R598)))</f>
        <v>9</v>
      </c>
      <c r="T598" s="155">
        <f ca="1">IF(AND(Параметры!T$36=1,T593&gt;0),1,IF(AND(S598=0,T593&lt;&gt;0,SUM($D593:S593)=0),Параметры!T$36,IF(Параметры!T$36=1,0,S598)))</f>
        <v>9</v>
      </c>
      <c r="U598" s="155">
        <f ca="1">IF(AND(Параметры!U$36=1,U593&gt;0),1,IF(AND(T598=0,U593&lt;&gt;0,SUM($D593:T593)=0),Параметры!U$36,IF(Параметры!U$36=1,0,T598)))</f>
        <v>9</v>
      </c>
      <c r="V598" s="155">
        <f ca="1">IF(AND(Параметры!V$36=1,V593&gt;0),1,IF(AND(U598=0,V593&lt;&gt;0,SUM($D593:U593)=0),Параметры!V$36,IF(Параметры!V$36=1,0,U598)))</f>
        <v>9</v>
      </c>
      <c r="W598" s="155">
        <f ca="1">IF(AND(Параметры!W$36=1,W593&gt;0),1,IF(AND(V598=0,W593&lt;&gt;0,SUM($D593:V593)=0),Параметры!W$36,IF(Параметры!W$36=1,0,V598)))</f>
        <v>9</v>
      </c>
      <c r="X598" s="155">
        <f ca="1">IF(AND(Параметры!X$36=1,X593&gt;0),1,IF(AND(W598=0,X593&lt;&gt;0,SUM($D593:W593)=0),Параметры!X$36,IF(Параметры!X$36=1,0,W598)))</f>
        <v>9</v>
      </c>
      <c r="Y598" s="155">
        <f ca="1">IF(AND(Параметры!Y$36=1,Y593&gt;0),1,IF(AND(X598=0,Y593&lt;&gt;0,SUM($D593:X593)=0),Параметры!Y$36,IF(Параметры!Y$36=1,0,X598)))</f>
        <v>9</v>
      </c>
      <c r="Z598" s="155">
        <f ca="1">IF(AND(Параметры!Z$36=1,Z593&gt;0),1,IF(AND(Y598=0,Z593&lt;&gt;0,SUM($D593:Y593)=0),Параметры!Z$36,IF(Параметры!Z$36=1,0,Y598)))</f>
        <v>9</v>
      </c>
      <c r="AA598" s="155">
        <f ca="1">IF(AND(Параметры!AA$36=1,AA593&gt;0),1,IF(AND(Z598=0,AA593&lt;&gt;0,SUM($D593:Z593)=0),Параметры!AA$36,IF(Параметры!AA$36=1,0,Z598)))</f>
        <v>9</v>
      </c>
      <c r="AB598" s="155">
        <f ca="1">IF(AND(Параметры!AB$36=1,AB593&gt;0),1,IF(AND(AA598=0,AB593&lt;&gt;0,SUM($D593:AA593)=0),Параметры!AB$36,IF(Параметры!AB$36=1,0,AA598)))</f>
        <v>9</v>
      </c>
      <c r="AC598" s="155">
        <f ca="1">IF(AND(Параметры!AC$36=1,AC593&gt;0),1,IF(AND(AB598=0,AC593&lt;&gt;0,SUM($D593:AB593)=0),Параметры!AC$36,IF(Параметры!AC$36=1,0,AB598)))</f>
        <v>9</v>
      </c>
      <c r="AD598" s="155">
        <f ca="1">IF(AND(Параметры!AD$36=1,AD593&gt;0),1,IF(AND(AC598=0,AD593&lt;&gt;0,SUM($D593:AC593)=0),Параметры!AD$36,IF(Параметры!AD$36=1,0,AC598)))</f>
        <v>9</v>
      </c>
      <c r="AE598" s="155">
        <f ca="1">IF(AND(Параметры!AE$36=1,AE593&gt;0),1,IF(AND(AD598=0,AE593&lt;&gt;0,SUM($D593:AD593)=0),Параметры!AE$36,IF(Параметры!AE$36=1,0,AD598)))</f>
        <v>9</v>
      </c>
      <c r="AF598" s="155">
        <f ca="1">IF(AND(Параметры!AF$36=1,AF593&gt;0),1,IF(AND(AE598=0,AF593&lt;&gt;0,SUM($D593:AE593)=0),Параметры!AF$36,IF(Параметры!AF$36=1,0,AE598)))</f>
        <v>9</v>
      </c>
      <c r="AG598" s="155">
        <f ca="1">IF(AND(Параметры!AG$36=1,AG593&gt;0),1,IF(AND(AF598=0,AG593&lt;&gt;0,SUM($D593:AF593)=0),Параметры!AG$36,IF(Параметры!AG$36=1,0,AF598)))</f>
        <v>9</v>
      </c>
      <c r="AH598" s="155">
        <f ca="1">IF(AND(Параметры!AH$36=1,AH593&gt;0),1,IF(AND(AG598=0,AH593&lt;&gt;0,SUM($D593:AG593)=0),Параметры!AH$36,IF(Параметры!AH$36=1,0,AG598)))</f>
        <v>9</v>
      </c>
      <c r="AI598" s="155">
        <f ca="1">IF(AND(Параметры!AI$36=1,AI593&gt;0),1,IF(AND(AH598=0,AI593&lt;&gt;0,SUM($D593:AH593)=0),Параметры!AI$36,IF(Параметры!AI$36=1,0,AH598)))</f>
        <v>9</v>
      </c>
      <c r="AJ598" s="155">
        <f ca="1">IF(AND(Параметры!AJ$36=1,AJ593&gt;0),1,IF(AND(AI598=0,AJ593&lt;&gt;0,SUM($D593:AI593)=0),Параметры!AJ$36,IF(Параметры!AJ$36=1,0,AI598)))</f>
        <v>9</v>
      </c>
      <c r="AK598" s="155">
        <f ca="1">IF(AND(Параметры!AK$36=1,AK593&gt;0),1,IF(AND(AJ598=0,AK593&lt;&gt;0,SUM($D593:AJ593)=0),Параметры!AK$36,IF(Параметры!AK$36=1,0,AJ598)))</f>
        <v>9</v>
      </c>
      <c r="AL598" s="155">
        <f ca="1">IF(AND(Параметры!AL$36=1,AL593&gt;0),1,IF(AND(AK598=0,AL593&lt;&gt;0,SUM($D593:AK593)=0),Параметры!AL$36,IF(Параметры!AL$36=1,0,AK598)))</f>
        <v>9</v>
      </c>
      <c r="AM598" s="155">
        <f ca="1">IF(AND(Параметры!AM$36=1,AM593&gt;0),1,IF(AND(AL598=0,AM593&lt;&gt;0,SUM($D593:AL593)=0),Параметры!AM$36,IF(Параметры!AM$36=1,0,AL598)))</f>
        <v>9</v>
      </c>
      <c r="AN598" s="155">
        <f ca="1">IF(AND(Параметры!AN$36=1,AN593&gt;0),1,IF(AND(AM598=0,AN593&lt;&gt;0,SUM($D593:AM593)=0),Параметры!AN$36,IF(Параметры!AN$36=1,0,AM598)))</f>
        <v>9</v>
      </c>
      <c r="AO598" s="155">
        <f ca="1">IF(AND(Параметры!AO$36=1,AO593&gt;0),1,IF(AND(AN598=0,AO593&lt;&gt;0,SUM($D593:AN593)=0),Параметры!AO$36,IF(Параметры!AO$36=1,0,AN598)))</f>
        <v>9</v>
      </c>
      <c r="AP598" s="155">
        <f ca="1">IF(AND(Параметры!AP$36=1,AP593&gt;0),1,IF(AND(AO598=0,AP593&lt;&gt;0,SUM($D593:AO593)=0),Параметры!AP$36,IF(Параметры!AP$36=1,0,AO598)))</f>
        <v>9</v>
      </c>
      <c r="AQ598" s="155">
        <f ca="1">IF(AND(Параметры!AQ$36=1,AQ593&gt;0),1,IF(AND(AP598=0,AQ593&lt;&gt;0,SUM($D593:AP593)=0),Параметры!AQ$36,IF(Параметры!AQ$36=1,0,AP598)))</f>
        <v>9</v>
      </c>
      <c r="AR598" s="155">
        <f ca="1">IF(AND(Параметры!AR$36=1,AR593&gt;0),1,IF(AND(AQ598=0,AR593&lt;&gt;0,SUM($D593:AQ593)=0),Параметры!AR$36,IF(Параметры!AR$36=1,0,AQ598)))</f>
        <v>9</v>
      </c>
      <c r="AS598" s="129"/>
      <c r="AT598" s="103"/>
    </row>
    <row r="599" spans="1:46" ht="11.25" customHeight="1" outlineLevel="1" x14ac:dyDescent="0.2">
      <c r="A599" s="101" t="s">
        <v>551</v>
      </c>
      <c r="B599" s="471">
        <f ca="1">MIN(E599:AR599)</f>
        <v>12</v>
      </c>
      <c r="C599" s="2" t="s">
        <v>3</v>
      </c>
      <c r="E599" s="155" t="str">
        <f ca="1">IF(SUM($E593:E593)=$B593,E$2,"")</f>
        <v/>
      </c>
      <c r="F599" s="155" t="str">
        <f ca="1">IF(SUM($E593:F593)=$B593,F$2,"")</f>
        <v/>
      </c>
      <c r="G599" s="155" t="str">
        <f ca="1">IF(SUM($E593:G593)=$B593,G$2,"")</f>
        <v/>
      </c>
      <c r="H599" s="155" t="str">
        <f ca="1">IF(SUM($E593:H593)=$B593,H$2,"")</f>
        <v/>
      </c>
      <c r="I599" s="155" t="str">
        <f ca="1">IF(SUM($E593:I593)=$B593,I$2,"")</f>
        <v/>
      </c>
      <c r="J599" s="155" t="str">
        <f ca="1">IF(SUM($E593:J593)=$B593,J$2,"")</f>
        <v/>
      </c>
      <c r="K599" s="155" t="str">
        <f ca="1">IF(SUM($E593:K593)=$B593,K$2,"")</f>
        <v/>
      </c>
      <c r="L599" s="155" t="str">
        <f ca="1">IF(SUM($E593:L593)=$B593,L$2,"")</f>
        <v/>
      </c>
      <c r="M599" s="155" t="str">
        <f ca="1">IF(SUM($E593:M593)=$B593,M$2,"")</f>
        <v/>
      </c>
      <c r="N599" s="155" t="str">
        <f ca="1">IF(SUM($E593:N593)=$B593,N$2,"")</f>
        <v/>
      </c>
      <c r="O599" s="155" t="str">
        <f ca="1">IF(SUM($E593:O593)=$B593,O$2,"")</f>
        <v/>
      </c>
      <c r="P599" s="155">
        <f ca="1">IF(SUM($E593:P593)=$B593,P$2,"")</f>
        <v>12</v>
      </c>
      <c r="Q599" s="155">
        <f ca="1">IF(SUM($E593:Q593)=$B593,Q$2,"")</f>
        <v>13</v>
      </c>
      <c r="R599" s="155">
        <f ca="1">IF(SUM($E593:R593)=$B593,R$2,"")</f>
        <v>14</v>
      </c>
      <c r="S599" s="155">
        <f ca="1">IF(SUM($E593:S593)=$B593,S$2,"")</f>
        <v>15</v>
      </c>
      <c r="T599" s="155">
        <f ca="1">IF(SUM($E593:T593)=$B593,T$2,"")</f>
        <v>16</v>
      </c>
      <c r="U599" s="155">
        <f ca="1">IF(SUM($E593:U593)=$B593,U$2,"")</f>
        <v>17</v>
      </c>
      <c r="V599" s="155">
        <f ca="1">IF(SUM($E593:V593)=$B593,V$2,"")</f>
        <v>18</v>
      </c>
      <c r="W599" s="155">
        <f ca="1">IF(SUM($E593:W593)=$B593,W$2,"")</f>
        <v>19</v>
      </c>
      <c r="X599" s="155">
        <f ca="1">IF(SUM($E593:X593)=$B593,X$2,"")</f>
        <v>20</v>
      </c>
      <c r="Y599" s="155">
        <f ca="1">IF(SUM($E593:Y593)=$B593,Y$2,"")</f>
        <v>21</v>
      </c>
      <c r="Z599" s="155">
        <f ca="1">IF(SUM($E593:Z593)=$B593,Z$2,"")</f>
        <v>22</v>
      </c>
      <c r="AA599" s="155">
        <f ca="1">IF(SUM($E593:AA593)=$B593,AA$2,"")</f>
        <v>23</v>
      </c>
      <c r="AB599" s="155">
        <f ca="1">IF(SUM($E593:AB593)=$B593,AB$2,"")</f>
        <v>24</v>
      </c>
      <c r="AC599" s="155">
        <f ca="1">IF(SUM($E593:AC593)=$B593,AC$2,"")</f>
        <v>25</v>
      </c>
      <c r="AD599" s="155">
        <f ca="1">IF(SUM($E593:AD593)=$B593,AD$2,"")</f>
        <v>26</v>
      </c>
      <c r="AE599" s="155">
        <f ca="1">IF(SUM($E593:AE593)=$B593,AE$2,"")</f>
        <v>27</v>
      </c>
      <c r="AF599" s="155">
        <f ca="1">IF(SUM($E593:AF593)=$B593,AF$2,"")</f>
        <v>28</v>
      </c>
      <c r="AG599" s="155">
        <f ca="1">IF(SUM($E593:AG593)=$B593,AG$2,"")</f>
        <v>29</v>
      </c>
      <c r="AH599" s="155">
        <f ca="1">IF(SUM($E593:AH593)=$B593,AH$2,"")</f>
        <v>30</v>
      </c>
      <c r="AI599" s="155">
        <f ca="1">IF(SUM($E593:AI593)=$B593,AI$2,"")</f>
        <v>31</v>
      </c>
      <c r="AJ599" s="155">
        <f ca="1">IF(SUM($E593:AJ593)=$B593,AJ$2,"")</f>
        <v>32</v>
      </c>
      <c r="AK599" s="155">
        <f ca="1">IF(SUM($E593:AK593)=$B593,AK$2,"")</f>
        <v>33</v>
      </c>
      <c r="AL599" s="155">
        <f ca="1">IF(SUM($E593:AL593)=$B593,AL$2,"")</f>
        <v>34</v>
      </c>
      <c r="AM599" s="155">
        <f ca="1">IF(SUM($E593:AM593)=$B593,AM$2,"")</f>
        <v>35</v>
      </c>
      <c r="AN599" s="155">
        <f ca="1">IF(SUM($E593:AN593)=$B593,AN$2,"")</f>
        <v>36</v>
      </c>
      <c r="AO599" s="155">
        <f ca="1">IF(SUM($E593:AO593)=$B593,AO$2,"")</f>
        <v>37</v>
      </c>
      <c r="AP599" s="155">
        <f ca="1">IF(SUM($E593:AP593)=$B593,AP$2,"")</f>
        <v>38</v>
      </c>
      <c r="AQ599" s="155">
        <f ca="1">IF(SUM($E593:AQ593)=$B593,AQ$2,"")</f>
        <v>39</v>
      </c>
      <c r="AR599" s="155">
        <f ca="1">IF(SUM($E593:AR593)=$B593,AR$2,"")</f>
        <v>40</v>
      </c>
      <c r="AS599" s="129"/>
      <c r="AT599" s="103"/>
    </row>
    <row r="600" spans="1:46" ht="11.25" customHeight="1" x14ac:dyDescent="0.2">
      <c r="A600" s="354" t="s">
        <v>999</v>
      </c>
      <c r="B600" s="225" t="s">
        <v>390</v>
      </c>
      <c r="C600" s="287">
        <v>1</v>
      </c>
      <c r="D600" s="65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  <c r="AI600" s="64"/>
      <c r="AJ600" s="64"/>
      <c r="AK600" s="64"/>
      <c r="AL600" s="64"/>
      <c r="AM600" s="64"/>
      <c r="AN600" s="64"/>
      <c r="AO600" s="64"/>
      <c r="AP600" s="64"/>
      <c r="AQ600" s="64"/>
      <c r="AR600" s="64"/>
      <c r="AS600" s="41"/>
      <c r="AT600" s="92"/>
    </row>
    <row r="601" spans="1:46" ht="11.25" customHeight="1" x14ac:dyDescent="0.2">
      <c r="A601" s="93" t="s">
        <v>88</v>
      </c>
      <c r="B601" s="592">
        <f>ИД!C240</f>
        <v>0.09</v>
      </c>
      <c r="C601" s="9" t="s">
        <v>14</v>
      </c>
      <c r="E601" s="352">
        <f ca="1">IF(E$2&lt;$B612+20,$B601,ИД!$E$240)</f>
        <v>0.09</v>
      </c>
      <c r="F601" s="352">
        <f ca="1">IF(F$2&lt;$B612+20,$B601,ИД!$E$240)</f>
        <v>0.09</v>
      </c>
      <c r="G601" s="352">
        <f ca="1">IF(G$2&lt;$B612+20,$B601,ИД!$E$240)</f>
        <v>0.09</v>
      </c>
      <c r="H601" s="352">
        <f ca="1">IF(H$2&lt;$B612+20,$B601,ИД!$E$240)</f>
        <v>0.09</v>
      </c>
      <c r="I601" s="352">
        <f ca="1">IF(I$2&lt;$B612+20,$B601,ИД!$E$240)</f>
        <v>0.09</v>
      </c>
      <c r="J601" s="352">
        <f ca="1">IF(J$2&lt;$B612+20,$B601,ИД!$E$240)</f>
        <v>0.09</v>
      </c>
      <c r="K601" s="352">
        <f ca="1">IF(K$2&lt;$B612+20,$B601,ИД!$E$240)</f>
        <v>0.09</v>
      </c>
      <c r="L601" s="352">
        <f ca="1">IF(L$2&lt;$B612+20,$B601,ИД!$E$240)</f>
        <v>0.09</v>
      </c>
      <c r="M601" s="352">
        <f ca="1">IF(M$2&lt;$B612+20,$B601,ИД!$E$240)</f>
        <v>0.09</v>
      </c>
      <c r="N601" s="352">
        <f ca="1">IF(N$2&lt;$B612+20,$B601,ИД!$E$240)</f>
        <v>0.09</v>
      </c>
      <c r="O601" s="352">
        <f ca="1">IF(O$2&lt;$B612+20,$B601,ИД!$E$240)</f>
        <v>0.09</v>
      </c>
      <c r="P601" s="352">
        <f ca="1">IF(P$2&lt;$B612+20,$B601,ИД!$E$240)</f>
        <v>0.09</v>
      </c>
      <c r="Q601" s="352">
        <f ca="1">IF(Q$2&lt;$B612+20,$B601,ИД!$E$240)</f>
        <v>0.09</v>
      </c>
      <c r="R601" s="352">
        <f ca="1">IF(R$2&lt;$B612+20,$B601,ИД!$E$240)</f>
        <v>0.09</v>
      </c>
      <c r="S601" s="352">
        <f ca="1">IF(S$2&lt;$B612+20,$B601,ИД!$E$240)</f>
        <v>0.09</v>
      </c>
      <c r="T601" s="352">
        <f ca="1">IF(T$2&lt;$B612+20,$B601,ИД!$E$240)</f>
        <v>0.09</v>
      </c>
      <c r="U601" s="352">
        <f ca="1">IF(U$2&lt;$B612+20,$B601,ИД!$E$240)</f>
        <v>0.09</v>
      </c>
      <c r="V601" s="352">
        <f ca="1">IF(V$2&lt;$B612+20,$B601,ИД!$E$240)</f>
        <v>0.09</v>
      </c>
      <c r="W601" s="352">
        <f ca="1">IF(W$2&lt;$B612+20,$B601,ИД!$E$240)</f>
        <v>0.09</v>
      </c>
      <c r="X601" s="352">
        <f ca="1">IF(X$2&lt;$B612+20,$B601,ИД!$E$240)</f>
        <v>0.09</v>
      </c>
      <c r="Y601" s="352">
        <f ca="1">IF(Y$2&lt;$B612+20,$B601,ИД!$E$240)</f>
        <v>0.09</v>
      </c>
      <c r="Z601" s="352">
        <f ca="1">IF(Z$2&lt;$B612+20,$B601,ИД!$E$240)</f>
        <v>0.09</v>
      </c>
      <c r="AA601" s="352">
        <f ca="1">IF(AA$2&lt;$B612+20,$B601,ИД!$E$240)</f>
        <v>0.09</v>
      </c>
      <c r="AB601" s="352">
        <f ca="1">IF(AB$2&lt;$B612+20,$B601,ИД!$E$240)</f>
        <v>0.09</v>
      </c>
      <c r="AC601" s="352">
        <f ca="1">IF(AC$2&lt;$B612+20,$B601,ИД!$E$240)</f>
        <v>0.08</v>
      </c>
      <c r="AD601" s="352">
        <f ca="1">IF(AD$2&lt;$B612+20,$B601,ИД!$E$240)</f>
        <v>0.08</v>
      </c>
      <c r="AE601" s="352">
        <f ca="1">IF(AE$2&lt;$B612+20,$B601,ИД!$E$240)</f>
        <v>0.08</v>
      </c>
      <c r="AF601" s="352">
        <f ca="1">IF(AF$2&lt;$B612+20,$B601,ИД!$E$240)</f>
        <v>0.08</v>
      </c>
      <c r="AG601" s="352">
        <f ca="1">IF(AG$2&lt;$B612+20,$B601,ИД!$E$240)</f>
        <v>0.08</v>
      </c>
      <c r="AH601" s="352">
        <f ca="1">IF(AH$2&lt;$B612+20,$B601,ИД!$E$240)</f>
        <v>0.08</v>
      </c>
      <c r="AI601" s="352">
        <f ca="1">IF(AI$2&lt;$B612+20,$B601,ИД!$E$240)</f>
        <v>0.08</v>
      </c>
      <c r="AJ601" s="352">
        <f ca="1">IF(AJ$2&lt;$B612+20,$B601,ИД!$E$240)</f>
        <v>0.08</v>
      </c>
      <c r="AK601" s="352">
        <f ca="1">IF(AK$2&lt;$B612+20,$B601,ИД!$E$240)</f>
        <v>0.08</v>
      </c>
      <c r="AL601" s="352">
        <f ca="1">IF(AL$2&lt;$B612+20,$B601,ИД!$E$240)</f>
        <v>0.08</v>
      </c>
      <c r="AM601" s="352">
        <f ca="1">IF(AM$2&lt;$B612+20,$B601,ИД!$E$240)</f>
        <v>0.08</v>
      </c>
      <c r="AN601" s="352">
        <f ca="1">IF(AN$2&lt;$B612+20,$B601,ИД!$E$240)</f>
        <v>0.08</v>
      </c>
      <c r="AO601" s="352">
        <f ca="1">IF(AO$2&lt;$B612+20,$B601,ИД!$E$240)</f>
        <v>0.08</v>
      </c>
      <c r="AP601" s="352">
        <f ca="1">IF(AP$2&lt;$B612+20,$B601,ИД!$E$240)</f>
        <v>0.08</v>
      </c>
      <c r="AQ601" s="352">
        <f ca="1">IF(AQ$2&lt;$B612+20,$B601,ИД!$E$240)</f>
        <v>0.08</v>
      </c>
      <c r="AR601" s="352">
        <f ca="1">IF(AR$2&lt;$B612+20,$B601,ИД!$E$240)</f>
        <v>0.08</v>
      </c>
      <c r="AS601" s="95"/>
      <c r="AT601" s="96"/>
    </row>
    <row r="602" spans="1:46" ht="11.25" customHeight="1" x14ac:dyDescent="0.2">
      <c r="A602" s="429" t="s">
        <v>89</v>
      </c>
      <c r="B602" s="430">
        <v>0</v>
      </c>
      <c r="C602" s="431" t="str">
        <f>Параметры!$C$24</f>
        <v>кв.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96"/>
    </row>
    <row r="603" spans="1:46" ht="11.25" customHeight="1" x14ac:dyDescent="0.2">
      <c r="A603" s="429" t="s">
        <v>521</v>
      </c>
      <c r="B603" s="430">
        <f>ИД!$C$241*4</f>
        <v>32</v>
      </c>
      <c r="C603" s="431" t="str">
        <f>Параметры!$C$24</f>
        <v>кв.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96"/>
    </row>
    <row r="604" spans="1:46" ht="11.25" customHeight="1" x14ac:dyDescent="0.2">
      <c r="A604" s="429" t="s">
        <v>522</v>
      </c>
      <c r="B604" s="415">
        <f>ИД!C243*4</f>
        <v>4</v>
      </c>
      <c r="C604" s="431" t="str">
        <f>Параметры!$C$24</f>
        <v>кв.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96"/>
    </row>
    <row r="605" spans="1:46" ht="11.25" customHeight="1" x14ac:dyDescent="0.2">
      <c r="A605" s="429" t="s">
        <v>1015</v>
      </c>
      <c r="B605" s="347">
        <f>ИД!C244</f>
        <v>0</v>
      </c>
      <c r="C605" s="43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96"/>
    </row>
    <row r="606" spans="1:46" ht="22.5" x14ac:dyDescent="0.2">
      <c r="A606" s="389" t="s">
        <v>475</v>
      </c>
      <c r="B606" s="347">
        <v>1</v>
      </c>
      <c r="C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96"/>
    </row>
    <row r="607" spans="1:46" ht="11.25" customHeight="1" x14ac:dyDescent="0.2">
      <c r="A607" s="93" t="s">
        <v>90</v>
      </c>
      <c r="B607" s="215">
        <f ca="1">AT607</f>
        <v>386142.92097500298</v>
      </c>
      <c r="C607" s="3" t="str">
        <f>CHOOSE(C600,Параметры!$B$64,Параметры!$B$108,Параметры!$B$117)</f>
        <v>тыс. руб.</v>
      </c>
      <c r="E607" s="346">
        <f>E395*1.2*ИД!$C$239</f>
        <v>0</v>
      </c>
      <c r="F607" s="346">
        <f ca="1">F395*1.2*ИД!$C$239</f>
        <v>0</v>
      </c>
      <c r="G607" s="346">
        <f ca="1">G395*1.2*ИД!$C$239</f>
        <v>0</v>
      </c>
      <c r="H607" s="346">
        <f ca="1">H395*1.2*ИД!$C$239</f>
        <v>0</v>
      </c>
      <c r="I607" s="346">
        <f ca="1">I395*1.2*ИД!$C$239</f>
        <v>37800</v>
      </c>
      <c r="J607" s="346">
        <f ca="1">J395*1.2*ИД!$C$239</f>
        <v>114826.40533690185</v>
      </c>
      <c r="K607" s="346">
        <f ca="1">K395*1.2*ИД!$C$239</f>
        <v>155027.67034208679</v>
      </c>
      <c r="L607" s="346">
        <f ca="1">L395*1.2*ИД!$C$239</f>
        <v>78488.845296014377</v>
      </c>
      <c r="M607" s="346">
        <f ca="1">M395*1.2*ИД!$C$239</f>
        <v>0</v>
      </c>
      <c r="N607" s="346">
        <f ca="1">N395*1.2*ИД!$C$239</f>
        <v>0</v>
      </c>
      <c r="O607" s="346">
        <f ca="1">O395*1.2*ИД!$C$239</f>
        <v>0</v>
      </c>
      <c r="P607" s="346">
        <f ca="1">P395*1.2*ИД!$C$239</f>
        <v>0</v>
      </c>
      <c r="Q607" s="346">
        <f ca="1">Q395*1.2*ИД!$C$239</f>
        <v>0</v>
      </c>
      <c r="R607" s="346">
        <f ca="1">R395*1.2*ИД!$C$239</f>
        <v>0</v>
      </c>
      <c r="S607" s="346">
        <f ca="1">S395*1.2*ИД!$C$239</f>
        <v>0</v>
      </c>
      <c r="T607" s="346">
        <f ca="1">T395*1.2*ИД!$C$239</f>
        <v>0</v>
      </c>
      <c r="U607" s="346">
        <f ca="1">U395*1.2*ИД!$C$239</f>
        <v>0</v>
      </c>
      <c r="V607" s="346">
        <f ca="1">V395*1.2*ИД!$C$239</f>
        <v>0</v>
      </c>
      <c r="W607" s="346">
        <f ca="1">W395*1.2*ИД!$C$239</f>
        <v>0</v>
      </c>
      <c r="X607" s="346">
        <f ca="1">X395*1.2*ИД!$C$239</f>
        <v>0</v>
      </c>
      <c r="Y607" s="346">
        <f ca="1">Y395*1.2*ИД!$C$239</f>
        <v>0</v>
      </c>
      <c r="Z607" s="346">
        <f ca="1">Z395*1.2*ИД!$C$239</f>
        <v>0</v>
      </c>
      <c r="AA607" s="346">
        <f ca="1">AA395*1.2*ИД!$C$239</f>
        <v>0</v>
      </c>
      <c r="AB607" s="346">
        <f ca="1">AB395*1.2*ИД!$C$239</f>
        <v>0</v>
      </c>
      <c r="AC607" s="346">
        <f ca="1">AC395*1.2*ИД!$C$239</f>
        <v>0</v>
      </c>
      <c r="AD607" s="346">
        <f ca="1">AD395*1.2*ИД!$C$239</f>
        <v>0</v>
      </c>
      <c r="AE607" s="346">
        <f ca="1">AE395*1.2*ИД!$C$239</f>
        <v>0</v>
      </c>
      <c r="AF607" s="346">
        <f ca="1">AF395*1.2*ИД!$C$239</f>
        <v>0</v>
      </c>
      <c r="AG607" s="346">
        <f ca="1">AG395*1.2*ИД!$C$239</f>
        <v>0</v>
      </c>
      <c r="AH607" s="346">
        <f ca="1">AH395*1.2*ИД!$C$239</f>
        <v>0</v>
      </c>
      <c r="AI607" s="346">
        <f ca="1">AI395*1.2*ИД!$C$239</f>
        <v>0</v>
      </c>
      <c r="AJ607" s="346">
        <f ca="1">AJ395*1.2*ИД!$C$239</f>
        <v>0</v>
      </c>
      <c r="AK607" s="346">
        <f ca="1">AK395*1.2*ИД!$C$239</f>
        <v>0</v>
      </c>
      <c r="AL607" s="346">
        <f ca="1">AL395*1.2*ИД!$C$239</f>
        <v>0</v>
      </c>
      <c r="AM607" s="346">
        <f ca="1">AM395*1.2*ИД!$C$239</f>
        <v>0</v>
      </c>
      <c r="AN607" s="346">
        <f ca="1">AN395*1.2*ИД!$C$239</f>
        <v>0</v>
      </c>
      <c r="AO607" s="346">
        <f ca="1">AO395*1.2*ИД!$C$239</f>
        <v>0</v>
      </c>
      <c r="AP607" s="346">
        <f ca="1">AP395*1.2*ИД!$C$239</f>
        <v>0</v>
      </c>
      <c r="AQ607" s="346">
        <f ca="1">AQ395*1.2*ИД!$C$239</f>
        <v>0</v>
      </c>
      <c r="AR607" s="346">
        <f ca="1">AR395*1.2*ИД!$C$239</f>
        <v>0</v>
      </c>
      <c r="AS607" s="94"/>
      <c r="AT607" s="84">
        <f ca="1">SUM(E607:AS607)</f>
        <v>386142.92097500298</v>
      </c>
    </row>
    <row r="608" spans="1:46" ht="11.25" customHeight="1" x14ac:dyDescent="0.2">
      <c r="A608" s="93" t="s">
        <v>91</v>
      </c>
      <c r="B608" s="215">
        <f ca="1">AT608</f>
        <v>386142.92097500304</v>
      </c>
      <c r="C608" s="3" t="str">
        <f>CHOOSE(C600,Параметры!$B$64,Параметры!$B$108,Параметры!$B$117)</f>
        <v>тыс. руб.</v>
      </c>
      <c r="E608" s="346">
        <f ca="1">IF(E$2&gt;=$B612+$B604,IF($B605,MIN($B607/($B603-($B604)),D609),IFERROR(-PPMT($B601/4,E$2-$B604-$B612+1,$B603-$B604,$B607,0),0)),0)</f>
        <v>0</v>
      </c>
      <c r="F608" s="346">
        <f t="shared" ref="F608" ca="1" si="354">IF(F$2&gt;=$B612+$B604,IF($B605,MIN($B607/($B603-($B604)),E609),IFERROR(-PPMT($B601/4,F$2-$B604-$B612+1,$B603-$B604,$B607,0),0)),0)</f>
        <v>0</v>
      </c>
      <c r="G608" s="346">
        <f t="shared" ref="G608" ca="1" si="355">IF(G$2&gt;=$B612+$B604,IF($B605,MIN($B607/($B603-($B604)),F609),IFERROR(-PPMT($B601/4,G$2-$B604-$B612+1,$B603-$B604,$B607,0),0)),0)</f>
        <v>0</v>
      </c>
      <c r="H608" s="346">
        <f t="shared" ref="H608" ca="1" si="356">IF(H$2&gt;=$B612+$B604,IF($B605,MIN($B607/($B603-($B604)),G609),IFERROR(-PPMT($B601/4,H$2-$B604-$B612+1,$B603-$B604,$B607,0),0)),0)</f>
        <v>0</v>
      </c>
      <c r="I608" s="346">
        <f t="shared" ref="I608" ca="1" si="357">IF(I$2&gt;=$B612+$B604,IF($B605,MIN($B607/($B603-($B604)),H609),IFERROR(-PPMT($B601/4,I$2-$B604-$B612+1,$B603-$B604,$B607,0),0)),0)</f>
        <v>0</v>
      </c>
      <c r="J608" s="346">
        <f t="shared" ref="J608" ca="1" si="358">IF(J$2&gt;=$B612+$B604,IF($B605,MIN($B607/($B603-($B604)),I609),IFERROR(-PPMT($B601/4,J$2-$B604-$B612+1,$B603-$B604,$B607,0),0)),0)</f>
        <v>0</v>
      </c>
      <c r="K608" s="346">
        <f t="shared" ref="K608" ca="1" si="359">IF(K$2&gt;=$B612+$B604,IF($B605,MIN($B607/($B603-($B604)),J609),IFERROR(-PPMT($B601/4,K$2-$B604-$B612+1,$B603-$B604,$B607,0),0)),0)</f>
        <v>0</v>
      </c>
      <c r="L608" s="346">
        <f t="shared" ref="L608" ca="1" si="360">IF(L$2&gt;=$B612+$B604,IF($B605,MIN($B607/($B603-($B604)),K609),IFERROR(-PPMT($B601/4,L$2-$B604-$B612+1,$B603-$B604,$B607,0),0)),0)</f>
        <v>0</v>
      </c>
      <c r="M608" s="346">
        <f t="shared" ref="M608" ca="1" si="361">IF(M$2&gt;=$B612+$B604,IF($B605,MIN($B607/($B603-($B604)),L609),IFERROR(-PPMT($B601/4,M$2-$B604-$B612+1,$B603-$B604,$B607,0),0)),0)</f>
        <v>10049.46627620423</v>
      </c>
      <c r="N608" s="346">
        <f t="shared" ref="N608" ca="1" si="362">IF(N$2&gt;=$B612+$B604,IF($B605,MIN($B607/($B603-($B604)),M609),IFERROR(-PPMT($B601/4,N$2-$B604-$B612+1,$B603-$B604,$B607,0),0)),0)</f>
        <v>10275.579267418825</v>
      </c>
      <c r="O608" s="346">
        <f t="shared" ref="O608" ca="1" si="363">IF(O$2&gt;=$B612+$B604,IF($B605,MIN($B607/($B603-($B604)),N609),IFERROR(-PPMT($B601/4,O$2-$B604-$B612+1,$B603-$B604,$B607,0),0)),0)</f>
        <v>10506.779800935748</v>
      </c>
      <c r="P608" s="346">
        <f t="shared" ref="P608" ca="1" si="364">IF(P$2&gt;=$B612+$B604,IF($B605,MIN($B607/($B603-($B604)),O609),IFERROR(-PPMT($B601/4,P$2-$B604-$B612+1,$B603-$B604,$B607,0),0)),0)</f>
        <v>10743.182346456801</v>
      </c>
      <c r="Q608" s="346">
        <f t="shared" ref="Q608" ca="1" si="365">IF(Q$2&gt;=$B612+$B604,IF($B605,MIN($B607/($B603-($B604)),P609),IFERROR(-PPMT($B601/4,Q$2-$B604-$B612+1,$B603-$B604,$B607,0),0)),0)</f>
        <v>10984.903949252079</v>
      </c>
      <c r="R608" s="346">
        <f t="shared" ref="R608" ca="1" si="366">IF(R$2&gt;=$B612+$B604,IF($B605,MIN($B607/($B603-($B604)),Q609),IFERROR(-PPMT($B601/4,R$2-$B604-$B612+1,$B603-$B604,$B607,0),0)),0)</f>
        <v>11232.064288110252</v>
      </c>
      <c r="S608" s="346">
        <f t="shared" ref="S608" ca="1" si="367">IF(S$2&gt;=$B612+$B604,IF($B605,MIN($B607/($B603-($B604)),R609),IFERROR(-PPMT($B601/4,S$2-$B604-$B612+1,$B603-$B604,$B607,0),0)),0)</f>
        <v>11484.785734592731</v>
      </c>
      <c r="T608" s="346">
        <f t="shared" ref="T608" ca="1" si="368">IF(T$2&gt;=$B612+$B604,IF($B605,MIN($B607/($B603-($B604)),S609),IFERROR(-PPMT($B601/4,T$2-$B604-$B612+1,$B603-$B604,$B607,0),0)),0)</f>
        <v>11743.193413621069</v>
      </c>
      <c r="U608" s="346">
        <f t="shared" ref="U608" ca="1" si="369">IF(U$2&gt;=$B612+$B604,IF($B605,MIN($B607/($B603-($B604)),T609),IFERROR(-PPMT($B601/4,U$2-$B604-$B612+1,$B603-$B604,$B607,0),0)),0)</f>
        <v>12007.415265427542</v>
      </c>
      <c r="V608" s="346">
        <f t="shared" ref="V608" ca="1" si="370">IF(V$2&gt;=$B612+$B604,IF($B605,MIN($B607/($B603-($B604)),U609),IFERROR(-PPMT($B601/4,V$2-$B604-$B612+1,$B603-$B604,$B607,0),0)),0)</f>
        <v>12277.582108899662</v>
      </c>
      <c r="W608" s="346">
        <f t="shared" ref="W608" ca="1" si="371">IF(W$2&gt;=$B612+$B604,IF($B605,MIN($B607/($B603-($B604)),V609),IFERROR(-PPMT($B601/4,W$2-$B604-$B612+1,$B603-$B604,$B607,0),0)),0)</f>
        <v>12553.827706349903</v>
      </c>
      <c r="X608" s="346">
        <f t="shared" ref="X608" ca="1" si="372">IF(X$2&gt;=$B612+$B604,IF($B605,MIN($B607/($B603-($B604)),W609),IFERROR(-PPMT($B601/4,X$2-$B604-$B612+1,$B603-$B604,$B607,0),0)),0)</f>
        <v>12836.288829742776</v>
      </c>
      <c r="Y608" s="346">
        <f t="shared" ref="Y608" ca="1" si="373">IF(Y$2&gt;=$B612+$B604,IF($B605,MIN($B607/($B603-($B604)),X609),IFERROR(-PPMT($B601/4,Y$2-$B604-$B612+1,$B603-$B604,$B607,0),0)),0)</f>
        <v>13125.10532841199</v>
      </c>
      <c r="Z608" s="346">
        <f t="shared" ref="Z608" ca="1" si="374">IF(Z$2&gt;=$B612+$B604,IF($B605,MIN($B607/($B603-($B604)),Y609),IFERROR(-PPMT($B601/4,Z$2-$B604-$B612+1,$B603-$B604,$B607,0),0)),0)</f>
        <v>13420.420198301261</v>
      </c>
      <c r="AA608" s="346">
        <f t="shared" ref="AA608" ca="1" si="375">IF(AA$2&gt;=$B612+$B604,IF($B605,MIN($B607/($B603-($B604)),Z609),IFERROR(-PPMT($B601/4,AA$2-$B604-$B612+1,$B603-$B604,$B607,0),0)),0)</f>
        <v>13722.37965276304</v>
      </c>
      <c r="AB608" s="346">
        <f t="shared" ref="AB608" ca="1" si="376">IF(AB$2&gt;=$B612+$B604,IF($B605,MIN($B607/($B603-($B604)),AA609),IFERROR(-PPMT($B601/4,AB$2-$B604-$B612+1,$B603-$B604,$B607,0),0)),0)</f>
        <v>14031.133194950207</v>
      </c>
      <c r="AC608" s="346">
        <f t="shared" ref="AC608" ca="1" si="377">IF(AC$2&gt;=$B612+$B604,IF($B605,MIN($B607/($B603-($B604)),AB609),IFERROR(-PPMT($B601/4,AC$2-$B604-$B612+1,$B603-$B604,$B607,0),0)),0)</f>
        <v>14346.833691836586</v>
      </c>
      <c r="AD608" s="346">
        <f t="shared" ref="AD608" ca="1" si="378">IF(AD$2&gt;=$B612+$B604,IF($B605,MIN($B607/($B603-($B604)),AC609),IFERROR(-PPMT($B601/4,AD$2-$B604-$B612+1,$B603-$B604,$B607,0),0)),0)</f>
        <v>14669.63744990291</v>
      </c>
      <c r="AE608" s="346">
        <f t="shared" ref="AE608" ca="1" si="379">IF(AE$2&gt;=$B612+$B604,IF($B605,MIN($B607/($B603-($B604)),AD609),IFERROR(-PPMT($B601/4,AE$2-$B604-$B612+1,$B603-$B604,$B607,0),0)),0)</f>
        <v>14999.704292525726</v>
      </c>
      <c r="AF608" s="346">
        <f t="shared" ref="AF608" ca="1" si="380">IF(AF$2&gt;=$B612+$B604,IF($B605,MIN($B607/($B603-($B604)),AE609),IFERROR(-PPMT($B601/4,AF$2-$B604-$B612+1,$B603-$B604,$B607,0),0)),0)</f>
        <v>15337.197639107555</v>
      </c>
      <c r="AG608" s="346">
        <f t="shared" ref="AG608" ca="1" si="381">IF(AG$2&gt;=$B612+$B604,IF($B605,MIN($B607/($B603-($B604)),AF609),IFERROR(-PPMT($B601/4,AG$2-$B604-$B612+1,$B603-$B604,$B607,0),0)),0)</f>
        <v>15682.284585987474</v>
      </c>
      <c r="AH608" s="346">
        <f t="shared" ref="AH608" ca="1" si="382">IF(AH$2&gt;=$B612+$B604,IF($B605,MIN($B607/($B603-($B604)),AG609),IFERROR(-PPMT($B601/4,AH$2-$B604-$B612+1,$B603-$B604,$B607,0),0)),0)</f>
        <v>16035.135989172191</v>
      </c>
      <c r="AI608" s="346">
        <f t="shared" ref="AI608" ca="1" si="383">IF(AI$2&gt;=$B612+$B604,IF($B605,MIN($B607/($B603-($B604)),AH609),IFERROR(-PPMT($B601/4,AI$2-$B604-$B612+1,$B603-$B604,$B607,0),0)),0)</f>
        <v>16395.926548928564</v>
      </c>
      <c r="AJ608" s="346">
        <f t="shared" ref="AJ608" ca="1" si="384">IF(AJ$2&gt;=$B612+$B604,IF($B605,MIN($B607/($B603-($B604)),AI609),IFERROR(-PPMT($B601/4,AJ$2-$B604-$B612+1,$B603-$B604,$B607,0),0)),0)</f>
        <v>16764.834896279459</v>
      </c>
      <c r="AK608" s="346">
        <f t="shared" ref="AK608" ca="1" si="385">IF(AK$2&gt;=$B612+$B604,IF($B605,MIN($B607/($B603-($B604)),AJ609),IFERROR(-PPMT($B601/4,AK$2-$B604-$B612+1,$B603-$B604,$B607,0),0)),0)</f>
        <v>17142.043681445746</v>
      </c>
      <c r="AL608" s="346">
        <f t="shared" ref="AL608" ca="1" si="386">IF(AL$2&gt;=$B612+$B604,IF($B605,MIN($B607/($B603-($B604)),AK609),IFERROR(-PPMT($B601/4,AL$2-$B604-$B612+1,$B603-$B604,$B607,0),0)),0)</f>
        <v>17527.739664278277</v>
      </c>
      <c r="AM608" s="346">
        <f t="shared" ref="AM608" ca="1" si="387">IF(AM$2&gt;=$B612+$B604,IF($B605,MIN($B607/($B603-($B604)),AL609),IFERROR(-PPMT($B601/4,AM$2-$B604-$B612+1,$B603-$B604,$B607,0),0)),0)</f>
        <v>17922.113806724537</v>
      </c>
      <c r="AN608" s="346">
        <f t="shared" ref="AN608" ca="1" si="388">IF(AN$2&gt;=$B612+$B604,IF($B605,MIN($B607/($B603-($B604)),AM609),IFERROR(-PPMT($B601/4,AN$2-$B604-$B612+1,$B603-$B604,$B607,0),0)),0)</f>
        <v>18325.361367375837</v>
      </c>
      <c r="AO608" s="346">
        <f t="shared" ref="AO608" ca="1" si="389">IF(AO$2&gt;=$B612+$B604,IF($B605,MIN($B607/($B603-($B604)),AN609),IFERROR(-PPMT($B601/4,AO$2-$B604-$B612+1,$B603-$B604,$B607,0),0)),0)</f>
        <v>0</v>
      </c>
      <c r="AP608" s="346">
        <f t="shared" ref="AP608" ca="1" si="390">IF(AP$2&gt;=$B612+$B604,IF($B605,MIN($B607/($B603-($B604)),AO609),IFERROR(-PPMT($B601/4,AP$2-$B604-$B612+1,$B603-$B604,$B607,0),0)),0)</f>
        <v>0</v>
      </c>
      <c r="AQ608" s="346">
        <f t="shared" ref="AQ608" ca="1" si="391">IF(AQ$2&gt;=$B612+$B604,IF($B605,MIN($B607/($B603-($B604)),AP609),IFERROR(-PPMT($B601/4,AQ$2-$B604-$B612+1,$B603-$B604,$B607,0),0)),0)</f>
        <v>0</v>
      </c>
      <c r="AR608" s="346">
        <f t="shared" ref="AR608" ca="1" si="392">IF(AR$2&gt;=$B612+$B604,IF($B605,MIN($B607/($B603-($B604)),AQ609),IFERROR(-PPMT($B601/4,AR$2-$B604-$B612+1,$B603-$B604,$B607,0),0)),0)</f>
        <v>0</v>
      </c>
      <c r="AS608" s="94"/>
      <c r="AT608" s="84">
        <f ca="1">SUM(E608:AS608)</f>
        <v>386142.92097500304</v>
      </c>
    </row>
    <row r="609" spans="1:46" ht="11.25" customHeight="1" x14ac:dyDescent="0.2">
      <c r="A609" s="97" t="s">
        <v>94</v>
      </c>
      <c r="B609" s="11"/>
      <c r="C609" s="3" t="str">
        <f>CHOOSE(C600,Параметры!$B$64,Параметры!$B$108,Параметры!$B$117)</f>
        <v>тыс. руб.</v>
      </c>
      <c r="E609" s="98">
        <f ca="1">SUM($E610:E610)-SUM($E611:E611)+SUM($E607:E607)-SUM($E608:E608)</f>
        <v>0</v>
      </c>
      <c r="F609" s="98">
        <f ca="1">SUM($E610:F610)-SUM($E611:F611)+SUM($E607:F607)-SUM($E608:F608)</f>
        <v>0</v>
      </c>
      <c r="G609" s="98">
        <f ca="1">SUM($E610:G610)-SUM($E611:G611)+SUM($E607:G607)-SUM($E608:G608)</f>
        <v>0</v>
      </c>
      <c r="H609" s="98">
        <f ca="1">SUM($E610:H610)-SUM($E611:H611)+SUM($E607:H607)-SUM($E608:H608)</f>
        <v>0</v>
      </c>
      <c r="I609" s="98">
        <f ca="1">SUM($E610:I610)-SUM($E611:I611)+SUM($E607:I607)-SUM($E608:I608)</f>
        <v>37800</v>
      </c>
      <c r="J609" s="98">
        <f ca="1">SUM($E610:J610)-SUM($E611:J611)+SUM($E607:J607)-SUM($E608:J608)</f>
        <v>152626.40533690184</v>
      </c>
      <c r="K609" s="98">
        <f ca="1">SUM($E610:K610)-SUM($E611:K611)+SUM($E607:K607)-SUM($E608:K608)</f>
        <v>307654.07567898859</v>
      </c>
      <c r="L609" s="98">
        <f ca="1">SUM($E610:L610)-SUM($E611:L611)+SUM($E607:L607)-SUM($E608:L608)</f>
        <v>386142.92097500298</v>
      </c>
      <c r="M609" s="98">
        <f ca="1">SUM($E610:M610)-SUM($E611:M611)+SUM($E607:M607)-SUM($E608:M608)</f>
        <v>376093.45469879877</v>
      </c>
      <c r="N609" s="98">
        <f ca="1">SUM($E610:N610)-SUM($E611:N611)+SUM($E607:N607)-SUM($E608:N608)</f>
        <v>365817.87543137994</v>
      </c>
      <c r="O609" s="98">
        <f ca="1">SUM($E610:O610)-SUM($E611:O611)+SUM($E607:O607)-SUM($E608:O608)</f>
        <v>355311.09563044418</v>
      </c>
      <c r="P609" s="98">
        <f ca="1">SUM($E610:P610)-SUM($E611:P611)+SUM($E607:P607)-SUM($E608:P608)</f>
        <v>344567.91328398738</v>
      </c>
      <c r="Q609" s="98">
        <f ca="1">SUM($E610:Q610)-SUM($E611:Q611)+SUM($E607:Q607)-SUM($E608:Q608)</f>
        <v>333583.00933473528</v>
      </c>
      <c r="R609" s="98">
        <f ca="1">SUM($E610:R610)-SUM($E611:R611)+SUM($E607:R607)-SUM($E608:R608)</f>
        <v>322350.94504662504</v>
      </c>
      <c r="S609" s="98">
        <f ca="1">SUM($E610:S610)-SUM($E611:S611)+SUM($E607:S607)-SUM($E608:S608)</f>
        <v>310866.15931203228</v>
      </c>
      <c r="T609" s="98">
        <f ca="1">SUM($E610:T610)-SUM($E611:T611)+SUM($E607:T607)-SUM($E608:T608)</f>
        <v>299122.96589841123</v>
      </c>
      <c r="U609" s="98">
        <f ca="1">SUM($E610:U610)-SUM($E611:U611)+SUM($E607:U607)-SUM($E608:U608)</f>
        <v>287115.55063298368</v>
      </c>
      <c r="V609" s="98">
        <f ca="1">SUM($E610:V610)-SUM($E611:V611)+SUM($E607:V607)-SUM($E608:V608)</f>
        <v>274837.96852408402</v>
      </c>
      <c r="W609" s="98">
        <f ca="1">SUM($E610:W610)-SUM($E611:W611)+SUM($E607:W607)-SUM($E608:W608)</f>
        <v>262284.14081773412</v>
      </c>
      <c r="X609" s="98">
        <f ca="1">SUM($E610:X610)-SUM($E611:X611)+SUM($E607:X607)-SUM($E608:X608)</f>
        <v>249447.85198799137</v>
      </c>
      <c r="Y609" s="98">
        <f ca="1">SUM($E610:Y610)-SUM($E611:Y611)+SUM($E607:Y607)-SUM($E608:Y608)</f>
        <v>236322.74665957937</v>
      </c>
      <c r="Z609" s="98">
        <f ca="1">SUM($E610:Z610)-SUM($E611:Z611)+SUM($E607:Z607)-SUM($E608:Z608)</f>
        <v>222902.32646127811</v>
      </c>
      <c r="AA609" s="98">
        <f ca="1">SUM($E610:AA610)-SUM($E611:AA611)+SUM($E607:AA607)-SUM($E608:AA608)</f>
        <v>209179.94680851506</v>
      </c>
      <c r="AB609" s="98">
        <f ca="1">SUM($E610:AB610)-SUM($E611:AB611)+SUM($E607:AB607)-SUM($E608:AB608)</f>
        <v>195148.81361356485</v>
      </c>
      <c r="AC609" s="98">
        <f ca="1">SUM($E610:AC610)-SUM($E611:AC611)+SUM($E607:AC607)-SUM($E608:AC608)</f>
        <v>180801.97992172826</v>
      </c>
      <c r="AD609" s="98">
        <f ca="1">SUM($E610:AD610)-SUM($E611:AD611)+SUM($E607:AD607)-SUM($E608:AD608)</f>
        <v>166132.34247182534</v>
      </c>
      <c r="AE609" s="98">
        <f ca="1">SUM($E610:AE610)-SUM($E611:AE611)+SUM($E607:AE607)-SUM($E608:AE608)</f>
        <v>151132.6381792996</v>
      </c>
      <c r="AF609" s="98">
        <f ca="1">SUM($E610:AF610)-SUM($E611:AF611)+SUM($E607:AF607)-SUM($E608:AF608)</f>
        <v>135795.44054019204</v>
      </c>
      <c r="AG609" s="98">
        <f ca="1">SUM($E610:AG610)-SUM($E611:AG611)+SUM($E607:AG607)-SUM($E608:AG608)</f>
        <v>120113.15595420456</v>
      </c>
      <c r="AH609" s="98">
        <f ca="1">SUM($E610:AH610)-SUM($E611:AH611)+SUM($E607:AH607)-SUM($E608:AH608)</f>
        <v>104078.01996503235</v>
      </c>
      <c r="AI609" s="98">
        <f ca="1">SUM($E610:AI610)-SUM($E611:AI611)+SUM($E607:AI607)-SUM($E608:AI608)</f>
        <v>87682.093416103802</v>
      </c>
      <c r="AJ609" s="98">
        <f ca="1">SUM($E610:AJ610)-SUM($E611:AJ611)+SUM($E607:AJ607)-SUM($E608:AJ608)</f>
        <v>70917.258519824361</v>
      </c>
      <c r="AK609" s="98">
        <f ca="1">SUM($E610:AK610)-SUM($E611:AK611)+SUM($E607:AK607)-SUM($E608:AK608)</f>
        <v>53775.214838378597</v>
      </c>
      <c r="AL609" s="98">
        <f ca="1">SUM($E610:AL610)-SUM($E611:AL611)+SUM($E607:AL607)-SUM($E608:AL608)</f>
        <v>36247.475174100313</v>
      </c>
      <c r="AM609" s="98">
        <f ca="1">SUM($E610:AM610)-SUM($E611:AM611)+SUM($E607:AM607)-SUM($E608:AM608)</f>
        <v>18325.361367375765</v>
      </c>
      <c r="AN609" s="98">
        <f ca="1">SUM($E610:AN610)-SUM($E611:AN611)+SUM($E607:AN607)-SUM($E608:AN608)</f>
        <v>0</v>
      </c>
      <c r="AO609" s="98">
        <f ca="1">SUM($E610:AO610)-SUM($E611:AO611)+SUM($E607:AO607)-SUM($E608:AO608)</f>
        <v>0</v>
      </c>
      <c r="AP609" s="98">
        <f ca="1">SUM($E610:AP610)-SUM($E611:AP611)+SUM($E607:AP607)-SUM($E608:AP608)</f>
        <v>0</v>
      </c>
      <c r="AQ609" s="98">
        <f ca="1">SUM($E610:AQ610)-SUM($E611:AQ611)+SUM($E607:AQ607)-SUM($E608:AQ608)</f>
        <v>0</v>
      </c>
      <c r="AR609" s="98">
        <f ca="1">SUM($E610:AR610)-SUM($E611:AR611)+SUM($E607:AR607)-SUM($E608:AR608)</f>
        <v>0</v>
      </c>
      <c r="AS609" s="99"/>
      <c r="AT609" s="100"/>
    </row>
    <row r="610" spans="1:46" ht="11.25" customHeight="1" x14ac:dyDescent="0.2">
      <c r="A610" s="97" t="s">
        <v>92</v>
      </c>
      <c r="B610" s="215">
        <f ca="1">AT610</f>
        <v>146906.4833449547</v>
      </c>
      <c r="C610" s="3" t="str">
        <f>CHOOSE(C600,Параметры!$B$64,Параметры!$B$108,Параметры!$B$117)</f>
        <v>тыс. руб.</v>
      </c>
      <c r="E610" s="98">
        <f ca="1">MAX((SUM($E607:E607)-SUM($E608:E608)+IF(AND($B606=1,Параметры!E$36&gt;1),SUM($D610:D610)-SUM($D611:D611),0)),0)*E601/12*Параметры!E$40</f>
        <v>0</v>
      </c>
      <c r="F610" s="98">
        <f ca="1">MAX((SUM($E607:F607)-SUM($E608:F608)+IF(AND($B606=1,Параметры!F$36&gt;1),SUM($D610:E610)-SUM($D611:E611),0)),0)*F601/12*Параметры!F$40</f>
        <v>0</v>
      </c>
      <c r="G610" s="98">
        <f ca="1">MAX((SUM($E607:G607)-SUM($E608:G608)+IF(AND($B606=1,Параметры!G$36&gt;1),SUM($D610:F610)-SUM($D611:F611),0)),0)*G601/12*Параметры!G$40</f>
        <v>0</v>
      </c>
      <c r="H610" s="98">
        <f ca="1">MAX((SUM($E607:H607)-SUM($E608:H608)+IF(AND($B606=1,Параметры!H$36&gt;1),SUM($D610:G610)-SUM($D611:G611),0)),0)*H601/12*Параметры!H$40</f>
        <v>0</v>
      </c>
      <c r="I610" s="98">
        <f ca="1">MAX((SUM($E607:I607)-SUM($E608:I608)+IF(AND($B606=1,Параметры!I$36&gt;1),SUM($D610:H610)-SUM($D611:H611),0)),0)*I601/12*Параметры!I$40</f>
        <v>850.5</v>
      </c>
      <c r="J610" s="98">
        <f ca="1">MAX((SUM($E607:J607)-SUM($E608:J608)+IF(AND($B606=1,Параметры!J$36&gt;1),SUM($D610:I610)-SUM($D611:I611),0)),0)*J601/12*Параметры!J$40</f>
        <v>3434.0941200802908</v>
      </c>
      <c r="K610" s="98">
        <f ca="1">MAX((SUM($E607:K607)-SUM($E608:K608)+IF(AND($B606=1,Параметры!K$36&gt;1),SUM($D610:J610)-SUM($D611:J611),0)),0)*K601/12*Параметры!K$40</f>
        <v>6922.216702777243</v>
      </c>
      <c r="L610" s="98">
        <f ca="1">MAX((SUM($E607:L607)-SUM($E608:L608)+IF(AND($B606=1,Параметры!L$36&gt;1),SUM($D610:K610)-SUM($D611:K611),0)),0)*L601/12*Параметры!L$40</f>
        <v>8688.2157219375677</v>
      </c>
      <c r="M610" s="98">
        <f ca="1">MAX((SUM($E607:M607)-SUM($E608:M608)+IF(AND($B606=1,Параметры!M$36&gt;1),SUM($D610:L610)-SUM($D611:L611),0)),0)*M601/12*Параметры!M$40</f>
        <v>8462.1027307229724</v>
      </c>
      <c r="N610" s="98">
        <f ca="1">MAX((SUM($E607:N607)-SUM($E608:N608)+IF(AND($B606=1,Параметры!N$36&gt;1),SUM($D610:M610)-SUM($D611:M611),0)),0)*N601/12*Параметры!N$40</f>
        <v>8230.9021972060491</v>
      </c>
      <c r="O610" s="98">
        <f ca="1">MAX((SUM($E607:O607)-SUM($E608:O608)+IF(AND($B606=1,Параметры!O$36&gt;1),SUM($D610:N610)-SUM($D611:N611),0)),0)*O601/12*Параметры!O$40</f>
        <v>7994.4996516849933</v>
      </c>
      <c r="P610" s="98">
        <f ca="1">MAX((SUM($E607:P607)-SUM($E608:P608)+IF(AND($B606=1,Параметры!P$36&gt;1),SUM($D610:O610)-SUM($D611:O611),0)),0)*P601/12*Параметры!P$40</f>
        <v>7752.778048889717</v>
      </c>
      <c r="Q610" s="98">
        <f ca="1">MAX((SUM($E607:Q607)-SUM($E608:Q608)+IF(AND($B606=1,Параметры!Q$36&gt;1),SUM($D610:P610)-SUM($D611:P611),0)),0)*Q601/12*Параметры!Q$40</f>
        <v>7505.6177100315435</v>
      </c>
      <c r="R610" s="98">
        <f ca="1">MAX((SUM($E607:R607)-SUM($E608:R608)+IF(AND($B606=1,Параметры!R$36&gt;1),SUM($D610:Q610)-SUM($D611:Q611),0)),0)*R601/12*Параметры!R$40</f>
        <v>7252.8962635490625</v>
      </c>
      <c r="S610" s="98">
        <f ca="1">MAX((SUM($E607:S607)-SUM($E608:S608)+IF(AND($B606=1,Параметры!S$36&gt;1),SUM($D610:R610)-SUM($D611:R611),0)),0)*S601/12*Параметры!S$40</f>
        <v>6994.4885845207264</v>
      </c>
      <c r="T610" s="98">
        <f ca="1">MAX((SUM($E607:T607)-SUM($E608:T608)+IF(AND($B606=1,Параметры!T$36&gt;1),SUM($D610:S610)-SUM($D611:S611),0)),0)*T601/12*Параметры!T$40</f>
        <v>6730.2667327142526</v>
      </c>
      <c r="U610" s="98">
        <f ca="1">MAX((SUM($E607:U607)-SUM($E608:U608)+IF(AND($B606=1,Параметры!U$36&gt;1),SUM($D610:T610)-SUM($D611:T611),0)),0)*U601/12*Параметры!U$40</f>
        <v>6460.0998892421321</v>
      </c>
      <c r="V610" s="98">
        <f ca="1">MAX((SUM($E607:V607)-SUM($E608:V608)+IF(AND($B606=1,Параметры!V$36&gt;1),SUM($D610:U610)-SUM($D611:U611),0)),0)*V601/12*Параметры!V$40</f>
        <v>6183.8542917918903</v>
      </c>
      <c r="W610" s="98">
        <f ca="1">MAX((SUM($E607:W607)-SUM($E608:W608)+IF(AND($B606=1,Параметры!W$36&gt;1),SUM($D610:V610)-SUM($D611:V611),0)),0)*W601/12*Параметры!W$40</f>
        <v>5901.3931683990177</v>
      </c>
      <c r="X610" s="98">
        <f ca="1">MAX((SUM($E607:X607)-SUM($E608:X608)+IF(AND($B606=1,Параметры!X$36&gt;1),SUM($D610:W610)-SUM($D611:W611),0)),0)*X601/12*Параметры!X$40</f>
        <v>5612.5766697298059</v>
      </c>
      <c r="Y610" s="98">
        <f ca="1">MAX((SUM($E607:Y607)-SUM($E608:Y608)+IF(AND($B606=1,Параметры!Y$36&gt;1),SUM($D610:X610)-SUM($D611:X611),0)),0)*Y601/12*Параметры!Y$40</f>
        <v>5317.2617998405358</v>
      </c>
      <c r="Z610" s="98">
        <f ca="1">MAX((SUM($E607:Z607)-SUM($E608:Z608)+IF(AND($B606=1,Параметры!Z$36&gt;1),SUM($D610:Y610)-SUM($D611:Y611),0)),0)*Z601/12*Параметры!Z$40</f>
        <v>5015.3023453787573</v>
      </c>
      <c r="AA610" s="98">
        <f ca="1">MAX((SUM($E607:AA607)-SUM($E608:AA608)+IF(AND($B606=1,Параметры!AA$36&gt;1),SUM($D610:Z610)-SUM($D611:Z611),0)),0)*AA601/12*Параметры!AA$40</f>
        <v>4706.5488031915884</v>
      </c>
      <c r="AB610" s="98">
        <f ca="1">MAX((SUM($E607:AB607)-SUM($E608:AB608)+IF(AND($B606=1,Параметры!AB$36&gt;1),SUM($D610:AA610)-SUM($D611:AA611),0)),0)*AB601/12*Параметры!AB$40</f>
        <v>4390.848306305209</v>
      </c>
      <c r="AC610" s="98">
        <f ca="1">MAX((SUM($E607:AC607)-SUM($E608:AC608)+IF(AND($B606=1,Параметры!AC$36&gt;1),SUM($D610:AB610)-SUM($D611:AB611),0)),0)*AC601/12*Параметры!AC$40</f>
        <v>3616.0395984345651</v>
      </c>
      <c r="AD610" s="98">
        <f ca="1">MAX((SUM($E607:AD607)-SUM($E608:AD608)+IF(AND($B606=1,Параметры!AD$36&gt;1),SUM($D610:AC610)-SUM($D611:AC611),0)),0)*AD601/12*Параметры!AD$40</f>
        <v>3322.6468494365072</v>
      </c>
      <c r="AE610" s="98">
        <f ca="1">MAX((SUM($E607:AE607)-SUM($E608:AE608)+IF(AND($B606=1,Параметры!AE$36&gt;1),SUM($D610:AD610)-SUM($D611:AD611),0)),0)*AE601/12*Параметры!AE$40</f>
        <v>3022.652763585992</v>
      </c>
      <c r="AF610" s="98">
        <f ca="1">MAX((SUM($E607:AF607)-SUM($E608:AF608)+IF(AND($B606=1,Параметры!AF$36&gt;1),SUM($D610:AE610)-SUM($D611:AE611),0)),0)*AF601/12*Параметры!AF$40</f>
        <v>2715.9088108038409</v>
      </c>
      <c r="AG610" s="98">
        <f ca="1">MAX((SUM($E607:AG607)-SUM($E608:AG608)+IF(AND($B606=1,Параметры!AG$36&gt;1),SUM($D610:AF610)-SUM($D611:AF611),0)),0)*AG601/12*Параметры!AG$40</f>
        <v>2402.2631190840912</v>
      </c>
      <c r="AH610" s="98">
        <f ca="1">MAX((SUM($E607:AH607)-SUM($E608:AH608)+IF(AND($B606=1,Параметры!AH$36&gt;1),SUM($D610:AG610)-SUM($D611:AG611),0)),0)*AH601/12*Параметры!AH$40</f>
        <v>2081.5603993006471</v>
      </c>
      <c r="AI610" s="98">
        <f ca="1">MAX((SUM($E607:AI607)-SUM($E608:AI608)+IF(AND($B606=1,Параметры!AI$36&gt;1),SUM($D610:AH610)-SUM($D611:AH611),0)),0)*AI601/12*Параметры!AI$40</f>
        <v>1753.6418683220759</v>
      </c>
      <c r="AJ610" s="98">
        <f ca="1">MAX((SUM($E607:AJ607)-SUM($E608:AJ608)+IF(AND($B606=1,Параметры!AJ$36&gt;1),SUM($D610:AI610)-SUM($D611:AI611),0)),0)*AJ601/12*Параметры!AJ$40</f>
        <v>1418.3451703964872</v>
      </c>
      <c r="AK610" s="98">
        <f ca="1">MAX((SUM($E607:AK607)-SUM($E608:AK608)+IF(AND($B606=1,Параметры!AK$36&gt;1),SUM($D610:AJ610)-SUM($D611:AJ611),0)),0)*AK601/12*Параметры!AK$40</f>
        <v>1075.504296767572</v>
      </c>
      <c r="AL610" s="98">
        <f ca="1">MAX((SUM($E607:AL607)-SUM($E608:AL608)+IF(AND($B606=1,Параметры!AL$36&gt;1),SUM($D610:AK610)-SUM($D611:AK611),0)),0)*AL601/12*Параметры!AL$40</f>
        <v>724.94950348200632</v>
      </c>
      <c r="AM610" s="98">
        <f ca="1">MAX((SUM($E607:AM607)-SUM($E608:AM608)+IF(AND($B606=1,Параметры!AM$36&gt;1),SUM($D610:AL610)-SUM($D611:AL611),0)),0)*AM601/12*Параметры!AM$40</f>
        <v>366.50722734751531</v>
      </c>
      <c r="AN610" s="98">
        <f ca="1">MAX((SUM($E607:AN607)-SUM($E608:AN608)+IF(AND($B606=1,Параметры!AN$36&gt;1),SUM($D610:AM610)-SUM($D611:AM611),0)),0)*AN601/12*Параметры!AN$40</f>
        <v>0</v>
      </c>
      <c r="AO610" s="98">
        <f ca="1">MAX((SUM($E607:AO607)-SUM($E608:AO608)+IF(AND($B606=1,Параметры!AO$36&gt;1),SUM($D610:AN610)-SUM($D611:AN611),0)),0)*AO601/12*Параметры!AO$40</f>
        <v>0</v>
      </c>
      <c r="AP610" s="98">
        <f ca="1">MAX((SUM($E607:AP607)-SUM($E608:AP608)+IF(AND($B606=1,Параметры!AP$36&gt;1),SUM($D610:AO610)-SUM($D611:AO611),0)),0)*AP601/12*Параметры!AP$40</f>
        <v>0</v>
      </c>
      <c r="AQ610" s="98">
        <f ca="1">MAX((SUM($E607:AQ607)-SUM($E608:AQ608)+IF(AND($B606=1,Параметры!AQ$36&gt;1),SUM($D610:AP610)-SUM($D611:AP611),0)),0)*AQ601/12*Параметры!AQ$40</f>
        <v>0</v>
      </c>
      <c r="AR610" s="98">
        <f ca="1">MAX((SUM($E607:AR607)-SUM($E608:AR608)+IF(AND($B606=1,Параметры!AR$36&gt;1),SUM($D610:AQ610)-SUM($D611:AQ611),0)),0)*AR601/12*Параметры!AR$40</f>
        <v>0</v>
      </c>
      <c r="AS610" s="99"/>
      <c r="AT610" s="100">
        <f ca="1">SUM(E610:AS610)</f>
        <v>146906.4833449547</v>
      </c>
    </row>
    <row r="611" spans="1:46" ht="11.25" customHeight="1" collapsed="1" x14ac:dyDescent="0.2">
      <c r="A611" s="101" t="s">
        <v>93</v>
      </c>
      <c r="B611" s="216">
        <f ca="1">AT611</f>
        <v>146906.4833449547</v>
      </c>
      <c r="C611" s="2" t="str">
        <f>CHOOSE(C600,Параметры!$B$64,Параметры!$B$108,Параметры!$B$117)</f>
        <v>тыс. руб.</v>
      </c>
      <c r="E611" s="353">
        <f ca="1">IF(Параметры!E$36&gt;=E612+$B602,E610,0)</f>
        <v>0</v>
      </c>
      <c r="F611" s="353">
        <f ca="1">IF(Параметры!F$36&gt;=F612+$B602,F610,0)</f>
        <v>0</v>
      </c>
      <c r="G611" s="353">
        <f ca="1">IF(Параметры!G$36&gt;=G612+$B602,G610,0)</f>
        <v>0</v>
      </c>
      <c r="H611" s="353">
        <f ca="1">IF(Параметры!H$36&gt;=H612+$B602,H610,0)</f>
        <v>0</v>
      </c>
      <c r="I611" s="353">
        <f ca="1">IF(Параметры!I$36&gt;=I612+$B602,I610,0)</f>
        <v>850.5</v>
      </c>
      <c r="J611" s="353">
        <f ca="1">IF(Параметры!J$36&gt;=J612+$B602,J610,0)</f>
        <v>3434.0941200802908</v>
      </c>
      <c r="K611" s="353">
        <f ca="1">IF(Параметры!K$36&gt;=K612+$B602,K610,0)</f>
        <v>6922.216702777243</v>
      </c>
      <c r="L611" s="353">
        <f ca="1">IF(Параметры!L$36&gt;=L612+$B602,L610,0)</f>
        <v>8688.2157219375677</v>
      </c>
      <c r="M611" s="353">
        <f ca="1">IF(Параметры!M$36&gt;=M612+$B602,M610,0)</f>
        <v>8462.1027307229724</v>
      </c>
      <c r="N611" s="353">
        <f ca="1">IF(Параметры!N$36&gt;=N612+$B602,N610,0)</f>
        <v>8230.9021972060491</v>
      </c>
      <c r="O611" s="353">
        <f ca="1">IF(Параметры!O$36&gt;=O612+$B602,O610,0)</f>
        <v>7994.4996516849933</v>
      </c>
      <c r="P611" s="353">
        <f ca="1">IF(Параметры!P$36&gt;=P612+$B602,P610,0)</f>
        <v>7752.778048889717</v>
      </c>
      <c r="Q611" s="353">
        <f ca="1">IF(Параметры!Q$36&gt;=Q612+$B602,Q610,0)</f>
        <v>7505.6177100315435</v>
      </c>
      <c r="R611" s="353">
        <f ca="1">IF(Параметры!R$36&gt;=R612+$B602,R610,0)</f>
        <v>7252.8962635490625</v>
      </c>
      <c r="S611" s="353">
        <f ca="1">IF(Параметры!S$36&gt;=S612+$B602,S610,0)</f>
        <v>6994.4885845207264</v>
      </c>
      <c r="T611" s="353">
        <f ca="1">IF(Параметры!T$36&gt;=T612+$B602,T610,0)</f>
        <v>6730.2667327142526</v>
      </c>
      <c r="U611" s="353">
        <f ca="1">IF(Параметры!U$36&gt;=U612+$B602,U610,0)</f>
        <v>6460.0998892421321</v>
      </c>
      <c r="V611" s="353">
        <f ca="1">IF(Параметры!V$36&gt;=V612+$B602,V610,0)</f>
        <v>6183.8542917918903</v>
      </c>
      <c r="W611" s="353">
        <f ca="1">IF(Параметры!W$36&gt;=W612+$B602,W610,0)</f>
        <v>5901.3931683990177</v>
      </c>
      <c r="X611" s="353">
        <f ca="1">IF(Параметры!X$36&gt;=X612+$B602,X610,0)</f>
        <v>5612.5766697298059</v>
      </c>
      <c r="Y611" s="353">
        <f ca="1">IF(Параметры!Y$36&gt;=Y612+$B602,Y610,0)</f>
        <v>5317.2617998405358</v>
      </c>
      <c r="Z611" s="353">
        <f ca="1">IF(Параметры!Z$36&gt;=Z612+$B602,Z610,0)</f>
        <v>5015.3023453787573</v>
      </c>
      <c r="AA611" s="353">
        <f ca="1">IF(Параметры!AA$36&gt;=AA612+$B602,AA610,0)</f>
        <v>4706.5488031915884</v>
      </c>
      <c r="AB611" s="353">
        <f ca="1">IF(Параметры!AB$36&gt;=AB612+$B602,AB610,0)</f>
        <v>4390.848306305209</v>
      </c>
      <c r="AC611" s="353">
        <f ca="1">IF(Параметры!AC$36&gt;=AC612+$B602,AC610,0)</f>
        <v>3616.0395984345651</v>
      </c>
      <c r="AD611" s="353">
        <f ca="1">IF(Параметры!AD$36&gt;=AD612+$B602,AD610,0)</f>
        <v>3322.6468494365072</v>
      </c>
      <c r="AE611" s="353">
        <f ca="1">IF(Параметры!AE$36&gt;=AE612+$B602,AE610,0)</f>
        <v>3022.652763585992</v>
      </c>
      <c r="AF611" s="353">
        <f ca="1">IF(Параметры!AF$36&gt;=AF612+$B602,AF610,0)</f>
        <v>2715.9088108038409</v>
      </c>
      <c r="AG611" s="353">
        <f ca="1">IF(Параметры!AG$36&gt;=AG612+$B602,AG610,0)</f>
        <v>2402.2631190840912</v>
      </c>
      <c r="AH611" s="353">
        <f ca="1">IF(Параметры!AH$36&gt;=AH612+$B602,AH610,0)</f>
        <v>2081.5603993006471</v>
      </c>
      <c r="AI611" s="353">
        <f ca="1">IF(Параметры!AI$36&gt;=AI612+$B602,AI610,0)</f>
        <v>1753.6418683220759</v>
      </c>
      <c r="AJ611" s="353">
        <f ca="1">IF(Параметры!AJ$36&gt;=AJ612+$B602,AJ610,0)</f>
        <v>1418.3451703964872</v>
      </c>
      <c r="AK611" s="353">
        <f ca="1">IF(Параметры!AK$36&gt;=AK612+$B602,AK610,0)</f>
        <v>1075.504296767572</v>
      </c>
      <c r="AL611" s="353">
        <f ca="1">IF(Параметры!AL$36&gt;=AL612+$B602,AL610,0)</f>
        <v>724.94950348200632</v>
      </c>
      <c r="AM611" s="353">
        <f ca="1">IF(Параметры!AM$36&gt;=AM612+$B602,AM610,0)</f>
        <v>366.50722734751531</v>
      </c>
      <c r="AN611" s="353">
        <f ca="1">IF(Параметры!AN$36&gt;=AN612+$B602,AN610,0)</f>
        <v>0</v>
      </c>
      <c r="AO611" s="353">
        <f ca="1">IF(Параметры!AO$36&gt;=AO612+$B602,AO610,0)</f>
        <v>0</v>
      </c>
      <c r="AP611" s="353">
        <f ca="1">IF(Параметры!AP$36&gt;=AP612+$B602,AP610,0)</f>
        <v>0</v>
      </c>
      <c r="AQ611" s="353">
        <f ca="1">IF(Параметры!AQ$36&gt;=AQ612+$B602,AQ610,0)</f>
        <v>0</v>
      </c>
      <c r="AR611" s="353">
        <f ca="1">IF(Параметры!AR$36&gt;=AR612+$B602,AR610,0)</f>
        <v>0</v>
      </c>
      <c r="AS611" s="102"/>
      <c r="AT611" s="103">
        <f ca="1">SUM(E611:AS611)</f>
        <v>146906.4833449547</v>
      </c>
    </row>
    <row r="612" spans="1:46" ht="11.25" customHeight="1" outlineLevel="1" x14ac:dyDescent="0.2">
      <c r="A612" s="101" t="s">
        <v>95</v>
      </c>
      <c r="B612" s="471">
        <f ca="1">MAX(E612,OFFSET(E612,0,Параметры!$B$24-1))</f>
        <v>5</v>
      </c>
      <c r="C612" s="2" t="s">
        <v>3</v>
      </c>
      <c r="E612" s="155">
        <f>IF(AND(Параметры!E$36=1,E607&gt;0),1,IF(AND(D612=0,E607&lt;&gt;0,SUM($D607:D607)=0),Параметры!E$36,IF(Параметры!E$36=1,0,D612)))</f>
        <v>0</v>
      </c>
      <c r="F612" s="155">
        <f ca="1">IF(AND(Параметры!F$36=1,F607&gt;0),1,IF(AND(E612=0,F607&lt;&gt;0,SUM($D607:E607)=0),Параметры!F$36,IF(Параметры!F$36=1,0,E612)))</f>
        <v>0</v>
      </c>
      <c r="G612" s="155">
        <f ca="1">IF(AND(Параметры!G$36=1,G607&gt;0),1,IF(AND(F612=0,G607&lt;&gt;0,SUM($D607:F607)=0),Параметры!G$36,IF(Параметры!G$36=1,0,F612)))</f>
        <v>0</v>
      </c>
      <c r="H612" s="155">
        <f ca="1">IF(AND(Параметры!H$36=1,H607&gt;0),1,IF(AND(G612=0,H607&lt;&gt;0,SUM($D607:G607)=0),Параметры!H$36,IF(Параметры!H$36=1,0,G612)))</f>
        <v>0</v>
      </c>
      <c r="I612" s="155">
        <f ca="1">IF(AND(Параметры!I$36=1,I607&gt;0),1,IF(AND(H612=0,I607&lt;&gt;0,SUM($D607:H607)=0),Параметры!I$36,IF(Параметры!I$36=1,0,H612)))</f>
        <v>5</v>
      </c>
      <c r="J612" s="155">
        <f ca="1">IF(AND(Параметры!J$36=1,J607&gt;0),1,IF(AND(I612=0,J607&lt;&gt;0,SUM($D607:I607)=0),Параметры!J$36,IF(Параметры!J$36=1,0,I612)))</f>
        <v>5</v>
      </c>
      <c r="K612" s="155">
        <f ca="1">IF(AND(Параметры!K$36=1,K607&gt;0),1,IF(AND(J612=0,K607&lt;&gt;0,SUM($D607:J607)=0),Параметры!K$36,IF(Параметры!K$36=1,0,J612)))</f>
        <v>5</v>
      </c>
      <c r="L612" s="155">
        <f ca="1">IF(AND(Параметры!L$36=1,L607&gt;0),1,IF(AND(K612=0,L607&lt;&gt;0,SUM($D607:K607)=0),Параметры!L$36,IF(Параметры!L$36=1,0,K612)))</f>
        <v>5</v>
      </c>
      <c r="M612" s="155">
        <f ca="1">IF(AND(Параметры!M$36=1,M607&gt;0),1,IF(AND(L612=0,M607&lt;&gt;0,SUM($D607:L607)=0),Параметры!M$36,IF(Параметры!M$36=1,0,L612)))</f>
        <v>5</v>
      </c>
      <c r="N612" s="155">
        <f ca="1">IF(AND(Параметры!N$36=1,N607&gt;0),1,IF(AND(M612=0,N607&lt;&gt;0,SUM($D607:M607)=0),Параметры!N$36,IF(Параметры!N$36=1,0,M612)))</f>
        <v>5</v>
      </c>
      <c r="O612" s="155">
        <f ca="1">IF(AND(Параметры!O$36=1,O607&gt;0),1,IF(AND(N612=0,O607&lt;&gt;0,SUM($D607:N607)=0),Параметры!O$36,IF(Параметры!O$36=1,0,N612)))</f>
        <v>5</v>
      </c>
      <c r="P612" s="155">
        <f ca="1">IF(AND(Параметры!P$36=1,P607&gt;0),1,IF(AND(O612=0,P607&lt;&gt;0,SUM($D607:O607)=0),Параметры!P$36,IF(Параметры!P$36=1,0,O612)))</f>
        <v>5</v>
      </c>
      <c r="Q612" s="155">
        <f ca="1">IF(AND(Параметры!Q$36=1,Q607&gt;0),1,IF(AND(P612=0,Q607&lt;&gt;0,SUM($D607:P607)=0),Параметры!Q$36,IF(Параметры!Q$36=1,0,P612)))</f>
        <v>5</v>
      </c>
      <c r="R612" s="155">
        <f ca="1">IF(AND(Параметры!R$36=1,R607&gt;0),1,IF(AND(Q612=0,R607&lt;&gt;0,SUM($D607:Q607)=0),Параметры!R$36,IF(Параметры!R$36=1,0,Q612)))</f>
        <v>5</v>
      </c>
      <c r="S612" s="155">
        <f ca="1">IF(AND(Параметры!S$36=1,S607&gt;0),1,IF(AND(R612=0,S607&lt;&gt;0,SUM($D607:R607)=0),Параметры!S$36,IF(Параметры!S$36=1,0,R612)))</f>
        <v>5</v>
      </c>
      <c r="T612" s="155">
        <f ca="1">IF(AND(Параметры!T$36=1,T607&gt;0),1,IF(AND(S612=0,T607&lt;&gt;0,SUM($D607:S607)=0),Параметры!T$36,IF(Параметры!T$36=1,0,S612)))</f>
        <v>5</v>
      </c>
      <c r="U612" s="155">
        <f ca="1">IF(AND(Параметры!U$36=1,U607&gt;0),1,IF(AND(T612=0,U607&lt;&gt;0,SUM($D607:T607)=0),Параметры!U$36,IF(Параметры!U$36=1,0,T612)))</f>
        <v>5</v>
      </c>
      <c r="V612" s="155">
        <f ca="1">IF(AND(Параметры!V$36=1,V607&gt;0),1,IF(AND(U612=0,V607&lt;&gt;0,SUM($D607:U607)=0),Параметры!V$36,IF(Параметры!V$36=1,0,U612)))</f>
        <v>5</v>
      </c>
      <c r="W612" s="155">
        <f ca="1">IF(AND(Параметры!W$36=1,W607&gt;0),1,IF(AND(V612=0,W607&lt;&gt;0,SUM($D607:V607)=0),Параметры!W$36,IF(Параметры!W$36=1,0,V612)))</f>
        <v>5</v>
      </c>
      <c r="X612" s="155">
        <f ca="1">IF(AND(Параметры!X$36=1,X607&gt;0),1,IF(AND(W612=0,X607&lt;&gt;0,SUM($D607:W607)=0),Параметры!X$36,IF(Параметры!X$36=1,0,W612)))</f>
        <v>5</v>
      </c>
      <c r="Y612" s="155">
        <f ca="1">IF(AND(Параметры!Y$36=1,Y607&gt;0),1,IF(AND(X612=0,Y607&lt;&gt;0,SUM($D607:X607)=0),Параметры!Y$36,IF(Параметры!Y$36=1,0,X612)))</f>
        <v>5</v>
      </c>
      <c r="Z612" s="155">
        <f ca="1">IF(AND(Параметры!Z$36=1,Z607&gt;0),1,IF(AND(Y612=0,Z607&lt;&gt;0,SUM($D607:Y607)=0),Параметры!Z$36,IF(Параметры!Z$36=1,0,Y612)))</f>
        <v>5</v>
      </c>
      <c r="AA612" s="155">
        <f ca="1">IF(AND(Параметры!AA$36=1,AA607&gt;0),1,IF(AND(Z612=0,AA607&lt;&gt;0,SUM($D607:Z607)=0),Параметры!AA$36,IF(Параметры!AA$36=1,0,Z612)))</f>
        <v>5</v>
      </c>
      <c r="AB612" s="155">
        <f ca="1">IF(AND(Параметры!AB$36=1,AB607&gt;0),1,IF(AND(AA612=0,AB607&lt;&gt;0,SUM($D607:AA607)=0),Параметры!AB$36,IF(Параметры!AB$36=1,0,AA612)))</f>
        <v>5</v>
      </c>
      <c r="AC612" s="155">
        <f ca="1">IF(AND(Параметры!AC$36=1,AC607&gt;0),1,IF(AND(AB612=0,AC607&lt;&gt;0,SUM($D607:AB607)=0),Параметры!AC$36,IF(Параметры!AC$36=1,0,AB612)))</f>
        <v>5</v>
      </c>
      <c r="AD612" s="155">
        <f ca="1">IF(AND(Параметры!AD$36=1,AD607&gt;0),1,IF(AND(AC612=0,AD607&lt;&gt;0,SUM($D607:AC607)=0),Параметры!AD$36,IF(Параметры!AD$36=1,0,AC612)))</f>
        <v>5</v>
      </c>
      <c r="AE612" s="155">
        <f ca="1">IF(AND(Параметры!AE$36=1,AE607&gt;0),1,IF(AND(AD612=0,AE607&lt;&gt;0,SUM($D607:AD607)=0),Параметры!AE$36,IF(Параметры!AE$36=1,0,AD612)))</f>
        <v>5</v>
      </c>
      <c r="AF612" s="155">
        <f ca="1">IF(AND(Параметры!AF$36=1,AF607&gt;0),1,IF(AND(AE612=0,AF607&lt;&gt;0,SUM($D607:AE607)=0),Параметры!AF$36,IF(Параметры!AF$36=1,0,AE612)))</f>
        <v>5</v>
      </c>
      <c r="AG612" s="155">
        <f ca="1">IF(AND(Параметры!AG$36=1,AG607&gt;0),1,IF(AND(AF612=0,AG607&lt;&gt;0,SUM($D607:AF607)=0),Параметры!AG$36,IF(Параметры!AG$36=1,0,AF612)))</f>
        <v>5</v>
      </c>
      <c r="AH612" s="155">
        <f ca="1">IF(AND(Параметры!AH$36=1,AH607&gt;0),1,IF(AND(AG612=0,AH607&lt;&gt;0,SUM($D607:AG607)=0),Параметры!AH$36,IF(Параметры!AH$36=1,0,AG612)))</f>
        <v>5</v>
      </c>
      <c r="AI612" s="155">
        <f ca="1">IF(AND(Параметры!AI$36=1,AI607&gt;0),1,IF(AND(AH612=0,AI607&lt;&gt;0,SUM($D607:AH607)=0),Параметры!AI$36,IF(Параметры!AI$36=1,0,AH612)))</f>
        <v>5</v>
      </c>
      <c r="AJ612" s="155">
        <f ca="1">IF(AND(Параметры!AJ$36=1,AJ607&gt;0),1,IF(AND(AI612=0,AJ607&lt;&gt;0,SUM($D607:AI607)=0),Параметры!AJ$36,IF(Параметры!AJ$36=1,0,AI612)))</f>
        <v>5</v>
      </c>
      <c r="AK612" s="155">
        <f ca="1">IF(AND(Параметры!AK$36=1,AK607&gt;0),1,IF(AND(AJ612=0,AK607&lt;&gt;0,SUM($D607:AJ607)=0),Параметры!AK$36,IF(Параметры!AK$36=1,0,AJ612)))</f>
        <v>5</v>
      </c>
      <c r="AL612" s="155">
        <f ca="1">IF(AND(Параметры!AL$36=1,AL607&gt;0),1,IF(AND(AK612=0,AL607&lt;&gt;0,SUM($D607:AK607)=0),Параметры!AL$36,IF(Параметры!AL$36=1,0,AK612)))</f>
        <v>5</v>
      </c>
      <c r="AM612" s="155">
        <f ca="1">IF(AND(Параметры!AM$36=1,AM607&gt;0),1,IF(AND(AL612=0,AM607&lt;&gt;0,SUM($D607:AL607)=0),Параметры!AM$36,IF(Параметры!AM$36=1,0,AL612)))</f>
        <v>5</v>
      </c>
      <c r="AN612" s="155">
        <f ca="1">IF(AND(Параметры!AN$36=1,AN607&gt;0),1,IF(AND(AM612=0,AN607&lt;&gt;0,SUM($D607:AM607)=0),Параметры!AN$36,IF(Параметры!AN$36=1,0,AM612)))</f>
        <v>5</v>
      </c>
      <c r="AO612" s="155">
        <f ca="1">IF(AND(Параметры!AO$36=1,AO607&gt;0),1,IF(AND(AN612=0,AO607&lt;&gt;0,SUM($D607:AN607)=0),Параметры!AO$36,IF(Параметры!AO$36=1,0,AN612)))</f>
        <v>5</v>
      </c>
      <c r="AP612" s="155">
        <f ca="1">IF(AND(Параметры!AP$36=1,AP607&gt;0),1,IF(AND(AO612=0,AP607&lt;&gt;0,SUM($D607:AO607)=0),Параметры!AP$36,IF(Параметры!AP$36=1,0,AO612)))</f>
        <v>5</v>
      </c>
      <c r="AQ612" s="155">
        <f ca="1">IF(AND(Параметры!AQ$36=1,AQ607&gt;0),1,IF(AND(AP612=0,AQ607&lt;&gt;0,SUM($D607:AP607)=0),Параметры!AQ$36,IF(Параметры!AQ$36=1,0,AP612)))</f>
        <v>5</v>
      </c>
      <c r="AR612" s="155">
        <f ca="1">IF(AND(Параметры!AR$36=1,AR607&gt;0),1,IF(AND(AQ612=0,AR607&lt;&gt;0,SUM($D607:AQ607)=0),Параметры!AR$36,IF(Параметры!AR$36=1,0,AQ612)))</f>
        <v>5</v>
      </c>
      <c r="AS612" s="129"/>
      <c r="AT612" s="103"/>
    </row>
    <row r="613" spans="1:46" ht="11.25" customHeight="1" outlineLevel="1" x14ac:dyDescent="0.2">
      <c r="A613" s="101" t="s">
        <v>551</v>
      </c>
      <c r="B613" s="471">
        <f ca="1">MIN(E613:AR613)</f>
        <v>8</v>
      </c>
      <c r="C613" s="2" t="s">
        <v>3</v>
      </c>
      <c r="E613" s="155" t="str">
        <f ca="1">IF(SUM($E607:E607)=$B607,E$2,"")</f>
        <v/>
      </c>
      <c r="F613" s="155" t="str">
        <f ca="1">IF(SUM($E607:F607)=$B607,F$2,"")</f>
        <v/>
      </c>
      <c r="G613" s="155" t="str">
        <f ca="1">IF(SUM($E607:G607)=$B607,G$2,"")</f>
        <v/>
      </c>
      <c r="H613" s="155" t="str">
        <f ca="1">IF(SUM($E607:H607)=$B607,H$2,"")</f>
        <v/>
      </c>
      <c r="I613" s="155" t="str">
        <f ca="1">IF(SUM($E607:I607)=$B607,I$2,"")</f>
        <v/>
      </c>
      <c r="J613" s="155" t="str">
        <f ca="1">IF(SUM($E607:J607)=$B607,J$2,"")</f>
        <v/>
      </c>
      <c r="K613" s="155" t="str">
        <f ca="1">IF(SUM($E607:K607)=$B607,K$2,"")</f>
        <v/>
      </c>
      <c r="L613" s="155">
        <f ca="1">IF(SUM($E607:L607)=$B607,L$2,"")</f>
        <v>8</v>
      </c>
      <c r="M613" s="155">
        <f ca="1">IF(SUM($E607:M607)=$B607,M$2,"")</f>
        <v>9</v>
      </c>
      <c r="N613" s="155">
        <f ca="1">IF(SUM($E607:N607)=$B607,N$2,"")</f>
        <v>10</v>
      </c>
      <c r="O613" s="155">
        <f ca="1">IF(SUM($E607:O607)=$B607,O$2,"")</f>
        <v>11</v>
      </c>
      <c r="P613" s="155">
        <f ca="1">IF(SUM($E607:P607)=$B607,P$2,"")</f>
        <v>12</v>
      </c>
      <c r="Q613" s="155">
        <f ca="1">IF(SUM($E607:Q607)=$B607,Q$2,"")</f>
        <v>13</v>
      </c>
      <c r="R613" s="155">
        <f ca="1">IF(SUM($E607:R607)=$B607,R$2,"")</f>
        <v>14</v>
      </c>
      <c r="S613" s="155">
        <f ca="1">IF(SUM($E607:S607)=$B607,S$2,"")</f>
        <v>15</v>
      </c>
      <c r="T613" s="155">
        <f ca="1">IF(SUM($E607:T607)=$B607,T$2,"")</f>
        <v>16</v>
      </c>
      <c r="U613" s="155">
        <f ca="1">IF(SUM($E607:U607)=$B607,U$2,"")</f>
        <v>17</v>
      </c>
      <c r="V613" s="155">
        <f ca="1">IF(SUM($E607:V607)=$B607,V$2,"")</f>
        <v>18</v>
      </c>
      <c r="W613" s="155">
        <f ca="1">IF(SUM($E607:W607)=$B607,W$2,"")</f>
        <v>19</v>
      </c>
      <c r="X613" s="155">
        <f ca="1">IF(SUM($E607:X607)=$B607,X$2,"")</f>
        <v>20</v>
      </c>
      <c r="Y613" s="155">
        <f ca="1">IF(SUM($E607:Y607)=$B607,Y$2,"")</f>
        <v>21</v>
      </c>
      <c r="Z613" s="155">
        <f ca="1">IF(SUM($E607:Z607)=$B607,Z$2,"")</f>
        <v>22</v>
      </c>
      <c r="AA613" s="155">
        <f ca="1">IF(SUM($E607:AA607)=$B607,AA$2,"")</f>
        <v>23</v>
      </c>
      <c r="AB613" s="155">
        <f ca="1">IF(SUM($E607:AB607)=$B607,AB$2,"")</f>
        <v>24</v>
      </c>
      <c r="AC613" s="155">
        <f ca="1">IF(SUM($E607:AC607)=$B607,AC$2,"")</f>
        <v>25</v>
      </c>
      <c r="AD613" s="155">
        <f ca="1">IF(SUM($E607:AD607)=$B607,AD$2,"")</f>
        <v>26</v>
      </c>
      <c r="AE613" s="155">
        <f ca="1">IF(SUM($E607:AE607)=$B607,AE$2,"")</f>
        <v>27</v>
      </c>
      <c r="AF613" s="155">
        <f ca="1">IF(SUM($E607:AF607)=$B607,AF$2,"")</f>
        <v>28</v>
      </c>
      <c r="AG613" s="155">
        <f ca="1">IF(SUM($E607:AG607)=$B607,AG$2,"")</f>
        <v>29</v>
      </c>
      <c r="AH613" s="155">
        <f ca="1">IF(SUM($E607:AH607)=$B607,AH$2,"")</f>
        <v>30</v>
      </c>
      <c r="AI613" s="155">
        <f ca="1">IF(SUM($E607:AI607)=$B607,AI$2,"")</f>
        <v>31</v>
      </c>
      <c r="AJ613" s="155">
        <f ca="1">IF(SUM($E607:AJ607)=$B607,AJ$2,"")</f>
        <v>32</v>
      </c>
      <c r="AK613" s="155">
        <f ca="1">IF(SUM($E607:AK607)=$B607,AK$2,"")</f>
        <v>33</v>
      </c>
      <c r="AL613" s="155">
        <f ca="1">IF(SUM($E607:AL607)=$B607,AL$2,"")</f>
        <v>34</v>
      </c>
      <c r="AM613" s="155">
        <f ca="1">IF(SUM($E607:AM607)=$B607,AM$2,"")</f>
        <v>35</v>
      </c>
      <c r="AN613" s="155">
        <f ca="1">IF(SUM($E607:AN607)=$B607,AN$2,"")</f>
        <v>36</v>
      </c>
      <c r="AO613" s="155">
        <f ca="1">IF(SUM($E607:AO607)=$B607,AO$2,"")</f>
        <v>37</v>
      </c>
      <c r="AP613" s="155">
        <f ca="1">IF(SUM($E607:AP607)=$B607,AP$2,"")</f>
        <v>38</v>
      </c>
      <c r="AQ613" s="155">
        <f ca="1">IF(SUM($E607:AQ607)=$B607,AQ$2,"")</f>
        <v>39</v>
      </c>
      <c r="AR613" s="155">
        <f ca="1">IF(SUM($E607:AR607)=$B607,AR$2,"")</f>
        <v>40</v>
      </c>
      <c r="AS613" s="129"/>
      <c r="AT613" s="103"/>
    </row>
    <row r="614" spans="1:46" ht="11.25" customHeight="1" x14ac:dyDescent="0.2">
      <c r="A614" s="354" t="s">
        <v>1001</v>
      </c>
      <c r="B614" s="225" t="s">
        <v>390</v>
      </c>
      <c r="C614" s="287">
        <v>1</v>
      </c>
      <c r="D614" s="65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H614" s="64"/>
      <c r="AI614" s="64"/>
      <c r="AJ614" s="64"/>
      <c r="AK614" s="64"/>
      <c r="AL614" s="64"/>
      <c r="AM614" s="64"/>
      <c r="AN614" s="64"/>
      <c r="AO614" s="64"/>
      <c r="AP614" s="64"/>
      <c r="AQ614" s="64"/>
      <c r="AR614" s="64"/>
      <c r="AS614" s="41"/>
      <c r="AT614" s="92"/>
    </row>
    <row r="615" spans="1:46" ht="11.25" customHeight="1" x14ac:dyDescent="0.2">
      <c r="A615" s="93" t="s">
        <v>88</v>
      </c>
      <c r="B615" s="351">
        <f>ИД!C248</f>
        <v>0.09</v>
      </c>
      <c r="C615" s="9" t="s">
        <v>14</v>
      </c>
      <c r="E615" s="352">
        <f ca="1">IF(E$2&lt;$B626+20,$B615,ИД!$E$248)</f>
        <v>0.09</v>
      </c>
      <c r="F615" s="352">
        <f ca="1">IF(F$2&lt;$B626+20,$B615,ИД!$E$248)</f>
        <v>0.09</v>
      </c>
      <c r="G615" s="352">
        <f ca="1">IF(G$2&lt;$B626+20,$B615,ИД!$E$248)</f>
        <v>0.09</v>
      </c>
      <c r="H615" s="352">
        <f ca="1">IF(H$2&lt;$B626+20,$B615,ИД!$E$248)</f>
        <v>0.09</v>
      </c>
      <c r="I615" s="352">
        <f ca="1">IF(I$2&lt;$B626+20,$B615,ИД!$E$248)</f>
        <v>0.09</v>
      </c>
      <c r="J615" s="352">
        <f ca="1">IF(J$2&lt;$B626+20,$B615,ИД!$E$248)</f>
        <v>0.09</v>
      </c>
      <c r="K615" s="352">
        <f ca="1">IF(K$2&lt;$B626+20,$B615,ИД!$E$248)</f>
        <v>0.09</v>
      </c>
      <c r="L615" s="352">
        <f ca="1">IF(L$2&lt;$B626+20,$B615,ИД!$E$248)</f>
        <v>0.09</v>
      </c>
      <c r="M615" s="352">
        <f ca="1">IF(M$2&lt;$B626+20,$B615,ИД!$E$248)</f>
        <v>0.09</v>
      </c>
      <c r="N615" s="352">
        <f ca="1">IF(N$2&lt;$B626+20,$B615,ИД!$E$248)</f>
        <v>0.09</v>
      </c>
      <c r="O615" s="352">
        <f ca="1">IF(O$2&lt;$B626+20,$B615,ИД!$E$248)</f>
        <v>0.09</v>
      </c>
      <c r="P615" s="352">
        <f ca="1">IF(P$2&lt;$B626+20,$B615,ИД!$E$248)</f>
        <v>0.09</v>
      </c>
      <c r="Q615" s="352">
        <f ca="1">IF(Q$2&lt;$B626+20,$B615,ИД!$E$248)</f>
        <v>0.09</v>
      </c>
      <c r="R615" s="352">
        <f ca="1">IF(R$2&lt;$B626+20,$B615,ИД!$E$248)</f>
        <v>0.09</v>
      </c>
      <c r="S615" s="352">
        <f ca="1">IF(S$2&lt;$B626+20,$B615,ИД!$E$248)</f>
        <v>0.09</v>
      </c>
      <c r="T615" s="352">
        <f ca="1">IF(T$2&lt;$B626+20,$B615,ИД!$E$248)</f>
        <v>0.09</v>
      </c>
      <c r="U615" s="352">
        <f ca="1">IF(U$2&lt;$B626+20,$B615,ИД!$E$248)</f>
        <v>0.09</v>
      </c>
      <c r="V615" s="352">
        <f ca="1">IF(V$2&lt;$B626+20,$B615,ИД!$E$248)</f>
        <v>0.09</v>
      </c>
      <c r="W615" s="352">
        <f ca="1">IF(W$2&lt;$B626+20,$B615,ИД!$E$248)</f>
        <v>0.09</v>
      </c>
      <c r="X615" s="352">
        <f ca="1">IF(X$2&lt;$B626+20,$B615,ИД!$E$248)</f>
        <v>0.09</v>
      </c>
      <c r="Y615" s="352">
        <f ca="1">IF(Y$2&lt;$B626+20,$B615,ИД!$E$248)</f>
        <v>0.09</v>
      </c>
      <c r="Z615" s="352">
        <f ca="1">IF(Z$2&lt;$B626+20,$B615,ИД!$E$248)</f>
        <v>0.09</v>
      </c>
      <c r="AA615" s="352">
        <f ca="1">IF(AA$2&lt;$B626+20,$B615,ИД!$E$248)</f>
        <v>0.09</v>
      </c>
      <c r="AB615" s="352">
        <f ca="1">IF(AB$2&lt;$B626+20,$B615,ИД!$E$248)</f>
        <v>0.09</v>
      </c>
      <c r="AC615" s="352">
        <f ca="1">IF(AC$2&lt;$B626+20,$B615,ИД!$E$248)</f>
        <v>0.09</v>
      </c>
      <c r="AD615" s="352">
        <f ca="1">IF(AD$2&lt;$B626+20,$B615,ИД!$E$248)</f>
        <v>0.09</v>
      </c>
      <c r="AE615" s="352">
        <f ca="1">IF(AE$2&lt;$B626+20,$B615,ИД!$E$248)</f>
        <v>0.09</v>
      </c>
      <c r="AF615" s="352">
        <f ca="1">IF(AF$2&lt;$B626+20,$B615,ИД!$E$248)</f>
        <v>0.09</v>
      </c>
      <c r="AG615" s="352">
        <f ca="1">IF(AG$2&lt;$B626+20,$B615,ИД!$E$248)</f>
        <v>0.08</v>
      </c>
      <c r="AH615" s="352">
        <f ca="1">IF(AH$2&lt;$B626+20,$B615,ИД!$E$248)</f>
        <v>0.08</v>
      </c>
      <c r="AI615" s="352">
        <f ca="1">IF(AI$2&lt;$B626+20,$B615,ИД!$E$248)</f>
        <v>0.08</v>
      </c>
      <c r="AJ615" s="352">
        <f ca="1">IF(AJ$2&lt;$B626+20,$B615,ИД!$E$248)</f>
        <v>0.08</v>
      </c>
      <c r="AK615" s="352">
        <f ca="1">IF(AK$2&lt;$B626+20,$B615,ИД!$E$248)</f>
        <v>0.08</v>
      </c>
      <c r="AL615" s="352">
        <f ca="1">IF(AL$2&lt;$B626+20,$B615,ИД!$E$248)</f>
        <v>0.08</v>
      </c>
      <c r="AM615" s="352">
        <f ca="1">IF(AM$2&lt;$B626+20,$B615,ИД!$E$248)</f>
        <v>0.08</v>
      </c>
      <c r="AN615" s="352">
        <f ca="1">IF(AN$2&lt;$B626+20,$B615,ИД!$E$248)</f>
        <v>0.08</v>
      </c>
      <c r="AO615" s="352">
        <f ca="1">IF(AO$2&lt;$B626+20,$B615,ИД!$E$248)</f>
        <v>0.08</v>
      </c>
      <c r="AP615" s="352">
        <f ca="1">IF(AP$2&lt;$B626+20,$B615,ИД!$E$248)</f>
        <v>0.08</v>
      </c>
      <c r="AQ615" s="352">
        <f ca="1">IF(AQ$2&lt;$B626+20,$B615,ИД!$E$248)</f>
        <v>0.08</v>
      </c>
      <c r="AR615" s="352">
        <f ca="1">IF(AR$2&lt;$B626+20,$B615,ИД!$E$248)</f>
        <v>0.08</v>
      </c>
      <c r="AS615" s="95"/>
      <c r="AT615" s="96"/>
    </row>
    <row r="616" spans="1:46" ht="11.25" customHeight="1" x14ac:dyDescent="0.2">
      <c r="A616" s="429" t="s">
        <v>89</v>
      </c>
      <c r="B616" s="430">
        <v>0</v>
      </c>
      <c r="C616" s="431" t="str">
        <f>Параметры!$C$24</f>
        <v>кв.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96"/>
    </row>
    <row r="617" spans="1:46" ht="11.25" customHeight="1" x14ac:dyDescent="0.2">
      <c r="A617" s="429" t="s">
        <v>521</v>
      </c>
      <c r="B617" s="430">
        <f>ИД!C249*4</f>
        <v>28</v>
      </c>
      <c r="C617" s="431" t="str">
        <f>Параметры!$C$24</f>
        <v>кв.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96"/>
    </row>
    <row r="618" spans="1:46" ht="11.25" customHeight="1" x14ac:dyDescent="0.2">
      <c r="A618" s="429" t="s">
        <v>522</v>
      </c>
      <c r="B618" s="415">
        <f>ИД!C251*4</f>
        <v>4</v>
      </c>
      <c r="C618" s="431" t="str">
        <f>Параметры!$C$24</f>
        <v>кв.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96"/>
    </row>
    <row r="619" spans="1:46" ht="11.25" customHeight="1" x14ac:dyDescent="0.2">
      <c r="A619" s="429" t="s">
        <v>1015</v>
      </c>
      <c r="B619" s="347">
        <f>ИД!C252</f>
        <v>0</v>
      </c>
      <c r="C619" s="43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96"/>
    </row>
    <row r="620" spans="1:46" ht="22.5" x14ac:dyDescent="0.2">
      <c r="A620" s="389" t="s">
        <v>475</v>
      </c>
      <c r="B620" s="347">
        <v>1</v>
      </c>
      <c r="C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96"/>
    </row>
    <row r="621" spans="1:46" ht="11.25" customHeight="1" x14ac:dyDescent="0.2">
      <c r="A621" s="93" t="s">
        <v>90</v>
      </c>
      <c r="B621" s="215">
        <f ca="1">AT621</f>
        <v>240468.79041265399</v>
      </c>
      <c r="C621" s="3" t="str">
        <f>CHOOSE(C614,Параметры!$B$64,Параметры!$B$108,Параметры!$B$117)</f>
        <v>тыс. руб.</v>
      </c>
      <c r="E621" s="346">
        <f>E394*1.2*ИД!$C$247</f>
        <v>0</v>
      </c>
      <c r="F621" s="346">
        <f ca="1">F394*1.2*ИД!$C$247</f>
        <v>0</v>
      </c>
      <c r="G621" s="346">
        <f ca="1">G394*1.2*ИД!$C$247</f>
        <v>0</v>
      </c>
      <c r="H621" s="346">
        <f ca="1">H394*1.2*ИД!$C$247</f>
        <v>0</v>
      </c>
      <c r="I621" s="346">
        <f ca="1">I394*1.2*ИД!$C$247</f>
        <v>0</v>
      </c>
      <c r="J621" s="346">
        <f ca="1">J394*1.2*ИД!$C$247</f>
        <v>0</v>
      </c>
      <c r="K621" s="346">
        <f ca="1">K394*1.2*ИД!$C$247</f>
        <v>0</v>
      </c>
      <c r="L621" s="346">
        <f ca="1">L394*1.2*ИД!$C$247</f>
        <v>0</v>
      </c>
      <c r="M621" s="346">
        <f ca="1">M394*1.2*ИД!$C$247</f>
        <v>23548.479886042271</v>
      </c>
      <c r="N621" s="346">
        <f ca="1">N394*1.2*ИД!$C$247</f>
        <v>71518.60357081017</v>
      </c>
      <c r="O621" s="346">
        <f ca="1">O394*1.2*ИД!$C$247</f>
        <v>96536.74615981245</v>
      </c>
      <c r="P621" s="346">
        <f ca="1">P394*1.2*ИД!$C$247</f>
        <v>48864.960795989078</v>
      </c>
      <c r="Q621" s="346">
        <f ca="1">Q394*1.2*ИД!$C$247</f>
        <v>0</v>
      </c>
      <c r="R621" s="346">
        <f ca="1">R394*1.2*ИД!$C$247</f>
        <v>0</v>
      </c>
      <c r="S621" s="346">
        <f ca="1">S394*1.2*ИД!$C$247</f>
        <v>0</v>
      </c>
      <c r="T621" s="346">
        <f ca="1">T394*1.2*ИД!$C$247</f>
        <v>0</v>
      </c>
      <c r="U621" s="346">
        <f ca="1">U394*1.2*ИД!$C$247</f>
        <v>0</v>
      </c>
      <c r="V621" s="346">
        <f ca="1">V394*1.2*ИД!$C$247</f>
        <v>0</v>
      </c>
      <c r="W621" s="346">
        <f ca="1">W394*1.2*ИД!$C$247</f>
        <v>0</v>
      </c>
      <c r="X621" s="346">
        <f ca="1">X394*1.2*ИД!$C$247</f>
        <v>0</v>
      </c>
      <c r="Y621" s="346">
        <f ca="1">Y394*1.2*ИД!$C$247</f>
        <v>0</v>
      </c>
      <c r="Z621" s="346">
        <f ca="1">Z394*1.2*ИД!$C$247</f>
        <v>0</v>
      </c>
      <c r="AA621" s="346">
        <f ca="1">AA394*1.2*ИД!$C$247</f>
        <v>0</v>
      </c>
      <c r="AB621" s="346">
        <f ca="1">AB394*1.2*ИД!$C$247</f>
        <v>0</v>
      </c>
      <c r="AC621" s="346">
        <f ca="1">AC394*1.2*ИД!$C$247</f>
        <v>0</v>
      </c>
      <c r="AD621" s="346">
        <f ca="1">AD394*1.2*ИД!$C$247</f>
        <v>0</v>
      </c>
      <c r="AE621" s="346">
        <f ca="1">AE394*1.2*ИД!$C$247</f>
        <v>0</v>
      </c>
      <c r="AF621" s="346">
        <f ca="1">AF394*1.2*ИД!$C$247</f>
        <v>0</v>
      </c>
      <c r="AG621" s="346">
        <f ca="1">AG394*1.2*ИД!$C$247</f>
        <v>0</v>
      </c>
      <c r="AH621" s="346">
        <f ca="1">AH394*1.2*ИД!$C$247</f>
        <v>0</v>
      </c>
      <c r="AI621" s="346">
        <f ca="1">AI394*1.2*ИД!$C$247</f>
        <v>0</v>
      </c>
      <c r="AJ621" s="346">
        <f ca="1">AJ394*1.2*ИД!$C$247</f>
        <v>0</v>
      </c>
      <c r="AK621" s="346">
        <f ca="1">AK394*1.2*ИД!$C$247</f>
        <v>0</v>
      </c>
      <c r="AL621" s="346">
        <f ca="1">AL394*1.2*ИД!$C$247</f>
        <v>0</v>
      </c>
      <c r="AM621" s="346">
        <f ca="1">AM394*1.2*ИД!$C$247</f>
        <v>0</v>
      </c>
      <c r="AN621" s="346">
        <f ca="1">AN394*1.2*ИД!$C$247</f>
        <v>0</v>
      </c>
      <c r="AO621" s="346">
        <f ca="1">AO394*1.2*ИД!$C$247</f>
        <v>0</v>
      </c>
      <c r="AP621" s="346">
        <f ca="1">AP394*1.2*ИД!$C$247</f>
        <v>0</v>
      </c>
      <c r="AQ621" s="346">
        <f ca="1">AQ394*1.2*ИД!$C$247</f>
        <v>0</v>
      </c>
      <c r="AR621" s="346">
        <f ca="1">AR394*1.2*ИД!$C$247</f>
        <v>0</v>
      </c>
      <c r="AS621" s="94"/>
      <c r="AT621" s="84">
        <f ca="1">SUM(E621:AS621)</f>
        <v>240468.79041265399</v>
      </c>
    </row>
    <row r="622" spans="1:46" ht="11.25" customHeight="1" x14ac:dyDescent="0.2">
      <c r="A622" s="93" t="s">
        <v>91</v>
      </c>
      <c r="B622" s="215">
        <f ca="1">AT622</f>
        <v>240468.79041265397</v>
      </c>
      <c r="C622" s="3" t="str">
        <f>CHOOSE(C614,Параметры!$B$64,Параметры!$B$108,Параметры!$B$117)</f>
        <v>тыс. руб.</v>
      </c>
      <c r="E622" s="346">
        <f ca="1">IF(E$2&gt;=$B626+$B618,IF($B619,MIN($B621/($B617-($B618)),D623),IFERROR(-PPMT($B615/4,E$2-$B618-$B626+1,$B617-$B618,$B621,0),0)),0)</f>
        <v>0</v>
      </c>
      <c r="F622" s="346">
        <f t="shared" ref="F622" ca="1" si="393">IF(F$2&gt;=$B626+$B618,IF($B619,MIN($B621/($B617-($B618)),E623),IFERROR(-PPMT($B615/4,F$2-$B618-$B626+1,$B617-$B618,$B621,0),0)),0)</f>
        <v>0</v>
      </c>
      <c r="G622" s="346">
        <f t="shared" ref="G622" ca="1" si="394">IF(G$2&gt;=$B626+$B618,IF($B619,MIN($B621/($B617-($B618)),F623),IFERROR(-PPMT($B615/4,G$2-$B618-$B626+1,$B617-$B618,$B621,0),0)),0)</f>
        <v>0</v>
      </c>
      <c r="H622" s="346">
        <f t="shared" ref="H622" ca="1" si="395">IF(H$2&gt;=$B626+$B618,IF($B619,MIN($B621/($B617-($B618)),G623),IFERROR(-PPMT($B615/4,H$2-$B618-$B626+1,$B617-$B618,$B621,0),0)),0)</f>
        <v>0</v>
      </c>
      <c r="I622" s="346">
        <f t="shared" ref="I622" ca="1" si="396">IF(I$2&gt;=$B626+$B618,IF($B619,MIN($B621/($B617-($B618)),H623),IFERROR(-PPMT($B615/4,I$2-$B618-$B626+1,$B617-$B618,$B621,0),0)),0)</f>
        <v>0</v>
      </c>
      <c r="J622" s="346">
        <f t="shared" ref="J622" ca="1" si="397">IF(J$2&gt;=$B626+$B618,IF($B619,MIN($B621/($B617-($B618)),I623),IFERROR(-PPMT($B615/4,J$2-$B618-$B626+1,$B617-$B618,$B621,0),0)),0)</f>
        <v>0</v>
      </c>
      <c r="K622" s="346">
        <f t="shared" ref="K622" ca="1" si="398">IF(K$2&gt;=$B626+$B618,IF($B619,MIN($B621/($B617-($B618)),J623),IFERROR(-PPMT($B615/4,K$2-$B618-$B626+1,$B617-$B618,$B621,0),0)),0)</f>
        <v>0</v>
      </c>
      <c r="L622" s="346">
        <f t="shared" ref="L622" ca="1" si="399">IF(L$2&gt;=$B626+$B618,IF($B619,MIN($B621/($B617-($B618)),K623),IFERROR(-PPMT($B615/4,L$2-$B618-$B626+1,$B617-$B618,$B621,0),0)),0)</f>
        <v>0</v>
      </c>
      <c r="M622" s="346">
        <f t="shared" ref="M622" ca="1" si="400">IF(M$2&gt;=$B626+$B618,IF($B619,MIN($B621/($B617-($B618)),L623),IFERROR(-PPMT($B615/4,M$2-$B618-$B626+1,$B617-$B618,$B621,0),0)),0)</f>
        <v>0</v>
      </c>
      <c r="N622" s="346">
        <f t="shared" ref="N622" ca="1" si="401">IF(N$2&gt;=$B626+$B618,IF($B619,MIN($B621/($B617-($B618)),M623),IFERROR(-PPMT($B615/4,N$2-$B618-$B626+1,$B617-$B618,$B621,0),0)),0)</f>
        <v>0</v>
      </c>
      <c r="O622" s="346">
        <f t="shared" ref="O622" ca="1" si="402">IF(O$2&gt;=$B626+$B618,IF($B619,MIN($B621/($B617-($B618)),N623),IFERROR(-PPMT($B615/4,O$2-$B618-$B626+1,$B617-$B618,$B621,0),0)),0)</f>
        <v>0</v>
      </c>
      <c r="P622" s="346">
        <f t="shared" ref="P622" ca="1" si="403">IF(P$2&gt;=$B626+$B618,IF($B619,MIN($B621/($B617-($B618)),O623),IFERROR(-PPMT($B615/4,P$2-$B618-$B626+1,$B617-$B618,$B621,0),0)),0)</f>
        <v>0</v>
      </c>
      <c r="Q622" s="346">
        <f t="shared" ref="Q622" ca="1" si="404">IF(Q$2&gt;=$B626+$B618,IF($B619,MIN($B621/($B617-($B618)),P623),IFERROR(-PPMT($B615/4,Q$2-$B618-$B626+1,$B617-$B618,$B621,0),0)),0)</f>
        <v>7666.2000831712057</v>
      </c>
      <c r="R622" s="346">
        <f t="shared" ref="R622" ca="1" si="405">IF(R$2&gt;=$B626+$B618,IF($B619,MIN($B621/($B617-($B618)),Q623),IFERROR(-PPMT($B615/4,R$2-$B618-$B626+1,$B617-$B618,$B621,0),0)),0)</f>
        <v>7838.689585042559</v>
      </c>
      <c r="S622" s="346">
        <f t="shared" ref="S622" ca="1" si="406">IF(S$2&gt;=$B626+$B618,IF($B619,MIN($B621/($B617-($B618)),R623),IFERROR(-PPMT($B615/4,S$2-$B618-$B626+1,$B617-$B618,$B621,0),0)),0)</f>
        <v>8015.0601007060159</v>
      </c>
      <c r="T622" s="346">
        <f t="shared" ref="T622" ca="1" si="407">IF(T$2&gt;=$B626+$B618,IF($B619,MIN($B621/($B617-($B618)),S623),IFERROR(-PPMT($B615/4,T$2-$B618-$B626+1,$B617-$B618,$B621,0),0)),0)</f>
        <v>8195.398952971902</v>
      </c>
      <c r="U622" s="346">
        <f t="shared" ref="U622" ca="1" si="408">IF(U$2&gt;=$B626+$B618,IF($B619,MIN($B621/($B617-($B618)),T623),IFERROR(-PPMT($B615/4,U$2-$B618-$B626+1,$B617-$B618,$B621,0),0)),0)</f>
        <v>8379.7954294137708</v>
      </c>
      <c r="V622" s="346">
        <f t="shared" ref="V622" ca="1" si="409">IF(V$2&gt;=$B626+$B618,IF($B619,MIN($B621/($B617-($B618)),U623),IFERROR(-PPMT($B615/4,V$2-$B618-$B626+1,$B617-$B618,$B621,0),0)),0)</f>
        <v>8568.3408265755788</v>
      </c>
      <c r="W622" s="346">
        <f t="shared" ref="W622" ca="1" si="410">IF(W$2&gt;=$B626+$B618,IF($B619,MIN($B621/($B617-($B618)),V623),IFERROR(-PPMT($B615/4,W$2-$B618-$B626+1,$B617-$B618,$B621,0),0)),0)</f>
        <v>8761.1284951735306</v>
      </c>
      <c r="X622" s="346">
        <f t="shared" ref="X622" ca="1" si="411">IF(X$2&gt;=$B626+$B618,IF($B619,MIN($B621/($B617-($B618)),W623),IFERROR(-PPMT($B615/4,X$2-$B618-$B626+1,$B617-$B618,$B621,0),0)),0)</f>
        <v>8958.2538863149348</v>
      </c>
      <c r="Y622" s="346">
        <f t="shared" ref="Y622" ca="1" si="412">IF(Y$2&gt;=$B626+$B618,IF($B619,MIN($B621/($B617-($B618)),X623),IFERROR(-PPMT($B615/4,Y$2-$B618-$B626+1,$B617-$B618,$B621,0),0)),0)</f>
        <v>9159.8145987570224</v>
      </c>
      <c r="Z622" s="346">
        <f t="shared" ref="Z622" ca="1" si="413">IF(Z$2&gt;=$B626+$B618,IF($B619,MIN($B621/($B617-($B618)),Y623),IFERROR(-PPMT($B615/4,Z$2-$B618-$B626+1,$B617-$B618,$B621,0),0)),0)</f>
        <v>9365.9104272290533</v>
      </c>
      <c r="AA622" s="346">
        <f t="shared" ref="AA622" ca="1" si="414">IF(AA$2&gt;=$B626+$B618,IF($B619,MIN($B621/($B617-($B618)),Z623),IFERROR(-PPMT($B615/4,AA$2-$B618-$B626+1,$B617-$B618,$B621,0),0)),0)</f>
        <v>9576.6434118417073</v>
      </c>
      <c r="AB622" s="346">
        <f t="shared" ref="AB622" ca="1" si="415">IF(AB$2&gt;=$B626+$B618,IF($B619,MIN($B621/($B617-($B618)),AA623),IFERROR(-PPMT($B615/4,AB$2-$B618-$B626+1,$B617-$B618,$B621,0),0)),0)</f>
        <v>9792.1178886081452</v>
      </c>
      <c r="AC622" s="346">
        <f t="shared" ref="AC622" ca="1" si="416">IF(AC$2&gt;=$B626+$B618,IF($B619,MIN($B621/($B617-($B618)),AB623),IFERROR(-PPMT($B615/4,AC$2-$B618-$B626+1,$B617-$B618,$B621,0),0)),0)</f>
        <v>10012.440541101829</v>
      </c>
      <c r="AD622" s="346">
        <f t="shared" ref="AD622" ca="1" si="417">IF(AD$2&gt;=$B626+$B618,IF($B619,MIN($B621/($B617-($B618)),AC623),IFERROR(-PPMT($B615/4,AD$2-$B618-$B626+1,$B617-$B618,$B621,0),0)),0)</f>
        <v>10237.720453276619</v>
      </c>
      <c r="AE622" s="346">
        <f t="shared" ref="AE622" ca="1" si="418">IF(AE$2&gt;=$B626+$B618,IF($B619,MIN($B621/($B617-($B618)),AD623),IFERROR(-PPMT($B615/4,AE$2-$B618-$B626+1,$B617-$B618,$B621,0),0)),0)</f>
        <v>10468.069163475344</v>
      </c>
      <c r="AF622" s="346">
        <f t="shared" ref="AF622" ca="1" si="419">IF(AF$2&gt;=$B626+$B618,IF($B619,MIN($B621/($B617-($B618)),AE623),IFERROR(-PPMT($B615/4,AF$2-$B618-$B626+1,$B617-$B618,$B621,0),0)),0)</f>
        <v>10703.600719653539</v>
      </c>
      <c r="AG622" s="346">
        <f t="shared" ref="AG622" ca="1" si="420">IF(AG$2&gt;=$B626+$B618,IF($B619,MIN($B621/($B617-($B618)),AF623),IFERROR(-PPMT($B615/4,AG$2-$B618-$B626+1,$B617-$B618,$B621,0),0)),0)</f>
        <v>10944.431735845743</v>
      </c>
      <c r="AH622" s="346">
        <f t="shared" ref="AH622" ca="1" si="421">IF(AH$2&gt;=$B626+$B618,IF($B619,MIN($B621/($B617-($B618)),AG623),IFERROR(-PPMT($B615/4,AH$2-$B618-$B626+1,$B617-$B618,$B621,0),0)),0)</f>
        <v>11190.681449902271</v>
      </c>
      <c r="AI622" s="346">
        <f t="shared" ref="AI622" ca="1" si="422">IF(AI$2&gt;=$B626+$B618,IF($B619,MIN($B621/($B617-($B618)),AH623),IFERROR(-PPMT($B615/4,AI$2-$B618-$B626+1,$B617-$B618,$B621,0),0)),0)</f>
        <v>11442.471782525074</v>
      </c>
      <c r="AJ622" s="346">
        <f t="shared" ref="AJ622" ca="1" si="423">IF(AJ$2&gt;=$B626+$B618,IF($B619,MIN($B621/($B617-($B618)),AI623),IFERROR(-PPMT($B615/4,AJ$2-$B618-$B626+1,$B617-$B618,$B621,0),0)),0)</f>
        <v>11699.927397631887</v>
      </c>
      <c r="AK622" s="346">
        <f t="shared" ref="AK622" ca="1" si="424">IF(AK$2&gt;=$B626+$B618,IF($B619,MIN($B621/($B617-($B618)),AJ623),IFERROR(-PPMT($B615/4,AK$2-$B618-$B626+1,$B617-$B618,$B621,0),0)),0)</f>
        <v>11963.175764078607</v>
      </c>
      <c r="AL622" s="346">
        <f t="shared" ref="AL622" ca="1" si="425">IF(AL$2&gt;=$B626+$B618,IF($B619,MIN($B621/($B617-($B618)),AK623),IFERROR(-PPMT($B615/4,AL$2-$B618-$B626+1,$B617-$B618,$B621,0),0)),0)</f>
        <v>12232.347218770374</v>
      </c>
      <c r="AM622" s="346">
        <f t="shared" ref="AM622" ca="1" si="426">IF(AM$2&gt;=$B626+$B618,IF($B619,MIN($B621/($B617-($B618)),AL623),IFERROR(-PPMT($B615/4,AM$2-$B618-$B626+1,$B617-$B618,$B621,0),0)),0)</f>
        <v>12507.575031192708</v>
      </c>
      <c r="AN622" s="346">
        <f t="shared" ref="AN622" ca="1" si="427">IF(AN$2&gt;=$B626+$B618,IF($B619,MIN($B621/($B617-($B618)),AM623),IFERROR(-PPMT($B615/4,AN$2-$B618-$B626+1,$B617-$B618,$B621,0),0)),0)</f>
        <v>12788.995469394542</v>
      </c>
      <c r="AO622" s="346">
        <f t="shared" ref="AO622" ca="1" si="428">IF(AO$2&gt;=$B626+$B618,IF($B619,MIN($B621/($B617-($B618)),AN623),IFERROR(-PPMT($B615/4,AO$2-$B618-$B626+1,$B617-$B618,$B621,0),0)),0)</f>
        <v>0</v>
      </c>
      <c r="AP622" s="346">
        <f t="shared" ref="AP622" ca="1" si="429">IF(AP$2&gt;=$B626+$B618,IF($B619,MIN($B621/($B617-($B618)),AO623),IFERROR(-PPMT($B615/4,AP$2-$B618-$B626+1,$B617-$B618,$B621,0),0)),0)</f>
        <v>0</v>
      </c>
      <c r="AQ622" s="346">
        <f t="shared" ref="AQ622" ca="1" si="430">IF(AQ$2&gt;=$B626+$B618,IF($B619,MIN($B621/($B617-($B618)),AP623),IFERROR(-PPMT($B615/4,AQ$2-$B618-$B626+1,$B617-$B618,$B621,0),0)),0)</f>
        <v>0</v>
      </c>
      <c r="AR622" s="346">
        <f t="shared" ref="AR622" ca="1" si="431">IF(AR$2&gt;=$B626+$B618,IF($B619,MIN($B621/($B617-($B618)),AQ623),IFERROR(-PPMT($B615/4,AR$2-$B618-$B626+1,$B617-$B618,$B621,0),0)),0)</f>
        <v>0</v>
      </c>
      <c r="AS622" s="94"/>
      <c r="AT622" s="84">
        <f ca="1">SUM(E622:AS622)</f>
        <v>240468.79041265397</v>
      </c>
    </row>
    <row r="623" spans="1:46" ht="11.25" customHeight="1" x14ac:dyDescent="0.2">
      <c r="A623" s="97" t="s">
        <v>94</v>
      </c>
      <c r="B623" s="11"/>
      <c r="C623" s="3" t="str">
        <f>CHOOSE(C614,Параметры!$B$64,Параметры!$B$108,Параметры!$B$117)</f>
        <v>тыс. руб.</v>
      </c>
      <c r="E623" s="98">
        <f ca="1">SUM($E624:E624)-SUM($E625:E625)+SUM($E621:E621)-SUM($E622:E622)</f>
        <v>0</v>
      </c>
      <c r="F623" s="98">
        <f ca="1">SUM($E624:F624)-SUM($E625:F625)+SUM($E621:F621)-SUM($E622:F622)</f>
        <v>0</v>
      </c>
      <c r="G623" s="98">
        <f ca="1">SUM($E624:G624)-SUM($E625:G625)+SUM($E621:G621)-SUM($E622:G622)</f>
        <v>0</v>
      </c>
      <c r="H623" s="98">
        <f ca="1">SUM($E624:H624)-SUM($E625:H625)+SUM($E621:H621)-SUM($E622:H622)</f>
        <v>0</v>
      </c>
      <c r="I623" s="98">
        <f ca="1">SUM($E624:I624)-SUM($E625:I625)+SUM($E621:I621)-SUM($E622:I622)</f>
        <v>0</v>
      </c>
      <c r="J623" s="98">
        <f ca="1">SUM($E624:J624)-SUM($E625:J625)+SUM($E621:J621)-SUM($E622:J622)</f>
        <v>0</v>
      </c>
      <c r="K623" s="98">
        <f ca="1">SUM($E624:K624)-SUM($E625:K625)+SUM($E621:K621)-SUM($E622:K622)</f>
        <v>0</v>
      </c>
      <c r="L623" s="98">
        <f ca="1">SUM($E624:L624)-SUM($E625:L625)+SUM($E621:L621)-SUM($E622:L622)</f>
        <v>0</v>
      </c>
      <c r="M623" s="98">
        <f ca="1">SUM($E624:M624)-SUM($E625:M625)+SUM($E621:M621)-SUM($E622:M622)</f>
        <v>23548.479886042271</v>
      </c>
      <c r="N623" s="98">
        <f ca="1">SUM($E624:N624)-SUM($E625:N625)+SUM($E621:N621)-SUM($E622:N622)</f>
        <v>95067.083456852444</v>
      </c>
      <c r="O623" s="98">
        <f ca="1">SUM($E624:O624)-SUM($E625:O625)+SUM($E621:O621)-SUM($E622:O622)</f>
        <v>191603.82961666491</v>
      </c>
      <c r="P623" s="98">
        <f ca="1">SUM($E624:P624)-SUM($E625:P625)+SUM($E621:P621)-SUM($E622:P622)</f>
        <v>240468.79041265399</v>
      </c>
      <c r="Q623" s="98">
        <f ca="1">SUM($E624:Q624)-SUM($E625:Q625)+SUM($E621:Q621)-SUM($E622:Q622)</f>
        <v>232802.5903294828</v>
      </c>
      <c r="R623" s="98">
        <f ca="1">SUM($E624:R624)-SUM($E625:R625)+SUM($E621:R621)-SUM($E622:R622)</f>
        <v>224963.90074444024</v>
      </c>
      <c r="S623" s="98">
        <f ca="1">SUM($E624:S624)-SUM($E625:S625)+SUM($E621:S621)-SUM($E622:S622)</f>
        <v>216948.84064373421</v>
      </c>
      <c r="T623" s="98">
        <f ca="1">SUM($E624:T624)-SUM($E625:T625)+SUM($E621:T621)-SUM($E622:T622)</f>
        <v>208753.44169076229</v>
      </c>
      <c r="U623" s="98">
        <f ca="1">SUM($E624:U624)-SUM($E625:U625)+SUM($E621:U621)-SUM($E622:U622)</f>
        <v>200373.64626134853</v>
      </c>
      <c r="V623" s="98">
        <f ca="1">SUM($E624:V624)-SUM($E625:V625)+SUM($E621:V621)-SUM($E622:V622)</f>
        <v>191805.30543477295</v>
      </c>
      <c r="W623" s="98">
        <f ca="1">SUM($E624:W624)-SUM($E625:W625)+SUM($E621:W621)-SUM($E622:W622)</f>
        <v>183044.17693959942</v>
      </c>
      <c r="X623" s="98">
        <f ca="1">SUM($E624:X624)-SUM($E625:X625)+SUM($E621:X621)-SUM($E622:X622)</f>
        <v>174085.9230532845</v>
      </c>
      <c r="Y623" s="98">
        <f ca="1">SUM($E624:Y624)-SUM($E625:Y625)+SUM($E621:Y621)-SUM($E622:Y622)</f>
        <v>164926.10845452748</v>
      </c>
      <c r="Z623" s="98">
        <f ca="1">SUM($E624:Z624)-SUM($E625:Z625)+SUM($E621:Z621)-SUM($E622:Z622)</f>
        <v>155560.19802729844</v>
      </c>
      <c r="AA623" s="98">
        <f ca="1">SUM($E624:AA624)-SUM($E625:AA625)+SUM($E621:AA621)-SUM($E622:AA622)</f>
        <v>145983.55461545673</v>
      </c>
      <c r="AB623" s="98">
        <f ca="1">SUM($E624:AB624)-SUM($E625:AB625)+SUM($E621:AB621)-SUM($E622:AB622)</f>
        <v>136191.43672684857</v>
      </c>
      <c r="AC623" s="98">
        <f ca="1">SUM($E624:AC624)-SUM($E625:AC625)+SUM($E621:AC621)-SUM($E622:AC622)</f>
        <v>126178.99618574674</v>
      </c>
      <c r="AD623" s="98">
        <f ca="1">SUM($E624:AD624)-SUM($E625:AD625)+SUM($E621:AD621)-SUM($E622:AD622)</f>
        <v>115941.27573247012</v>
      </c>
      <c r="AE623" s="98">
        <f ca="1">SUM($E624:AE624)-SUM($E625:AE625)+SUM($E621:AE621)-SUM($E622:AE622)</f>
        <v>105473.20656899479</v>
      </c>
      <c r="AF623" s="98">
        <f ca="1">SUM($E624:AF624)-SUM($E625:AF625)+SUM($E621:AF621)-SUM($E622:AF622)</f>
        <v>94769.605849341257</v>
      </c>
      <c r="AG623" s="98">
        <f ca="1">SUM($E624:AG624)-SUM($E625:AG625)+SUM($E621:AG621)-SUM($E622:AG622)</f>
        <v>83825.174113495508</v>
      </c>
      <c r="AH623" s="98">
        <f ca="1">SUM($E624:AH624)-SUM($E625:AH625)+SUM($E621:AH621)-SUM($E622:AH622)</f>
        <v>72634.492663593235</v>
      </c>
      <c r="AI623" s="98">
        <f ca="1">SUM($E624:AI624)-SUM($E625:AI625)+SUM($E621:AI621)-SUM($E622:AI622)</f>
        <v>61192.020881068165</v>
      </c>
      <c r="AJ623" s="98">
        <f ca="1">SUM($E624:AJ624)-SUM($E625:AJ625)+SUM($E621:AJ621)-SUM($E622:AJ622)</f>
        <v>49492.093483436271</v>
      </c>
      <c r="AK623" s="98">
        <f ca="1">SUM($E624:AK624)-SUM($E625:AK625)+SUM($E621:AK621)-SUM($E622:AK622)</f>
        <v>37528.917719357676</v>
      </c>
      <c r="AL623" s="98">
        <f ca="1">SUM($E624:AL624)-SUM($E625:AL625)+SUM($E621:AL621)-SUM($E622:AL622)</f>
        <v>25296.570500587288</v>
      </c>
      <c r="AM623" s="98">
        <f ca="1">SUM($E624:AM624)-SUM($E625:AM625)+SUM($E621:AM621)-SUM($E622:AM622)</f>
        <v>12788.995469394577</v>
      </c>
      <c r="AN623" s="98">
        <f ca="1">SUM($E624:AN624)-SUM($E625:AN625)+SUM($E621:AN621)-SUM($E622:AN622)</f>
        <v>0</v>
      </c>
      <c r="AO623" s="98">
        <f ca="1">SUM($E624:AO624)-SUM($E625:AO625)+SUM($E621:AO621)-SUM($E622:AO622)</f>
        <v>0</v>
      </c>
      <c r="AP623" s="98">
        <f ca="1">SUM($E624:AP624)-SUM($E625:AP625)+SUM($E621:AP621)-SUM($E622:AP622)</f>
        <v>0</v>
      </c>
      <c r="AQ623" s="98">
        <f ca="1">SUM($E624:AQ624)-SUM($E625:AQ625)+SUM($E621:AQ621)-SUM($E622:AQ622)</f>
        <v>0</v>
      </c>
      <c r="AR623" s="98">
        <f ca="1">SUM($E624:AR624)-SUM($E625:AR625)+SUM($E621:AR621)-SUM($E622:AR622)</f>
        <v>0</v>
      </c>
      <c r="AS623" s="99"/>
      <c r="AT623" s="100"/>
    </row>
    <row r="624" spans="1:46" ht="11.25" customHeight="1" x14ac:dyDescent="0.2">
      <c r="A624" s="97" t="s">
        <v>92</v>
      </c>
      <c r="B624" s="215">
        <f ca="1">AT624</f>
        <v>79496.199085800909</v>
      </c>
      <c r="C624" s="3" t="str">
        <f>CHOOSE(C614,Параметры!$B$64,Параметры!$B$108,Параметры!$B$117)</f>
        <v>тыс. руб.</v>
      </c>
      <c r="E624" s="98">
        <f ca="1">MAX((SUM($E621:E621)-SUM($E622:E622)+IF(AND($B620=1,Параметры!E$36&gt;1),SUM($D624:D624)-SUM($D625:D625),0)),0)*E615/12*Параметры!E$40</f>
        <v>0</v>
      </c>
      <c r="F624" s="98">
        <f ca="1">MAX((SUM($E621:F621)-SUM($E622:F622)+IF(AND($B620=1,Параметры!F$36&gt;1),SUM($D624:E624)-SUM($D625:E625),0)),0)*F615/12*Параметры!F$40</f>
        <v>0</v>
      </c>
      <c r="G624" s="98">
        <f ca="1">MAX((SUM($E621:G621)-SUM($E622:G622)+IF(AND($B620=1,Параметры!G$36&gt;1),SUM($D624:F624)-SUM($D625:F625),0)),0)*G615/12*Параметры!G$40</f>
        <v>0</v>
      </c>
      <c r="H624" s="98">
        <f ca="1">MAX((SUM($E621:H621)-SUM($E622:H622)+IF(AND($B620=1,Параметры!H$36&gt;1),SUM($D624:G624)-SUM($D625:G625),0)),0)*H615/12*Параметры!H$40</f>
        <v>0</v>
      </c>
      <c r="I624" s="98">
        <f ca="1">MAX((SUM($E621:I621)-SUM($E622:I622)+IF(AND($B620=1,Параметры!I$36&gt;1),SUM($D624:H624)-SUM($D625:H625),0)),0)*I615/12*Параметры!I$40</f>
        <v>0</v>
      </c>
      <c r="J624" s="98">
        <f ca="1">MAX((SUM($E621:J621)-SUM($E622:J622)+IF(AND($B620=1,Параметры!J$36&gt;1),SUM($D624:I624)-SUM($D625:I625),0)),0)*J615/12*Параметры!J$40</f>
        <v>0</v>
      </c>
      <c r="K624" s="98">
        <f ca="1">MAX((SUM($E621:K621)-SUM($E622:K622)+IF(AND($B620=1,Параметры!K$36&gt;1),SUM($D624:J624)-SUM($D625:J625),0)),0)*K615/12*Параметры!K$40</f>
        <v>0</v>
      </c>
      <c r="L624" s="98">
        <f ca="1">MAX((SUM($E621:L621)-SUM($E622:L622)+IF(AND($B620=1,Параметры!L$36&gt;1),SUM($D624:K624)-SUM($D625:K625),0)),0)*L615/12*Параметры!L$40</f>
        <v>0</v>
      </c>
      <c r="M624" s="98">
        <f ca="1">MAX((SUM($E621:M621)-SUM($E622:M622)+IF(AND($B620=1,Параметры!M$36&gt;1),SUM($D624:L624)-SUM($D625:L625),0)),0)*M615/12*Параметры!M$40</f>
        <v>529.84079743595112</v>
      </c>
      <c r="N624" s="98">
        <f ca="1">MAX((SUM($E621:N621)-SUM($E622:N622)+IF(AND($B620=1,Параметры!N$36&gt;1),SUM($D624:M624)-SUM($D625:M625),0)),0)*N615/12*Параметры!N$40</f>
        <v>2139.0093777791799</v>
      </c>
      <c r="O624" s="98">
        <f ca="1">MAX((SUM($E621:O621)-SUM($E622:O622)+IF(AND($B620=1,Параметры!O$36&gt;1),SUM($D624:N624)-SUM($D625:N625),0)),0)*O615/12*Параметры!O$40</f>
        <v>4311.0861663749602</v>
      </c>
      <c r="P624" s="98">
        <f ca="1">MAX((SUM($E621:P621)-SUM($E622:P622)+IF(AND($B620=1,Параметры!P$36&gt;1),SUM($D624:O624)-SUM($D625:O625),0)),0)*P615/12*Параметры!P$40</f>
        <v>5410.5477842847149</v>
      </c>
      <c r="Q624" s="98">
        <f ca="1">MAX((SUM($E621:Q621)-SUM($E622:Q622)+IF(AND($B620=1,Параметры!Q$36&gt;1),SUM($D624:P624)-SUM($D625:P625),0)),0)*Q615/12*Параметры!Q$40</f>
        <v>5238.0582824133626</v>
      </c>
      <c r="R624" s="98">
        <f ca="1">MAX((SUM($E621:R621)-SUM($E622:R622)+IF(AND($B620=1,Параметры!R$36&gt;1),SUM($D624:Q624)-SUM($D625:Q625),0)),0)*R615/12*Параметры!R$40</f>
        <v>5061.6877667499048</v>
      </c>
      <c r="S624" s="98">
        <f ca="1">MAX((SUM($E621:S621)-SUM($E622:S622)+IF(AND($B620=1,Параметры!S$36&gt;1),SUM($D624:R624)-SUM($D625:R625),0)),0)*S615/12*Параметры!S$40</f>
        <v>4881.3489144840196</v>
      </c>
      <c r="T624" s="98">
        <f ca="1">MAX((SUM($E621:T621)-SUM($E622:T622)+IF(AND($B620=1,Параметры!T$36&gt;1),SUM($D624:S624)-SUM($D625:S625),0)),0)*T615/12*Параметры!T$40</f>
        <v>4696.9524380421517</v>
      </c>
      <c r="U624" s="98">
        <f ca="1">MAX((SUM($E621:U621)-SUM($E622:U622)+IF(AND($B620=1,Параметры!U$36&gt;1),SUM($D624:T624)-SUM($D625:T625),0)),0)*U615/12*Параметры!U$40</f>
        <v>4508.4070408803418</v>
      </c>
      <c r="V624" s="98">
        <f ca="1">MAX((SUM($E621:V621)-SUM($E622:V622)+IF(AND($B620=1,Параметры!V$36&gt;1),SUM($D624:U624)-SUM($D625:U625),0)),0)*V615/12*Параметры!V$40</f>
        <v>4315.6193722823909</v>
      </c>
      <c r="W624" s="98">
        <f ca="1">MAX((SUM($E621:W621)-SUM($E622:W622)+IF(AND($B620=1,Параметры!W$36&gt;1),SUM($D624:V624)-SUM($D625:V625),0)),0)*W615/12*Параметры!W$40</f>
        <v>4118.4939811409868</v>
      </c>
      <c r="X624" s="98">
        <f ca="1">MAX((SUM($E621:X621)-SUM($E622:X622)+IF(AND($B620=1,Параметры!X$36&gt;1),SUM($D624:W624)-SUM($D625:W625),0)),0)*X615/12*Параметры!X$40</f>
        <v>3916.933268698901</v>
      </c>
      <c r="Y624" s="98">
        <f ca="1">MAX((SUM($E621:Y621)-SUM($E622:Y622)+IF(AND($B620=1,Параметры!Y$36&gt;1),SUM($D624:X624)-SUM($D625:X625),0)),0)*Y615/12*Параметры!Y$40</f>
        <v>3710.8374402268682</v>
      </c>
      <c r="Z624" s="98">
        <f ca="1">MAX((SUM($E621:Z621)-SUM($E622:Z622)+IF(AND($B620=1,Параметры!Z$36&gt;1),SUM($D624:Y624)-SUM($D625:Y625),0)),0)*Z615/12*Параметры!Z$40</f>
        <v>3500.1044556142147</v>
      </c>
      <c r="AA624" s="98">
        <f ca="1">MAX((SUM($E621:AA621)-SUM($E622:AA622)+IF(AND($B620=1,Параметры!AA$36&gt;1),SUM($D624:Z624)-SUM($D625:Z625),0)),0)*AA615/12*Параметры!AA$40</f>
        <v>3284.6299788477763</v>
      </c>
      <c r="AB624" s="98">
        <f ca="1">MAX((SUM($E621:AB621)-SUM($E622:AB622)+IF(AND($B620=1,Параметры!AB$36&gt;1),SUM($D624:AA624)-SUM($D625:AA625),0)),0)*AB615/12*Параметры!AB$40</f>
        <v>3064.3073263540928</v>
      </c>
      <c r="AC624" s="98">
        <f ca="1">MAX((SUM($E621:AC621)-SUM($E622:AC622)+IF(AND($B620=1,Параметры!AC$36&gt;1),SUM($D624:AB624)-SUM($D625:AB625),0)),0)*AC615/12*Параметры!AC$40</f>
        <v>2839.0274141793016</v>
      </c>
      <c r="AD624" s="98">
        <f ca="1">MAX((SUM($E621:AD621)-SUM($E622:AD622)+IF(AND($B620=1,Параметры!AD$36&gt;1),SUM($D624:AC624)-SUM($D625:AC625),0)),0)*AD615/12*Параметры!AD$40</f>
        <v>2608.6787039805777</v>
      </c>
      <c r="AE624" s="98">
        <f ca="1">MAX((SUM($E621:AE621)-SUM($E622:AE622)+IF(AND($B620=1,Параметры!AE$36&gt;1),SUM($D624:AD624)-SUM($D625:AD625),0)),0)*AE615/12*Параметры!AE$40</f>
        <v>2373.1471478023827</v>
      </c>
      <c r="AF624" s="98">
        <f ca="1">MAX((SUM($E621:AF621)-SUM($E622:AF622)+IF(AND($B620=1,Параметры!AF$36&gt;1),SUM($D624:AE624)-SUM($D625:AE625),0)),0)*AF615/12*Параметры!AF$40</f>
        <v>2132.3161316101782</v>
      </c>
      <c r="AG624" s="98">
        <f ca="1">MAX((SUM($E621:AG621)-SUM($E622:AG622)+IF(AND($B620=1,Параметры!AG$36&gt;1),SUM($D624:AF624)-SUM($D625:AF625),0)),0)*AG615/12*Параметры!AG$40</f>
        <v>1676.5034822699099</v>
      </c>
      <c r="AH624" s="98">
        <f ca="1">MAX((SUM($E621:AH621)-SUM($E622:AH622)+IF(AND($B620=1,Параметры!AH$36&gt;1),SUM($D624:AG624)-SUM($D625:AG625),0)),0)*AH615/12*Параметры!AH$40</f>
        <v>1452.6898532718646</v>
      </c>
      <c r="AI624" s="98">
        <f ca="1">MAX((SUM($E621:AI621)-SUM($E622:AI622)+IF(AND($B620=1,Параметры!AI$36&gt;1),SUM($D624:AH624)-SUM($D625:AH625),0)),0)*AI615/12*Параметры!AI$40</f>
        <v>1223.8404176213633</v>
      </c>
      <c r="AJ624" s="98">
        <f ca="1">MAX((SUM($E621:AJ621)-SUM($E622:AJ622)+IF(AND($B620=1,Параметры!AJ$36&gt;1),SUM($D624:AI624)-SUM($D625:AI625),0)),0)*AJ615/12*Параметры!AJ$40</f>
        <v>989.84186966872539</v>
      </c>
      <c r="AK624" s="98">
        <f ca="1">MAX((SUM($E621:AK621)-SUM($E622:AK622)+IF(AND($B620=1,Параметры!AK$36&gt;1),SUM($D624:AJ624)-SUM($D625:AJ625),0)),0)*AK615/12*Параметры!AK$40</f>
        <v>750.57835438715358</v>
      </c>
      <c r="AL624" s="98">
        <f ca="1">MAX((SUM($E621:AL621)-SUM($E622:AL622)+IF(AND($B620=1,Параметры!AL$36&gt;1),SUM($D624:AK624)-SUM($D625:AK625),0)),0)*AL615/12*Параметры!AL$40</f>
        <v>505.93141001174575</v>
      </c>
      <c r="AM624" s="98">
        <f ca="1">MAX((SUM($E621:AM621)-SUM($E622:AM622)+IF(AND($B620=1,Параметры!AM$36&gt;1),SUM($D624:AL624)-SUM($D625:AL625),0)),0)*AM615/12*Параметры!AM$40</f>
        <v>255.77990938789151</v>
      </c>
      <c r="AN624" s="98">
        <f ca="1">MAX((SUM($E621:AN621)-SUM($E622:AN622)+IF(AND($B620=1,Параметры!AN$36&gt;1),SUM($D624:AM624)-SUM($D625:AM625),0)),0)*AN615/12*Параметры!AN$40</f>
        <v>5.8207660913467408E-13</v>
      </c>
      <c r="AO624" s="98">
        <f ca="1">MAX((SUM($E621:AO621)-SUM($E622:AO622)+IF(AND($B620=1,Параметры!AO$36&gt;1),SUM($D624:AN624)-SUM($D625:AN625),0)),0)*AO615/12*Параметры!AO$40</f>
        <v>5.8207660913467408E-13</v>
      </c>
      <c r="AP624" s="98">
        <f ca="1">MAX((SUM($E621:AP621)-SUM($E622:AP622)+IF(AND($B620=1,Параметры!AP$36&gt;1),SUM($D624:AO624)-SUM($D625:AO625),0)),0)*AP615/12*Параметры!AP$40</f>
        <v>5.8207660913467408E-13</v>
      </c>
      <c r="AQ624" s="98">
        <f ca="1">MAX((SUM($E621:AQ621)-SUM($E622:AQ622)+IF(AND($B620=1,Параметры!AQ$36&gt;1),SUM($D624:AP624)-SUM($D625:AP625),0)),0)*AQ615/12*Параметры!AQ$40</f>
        <v>5.8207660913467408E-13</v>
      </c>
      <c r="AR624" s="98">
        <f ca="1">MAX((SUM($E621:AR621)-SUM($E622:AR622)+IF(AND($B620=1,Параметры!AR$36&gt;1),SUM($D624:AQ624)-SUM($D625:AQ625),0)),0)*AR615/12*Параметры!AR$40</f>
        <v>5.8207660913467408E-13</v>
      </c>
      <c r="AS624" s="99"/>
      <c r="AT624" s="100">
        <f ca="1">SUM(E624:AS624)</f>
        <v>79496.199085800909</v>
      </c>
    </row>
    <row r="625" spans="1:46" ht="11.25" customHeight="1" collapsed="1" x14ac:dyDescent="0.2">
      <c r="A625" s="101" t="s">
        <v>93</v>
      </c>
      <c r="B625" s="216">
        <f ca="1">AT625</f>
        <v>79496.199085800909</v>
      </c>
      <c r="C625" s="2" t="str">
        <f>CHOOSE(C614,Параметры!$B$64,Параметры!$B$108,Параметры!$B$117)</f>
        <v>тыс. руб.</v>
      </c>
      <c r="E625" s="353">
        <f ca="1">IF(Параметры!E$36&gt;=E626+$B616,E624,0)</f>
        <v>0</v>
      </c>
      <c r="F625" s="353">
        <f ca="1">IF(Параметры!F$36&gt;=F626+$B616,F624,0)</f>
        <v>0</v>
      </c>
      <c r="G625" s="353">
        <f ca="1">IF(Параметры!G$36&gt;=G626+$B616,G624,0)</f>
        <v>0</v>
      </c>
      <c r="H625" s="353">
        <f ca="1">IF(Параметры!H$36&gt;=H626+$B616,H624,0)</f>
        <v>0</v>
      </c>
      <c r="I625" s="353">
        <f ca="1">IF(Параметры!I$36&gt;=I626+$B616,I624,0)</f>
        <v>0</v>
      </c>
      <c r="J625" s="353">
        <f ca="1">IF(Параметры!J$36&gt;=J626+$B616,J624,0)</f>
        <v>0</v>
      </c>
      <c r="K625" s="353">
        <f ca="1">IF(Параметры!K$36&gt;=K626+$B616,K624,0)</f>
        <v>0</v>
      </c>
      <c r="L625" s="353">
        <f ca="1">IF(Параметры!L$36&gt;=L626+$B616,L624,0)</f>
        <v>0</v>
      </c>
      <c r="M625" s="353">
        <f ca="1">IF(Параметры!M$36&gt;=M626+$B616,M624,0)</f>
        <v>529.84079743595112</v>
      </c>
      <c r="N625" s="353">
        <f ca="1">IF(Параметры!N$36&gt;=N626+$B616,N624,0)</f>
        <v>2139.0093777791799</v>
      </c>
      <c r="O625" s="353">
        <f ca="1">IF(Параметры!O$36&gt;=O626+$B616,O624,0)</f>
        <v>4311.0861663749602</v>
      </c>
      <c r="P625" s="353">
        <f ca="1">IF(Параметры!P$36&gt;=P626+$B616,P624,0)</f>
        <v>5410.5477842847149</v>
      </c>
      <c r="Q625" s="353">
        <f ca="1">IF(Параметры!Q$36&gt;=Q626+$B616,Q624,0)</f>
        <v>5238.0582824133626</v>
      </c>
      <c r="R625" s="353">
        <f ca="1">IF(Параметры!R$36&gt;=R626+$B616,R624,0)</f>
        <v>5061.6877667499048</v>
      </c>
      <c r="S625" s="353">
        <f ca="1">IF(Параметры!S$36&gt;=S626+$B616,S624,0)</f>
        <v>4881.3489144840196</v>
      </c>
      <c r="T625" s="353">
        <f ca="1">IF(Параметры!T$36&gt;=T626+$B616,T624,0)</f>
        <v>4696.9524380421517</v>
      </c>
      <c r="U625" s="353">
        <f ca="1">IF(Параметры!U$36&gt;=U626+$B616,U624,0)</f>
        <v>4508.4070408803418</v>
      </c>
      <c r="V625" s="353">
        <f ca="1">IF(Параметры!V$36&gt;=V626+$B616,V624,0)</f>
        <v>4315.6193722823909</v>
      </c>
      <c r="W625" s="353">
        <f ca="1">IF(Параметры!W$36&gt;=W626+$B616,W624,0)</f>
        <v>4118.4939811409868</v>
      </c>
      <c r="X625" s="353">
        <f ca="1">IF(Параметры!X$36&gt;=X626+$B616,X624,0)</f>
        <v>3916.933268698901</v>
      </c>
      <c r="Y625" s="353">
        <f ca="1">IF(Параметры!Y$36&gt;=Y626+$B616,Y624,0)</f>
        <v>3710.8374402268682</v>
      </c>
      <c r="Z625" s="353">
        <f ca="1">IF(Параметры!Z$36&gt;=Z626+$B616,Z624,0)</f>
        <v>3500.1044556142147</v>
      </c>
      <c r="AA625" s="353">
        <f ca="1">IF(Параметры!AA$36&gt;=AA626+$B616,AA624,0)</f>
        <v>3284.6299788477763</v>
      </c>
      <c r="AB625" s="353">
        <f ca="1">IF(Параметры!AB$36&gt;=AB626+$B616,AB624,0)</f>
        <v>3064.3073263540928</v>
      </c>
      <c r="AC625" s="353">
        <f ca="1">IF(Параметры!AC$36&gt;=AC626+$B616,AC624,0)</f>
        <v>2839.0274141793016</v>
      </c>
      <c r="AD625" s="353">
        <f ca="1">IF(Параметры!AD$36&gt;=AD626+$B616,AD624,0)</f>
        <v>2608.6787039805777</v>
      </c>
      <c r="AE625" s="353">
        <f ca="1">IF(Параметры!AE$36&gt;=AE626+$B616,AE624,0)</f>
        <v>2373.1471478023827</v>
      </c>
      <c r="AF625" s="353">
        <f ca="1">IF(Параметры!AF$36&gt;=AF626+$B616,AF624,0)</f>
        <v>2132.3161316101782</v>
      </c>
      <c r="AG625" s="353">
        <f ca="1">IF(Параметры!AG$36&gt;=AG626+$B616,AG624,0)</f>
        <v>1676.5034822699099</v>
      </c>
      <c r="AH625" s="353">
        <f ca="1">IF(Параметры!AH$36&gt;=AH626+$B616,AH624,0)</f>
        <v>1452.6898532718646</v>
      </c>
      <c r="AI625" s="353">
        <f ca="1">IF(Параметры!AI$36&gt;=AI626+$B616,AI624,0)</f>
        <v>1223.8404176213633</v>
      </c>
      <c r="AJ625" s="353">
        <f ca="1">IF(Параметры!AJ$36&gt;=AJ626+$B616,AJ624,0)</f>
        <v>989.84186966872539</v>
      </c>
      <c r="AK625" s="353">
        <f ca="1">IF(Параметры!AK$36&gt;=AK626+$B616,AK624,0)</f>
        <v>750.57835438715358</v>
      </c>
      <c r="AL625" s="353">
        <f ca="1">IF(Параметры!AL$36&gt;=AL626+$B616,AL624,0)</f>
        <v>505.93141001174575</v>
      </c>
      <c r="AM625" s="353">
        <f ca="1">IF(Параметры!AM$36&gt;=AM626+$B616,AM624,0)</f>
        <v>255.77990938789151</v>
      </c>
      <c r="AN625" s="353">
        <f ca="1">IF(Параметры!AN$36&gt;=AN626+$B616,AN624,0)</f>
        <v>5.8207660913467408E-13</v>
      </c>
      <c r="AO625" s="353">
        <f ca="1">IF(Параметры!AO$36&gt;=AO626+$B616,AO624,0)</f>
        <v>5.8207660913467408E-13</v>
      </c>
      <c r="AP625" s="353">
        <f ca="1">IF(Параметры!AP$36&gt;=AP626+$B616,AP624,0)</f>
        <v>5.8207660913467408E-13</v>
      </c>
      <c r="AQ625" s="353">
        <f ca="1">IF(Параметры!AQ$36&gt;=AQ626+$B616,AQ624,0)</f>
        <v>5.8207660913467408E-13</v>
      </c>
      <c r="AR625" s="353">
        <f ca="1">IF(Параметры!AR$36&gt;=AR626+$B616,AR624,0)</f>
        <v>5.8207660913467408E-13</v>
      </c>
      <c r="AS625" s="102"/>
      <c r="AT625" s="103">
        <f ca="1">SUM(E625:AS625)</f>
        <v>79496.199085800909</v>
      </c>
    </row>
    <row r="626" spans="1:46" ht="11.25" customHeight="1" outlineLevel="1" x14ac:dyDescent="0.2">
      <c r="A626" s="101" t="s">
        <v>95</v>
      </c>
      <c r="B626" s="471">
        <f ca="1">MAX(E626,OFFSET(E626,0,Параметры!$B$24-1))</f>
        <v>9</v>
      </c>
      <c r="C626" s="2" t="s">
        <v>3</v>
      </c>
      <c r="E626" s="155">
        <f>IF(AND(Параметры!E$36=1,E621&gt;0),1,IF(AND(D626=0,E621&lt;&gt;0,SUM($D621:D621)=0),Параметры!E$36,IF(Параметры!E$36=1,0,D626)))</f>
        <v>0</v>
      </c>
      <c r="F626" s="155">
        <f ca="1">IF(AND(Параметры!F$36=1,F621&gt;0),1,IF(AND(E626=0,F621&lt;&gt;0,SUM($D621:E621)=0),Параметры!F$36,IF(Параметры!F$36=1,0,E626)))</f>
        <v>0</v>
      </c>
      <c r="G626" s="155">
        <f ca="1">IF(AND(Параметры!G$36=1,G621&gt;0),1,IF(AND(F626=0,G621&lt;&gt;0,SUM($D621:F621)=0),Параметры!G$36,IF(Параметры!G$36=1,0,F626)))</f>
        <v>0</v>
      </c>
      <c r="H626" s="155">
        <f ca="1">IF(AND(Параметры!H$36=1,H621&gt;0),1,IF(AND(G626=0,H621&lt;&gt;0,SUM($D621:G621)=0),Параметры!H$36,IF(Параметры!H$36=1,0,G626)))</f>
        <v>0</v>
      </c>
      <c r="I626" s="155">
        <f ca="1">IF(AND(Параметры!I$36=1,I621&gt;0),1,IF(AND(H626=0,I621&lt;&gt;0,SUM($D621:H621)=0),Параметры!I$36,IF(Параметры!I$36=1,0,H626)))</f>
        <v>0</v>
      </c>
      <c r="J626" s="155">
        <f ca="1">IF(AND(Параметры!J$36=1,J621&gt;0),1,IF(AND(I626=0,J621&lt;&gt;0,SUM($D621:I621)=0),Параметры!J$36,IF(Параметры!J$36=1,0,I626)))</f>
        <v>0</v>
      </c>
      <c r="K626" s="155">
        <f ca="1">IF(AND(Параметры!K$36=1,K621&gt;0),1,IF(AND(J626=0,K621&lt;&gt;0,SUM($D621:J621)=0),Параметры!K$36,IF(Параметры!K$36=1,0,J626)))</f>
        <v>0</v>
      </c>
      <c r="L626" s="155">
        <f ca="1">IF(AND(Параметры!L$36=1,L621&gt;0),1,IF(AND(K626=0,L621&lt;&gt;0,SUM($D621:K621)=0),Параметры!L$36,IF(Параметры!L$36=1,0,K626)))</f>
        <v>0</v>
      </c>
      <c r="M626" s="155">
        <f ca="1">IF(AND(Параметры!M$36=1,M621&gt;0),1,IF(AND(L626=0,M621&lt;&gt;0,SUM($D621:L621)=0),Параметры!M$36,IF(Параметры!M$36=1,0,L626)))</f>
        <v>9</v>
      </c>
      <c r="N626" s="155">
        <f ca="1">IF(AND(Параметры!N$36=1,N621&gt;0),1,IF(AND(M626=0,N621&lt;&gt;0,SUM($D621:M621)=0),Параметры!N$36,IF(Параметры!N$36=1,0,M626)))</f>
        <v>9</v>
      </c>
      <c r="O626" s="155">
        <f ca="1">IF(AND(Параметры!O$36=1,O621&gt;0),1,IF(AND(N626=0,O621&lt;&gt;0,SUM($D621:N621)=0),Параметры!O$36,IF(Параметры!O$36=1,0,N626)))</f>
        <v>9</v>
      </c>
      <c r="P626" s="155">
        <f ca="1">IF(AND(Параметры!P$36=1,P621&gt;0),1,IF(AND(O626=0,P621&lt;&gt;0,SUM($D621:O621)=0),Параметры!P$36,IF(Параметры!P$36=1,0,O626)))</f>
        <v>9</v>
      </c>
      <c r="Q626" s="155">
        <f ca="1">IF(AND(Параметры!Q$36=1,Q621&gt;0),1,IF(AND(P626=0,Q621&lt;&gt;0,SUM($D621:P621)=0),Параметры!Q$36,IF(Параметры!Q$36=1,0,P626)))</f>
        <v>9</v>
      </c>
      <c r="R626" s="155">
        <f ca="1">IF(AND(Параметры!R$36=1,R621&gt;0),1,IF(AND(Q626=0,R621&lt;&gt;0,SUM($D621:Q621)=0),Параметры!R$36,IF(Параметры!R$36=1,0,Q626)))</f>
        <v>9</v>
      </c>
      <c r="S626" s="155">
        <f ca="1">IF(AND(Параметры!S$36=1,S621&gt;0),1,IF(AND(R626=0,S621&lt;&gt;0,SUM($D621:R621)=0),Параметры!S$36,IF(Параметры!S$36=1,0,R626)))</f>
        <v>9</v>
      </c>
      <c r="T626" s="155">
        <f ca="1">IF(AND(Параметры!T$36=1,T621&gt;0),1,IF(AND(S626=0,T621&lt;&gt;0,SUM($D621:S621)=0),Параметры!T$36,IF(Параметры!T$36=1,0,S626)))</f>
        <v>9</v>
      </c>
      <c r="U626" s="155">
        <f ca="1">IF(AND(Параметры!U$36=1,U621&gt;0),1,IF(AND(T626=0,U621&lt;&gt;0,SUM($D621:T621)=0),Параметры!U$36,IF(Параметры!U$36=1,0,T626)))</f>
        <v>9</v>
      </c>
      <c r="V626" s="155">
        <f ca="1">IF(AND(Параметры!V$36=1,V621&gt;0),1,IF(AND(U626=0,V621&lt;&gt;0,SUM($D621:U621)=0),Параметры!V$36,IF(Параметры!V$36=1,0,U626)))</f>
        <v>9</v>
      </c>
      <c r="W626" s="155">
        <f ca="1">IF(AND(Параметры!W$36=1,W621&gt;0),1,IF(AND(V626=0,W621&lt;&gt;0,SUM($D621:V621)=0),Параметры!W$36,IF(Параметры!W$36=1,0,V626)))</f>
        <v>9</v>
      </c>
      <c r="X626" s="155">
        <f ca="1">IF(AND(Параметры!X$36=1,X621&gt;0),1,IF(AND(W626=0,X621&lt;&gt;0,SUM($D621:W621)=0),Параметры!X$36,IF(Параметры!X$36=1,0,W626)))</f>
        <v>9</v>
      </c>
      <c r="Y626" s="155">
        <f ca="1">IF(AND(Параметры!Y$36=1,Y621&gt;0),1,IF(AND(X626=0,Y621&lt;&gt;0,SUM($D621:X621)=0),Параметры!Y$36,IF(Параметры!Y$36=1,0,X626)))</f>
        <v>9</v>
      </c>
      <c r="Z626" s="155">
        <f ca="1">IF(AND(Параметры!Z$36=1,Z621&gt;0),1,IF(AND(Y626=0,Z621&lt;&gt;0,SUM($D621:Y621)=0),Параметры!Z$36,IF(Параметры!Z$36=1,0,Y626)))</f>
        <v>9</v>
      </c>
      <c r="AA626" s="155">
        <f ca="1">IF(AND(Параметры!AA$36=1,AA621&gt;0),1,IF(AND(Z626=0,AA621&lt;&gt;0,SUM($D621:Z621)=0),Параметры!AA$36,IF(Параметры!AA$36=1,0,Z626)))</f>
        <v>9</v>
      </c>
      <c r="AB626" s="155">
        <f ca="1">IF(AND(Параметры!AB$36=1,AB621&gt;0),1,IF(AND(AA626=0,AB621&lt;&gt;0,SUM($D621:AA621)=0),Параметры!AB$36,IF(Параметры!AB$36=1,0,AA626)))</f>
        <v>9</v>
      </c>
      <c r="AC626" s="155">
        <f ca="1">IF(AND(Параметры!AC$36=1,AC621&gt;0),1,IF(AND(AB626=0,AC621&lt;&gt;0,SUM($D621:AB621)=0),Параметры!AC$36,IF(Параметры!AC$36=1,0,AB626)))</f>
        <v>9</v>
      </c>
      <c r="AD626" s="155">
        <f ca="1">IF(AND(Параметры!AD$36=1,AD621&gt;0),1,IF(AND(AC626=0,AD621&lt;&gt;0,SUM($D621:AC621)=0),Параметры!AD$36,IF(Параметры!AD$36=1,0,AC626)))</f>
        <v>9</v>
      </c>
      <c r="AE626" s="155">
        <f ca="1">IF(AND(Параметры!AE$36=1,AE621&gt;0),1,IF(AND(AD626=0,AE621&lt;&gt;0,SUM($D621:AD621)=0),Параметры!AE$36,IF(Параметры!AE$36=1,0,AD626)))</f>
        <v>9</v>
      </c>
      <c r="AF626" s="155">
        <f ca="1">IF(AND(Параметры!AF$36=1,AF621&gt;0),1,IF(AND(AE626=0,AF621&lt;&gt;0,SUM($D621:AE621)=0),Параметры!AF$36,IF(Параметры!AF$36=1,0,AE626)))</f>
        <v>9</v>
      </c>
      <c r="AG626" s="155">
        <f ca="1">IF(AND(Параметры!AG$36=1,AG621&gt;0),1,IF(AND(AF626=0,AG621&lt;&gt;0,SUM($D621:AF621)=0),Параметры!AG$36,IF(Параметры!AG$36=1,0,AF626)))</f>
        <v>9</v>
      </c>
      <c r="AH626" s="155">
        <f ca="1">IF(AND(Параметры!AH$36=1,AH621&gt;0),1,IF(AND(AG626=0,AH621&lt;&gt;0,SUM($D621:AG621)=0),Параметры!AH$36,IF(Параметры!AH$36=1,0,AG626)))</f>
        <v>9</v>
      </c>
      <c r="AI626" s="155">
        <f ca="1">IF(AND(Параметры!AI$36=1,AI621&gt;0),1,IF(AND(AH626=0,AI621&lt;&gt;0,SUM($D621:AH621)=0),Параметры!AI$36,IF(Параметры!AI$36=1,0,AH626)))</f>
        <v>9</v>
      </c>
      <c r="AJ626" s="155">
        <f ca="1">IF(AND(Параметры!AJ$36=1,AJ621&gt;0),1,IF(AND(AI626=0,AJ621&lt;&gt;0,SUM($D621:AI621)=0),Параметры!AJ$36,IF(Параметры!AJ$36=1,0,AI626)))</f>
        <v>9</v>
      </c>
      <c r="AK626" s="155">
        <f ca="1">IF(AND(Параметры!AK$36=1,AK621&gt;0),1,IF(AND(AJ626=0,AK621&lt;&gt;0,SUM($D621:AJ621)=0),Параметры!AK$36,IF(Параметры!AK$36=1,0,AJ626)))</f>
        <v>9</v>
      </c>
      <c r="AL626" s="155">
        <f ca="1">IF(AND(Параметры!AL$36=1,AL621&gt;0),1,IF(AND(AK626=0,AL621&lt;&gt;0,SUM($D621:AK621)=0),Параметры!AL$36,IF(Параметры!AL$36=1,0,AK626)))</f>
        <v>9</v>
      </c>
      <c r="AM626" s="155">
        <f ca="1">IF(AND(Параметры!AM$36=1,AM621&gt;0),1,IF(AND(AL626=0,AM621&lt;&gt;0,SUM($D621:AL621)=0),Параметры!AM$36,IF(Параметры!AM$36=1,0,AL626)))</f>
        <v>9</v>
      </c>
      <c r="AN626" s="155">
        <f ca="1">IF(AND(Параметры!AN$36=1,AN621&gt;0),1,IF(AND(AM626=0,AN621&lt;&gt;0,SUM($D621:AM621)=0),Параметры!AN$36,IF(Параметры!AN$36=1,0,AM626)))</f>
        <v>9</v>
      </c>
      <c r="AO626" s="155">
        <f ca="1">IF(AND(Параметры!AO$36=1,AO621&gt;0),1,IF(AND(AN626=0,AO621&lt;&gt;0,SUM($D621:AN621)=0),Параметры!AO$36,IF(Параметры!AO$36=1,0,AN626)))</f>
        <v>9</v>
      </c>
      <c r="AP626" s="155">
        <f ca="1">IF(AND(Параметры!AP$36=1,AP621&gt;0),1,IF(AND(AO626=0,AP621&lt;&gt;0,SUM($D621:AO621)=0),Параметры!AP$36,IF(Параметры!AP$36=1,0,AO626)))</f>
        <v>9</v>
      </c>
      <c r="AQ626" s="155">
        <f ca="1">IF(AND(Параметры!AQ$36=1,AQ621&gt;0),1,IF(AND(AP626=0,AQ621&lt;&gt;0,SUM($D621:AP621)=0),Параметры!AQ$36,IF(Параметры!AQ$36=1,0,AP626)))</f>
        <v>9</v>
      </c>
      <c r="AR626" s="155">
        <f ca="1">IF(AND(Параметры!AR$36=1,AR621&gt;0),1,IF(AND(AQ626=0,AR621&lt;&gt;0,SUM($D621:AQ621)=0),Параметры!AR$36,IF(Параметры!AR$36=1,0,AQ626)))</f>
        <v>9</v>
      </c>
      <c r="AS626" s="129"/>
      <c r="AT626" s="103"/>
    </row>
    <row r="627" spans="1:46" ht="11.25" customHeight="1" outlineLevel="1" x14ac:dyDescent="0.2">
      <c r="A627" s="101" t="s">
        <v>551</v>
      </c>
      <c r="B627" s="471">
        <f ca="1">MIN(E627:AR627)</f>
        <v>12</v>
      </c>
      <c r="C627" s="2" t="s">
        <v>3</v>
      </c>
      <c r="E627" s="155" t="str">
        <f ca="1">IF(SUM($E621:E621)=$B621,E$2,"")</f>
        <v/>
      </c>
      <c r="F627" s="155" t="str">
        <f ca="1">IF(SUM($E621:F621)=$B621,F$2,"")</f>
        <v/>
      </c>
      <c r="G627" s="155" t="str">
        <f ca="1">IF(SUM($E621:G621)=$B621,G$2,"")</f>
        <v/>
      </c>
      <c r="H627" s="155" t="str">
        <f ca="1">IF(SUM($E621:H621)=$B621,H$2,"")</f>
        <v/>
      </c>
      <c r="I627" s="155" t="str">
        <f ca="1">IF(SUM($E621:I621)=$B621,I$2,"")</f>
        <v/>
      </c>
      <c r="J627" s="155" t="str">
        <f ca="1">IF(SUM($E621:J621)=$B621,J$2,"")</f>
        <v/>
      </c>
      <c r="K627" s="155" t="str">
        <f ca="1">IF(SUM($E621:K621)=$B621,K$2,"")</f>
        <v/>
      </c>
      <c r="L627" s="155" t="str">
        <f ca="1">IF(SUM($E621:L621)=$B621,L$2,"")</f>
        <v/>
      </c>
      <c r="M627" s="155" t="str">
        <f ca="1">IF(SUM($E621:M621)=$B621,M$2,"")</f>
        <v/>
      </c>
      <c r="N627" s="155" t="str">
        <f ca="1">IF(SUM($E621:N621)=$B621,N$2,"")</f>
        <v/>
      </c>
      <c r="O627" s="155" t="str">
        <f ca="1">IF(SUM($E621:O621)=$B621,O$2,"")</f>
        <v/>
      </c>
      <c r="P627" s="155">
        <f ca="1">IF(SUM($E621:P621)=$B621,P$2,"")</f>
        <v>12</v>
      </c>
      <c r="Q627" s="155">
        <f ca="1">IF(SUM($E621:Q621)=$B621,Q$2,"")</f>
        <v>13</v>
      </c>
      <c r="R627" s="155">
        <f ca="1">IF(SUM($E621:R621)=$B621,R$2,"")</f>
        <v>14</v>
      </c>
      <c r="S627" s="155">
        <f ca="1">IF(SUM($E621:S621)=$B621,S$2,"")</f>
        <v>15</v>
      </c>
      <c r="T627" s="155">
        <f ca="1">IF(SUM($E621:T621)=$B621,T$2,"")</f>
        <v>16</v>
      </c>
      <c r="U627" s="155">
        <f ca="1">IF(SUM($E621:U621)=$B621,U$2,"")</f>
        <v>17</v>
      </c>
      <c r="V627" s="155">
        <f ca="1">IF(SUM($E621:V621)=$B621,V$2,"")</f>
        <v>18</v>
      </c>
      <c r="W627" s="155">
        <f ca="1">IF(SUM($E621:W621)=$B621,W$2,"")</f>
        <v>19</v>
      </c>
      <c r="X627" s="155">
        <f ca="1">IF(SUM($E621:X621)=$B621,X$2,"")</f>
        <v>20</v>
      </c>
      <c r="Y627" s="155">
        <f ca="1">IF(SUM($E621:Y621)=$B621,Y$2,"")</f>
        <v>21</v>
      </c>
      <c r="Z627" s="155">
        <f ca="1">IF(SUM($E621:Z621)=$B621,Z$2,"")</f>
        <v>22</v>
      </c>
      <c r="AA627" s="155">
        <f ca="1">IF(SUM($E621:AA621)=$B621,AA$2,"")</f>
        <v>23</v>
      </c>
      <c r="AB627" s="155">
        <f ca="1">IF(SUM($E621:AB621)=$B621,AB$2,"")</f>
        <v>24</v>
      </c>
      <c r="AC627" s="155">
        <f ca="1">IF(SUM($E621:AC621)=$B621,AC$2,"")</f>
        <v>25</v>
      </c>
      <c r="AD627" s="155">
        <f ca="1">IF(SUM($E621:AD621)=$B621,AD$2,"")</f>
        <v>26</v>
      </c>
      <c r="AE627" s="155">
        <f ca="1">IF(SUM($E621:AE621)=$B621,AE$2,"")</f>
        <v>27</v>
      </c>
      <c r="AF627" s="155">
        <f ca="1">IF(SUM($E621:AF621)=$B621,AF$2,"")</f>
        <v>28</v>
      </c>
      <c r="AG627" s="155">
        <f ca="1">IF(SUM($E621:AG621)=$B621,AG$2,"")</f>
        <v>29</v>
      </c>
      <c r="AH627" s="155">
        <f ca="1">IF(SUM($E621:AH621)=$B621,AH$2,"")</f>
        <v>30</v>
      </c>
      <c r="AI627" s="155">
        <f ca="1">IF(SUM($E621:AI621)=$B621,AI$2,"")</f>
        <v>31</v>
      </c>
      <c r="AJ627" s="155">
        <f ca="1">IF(SUM($E621:AJ621)=$B621,AJ$2,"")</f>
        <v>32</v>
      </c>
      <c r="AK627" s="155">
        <f ca="1">IF(SUM($E621:AK621)=$B621,AK$2,"")</f>
        <v>33</v>
      </c>
      <c r="AL627" s="155">
        <f ca="1">IF(SUM($E621:AL621)=$B621,AL$2,"")</f>
        <v>34</v>
      </c>
      <c r="AM627" s="155">
        <f ca="1">IF(SUM($E621:AM621)=$B621,AM$2,"")</f>
        <v>35</v>
      </c>
      <c r="AN627" s="155">
        <f ca="1">IF(SUM($E621:AN621)=$B621,AN$2,"")</f>
        <v>36</v>
      </c>
      <c r="AO627" s="155">
        <f ca="1">IF(SUM($E621:AO621)=$B621,AO$2,"")</f>
        <v>37</v>
      </c>
      <c r="AP627" s="155">
        <f ca="1">IF(SUM($E621:AP621)=$B621,AP$2,"")</f>
        <v>38</v>
      </c>
      <c r="AQ627" s="155">
        <f ca="1">IF(SUM($E621:AQ621)=$B621,AQ$2,"")</f>
        <v>39</v>
      </c>
      <c r="AR627" s="155">
        <f ca="1">IF(SUM($E621:AR621)=$B621,AR$2,"")</f>
        <v>40</v>
      </c>
      <c r="AS627" s="129"/>
      <c r="AT627" s="103"/>
    </row>
    <row r="628" spans="1:46" ht="11.25" customHeight="1" x14ac:dyDescent="0.2">
      <c r="A628" s="354" t="s">
        <v>1003</v>
      </c>
      <c r="B628" s="225" t="s">
        <v>390</v>
      </c>
      <c r="C628" s="287">
        <v>1</v>
      </c>
      <c r="D628" s="65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  <c r="AA628" s="64"/>
      <c r="AB628" s="64"/>
      <c r="AC628" s="64"/>
      <c r="AD628" s="64"/>
      <c r="AE628" s="64"/>
      <c r="AF628" s="64"/>
      <c r="AG628" s="64"/>
      <c r="AH628" s="64"/>
      <c r="AI628" s="64"/>
      <c r="AJ628" s="64"/>
      <c r="AK628" s="64"/>
      <c r="AL628" s="64"/>
      <c r="AM628" s="64"/>
      <c r="AN628" s="64"/>
      <c r="AO628" s="64"/>
      <c r="AP628" s="64"/>
      <c r="AQ628" s="64"/>
      <c r="AR628" s="64"/>
      <c r="AS628" s="41"/>
      <c r="AT628" s="92"/>
    </row>
    <row r="629" spans="1:46" ht="11.25" customHeight="1" x14ac:dyDescent="0.2">
      <c r="A629" s="93" t="s">
        <v>88</v>
      </c>
      <c r="B629" s="351">
        <f>ИД!C256</f>
        <v>0.09</v>
      </c>
      <c r="C629" s="9" t="s">
        <v>14</v>
      </c>
      <c r="E629" s="352">
        <f ca="1">IF(E$2&lt;$B640+20,$B629,ИД!$E$256)</f>
        <v>0.09</v>
      </c>
      <c r="F629" s="352">
        <f ca="1">IF(F$2&lt;$B640+20,$B629,ИД!$E$256)</f>
        <v>0.09</v>
      </c>
      <c r="G629" s="352">
        <f ca="1">IF(G$2&lt;$B640+20,$B629,ИД!$E$256)</f>
        <v>0.09</v>
      </c>
      <c r="H629" s="352">
        <f ca="1">IF(H$2&lt;$B640+20,$B629,ИД!$E$256)</f>
        <v>0.09</v>
      </c>
      <c r="I629" s="352">
        <f ca="1">IF(I$2&lt;$B640+20,$B629,ИД!$E$256)</f>
        <v>0.09</v>
      </c>
      <c r="J629" s="352">
        <f ca="1">IF(J$2&lt;$B640+20,$B629,ИД!$E$256)</f>
        <v>0.09</v>
      </c>
      <c r="K629" s="352">
        <f ca="1">IF(K$2&lt;$B640+20,$B629,ИД!$E$256)</f>
        <v>0.09</v>
      </c>
      <c r="L629" s="352">
        <f ca="1">IF(L$2&lt;$B640+20,$B629,ИД!$E$256)</f>
        <v>0.09</v>
      </c>
      <c r="M629" s="352">
        <f ca="1">IF(M$2&lt;$B640+20,$B629,ИД!$E$256)</f>
        <v>0.09</v>
      </c>
      <c r="N629" s="352">
        <f ca="1">IF(N$2&lt;$B640+20,$B629,ИД!$E$256)</f>
        <v>0.09</v>
      </c>
      <c r="O629" s="352">
        <f ca="1">IF(O$2&lt;$B640+20,$B629,ИД!$E$256)</f>
        <v>0.09</v>
      </c>
      <c r="P629" s="352">
        <f ca="1">IF(P$2&lt;$B640+20,$B629,ИД!$E$256)</f>
        <v>0.09</v>
      </c>
      <c r="Q629" s="352">
        <f ca="1">IF(Q$2&lt;$B640+20,$B629,ИД!$E$256)</f>
        <v>0.09</v>
      </c>
      <c r="R629" s="352">
        <f ca="1">IF(R$2&lt;$B640+20,$B629,ИД!$E$256)</f>
        <v>0.09</v>
      </c>
      <c r="S629" s="352">
        <f ca="1">IF(S$2&lt;$B640+20,$B629,ИД!$E$256)</f>
        <v>0.09</v>
      </c>
      <c r="T629" s="352">
        <f ca="1">IF(T$2&lt;$B640+20,$B629,ИД!$E$256)</f>
        <v>0.09</v>
      </c>
      <c r="U629" s="352">
        <f ca="1">IF(U$2&lt;$B640+20,$B629,ИД!$E$256)</f>
        <v>0.09</v>
      </c>
      <c r="V629" s="352">
        <f ca="1">IF(V$2&lt;$B640+20,$B629,ИД!$E$256)</f>
        <v>0.09</v>
      </c>
      <c r="W629" s="352">
        <f ca="1">IF(W$2&lt;$B640+20,$B629,ИД!$E$256)</f>
        <v>0.09</v>
      </c>
      <c r="X629" s="352">
        <f ca="1">IF(X$2&lt;$B640+20,$B629,ИД!$E$256)</f>
        <v>0.09</v>
      </c>
      <c r="Y629" s="352">
        <f ca="1">IF(Y$2&lt;$B640+20,$B629,ИД!$E$256)</f>
        <v>0.09</v>
      </c>
      <c r="Z629" s="352">
        <f ca="1">IF(Z$2&lt;$B640+20,$B629,ИД!$E$256)</f>
        <v>0.09</v>
      </c>
      <c r="AA629" s="352">
        <f ca="1">IF(AA$2&lt;$B640+20,$B629,ИД!$E$256)</f>
        <v>0.09</v>
      </c>
      <c r="AB629" s="352">
        <f ca="1">IF(AB$2&lt;$B640+20,$B629,ИД!$E$256)</f>
        <v>0.09</v>
      </c>
      <c r="AC629" s="352">
        <f ca="1">IF(AC$2&lt;$B640+20,$B629,ИД!$E$256)</f>
        <v>0.09</v>
      </c>
      <c r="AD629" s="352">
        <f ca="1">IF(AD$2&lt;$B640+20,$B629,ИД!$E$256)</f>
        <v>0.09</v>
      </c>
      <c r="AE629" s="352">
        <f ca="1">IF(AE$2&lt;$B640+20,$B629,ИД!$E$256)</f>
        <v>0.09</v>
      </c>
      <c r="AF629" s="352">
        <f ca="1">IF(AF$2&lt;$B640+20,$B629,ИД!$E$256)</f>
        <v>0.09</v>
      </c>
      <c r="AG629" s="352">
        <f ca="1">IF(AG$2&lt;$B640+20,$B629,ИД!$E$256)</f>
        <v>0.08</v>
      </c>
      <c r="AH629" s="352">
        <f ca="1">IF(AH$2&lt;$B640+20,$B629,ИД!$E$256)</f>
        <v>0.08</v>
      </c>
      <c r="AI629" s="352">
        <f ca="1">IF(AI$2&lt;$B640+20,$B629,ИД!$E$256)</f>
        <v>0.08</v>
      </c>
      <c r="AJ629" s="352">
        <f ca="1">IF(AJ$2&lt;$B640+20,$B629,ИД!$E$256)</f>
        <v>0.08</v>
      </c>
      <c r="AK629" s="352">
        <f ca="1">IF(AK$2&lt;$B640+20,$B629,ИД!$E$256)</f>
        <v>0.08</v>
      </c>
      <c r="AL629" s="352">
        <f ca="1">IF(AL$2&lt;$B640+20,$B629,ИД!$E$256)</f>
        <v>0.08</v>
      </c>
      <c r="AM629" s="352">
        <f ca="1">IF(AM$2&lt;$B640+20,$B629,ИД!$E$256)</f>
        <v>0.08</v>
      </c>
      <c r="AN629" s="352">
        <f ca="1">IF(AN$2&lt;$B640+20,$B629,ИД!$E$256)</f>
        <v>0.08</v>
      </c>
      <c r="AO629" s="352">
        <f ca="1">IF(AO$2&lt;$B640+20,$B629,ИД!$E$256)</f>
        <v>0.08</v>
      </c>
      <c r="AP629" s="352">
        <f ca="1">IF(AP$2&lt;$B640+20,$B629,ИД!$E$256)</f>
        <v>0.08</v>
      </c>
      <c r="AQ629" s="352">
        <f ca="1">IF(AQ$2&lt;$B640+20,$B629,ИД!$E$256)</f>
        <v>0.08</v>
      </c>
      <c r="AR629" s="352">
        <f ca="1">IF(AR$2&lt;$B640+20,$B629,ИД!$E$256)</f>
        <v>0.08</v>
      </c>
      <c r="AS629" s="95"/>
      <c r="AT629" s="96"/>
    </row>
    <row r="630" spans="1:46" ht="11.25" customHeight="1" x14ac:dyDescent="0.2">
      <c r="A630" s="429" t="s">
        <v>89</v>
      </c>
      <c r="B630" s="430">
        <v>0</v>
      </c>
      <c r="C630" s="431" t="str">
        <f>Параметры!$C$24</f>
        <v>кв.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96"/>
    </row>
    <row r="631" spans="1:46" ht="11.25" customHeight="1" x14ac:dyDescent="0.2">
      <c r="A631" s="429" t="s">
        <v>521</v>
      </c>
      <c r="B631" s="430">
        <f>ИД!C257*4</f>
        <v>28</v>
      </c>
      <c r="C631" s="431" t="str">
        <f>Параметры!$C$24</f>
        <v>кв.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96"/>
    </row>
    <row r="632" spans="1:46" ht="11.25" customHeight="1" x14ac:dyDescent="0.2">
      <c r="A632" s="429" t="s">
        <v>522</v>
      </c>
      <c r="B632" s="415">
        <f>ИД!C259*4</f>
        <v>4</v>
      </c>
      <c r="C632" s="431" t="str">
        <f>Параметры!$C$24</f>
        <v>кв.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96"/>
    </row>
    <row r="633" spans="1:46" ht="11.25" customHeight="1" x14ac:dyDescent="0.2">
      <c r="A633" s="429" t="s">
        <v>1015</v>
      </c>
      <c r="B633" s="347">
        <f>ИД!C260</f>
        <v>0</v>
      </c>
      <c r="C633" s="43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96"/>
    </row>
    <row r="634" spans="1:46" ht="22.5" x14ac:dyDescent="0.2">
      <c r="A634" s="389" t="s">
        <v>475</v>
      </c>
      <c r="B634" s="347">
        <v>1</v>
      </c>
      <c r="C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96"/>
    </row>
    <row r="635" spans="1:46" ht="11.25" customHeight="1" x14ac:dyDescent="0.2">
      <c r="A635" s="93" t="s">
        <v>90</v>
      </c>
      <c r="B635" s="215">
        <f ca="1">AT635</f>
        <v>2890699.6109667523</v>
      </c>
      <c r="C635" s="3" t="str">
        <f>CHOOSE(C628,Параметры!$B$64,Параметры!$B$108,Параметры!$B$117)</f>
        <v>тыс. руб.</v>
      </c>
      <c r="E635" s="346">
        <f>SUM(E393,E396,E397)*1.2*ИД!$C$255</f>
        <v>0</v>
      </c>
      <c r="F635" s="346">
        <f ca="1">SUM(F393,F396,F397)*1.2*ИД!$C$255</f>
        <v>0</v>
      </c>
      <c r="G635" s="346">
        <f ca="1">SUM(G393,G396,G397)*1.2*ИД!$C$255</f>
        <v>0</v>
      </c>
      <c r="H635" s="346">
        <f ca="1">SUM(H393,H396,H397)*1.2*ИД!$C$255</f>
        <v>0</v>
      </c>
      <c r="I635" s="346">
        <f ca="1">SUM(I393,I396,I397)*1.2*ИД!$C$255</f>
        <v>0</v>
      </c>
      <c r="J635" s="346">
        <f ca="1">SUM(J393,J396,J397)*1.2*ИД!$C$255</f>
        <v>0</v>
      </c>
      <c r="K635" s="346">
        <f ca="1">SUM(K393,K396,K397)*1.2*ИД!$C$255</f>
        <v>0</v>
      </c>
      <c r="L635" s="346">
        <f ca="1">SUM(L393,L396,L397)*1.2*ИД!$C$255</f>
        <v>0</v>
      </c>
      <c r="M635" s="346">
        <f ca="1">SUM(M393,M396,M397)*1.2*ИД!$C$255</f>
        <v>112995.90895318099</v>
      </c>
      <c r="N635" s="346">
        <f ca="1">SUM(N393,N396,N397)*1.2*ИД!$C$255</f>
        <v>228785.03288120631</v>
      </c>
      <c r="O635" s="346">
        <f ca="1">SUM(O393,O396,O397)*1.2*ИД!$C$255</f>
        <v>347419.15717591875</v>
      </c>
      <c r="P635" s="346">
        <f ca="1">SUM(P393,P396,P397)*1.2*ИД!$C$255</f>
        <v>234475.46031950382</v>
      </c>
      <c r="Q635" s="346">
        <f ca="1">SUM(Q393,Q396,Q397)*1.2*ИД!$C$255</f>
        <v>288001.88155170059</v>
      </c>
      <c r="R635" s="346">
        <f ca="1">SUM(R393,R396,R397)*1.2*ИД!$C$255</f>
        <v>634211.60592411482</v>
      </c>
      <c r="S635" s="346">
        <f ca="1">SUM(S393,S396,S397)*1.2*ИД!$C$255</f>
        <v>693743.29514322511</v>
      </c>
      <c r="T635" s="346">
        <f ca="1">SUM(T393,T396,T397)*1.2*ИД!$C$255</f>
        <v>351067.26901790162</v>
      </c>
      <c r="U635" s="346">
        <f ca="1">SUM(U393,U396,U397)*1.2*ИД!$C$255</f>
        <v>0</v>
      </c>
      <c r="V635" s="346">
        <f ca="1">SUM(V393,V396,V397)*1.2*ИД!$C$255</f>
        <v>0</v>
      </c>
      <c r="W635" s="346">
        <f ca="1">SUM(W393,W396,W397)*1.2*ИД!$C$255</f>
        <v>0</v>
      </c>
      <c r="X635" s="346">
        <f ca="1">SUM(X393,X396,X397)*1.2*ИД!$C$255</f>
        <v>0</v>
      </c>
      <c r="Y635" s="346">
        <f ca="1">SUM(Y393,Y396,Y397)*1.2*ИД!$C$255</f>
        <v>0</v>
      </c>
      <c r="Z635" s="346">
        <f ca="1">SUM(Z393,Z396,Z397)*1.2*ИД!$C$255</f>
        <v>0</v>
      </c>
      <c r="AA635" s="346">
        <f ca="1">SUM(AA393,AA396,AA397)*1.2*ИД!$C$255</f>
        <v>0</v>
      </c>
      <c r="AB635" s="346">
        <f ca="1">SUM(AB393,AB396,AB397)*1.2*ИД!$C$255</f>
        <v>0</v>
      </c>
      <c r="AC635" s="346">
        <f ca="1">SUM(AC393,AC396,AC397)*1.2*ИД!$C$255</f>
        <v>0</v>
      </c>
      <c r="AD635" s="346">
        <f ca="1">SUM(AD393,AD396,AD397)*1.2*ИД!$C$255</f>
        <v>0</v>
      </c>
      <c r="AE635" s="346">
        <f ca="1">SUM(AE393,AE396,AE397)*1.2*ИД!$C$255</f>
        <v>0</v>
      </c>
      <c r="AF635" s="346">
        <f ca="1">SUM(AF393,AF396,AF397)*1.2*ИД!$C$255</f>
        <v>0</v>
      </c>
      <c r="AG635" s="346">
        <f ca="1">SUM(AG393,AG396,AG397)*1.2*ИД!$C$255</f>
        <v>0</v>
      </c>
      <c r="AH635" s="346">
        <f ca="1">SUM(AH393,AH396,AH397)*1.2*ИД!$C$255</f>
        <v>0</v>
      </c>
      <c r="AI635" s="346">
        <f ca="1">SUM(AI393,AI396,AI397)*1.2*ИД!$C$255</f>
        <v>0</v>
      </c>
      <c r="AJ635" s="346">
        <f ca="1">SUM(AJ393,AJ396,AJ397)*1.2*ИД!$C$255</f>
        <v>0</v>
      </c>
      <c r="AK635" s="346">
        <f ca="1">SUM(AK393,AK396,AK397)*1.2*ИД!$C$255</f>
        <v>0</v>
      </c>
      <c r="AL635" s="346">
        <f ca="1">SUM(AL393,AL396,AL397)*1.2*ИД!$C$255</f>
        <v>0</v>
      </c>
      <c r="AM635" s="346">
        <f ca="1">SUM(AM393,AM396,AM397)*1.2*ИД!$C$255</f>
        <v>0</v>
      </c>
      <c r="AN635" s="346">
        <f ca="1">SUM(AN393,AN396,AN397)*1.2*ИД!$C$255</f>
        <v>0</v>
      </c>
      <c r="AO635" s="346">
        <f ca="1">SUM(AO393,AO396,AO397)*1.2*ИД!$C$255</f>
        <v>0</v>
      </c>
      <c r="AP635" s="346">
        <f ca="1">SUM(AP393,AP396,AP397)*1.2*ИД!$C$255</f>
        <v>0</v>
      </c>
      <c r="AQ635" s="346">
        <f ca="1">SUM(AQ393,AQ396,AQ397)*1.2*ИД!$C$255</f>
        <v>0</v>
      </c>
      <c r="AR635" s="346">
        <f ca="1">SUM(AR393,AR396,AR397)*1.2*ИД!$C$255</f>
        <v>0</v>
      </c>
      <c r="AS635" s="94"/>
      <c r="AT635" s="84">
        <f ca="1">SUM(E635:AS635)</f>
        <v>2890699.6109667523</v>
      </c>
    </row>
    <row r="636" spans="1:46" ht="11.25" customHeight="1" x14ac:dyDescent="0.2">
      <c r="A636" s="93" t="s">
        <v>91</v>
      </c>
      <c r="B636" s="215">
        <f ca="1">AT636</f>
        <v>2890699.6109667523</v>
      </c>
      <c r="C636" s="3" t="str">
        <f>CHOOSE(C628,Параметры!$B$64,Параметры!$B$108,Параметры!$B$117)</f>
        <v>тыс. руб.</v>
      </c>
      <c r="E636" s="346">
        <f ca="1">IF(E$2&gt;=$B640+$B632,IF($B633,MIN($B635/($B631-($B632)),D637),IFERROR(-PPMT($B629/4,E$2-$B632-$B640+1,$B631-$B632,$B635,0),0)),0)</f>
        <v>0</v>
      </c>
      <c r="F636" s="346">
        <f t="shared" ref="F636" ca="1" si="432">IF(F$2&gt;=$B640+$B632,IF($B633,MIN($B635/($B631-($B632)),E637),IFERROR(-PPMT($B629/4,F$2-$B632-$B640+1,$B631-$B632,$B635,0),0)),0)</f>
        <v>0</v>
      </c>
      <c r="G636" s="346">
        <f t="shared" ref="G636" ca="1" si="433">IF(G$2&gt;=$B640+$B632,IF($B633,MIN($B635/($B631-($B632)),F637),IFERROR(-PPMT($B629/4,G$2-$B632-$B640+1,$B631-$B632,$B635,0),0)),0)</f>
        <v>0</v>
      </c>
      <c r="H636" s="346">
        <f t="shared" ref="H636" ca="1" si="434">IF(H$2&gt;=$B640+$B632,IF($B633,MIN($B635/($B631-($B632)),G637),IFERROR(-PPMT($B629/4,H$2-$B632-$B640+1,$B631-$B632,$B635,0),0)),0)</f>
        <v>0</v>
      </c>
      <c r="I636" s="346">
        <f t="shared" ref="I636" ca="1" si="435">IF(I$2&gt;=$B640+$B632,IF($B633,MIN($B635/($B631-($B632)),H637),IFERROR(-PPMT($B629/4,I$2-$B632-$B640+1,$B631-$B632,$B635,0),0)),0)</f>
        <v>0</v>
      </c>
      <c r="J636" s="346">
        <f t="shared" ref="J636" ca="1" si="436">IF(J$2&gt;=$B640+$B632,IF($B633,MIN($B635/($B631-($B632)),I637),IFERROR(-PPMT($B629/4,J$2-$B632-$B640+1,$B631-$B632,$B635,0),0)),0)</f>
        <v>0</v>
      </c>
      <c r="K636" s="346">
        <f t="shared" ref="K636" ca="1" si="437">IF(K$2&gt;=$B640+$B632,IF($B633,MIN($B635/($B631-($B632)),J637),IFERROR(-PPMT($B629/4,K$2-$B632-$B640+1,$B631-$B632,$B635,0),0)),0)</f>
        <v>0</v>
      </c>
      <c r="L636" s="346">
        <f t="shared" ref="L636" ca="1" si="438">IF(L$2&gt;=$B640+$B632,IF($B633,MIN($B635/($B631-($B632)),K637),IFERROR(-PPMT($B629/4,L$2-$B632-$B640+1,$B631-$B632,$B635,0),0)),0)</f>
        <v>0</v>
      </c>
      <c r="M636" s="346">
        <f t="shared" ref="M636" ca="1" si="439">IF(M$2&gt;=$B640+$B632,IF($B633,MIN($B635/($B631-($B632)),L637),IFERROR(-PPMT($B629/4,M$2-$B632-$B640+1,$B631-$B632,$B635,0),0)),0)</f>
        <v>0</v>
      </c>
      <c r="N636" s="346">
        <f t="shared" ref="N636" ca="1" si="440">IF(N$2&gt;=$B640+$B632,IF($B633,MIN($B635/($B631-($B632)),M637),IFERROR(-PPMT($B629/4,N$2-$B632-$B640+1,$B631-$B632,$B635,0),0)),0)</f>
        <v>0</v>
      </c>
      <c r="O636" s="346">
        <f t="shared" ref="O636" ca="1" si="441">IF(O$2&gt;=$B640+$B632,IF($B633,MIN($B635/($B631-($B632)),N637),IFERROR(-PPMT($B629/4,O$2-$B632-$B640+1,$B631-$B632,$B635,0),0)),0)</f>
        <v>0</v>
      </c>
      <c r="P636" s="346">
        <f t="shared" ref="P636" ca="1" si="442">IF(P$2&gt;=$B640+$B632,IF($B633,MIN($B635/($B631-($B632)),O637),IFERROR(-PPMT($B629/4,P$2-$B632-$B640+1,$B631-$B632,$B635,0),0)),0)</f>
        <v>0</v>
      </c>
      <c r="Q636" s="346">
        <f t="shared" ref="Q636" ca="1" si="443">IF(Q$2&gt;=$B640+$B632,IF($B633,MIN($B635/($B631-($B632)),P637),IFERROR(-PPMT($B629/4,Q$2-$B632-$B640+1,$B631-$B632,$B635,0),0)),0)</f>
        <v>92156.165296908934</v>
      </c>
      <c r="R636" s="346">
        <f t="shared" ref="R636" ca="1" si="444">IF(R$2&gt;=$B640+$B632,IF($B633,MIN($B635/($B631-($B632)),Q637),IFERROR(-PPMT($B629/4,R$2-$B632-$B640+1,$B631-$B632,$B635,0),0)),0)</f>
        <v>94229.679016089387</v>
      </c>
      <c r="S636" s="346">
        <f t="shared" ref="S636" ca="1" si="445">IF(S$2&gt;=$B640+$B632,IF($B633,MIN($B635/($B631-($B632)),R637),IFERROR(-PPMT($B629/4,S$2-$B632-$B640+1,$B631-$B632,$B635,0),0)),0)</f>
        <v>96349.846793951394</v>
      </c>
      <c r="T636" s="346">
        <f t="shared" ref="T636" ca="1" si="446">IF(T$2&gt;=$B640+$B632,IF($B633,MIN($B635/($B631-($B632)),S637),IFERROR(-PPMT($B629/4,T$2-$B632-$B640+1,$B631-$B632,$B635,0),0)),0)</f>
        <v>98517.718346815309</v>
      </c>
      <c r="U636" s="346">
        <f t="shared" ref="U636" ca="1" si="447">IF(U$2&gt;=$B640+$B632,IF($B633,MIN($B635/($B631-($B632)),T637),IFERROR(-PPMT($B629/4,U$2-$B632-$B640+1,$B631-$B632,$B635,0),0)),0)</f>
        <v>100734.36700961865</v>
      </c>
      <c r="V636" s="346">
        <f t="shared" ref="V636" ca="1" si="448">IF(V$2&gt;=$B640+$B632,IF($B633,MIN($B635/($B631-($B632)),U637),IFERROR(-PPMT($B629/4,V$2-$B632-$B640+1,$B631-$B632,$B635,0),0)),0)</f>
        <v>103000.89026733507</v>
      </c>
      <c r="W636" s="346">
        <f t="shared" ref="W636" ca="1" si="449">IF(W$2&gt;=$B640+$B632,IF($B633,MIN($B635/($B631-($B632)),V637),IFERROR(-PPMT($B629/4,W$2-$B632-$B640+1,$B631-$B632,$B635,0),0)),0)</f>
        <v>105318.41029835011</v>
      </c>
      <c r="X636" s="346">
        <f t="shared" ref="X636" ca="1" si="450">IF(X$2&gt;=$B640+$B632,IF($B633,MIN($B635/($B631-($B632)),W637),IFERROR(-PPMT($B629/4,X$2-$B632-$B640+1,$B631-$B632,$B635,0),0)),0)</f>
        <v>107688.07453006298</v>
      </c>
      <c r="Y636" s="346">
        <f t="shared" ref="Y636" ca="1" si="451">IF(Y$2&gt;=$B640+$B632,IF($B633,MIN($B635/($B631-($B632)),X637),IFERROR(-PPMT($B629/4,Y$2-$B632-$B640+1,$B631-$B632,$B635,0),0)),0)</f>
        <v>110111.05620698941</v>
      </c>
      <c r="Z636" s="346">
        <f t="shared" ref="Z636" ca="1" si="452">IF(Z$2&gt;=$B640+$B632,IF($B633,MIN($B635/($B631-($B632)),Y637),IFERROR(-PPMT($B629/4,Z$2-$B632-$B640+1,$B631-$B632,$B635,0),0)),0)</f>
        <v>112588.55497164666</v>
      </c>
      <c r="AA636" s="346">
        <f t="shared" ref="AA636" ca="1" si="453">IF(AA$2&gt;=$B640+$B632,IF($B633,MIN($B635/($B631-($B632)),Z637),IFERROR(-PPMT($B629/4,AA$2-$B632-$B640+1,$B631-$B632,$B635,0),0)),0)</f>
        <v>115121.79745850874</v>
      </c>
      <c r="AB636" s="346">
        <f t="shared" ref="AB636" ca="1" si="454">IF(AB$2&gt;=$B640+$B632,IF($B633,MIN($B635/($B631-($B632)),AA637),IFERROR(-PPMT($B629/4,AB$2-$B632-$B640+1,$B631-$B632,$B635,0),0)),0)</f>
        <v>117712.03790132517</v>
      </c>
      <c r="AC636" s="346">
        <f t="shared" ref="AC636" ca="1" si="455">IF(AC$2&gt;=$B640+$B632,IF($B633,MIN($B635/($B631-($B632)),AB637),IFERROR(-PPMT($B629/4,AC$2-$B632-$B640+1,$B631-$B632,$B635,0),0)),0)</f>
        <v>120360.55875410498</v>
      </c>
      <c r="AD636" s="346">
        <f t="shared" ref="AD636" ca="1" si="456">IF(AD$2&gt;=$B640+$B632,IF($B633,MIN($B635/($B631-($B632)),AC637),IFERROR(-PPMT($B629/4,AD$2-$B632-$B640+1,$B631-$B632,$B635,0),0)),0)</f>
        <v>123068.67132607235</v>
      </c>
      <c r="AE636" s="346">
        <f t="shared" ref="AE636" ca="1" si="457">IF(AE$2&gt;=$B640+$B632,IF($B633,MIN($B635/($B631-($B632)),AD637),IFERROR(-PPMT($B629/4,AE$2-$B632-$B640+1,$B631-$B632,$B635,0),0)),0)</f>
        <v>125837.71643090896</v>
      </c>
      <c r="AF636" s="346">
        <f t="shared" ref="AF636" ca="1" si="458">IF(AF$2&gt;=$B640+$B632,IF($B633,MIN($B635/($B631-($B632)),AE637),IFERROR(-PPMT($B629/4,AF$2-$B632-$B640+1,$B631-$B632,$B635,0),0)),0)</f>
        <v>128669.06505060443</v>
      </c>
      <c r="AG636" s="346">
        <f t="shared" ref="AG636" ca="1" si="459">IF(AG$2&gt;=$B640+$B632,IF($B633,MIN($B635/($B631-($B632)),AF637),IFERROR(-PPMT($B629/4,AG$2-$B632-$B640+1,$B631-$B632,$B635,0),0)),0)</f>
        <v>131564.11901424301</v>
      </c>
      <c r="AH636" s="346">
        <f t="shared" ref="AH636" ca="1" si="460">IF(AH$2&gt;=$B640+$B632,IF($B633,MIN($B635/($B631-($B632)),AG637),IFERROR(-PPMT($B629/4,AH$2-$B632-$B640+1,$B631-$B632,$B635,0),0)),0)</f>
        <v>134524.31169206349</v>
      </c>
      <c r="AI636" s="346">
        <f t="shared" ref="AI636" ca="1" si="461">IF(AI$2&gt;=$B640+$B632,IF($B633,MIN($B635/($B631-($B632)),AH637),IFERROR(-PPMT($B629/4,AI$2-$B632-$B640+1,$B631-$B632,$B635,0),0)),0)</f>
        <v>137551.10870513492</v>
      </c>
      <c r="AJ636" s="346">
        <f t="shared" ref="AJ636" ca="1" si="462">IF(AJ$2&gt;=$B640+$B632,IF($B633,MIN($B635/($B631-($B632)),AI637),IFERROR(-PPMT($B629/4,AJ$2-$B632-$B640+1,$B631-$B632,$B635,0),0)),0)</f>
        <v>140646.00865100045</v>
      </c>
      <c r="AK636" s="346">
        <f t="shared" ref="AK636" ca="1" si="463">IF(AK$2&gt;=$B640+$B632,IF($B633,MIN($B635/($B631-($B632)),AJ637),IFERROR(-PPMT($B629/4,AK$2-$B632-$B640+1,$B631-$B632,$B635,0),0)),0)</f>
        <v>143810.54384564798</v>
      </c>
      <c r="AL636" s="346">
        <f t="shared" ref="AL636" ca="1" si="464">IF(AL$2&gt;=$B640+$B632,IF($B633,MIN($B635/($B631-($B632)),AK637),IFERROR(-PPMT($B629/4,AL$2-$B632-$B640+1,$B631-$B632,$B635,0),0)),0)</f>
        <v>147046.28108217503</v>
      </c>
      <c r="AM636" s="346">
        <f t="shared" ref="AM636" ca="1" si="465">IF(AM$2&gt;=$B640+$B632,IF($B633,MIN($B635/($B631-($B632)),AL637),IFERROR(-PPMT($B629/4,AM$2-$B632-$B640+1,$B631-$B632,$B635,0),0)),0)</f>
        <v>150354.82240652398</v>
      </c>
      <c r="AN636" s="346">
        <f t="shared" ref="AN636" ca="1" si="466">IF(AN$2&gt;=$B640+$B632,IF($B633,MIN($B635/($B631-($B632)),AM637),IFERROR(-PPMT($B629/4,AN$2-$B632-$B640+1,$B631-$B632,$B635,0),0)),0)</f>
        <v>153737.80591067075</v>
      </c>
      <c r="AO636" s="346">
        <f t="shared" ref="AO636" ca="1" si="467">IF(AO$2&gt;=$B640+$B632,IF($B633,MIN($B635/($B631-($B632)),AN637),IFERROR(-PPMT($B629/4,AO$2-$B632-$B640+1,$B631-$B632,$B635,0),0)),0)</f>
        <v>0</v>
      </c>
      <c r="AP636" s="346">
        <f t="shared" ref="AP636" ca="1" si="468">IF(AP$2&gt;=$B640+$B632,IF($B633,MIN($B635/($B631-($B632)),AO637),IFERROR(-PPMT($B629/4,AP$2-$B632-$B640+1,$B631-$B632,$B635,0),0)),0)</f>
        <v>0</v>
      </c>
      <c r="AQ636" s="346">
        <f t="shared" ref="AQ636" ca="1" si="469">IF(AQ$2&gt;=$B640+$B632,IF($B633,MIN($B635/($B631-($B632)),AP637),IFERROR(-PPMT($B629/4,AQ$2-$B632-$B640+1,$B631-$B632,$B635,0),0)),0)</f>
        <v>0</v>
      </c>
      <c r="AR636" s="346">
        <f t="shared" ref="AR636" ca="1" si="470">IF(AR$2&gt;=$B640+$B632,IF($B633,MIN($B635/($B631-($B632)),AQ637),IFERROR(-PPMT($B629/4,AR$2-$B632-$B640+1,$B631-$B632,$B635,0),0)),0)</f>
        <v>0</v>
      </c>
      <c r="AS636" s="94"/>
      <c r="AT636" s="84">
        <f ca="1">SUM(E636:AS636)</f>
        <v>2890699.6109667523</v>
      </c>
    </row>
    <row r="637" spans="1:46" ht="11.25" customHeight="1" x14ac:dyDescent="0.2">
      <c r="A637" s="97" t="s">
        <v>94</v>
      </c>
      <c r="B637" s="11"/>
      <c r="C637" s="3" t="str">
        <f>CHOOSE(C628,Параметры!$B$64,Параметры!$B$108,Параметры!$B$117)</f>
        <v>тыс. руб.</v>
      </c>
      <c r="E637" s="98">
        <f ca="1">SUM($E638:E638)-SUM($E639:E639)+SUM($E635:E635)-SUM($E636:E636)</f>
        <v>0</v>
      </c>
      <c r="F637" s="98">
        <f ca="1">SUM($E638:F638)-SUM($E639:F639)+SUM($E635:F635)-SUM($E636:F636)</f>
        <v>0</v>
      </c>
      <c r="G637" s="98">
        <f ca="1">SUM($E638:G638)-SUM($E639:G639)+SUM($E635:G635)-SUM($E636:G636)</f>
        <v>0</v>
      </c>
      <c r="H637" s="98">
        <f ca="1">SUM($E638:H638)-SUM($E639:H639)+SUM($E635:H635)-SUM($E636:H636)</f>
        <v>0</v>
      </c>
      <c r="I637" s="98">
        <f ca="1">SUM($E638:I638)-SUM($E639:I639)+SUM($E635:I635)-SUM($E636:I636)</f>
        <v>0</v>
      </c>
      <c r="J637" s="98">
        <f ca="1">SUM($E638:J638)-SUM($E639:J639)+SUM($E635:J635)-SUM($E636:J636)</f>
        <v>0</v>
      </c>
      <c r="K637" s="98">
        <f ca="1">SUM($E638:K638)-SUM($E639:K639)+SUM($E635:K635)-SUM($E636:K636)</f>
        <v>0</v>
      </c>
      <c r="L637" s="98">
        <f ca="1">SUM($E638:L638)-SUM($E639:L639)+SUM($E635:L635)-SUM($E636:L636)</f>
        <v>0</v>
      </c>
      <c r="M637" s="98">
        <f ca="1">SUM($E638:M638)-SUM($E639:M639)+SUM($E635:M635)-SUM($E636:M636)</f>
        <v>112995.90895318099</v>
      </c>
      <c r="N637" s="98">
        <f ca="1">SUM($E638:N638)-SUM($E639:N639)+SUM($E635:N635)-SUM($E636:N636)</f>
        <v>341780.94183438731</v>
      </c>
      <c r="O637" s="98">
        <f ca="1">SUM($E638:O638)-SUM($E639:O639)+SUM($E635:O635)-SUM($E636:O636)</f>
        <v>689200.09901030606</v>
      </c>
      <c r="P637" s="98">
        <f ca="1">SUM($E638:P638)-SUM($E639:P639)+SUM($E635:P635)-SUM($E636:P636)</f>
        <v>923675.55932980985</v>
      </c>
      <c r="Q637" s="98">
        <f ca="1">SUM($E638:Q638)-SUM($E639:Q639)+SUM($E635:Q635)-SUM($E636:Q636)</f>
        <v>1119521.2755846016</v>
      </c>
      <c r="R637" s="98">
        <f ca="1">SUM($E638:R638)-SUM($E639:R639)+SUM($E635:R635)-SUM($E636:R636)</f>
        <v>1659503.2024926271</v>
      </c>
      <c r="S637" s="98">
        <f ca="1">SUM($E638:S638)-SUM($E639:S639)+SUM($E635:S635)-SUM($E636:S636)</f>
        <v>2256896.6508419011</v>
      </c>
      <c r="T637" s="98">
        <f ca="1">SUM($E638:T638)-SUM($E639:T639)+SUM($E635:T635)-SUM($E636:T636)</f>
        <v>2509446.2015129873</v>
      </c>
      <c r="U637" s="98">
        <f ca="1">SUM($E638:U638)-SUM($E639:U639)+SUM($E635:U635)-SUM($E636:U636)</f>
        <v>2408711.8345033685</v>
      </c>
      <c r="V637" s="98">
        <f ca="1">SUM($E638:V638)-SUM($E639:V639)+SUM($E635:V635)-SUM($E636:V636)</f>
        <v>2305710.9442360336</v>
      </c>
      <c r="W637" s="98">
        <f ca="1">SUM($E638:W638)-SUM($E639:W639)+SUM($E635:W635)-SUM($E636:W636)</f>
        <v>2200392.5339376833</v>
      </c>
      <c r="X637" s="98">
        <f ca="1">SUM($E638:X638)-SUM($E639:X639)+SUM($E635:X635)-SUM($E636:X636)</f>
        <v>2092704.4594076204</v>
      </c>
      <c r="Y637" s="98">
        <f ca="1">SUM($E638:Y638)-SUM($E639:Y639)+SUM($E635:Y635)-SUM($E636:Y636)</f>
        <v>1982593.403200631</v>
      </c>
      <c r="Z637" s="98">
        <f ca="1">SUM($E638:Z638)-SUM($E639:Z639)+SUM($E635:Z635)-SUM($E636:Z636)</f>
        <v>1870004.8482289843</v>
      </c>
      <c r="AA637" s="98">
        <f ca="1">SUM($E638:AA638)-SUM($E639:AA639)+SUM($E635:AA635)-SUM($E636:AA636)</f>
        <v>1754883.0507704755</v>
      </c>
      <c r="AB637" s="98">
        <f ca="1">SUM($E638:AB638)-SUM($E639:AB639)+SUM($E635:AB635)-SUM($E636:AB636)</f>
        <v>1637171.0128691504</v>
      </c>
      <c r="AC637" s="98">
        <f ca="1">SUM($E638:AC638)-SUM($E639:AC639)+SUM($E635:AC635)-SUM($E636:AC636)</f>
        <v>1516810.4541150455</v>
      </c>
      <c r="AD637" s="98">
        <f ca="1">SUM($E638:AD638)-SUM($E639:AD639)+SUM($E635:AD635)-SUM($E636:AD636)</f>
        <v>1393741.7827889731</v>
      </c>
      <c r="AE637" s="98">
        <f ca="1">SUM($E638:AE638)-SUM($E639:AE639)+SUM($E635:AE635)-SUM($E636:AE636)</f>
        <v>1267904.0663580641</v>
      </c>
      <c r="AF637" s="98">
        <f ca="1">SUM($E638:AF638)-SUM($E639:AF639)+SUM($E635:AF635)-SUM($E636:AF636)</f>
        <v>1139235.0013074595</v>
      </c>
      <c r="AG637" s="98">
        <f ca="1">SUM($E638:AG638)-SUM($E639:AG639)+SUM($E635:AG635)-SUM($E636:AG636)</f>
        <v>1007670.8822932164</v>
      </c>
      <c r="AH637" s="98">
        <f ca="1">SUM($E638:AH638)-SUM($E639:AH639)+SUM($E635:AH635)-SUM($E636:AH636)</f>
        <v>873146.57060115295</v>
      </c>
      <c r="AI637" s="98">
        <f ca="1">SUM($E638:AI638)-SUM($E639:AI639)+SUM($E635:AI635)-SUM($E636:AI636)</f>
        <v>735595.46189601813</v>
      </c>
      <c r="AJ637" s="98">
        <f ca="1">SUM($E638:AJ638)-SUM($E639:AJ639)+SUM($E635:AJ635)-SUM($E636:AJ636)</f>
        <v>594949.45324501768</v>
      </c>
      <c r="AK637" s="98">
        <f ca="1">SUM($E638:AK638)-SUM($E639:AK639)+SUM($E635:AK635)-SUM($E636:AK636)</f>
        <v>451138.90939936973</v>
      </c>
      <c r="AL637" s="98">
        <f ca="1">SUM($E638:AL638)-SUM($E639:AL639)+SUM($E635:AL635)-SUM($E636:AL636)</f>
        <v>304092.62831719453</v>
      </c>
      <c r="AM637" s="98">
        <f ca="1">SUM($E638:AM638)-SUM($E639:AM639)+SUM($E635:AM635)-SUM($E636:AM636)</f>
        <v>153737.80591067066</v>
      </c>
      <c r="AN637" s="98">
        <f ca="1">SUM($E638:AN638)-SUM($E639:AN639)+SUM($E635:AN635)-SUM($E636:AN636)</f>
        <v>0</v>
      </c>
      <c r="AO637" s="98">
        <f ca="1">SUM($E638:AO638)-SUM($E639:AO639)+SUM($E635:AO635)-SUM($E636:AO636)</f>
        <v>0</v>
      </c>
      <c r="AP637" s="98">
        <f ca="1">SUM($E638:AP638)-SUM($E639:AP639)+SUM($E635:AP635)-SUM($E636:AP636)</f>
        <v>0</v>
      </c>
      <c r="AQ637" s="98">
        <f ca="1">SUM($E638:AQ638)-SUM($E639:AQ639)+SUM($E635:AQ635)-SUM($E636:AQ636)</f>
        <v>0</v>
      </c>
      <c r="AR637" s="98">
        <f ca="1">SUM($E638:AR638)-SUM($E639:AR639)+SUM($E635:AR635)-SUM($E636:AR636)</f>
        <v>0</v>
      </c>
      <c r="AS637" s="99"/>
      <c r="AT637" s="100"/>
    </row>
    <row r="638" spans="1:46" ht="11.25" customHeight="1" x14ac:dyDescent="0.2">
      <c r="A638" s="97" t="s">
        <v>92</v>
      </c>
      <c r="B638" s="215">
        <f ca="1">AT638</f>
        <v>784021.50693712663</v>
      </c>
      <c r="C638" s="3" t="str">
        <f>CHOOSE(C628,Параметры!$B$64,Параметры!$B$108,Параметры!$B$117)</f>
        <v>тыс. руб.</v>
      </c>
      <c r="E638" s="98">
        <f ca="1">MAX((SUM($E635:E635)-SUM($E636:E636)+IF(AND($B634=1,Параметры!E$36&gt;1),SUM($D638:D638)-SUM($D639:D639),0)),0)*E629/12*Параметры!E$40</f>
        <v>0</v>
      </c>
      <c r="F638" s="98">
        <f ca="1">MAX((SUM($E635:F635)-SUM($E636:F636)+IF(AND($B634=1,Параметры!F$36&gt;1),SUM($D638:E638)-SUM($D639:E639),0)),0)*F629/12*Параметры!F$40</f>
        <v>0</v>
      </c>
      <c r="G638" s="98">
        <f ca="1">MAX((SUM($E635:G635)-SUM($E636:G636)+IF(AND($B634=1,Параметры!G$36&gt;1),SUM($D638:F638)-SUM($D639:F639),0)),0)*G629/12*Параметры!G$40</f>
        <v>0</v>
      </c>
      <c r="H638" s="98">
        <f ca="1">MAX((SUM($E635:H635)-SUM($E636:H636)+IF(AND($B634=1,Параметры!H$36&gt;1),SUM($D638:G638)-SUM($D639:G639),0)),0)*H629/12*Параметры!H$40</f>
        <v>0</v>
      </c>
      <c r="I638" s="98">
        <f ca="1">MAX((SUM($E635:I635)-SUM($E636:I636)+IF(AND($B634=1,Параметры!I$36&gt;1),SUM($D638:H638)-SUM($D639:H639),0)),0)*I629/12*Параметры!I$40</f>
        <v>0</v>
      </c>
      <c r="J638" s="98">
        <f ca="1">MAX((SUM($E635:J635)-SUM($E636:J636)+IF(AND($B634=1,Параметры!J$36&gt;1),SUM($D638:I638)-SUM($D639:I639),0)),0)*J629/12*Параметры!J$40</f>
        <v>0</v>
      </c>
      <c r="K638" s="98">
        <f ca="1">MAX((SUM($E635:K635)-SUM($E636:K636)+IF(AND($B634=1,Параметры!K$36&gt;1),SUM($D638:J638)-SUM($D639:J639),0)),0)*K629/12*Параметры!K$40</f>
        <v>0</v>
      </c>
      <c r="L638" s="98">
        <f ca="1">MAX((SUM($E635:L635)-SUM($E636:L636)+IF(AND($B634=1,Параметры!L$36&gt;1),SUM($D638:K638)-SUM($D639:K639),0)),0)*L629/12*Параметры!L$40</f>
        <v>0</v>
      </c>
      <c r="M638" s="98">
        <f ca="1">MAX((SUM($E635:M635)-SUM($E636:M636)+IF(AND($B634=1,Параметры!M$36&gt;1),SUM($D638:L638)-SUM($D639:L639),0)),0)*M629/12*Параметры!M$40</f>
        <v>2542.407951446572</v>
      </c>
      <c r="N638" s="98">
        <f ca="1">MAX((SUM($E635:N635)-SUM($E636:N636)+IF(AND($B634=1,Параметры!N$36&gt;1),SUM($D638:M638)-SUM($D639:M639),0)),0)*N629/12*Параметры!N$40</f>
        <v>7690.0711912737133</v>
      </c>
      <c r="O638" s="98">
        <f ca="1">MAX((SUM($E635:O635)-SUM($E636:O636)+IF(AND($B634=1,Параметры!O$36&gt;1),SUM($D638:N638)-SUM($D639:N639),0)),0)*O629/12*Параметры!O$40</f>
        <v>15507.002227731886</v>
      </c>
      <c r="P638" s="98">
        <f ca="1">MAX((SUM($E635:P635)-SUM($E636:P636)+IF(AND($B634=1,Параметры!P$36&gt;1),SUM($D638:O638)-SUM($D639:O639),0)),0)*P629/12*Параметры!P$40</f>
        <v>20782.700084920722</v>
      </c>
      <c r="Q638" s="98">
        <f ca="1">MAX((SUM($E635:Q635)-SUM($E636:Q636)+IF(AND($B634=1,Параметры!Q$36&gt;1),SUM($D638:P638)-SUM($D639:P639),0)),0)*Q629/12*Параметры!Q$40</f>
        <v>25189.228700653533</v>
      </c>
      <c r="R638" s="98">
        <f ca="1">MAX((SUM($E635:R635)-SUM($E636:R636)+IF(AND($B634=1,Параметры!R$36&gt;1),SUM($D638:Q638)-SUM($D639:Q639),0)),0)*R629/12*Параметры!R$40</f>
        <v>37338.822056084107</v>
      </c>
      <c r="S638" s="98">
        <f ca="1">MAX((SUM($E635:S635)-SUM($E636:S636)+IF(AND($B634=1,Параметры!S$36&gt;1),SUM($D638:R638)-SUM($D639:R639),0)),0)*S629/12*Параметры!S$40</f>
        <v>50780.174643942773</v>
      </c>
      <c r="T638" s="98">
        <f ca="1">MAX((SUM($E635:T635)-SUM($E636:T636)+IF(AND($B634=1,Параметры!T$36&gt;1),SUM($D638:S638)-SUM($D639:S639),0)),0)*T629/12*Параметры!T$40</f>
        <v>56462.539534042211</v>
      </c>
      <c r="U638" s="98">
        <f ca="1">MAX((SUM($E635:U635)-SUM($E636:U636)+IF(AND($B634=1,Параметры!U$36&gt;1),SUM($D638:T638)-SUM($D639:T639),0)),0)*U629/12*Параметры!U$40</f>
        <v>54196.016276325783</v>
      </c>
      <c r="V638" s="98">
        <f ca="1">MAX((SUM($E635:V635)-SUM($E636:V636)+IF(AND($B634=1,Параметры!V$36&gt;1),SUM($D638:U638)-SUM($D639:U639),0)),0)*V629/12*Параметры!V$40</f>
        <v>51878.496245310758</v>
      </c>
      <c r="W638" s="98">
        <f ca="1">MAX((SUM($E635:W635)-SUM($E636:W636)+IF(AND($B634=1,Параметры!W$36&gt;1),SUM($D638:V638)-SUM($D639:V639),0)),0)*W629/12*Параметры!W$40</f>
        <v>49508.832013597872</v>
      </c>
      <c r="X638" s="98">
        <f ca="1">MAX((SUM($E635:X635)-SUM($E636:X636)+IF(AND($B634=1,Параметры!X$36&gt;1),SUM($D638:W638)-SUM($D639:W639),0)),0)*X629/12*Параметры!X$40</f>
        <v>47085.850336671458</v>
      </c>
      <c r="Y638" s="98">
        <f ca="1">MAX((SUM($E635:Y635)-SUM($E636:Y636)+IF(AND($B634=1,Параметры!Y$36&gt;1),SUM($D638:X638)-SUM($D639:X639),0)),0)*Y629/12*Параметры!Y$40</f>
        <v>44608.351572014195</v>
      </c>
      <c r="Z638" s="98">
        <f ca="1">MAX((SUM($E635:Z635)-SUM($E636:Z636)+IF(AND($B634=1,Параметры!Z$36&gt;1),SUM($D638:Y638)-SUM($D639:Y639),0)),0)*Z629/12*Параметры!Z$40</f>
        <v>42075.109085152144</v>
      </c>
      <c r="AA638" s="98">
        <f ca="1">MAX((SUM($E635:AA635)-SUM($E636:AA636)+IF(AND($B634=1,Параметры!AA$36&gt;1),SUM($D638:Z638)-SUM($D639:Z639),0)),0)*AA629/12*Параметры!AA$40</f>
        <v>39484.868642335699</v>
      </c>
      <c r="AB638" s="98">
        <f ca="1">MAX((SUM($E635:AB635)-SUM($E636:AB636)+IF(AND($B634=1,Параметры!AB$36&gt;1),SUM($D638:AA638)-SUM($D639:AA639),0)),0)*AB629/12*Параметры!AB$40</f>
        <v>36836.347789555883</v>
      </c>
      <c r="AC638" s="98">
        <f ca="1">MAX((SUM($E635:AC635)-SUM($E636:AC636)+IF(AND($B634=1,Параметры!AC$36&gt;1),SUM($D638:AB638)-SUM($D639:AB639),0)),0)*AC629/12*Параметры!AC$40</f>
        <v>34128.235217588524</v>
      </c>
      <c r="AD638" s="98">
        <f ca="1">MAX((SUM($E635:AD635)-SUM($E636:AD636)+IF(AND($B634=1,Параметры!AD$36&gt;1),SUM($D638:AC638)-SUM($D639:AC639),0)),0)*AD629/12*Параметры!AD$40</f>
        <v>31359.190112751894</v>
      </c>
      <c r="AE638" s="98">
        <f ca="1">MAX((SUM($E635:AE635)-SUM($E636:AE636)+IF(AND($B634=1,Параметры!AE$36&gt;1),SUM($D638:AD638)-SUM($D639:AD639),0)),0)*AE629/12*Параметры!AE$40</f>
        <v>28527.84149305644</v>
      </c>
      <c r="AF638" s="98">
        <f ca="1">MAX((SUM($E635:AF635)-SUM($E636:AF636)+IF(AND($B634=1,Параметры!AF$36&gt;1),SUM($D638:AE638)-SUM($D639:AE639),0)),0)*AF629/12*Параметры!AF$40</f>
        <v>25632.787529417838</v>
      </c>
      <c r="AG638" s="98">
        <f ca="1">MAX((SUM($E635:AG635)-SUM($E636:AG636)+IF(AND($B634=1,Параметры!AG$36&gt;1),SUM($D638:AF638)-SUM($D639:AF639),0)),0)*AG629/12*Параметры!AG$40</f>
        <v>20153.417645864331</v>
      </c>
      <c r="AH638" s="98">
        <f ca="1">MAX((SUM($E635:AH635)-SUM($E636:AH636)+IF(AND($B634=1,Параметры!AH$36&gt;1),SUM($D638:AG638)-SUM($D639:AG639),0)),0)*AH629/12*Параметры!AH$40</f>
        <v>17462.931412023059</v>
      </c>
      <c r="AI638" s="98">
        <f ca="1">MAX((SUM($E635:AI635)-SUM($E636:AI636)+IF(AND($B634=1,Параметры!AI$36&gt;1),SUM($D638:AH638)-SUM($D639:AH639),0)),0)*AI629/12*Параметры!AI$40</f>
        <v>14711.909237920363</v>
      </c>
      <c r="AJ638" s="98">
        <f ca="1">MAX((SUM($E635:AJ635)-SUM($E636:AJ636)+IF(AND($B634=1,Параметры!AJ$36&gt;1),SUM($D638:AI638)-SUM($D639:AI639),0)),0)*AJ629/12*Параметры!AJ$40</f>
        <v>11898.989064900354</v>
      </c>
      <c r="AK638" s="98">
        <f ca="1">MAX((SUM($E635:AK635)-SUM($E636:AK636)+IF(AND($B634=1,Параметры!AK$36&gt;1),SUM($D638:AJ638)-SUM($D639:AJ639),0)),0)*AK629/12*Параметры!AK$40</f>
        <v>9022.7781879873946</v>
      </c>
      <c r="AL638" s="98">
        <f ca="1">MAX((SUM($E635:AL635)-SUM($E636:AL636)+IF(AND($B634=1,Параметры!AL$36&gt;1),SUM($D638:AK638)-SUM($D639:AK639),0)),0)*AL629/12*Параметры!AL$40</f>
        <v>6081.8525663438904</v>
      </c>
      <c r="AM638" s="98">
        <f ca="1">MAX((SUM($E635:AM635)-SUM($E636:AM636)+IF(AND($B634=1,Параметры!AM$36&gt;1),SUM($D638:AL638)-SUM($D639:AL639),0)),0)*AM629/12*Параметры!AM$40</f>
        <v>3074.7561182134132</v>
      </c>
      <c r="AN638" s="98">
        <f ca="1">MAX((SUM($E635:AN635)-SUM($E636:AN636)+IF(AND($B634=1,Параметры!AN$36&gt;1),SUM($D638:AM638)-SUM($D639:AM639),0)),0)*AN629/12*Параметры!AN$40</f>
        <v>0</v>
      </c>
      <c r="AO638" s="98">
        <f ca="1">MAX((SUM($E635:AO635)-SUM($E636:AO636)+IF(AND($B634=1,Параметры!AO$36&gt;1),SUM($D638:AN638)-SUM($D639:AN639),0)),0)*AO629/12*Параметры!AO$40</f>
        <v>0</v>
      </c>
      <c r="AP638" s="98">
        <f ca="1">MAX((SUM($E635:AP635)-SUM($E636:AP636)+IF(AND($B634=1,Параметры!AP$36&gt;1),SUM($D638:AO638)-SUM($D639:AO639),0)),0)*AP629/12*Параметры!AP$40</f>
        <v>0</v>
      </c>
      <c r="AQ638" s="98">
        <f ca="1">MAX((SUM($E635:AQ635)-SUM($E636:AQ636)+IF(AND($B634=1,Параметры!AQ$36&gt;1),SUM($D638:AP638)-SUM($D639:AP639),0)),0)*AQ629/12*Параметры!AQ$40</f>
        <v>0</v>
      </c>
      <c r="AR638" s="98">
        <f ca="1">MAX((SUM($E635:AR635)-SUM($E636:AR636)+IF(AND($B634=1,Параметры!AR$36&gt;1),SUM($D638:AQ638)-SUM($D639:AQ639),0)),0)*AR629/12*Параметры!AR$40</f>
        <v>0</v>
      </c>
      <c r="AS638" s="99"/>
      <c r="AT638" s="100">
        <f ca="1">SUM(E638:AS638)</f>
        <v>784021.50693712663</v>
      </c>
    </row>
    <row r="639" spans="1:46" ht="11.25" customHeight="1" collapsed="1" x14ac:dyDescent="0.2">
      <c r="A639" s="101" t="s">
        <v>93</v>
      </c>
      <c r="B639" s="216">
        <f ca="1">AT639</f>
        <v>784021.50693712663</v>
      </c>
      <c r="C639" s="2" t="str">
        <f>CHOOSE(C628,Параметры!$B$64,Параметры!$B$108,Параметры!$B$117)</f>
        <v>тыс. руб.</v>
      </c>
      <c r="E639" s="353">
        <f ca="1">IF(Параметры!E$36&gt;=E640+$B630,E638,0)</f>
        <v>0</v>
      </c>
      <c r="F639" s="353">
        <f ca="1">IF(Параметры!F$36&gt;=F640+$B630,F638,0)</f>
        <v>0</v>
      </c>
      <c r="G639" s="353">
        <f ca="1">IF(Параметры!G$36&gt;=G640+$B630,G638,0)</f>
        <v>0</v>
      </c>
      <c r="H639" s="353">
        <f ca="1">IF(Параметры!H$36&gt;=H640+$B630,H638,0)</f>
        <v>0</v>
      </c>
      <c r="I639" s="353">
        <f ca="1">IF(Параметры!I$36&gt;=I640+$B630,I638,0)</f>
        <v>0</v>
      </c>
      <c r="J639" s="353">
        <f ca="1">IF(Параметры!J$36&gt;=J640+$B630,J638,0)</f>
        <v>0</v>
      </c>
      <c r="K639" s="353">
        <f ca="1">IF(Параметры!K$36&gt;=K640+$B630,K638,0)</f>
        <v>0</v>
      </c>
      <c r="L639" s="353">
        <f ca="1">IF(Параметры!L$36&gt;=L640+$B630,L638,0)</f>
        <v>0</v>
      </c>
      <c r="M639" s="353">
        <f ca="1">IF(Параметры!M$36&gt;=M640+$B630,M638,0)</f>
        <v>2542.407951446572</v>
      </c>
      <c r="N639" s="353">
        <f ca="1">IF(Параметры!N$36&gt;=N640+$B630,N638,0)</f>
        <v>7690.0711912737133</v>
      </c>
      <c r="O639" s="353">
        <f ca="1">IF(Параметры!O$36&gt;=O640+$B630,O638,0)</f>
        <v>15507.002227731886</v>
      </c>
      <c r="P639" s="353">
        <f ca="1">IF(Параметры!P$36&gt;=P640+$B630,P638,0)</f>
        <v>20782.700084920722</v>
      </c>
      <c r="Q639" s="353">
        <f ca="1">IF(Параметры!Q$36&gt;=Q640+$B630,Q638,0)</f>
        <v>25189.228700653533</v>
      </c>
      <c r="R639" s="353">
        <f ca="1">IF(Параметры!R$36&gt;=R640+$B630,R638,0)</f>
        <v>37338.822056084107</v>
      </c>
      <c r="S639" s="353">
        <f ca="1">IF(Параметры!S$36&gt;=S640+$B630,S638,0)</f>
        <v>50780.174643942773</v>
      </c>
      <c r="T639" s="353">
        <f ca="1">IF(Параметры!T$36&gt;=T640+$B630,T638,0)</f>
        <v>56462.539534042211</v>
      </c>
      <c r="U639" s="353">
        <f ca="1">IF(Параметры!U$36&gt;=U640+$B630,U638,0)</f>
        <v>54196.016276325783</v>
      </c>
      <c r="V639" s="353">
        <f ca="1">IF(Параметры!V$36&gt;=V640+$B630,V638,0)</f>
        <v>51878.496245310758</v>
      </c>
      <c r="W639" s="353">
        <f ca="1">IF(Параметры!W$36&gt;=W640+$B630,W638,0)</f>
        <v>49508.832013597872</v>
      </c>
      <c r="X639" s="353">
        <f ca="1">IF(Параметры!X$36&gt;=X640+$B630,X638,0)</f>
        <v>47085.850336671458</v>
      </c>
      <c r="Y639" s="353">
        <f ca="1">IF(Параметры!Y$36&gt;=Y640+$B630,Y638,0)</f>
        <v>44608.351572014195</v>
      </c>
      <c r="Z639" s="353">
        <f ca="1">IF(Параметры!Z$36&gt;=Z640+$B630,Z638,0)</f>
        <v>42075.109085152144</v>
      </c>
      <c r="AA639" s="353">
        <f ca="1">IF(Параметры!AA$36&gt;=AA640+$B630,AA638,0)</f>
        <v>39484.868642335699</v>
      </c>
      <c r="AB639" s="353">
        <f ca="1">IF(Параметры!AB$36&gt;=AB640+$B630,AB638,0)</f>
        <v>36836.347789555883</v>
      </c>
      <c r="AC639" s="353">
        <f ca="1">IF(Параметры!AC$36&gt;=AC640+$B630,AC638,0)</f>
        <v>34128.235217588524</v>
      </c>
      <c r="AD639" s="353">
        <f ca="1">IF(Параметры!AD$36&gt;=AD640+$B630,AD638,0)</f>
        <v>31359.190112751894</v>
      </c>
      <c r="AE639" s="353">
        <f ca="1">IF(Параметры!AE$36&gt;=AE640+$B630,AE638,0)</f>
        <v>28527.84149305644</v>
      </c>
      <c r="AF639" s="353">
        <f ca="1">IF(Параметры!AF$36&gt;=AF640+$B630,AF638,0)</f>
        <v>25632.787529417838</v>
      </c>
      <c r="AG639" s="353">
        <f ca="1">IF(Параметры!AG$36&gt;=AG640+$B630,AG638,0)</f>
        <v>20153.417645864331</v>
      </c>
      <c r="AH639" s="353">
        <f ca="1">IF(Параметры!AH$36&gt;=AH640+$B630,AH638,0)</f>
        <v>17462.931412023059</v>
      </c>
      <c r="AI639" s="353">
        <f ca="1">IF(Параметры!AI$36&gt;=AI640+$B630,AI638,0)</f>
        <v>14711.909237920363</v>
      </c>
      <c r="AJ639" s="353">
        <f ca="1">IF(Параметры!AJ$36&gt;=AJ640+$B630,AJ638,0)</f>
        <v>11898.989064900354</v>
      </c>
      <c r="AK639" s="353">
        <f ca="1">IF(Параметры!AK$36&gt;=AK640+$B630,AK638,0)</f>
        <v>9022.7781879873946</v>
      </c>
      <c r="AL639" s="353">
        <f ca="1">IF(Параметры!AL$36&gt;=AL640+$B630,AL638,0)</f>
        <v>6081.8525663438904</v>
      </c>
      <c r="AM639" s="353">
        <f ca="1">IF(Параметры!AM$36&gt;=AM640+$B630,AM638,0)</f>
        <v>3074.7561182134132</v>
      </c>
      <c r="AN639" s="353">
        <f ca="1">IF(Параметры!AN$36&gt;=AN640+$B630,AN638,0)</f>
        <v>0</v>
      </c>
      <c r="AO639" s="353">
        <f ca="1">IF(Параметры!AO$36&gt;=AO640+$B630,AO638,0)</f>
        <v>0</v>
      </c>
      <c r="AP639" s="353">
        <f ca="1">IF(Параметры!AP$36&gt;=AP640+$B630,AP638,0)</f>
        <v>0</v>
      </c>
      <c r="AQ639" s="353">
        <f ca="1">IF(Параметры!AQ$36&gt;=AQ640+$B630,AQ638,0)</f>
        <v>0</v>
      </c>
      <c r="AR639" s="353">
        <f ca="1">IF(Параметры!AR$36&gt;=AR640+$B630,AR638,0)</f>
        <v>0</v>
      </c>
      <c r="AS639" s="102"/>
      <c r="AT639" s="103">
        <f ca="1">SUM(E639:AS639)</f>
        <v>784021.50693712663</v>
      </c>
    </row>
    <row r="640" spans="1:46" ht="11.25" customHeight="1" outlineLevel="1" x14ac:dyDescent="0.2">
      <c r="A640" s="101" t="s">
        <v>95</v>
      </c>
      <c r="B640" s="471">
        <f ca="1">MAX(E640,OFFSET(E640,0,Параметры!$B$24-1))</f>
        <v>9</v>
      </c>
      <c r="C640" s="2" t="s">
        <v>3</v>
      </c>
      <c r="E640" s="155">
        <f>IF(AND(Параметры!E$36=1,E635&gt;0),1,IF(AND(D640=0,E635&lt;&gt;0,SUM($D635:D635)=0),Параметры!E$36,IF(Параметры!E$36=1,0,D640)))</f>
        <v>0</v>
      </c>
      <c r="F640" s="155">
        <f ca="1">IF(AND(Параметры!F$36=1,F635&gt;0),1,IF(AND(E640=0,F635&lt;&gt;0,SUM($D635:E635)=0),Параметры!F$36,IF(Параметры!F$36=1,0,E640)))</f>
        <v>0</v>
      </c>
      <c r="G640" s="155">
        <f ca="1">IF(AND(Параметры!G$36=1,G635&gt;0),1,IF(AND(F640=0,G635&lt;&gt;0,SUM($D635:F635)=0),Параметры!G$36,IF(Параметры!G$36=1,0,F640)))</f>
        <v>0</v>
      </c>
      <c r="H640" s="155">
        <f ca="1">IF(AND(Параметры!H$36=1,H635&gt;0),1,IF(AND(G640=0,H635&lt;&gt;0,SUM($D635:G635)=0),Параметры!H$36,IF(Параметры!H$36=1,0,G640)))</f>
        <v>0</v>
      </c>
      <c r="I640" s="155">
        <f ca="1">IF(AND(Параметры!I$36=1,I635&gt;0),1,IF(AND(H640=0,I635&lt;&gt;0,SUM($D635:H635)=0),Параметры!I$36,IF(Параметры!I$36=1,0,H640)))</f>
        <v>0</v>
      </c>
      <c r="J640" s="155">
        <f ca="1">IF(AND(Параметры!J$36=1,J635&gt;0),1,IF(AND(I640=0,J635&lt;&gt;0,SUM($D635:I635)=0),Параметры!J$36,IF(Параметры!J$36=1,0,I640)))</f>
        <v>0</v>
      </c>
      <c r="K640" s="155">
        <f ca="1">IF(AND(Параметры!K$36=1,K635&gt;0),1,IF(AND(J640=0,K635&lt;&gt;0,SUM($D635:J635)=0),Параметры!K$36,IF(Параметры!K$36=1,0,J640)))</f>
        <v>0</v>
      </c>
      <c r="L640" s="155">
        <f ca="1">IF(AND(Параметры!L$36=1,L635&gt;0),1,IF(AND(K640=0,L635&lt;&gt;0,SUM($D635:K635)=0),Параметры!L$36,IF(Параметры!L$36=1,0,K640)))</f>
        <v>0</v>
      </c>
      <c r="M640" s="155">
        <f ca="1">IF(AND(Параметры!M$36=1,M635&gt;0),1,IF(AND(L640=0,M635&lt;&gt;0,SUM($D635:L635)=0),Параметры!M$36,IF(Параметры!M$36=1,0,L640)))</f>
        <v>9</v>
      </c>
      <c r="N640" s="155">
        <f ca="1">IF(AND(Параметры!N$36=1,N635&gt;0),1,IF(AND(M640=0,N635&lt;&gt;0,SUM($D635:M635)=0),Параметры!N$36,IF(Параметры!N$36=1,0,M640)))</f>
        <v>9</v>
      </c>
      <c r="O640" s="155">
        <f ca="1">IF(AND(Параметры!O$36=1,O635&gt;0),1,IF(AND(N640=0,O635&lt;&gt;0,SUM($D635:N635)=0),Параметры!O$36,IF(Параметры!O$36=1,0,N640)))</f>
        <v>9</v>
      </c>
      <c r="P640" s="155">
        <f ca="1">IF(AND(Параметры!P$36=1,P635&gt;0),1,IF(AND(O640=0,P635&lt;&gt;0,SUM($D635:O635)=0),Параметры!P$36,IF(Параметры!P$36=1,0,O640)))</f>
        <v>9</v>
      </c>
      <c r="Q640" s="155">
        <f ca="1">IF(AND(Параметры!Q$36=1,Q635&gt;0),1,IF(AND(P640=0,Q635&lt;&gt;0,SUM($D635:P635)=0),Параметры!Q$36,IF(Параметры!Q$36=1,0,P640)))</f>
        <v>9</v>
      </c>
      <c r="R640" s="155">
        <f ca="1">IF(AND(Параметры!R$36=1,R635&gt;0),1,IF(AND(Q640=0,R635&lt;&gt;0,SUM($D635:Q635)=0),Параметры!R$36,IF(Параметры!R$36=1,0,Q640)))</f>
        <v>9</v>
      </c>
      <c r="S640" s="155">
        <f ca="1">IF(AND(Параметры!S$36=1,S635&gt;0),1,IF(AND(R640=0,S635&lt;&gt;0,SUM($D635:R635)=0),Параметры!S$36,IF(Параметры!S$36=1,0,R640)))</f>
        <v>9</v>
      </c>
      <c r="T640" s="155">
        <f ca="1">IF(AND(Параметры!T$36=1,T635&gt;0),1,IF(AND(S640=0,T635&lt;&gt;0,SUM($D635:S635)=0),Параметры!T$36,IF(Параметры!T$36=1,0,S640)))</f>
        <v>9</v>
      </c>
      <c r="U640" s="155">
        <f ca="1">IF(AND(Параметры!U$36=1,U635&gt;0),1,IF(AND(T640=0,U635&lt;&gt;0,SUM($D635:T635)=0),Параметры!U$36,IF(Параметры!U$36=1,0,T640)))</f>
        <v>9</v>
      </c>
      <c r="V640" s="155">
        <f ca="1">IF(AND(Параметры!V$36=1,V635&gt;0),1,IF(AND(U640=0,V635&lt;&gt;0,SUM($D635:U635)=0),Параметры!V$36,IF(Параметры!V$36=1,0,U640)))</f>
        <v>9</v>
      </c>
      <c r="W640" s="155">
        <f ca="1">IF(AND(Параметры!W$36=1,W635&gt;0),1,IF(AND(V640=0,W635&lt;&gt;0,SUM($D635:V635)=0),Параметры!W$36,IF(Параметры!W$36=1,0,V640)))</f>
        <v>9</v>
      </c>
      <c r="X640" s="155">
        <f ca="1">IF(AND(Параметры!X$36=1,X635&gt;0),1,IF(AND(W640=0,X635&lt;&gt;0,SUM($D635:W635)=0),Параметры!X$36,IF(Параметры!X$36=1,0,W640)))</f>
        <v>9</v>
      </c>
      <c r="Y640" s="155">
        <f ca="1">IF(AND(Параметры!Y$36=1,Y635&gt;0),1,IF(AND(X640=0,Y635&lt;&gt;0,SUM($D635:X635)=0),Параметры!Y$36,IF(Параметры!Y$36=1,0,X640)))</f>
        <v>9</v>
      </c>
      <c r="Z640" s="155">
        <f ca="1">IF(AND(Параметры!Z$36=1,Z635&gt;0),1,IF(AND(Y640=0,Z635&lt;&gt;0,SUM($D635:Y635)=0),Параметры!Z$36,IF(Параметры!Z$36=1,0,Y640)))</f>
        <v>9</v>
      </c>
      <c r="AA640" s="155">
        <f ca="1">IF(AND(Параметры!AA$36=1,AA635&gt;0),1,IF(AND(Z640=0,AA635&lt;&gt;0,SUM($D635:Z635)=0),Параметры!AA$36,IF(Параметры!AA$36=1,0,Z640)))</f>
        <v>9</v>
      </c>
      <c r="AB640" s="155">
        <f ca="1">IF(AND(Параметры!AB$36=1,AB635&gt;0),1,IF(AND(AA640=0,AB635&lt;&gt;0,SUM($D635:AA635)=0),Параметры!AB$36,IF(Параметры!AB$36=1,0,AA640)))</f>
        <v>9</v>
      </c>
      <c r="AC640" s="155">
        <f ca="1">IF(AND(Параметры!AC$36=1,AC635&gt;0),1,IF(AND(AB640=0,AC635&lt;&gt;0,SUM($D635:AB635)=0),Параметры!AC$36,IF(Параметры!AC$36=1,0,AB640)))</f>
        <v>9</v>
      </c>
      <c r="AD640" s="155">
        <f ca="1">IF(AND(Параметры!AD$36=1,AD635&gt;0),1,IF(AND(AC640=0,AD635&lt;&gt;0,SUM($D635:AC635)=0),Параметры!AD$36,IF(Параметры!AD$36=1,0,AC640)))</f>
        <v>9</v>
      </c>
      <c r="AE640" s="155">
        <f ca="1">IF(AND(Параметры!AE$36=1,AE635&gt;0),1,IF(AND(AD640=0,AE635&lt;&gt;0,SUM($D635:AD635)=0),Параметры!AE$36,IF(Параметры!AE$36=1,0,AD640)))</f>
        <v>9</v>
      </c>
      <c r="AF640" s="155">
        <f ca="1">IF(AND(Параметры!AF$36=1,AF635&gt;0),1,IF(AND(AE640=0,AF635&lt;&gt;0,SUM($D635:AE635)=0),Параметры!AF$36,IF(Параметры!AF$36=1,0,AE640)))</f>
        <v>9</v>
      </c>
      <c r="AG640" s="155">
        <f ca="1">IF(AND(Параметры!AG$36=1,AG635&gt;0),1,IF(AND(AF640=0,AG635&lt;&gt;0,SUM($D635:AF635)=0),Параметры!AG$36,IF(Параметры!AG$36=1,0,AF640)))</f>
        <v>9</v>
      </c>
      <c r="AH640" s="155">
        <f ca="1">IF(AND(Параметры!AH$36=1,AH635&gt;0),1,IF(AND(AG640=0,AH635&lt;&gt;0,SUM($D635:AG635)=0),Параметры!AH$36,IF(Параметры!AH$36=1,0,AG640)))</f>
        <v>9</v>
      </c>
      <c r="AI640" s="155">
        <f ca="1">IF(AND(Параметры!AI$36=1,AI635&gt;0),1,IF(AND(AH640=0,AI635&lt;&gt;0,SUM($D635:AH635)=0),Параметры!AI$36,IF(Параметры!AI$36=1,0,AH640)))</f>
        <v>9</v>
      </c>
      <c r="AJ640" s="155">
        <f ca="1">IF(AND(Параметры!AJ$36=1,AJ635&gt;0),1,IF(AND(AI640=0,AJ635&lt;&gt;0,SUM($D635:AI635)=0),Параметры!AJ$36,IF(Параметры!AJ$36=1,0,AI640)))</f>
        <v>9</v>
      </c>
      <c r="AK640" s="155">
        <f ca="1">IF(AND(Параметры!AK$36=1,AK635&gt;0),1,IF(AND(AJ640=0,AK635&lt;&gt;0,SUM($D635:AJ635)=0),Параметры!AK$36,IF(Параметры!AK$36=1,0,AJ640)))</f>
        <v>9</v>
      </c>
      <c r="AL640" s="155">
        <f ca="1">IF(AND(Параметры!AL$36=1,AL635&gt;0),1,IF(AND(AK640=0,AL635&lt;&gt;0,SUM($D635:AK635)=0),Параметры!AL$36,IF(Параметры!AL$36=1,0,AK640)))</f>
        <v>9</v>
      </c>
      <c r="AM640" s="155">
        <f ca="1">IF(AND(Параметры!AM$36=1,AM635&gt;0),1,IF(AND(AL640=0,AM635&lt;&gt;0,SUM($D635:AL635)=0),Параметры!AM$36,IF(Параметры!AM$36=1,0,AL640)))</f>
        <v>9</v>
      </c>
      <c r="AN640" s="155">
        <f ca="1">IF(AND(Параметры!AN$36=1,AN635&gt;0),1,IF(AND(AM640=0,AN635&lt;&gt;0,SUM($D635:AM635)=0),Параметры!AN$36,IF(Параметры!AN$36=1,0,AM640)))</f>
        <v>9</v>
      </c>
      <c r="AO640" s="155">
        <f ca="1">IF(AND(Параметры!AO$36=1,AO635&gt;0),1,IF(AND(AN640=0,AO635&lt;&gt;0,SUM($D635:AN635)=0),Параметры!AO$36,IF(Параметры!AO$36=1,0,AN640)))</f>
        <v>9</v>
      </c>
      <c r="AP640" s="155">
        <f ca="1">IF(AND(Параметры!AP$36=1,AP635&gt;0),1,IF(AND(AO640=0,AP635&lt;&gt;0,SUM($D635:AO635)=0),Параметры!AP$36,IF(Параметры!AP$36=1,0,AO640)))</f>
        <v>9</v>
      </c>
      <c r="AQ640" s="155">
        <f ca="1">IF(AND(Параметры!AQ$36=1,AQ635&gt;0),1,IF(AND(AP640=0,AQ635&lt;&gt;0,SUM($D635:AP635)=0),Параметры!AQ$36,IF(Параметры!AQ$36=1,0,AP640)))</f>
        <v>9</v>
      </c>
      <c r="AR640" s="155">
        <f ca="1">IF(AND(Параметры!AR$36=1,AR635&gt;0),1,IF(AND(AQ640=0,AR635&lt;&gt;0,SUM($D635:AQ635)=0),Параметры!AR$36,IF(Параметры!AR$36=1,0,AQ640)))</f>
        <v>9</v>
      </c>
      <c r="AS640" s="129"/>
      <c r="AT640" s="103"/>
    </row>
    <row r="641" spans="1:46" ht="11.25" customHeight="1" outlineLevel="1" x14ac:dyDescent="0.2">
      <c r="A641" s="101" t="s">
        <v>551</v>
      </c>
      <c r="B641" s="471">
        <f ca="1">MIN(E641:AR641)</f>
        <v>16</v>
      </c>
      <c r="C641" s="2" t="s">
        <v>3</v>
      </c>
      <c r="E641" s="155" t="str">
        <f ca="1">IF(SUM($E635:E635)=$B635,E$2,"")</f>
        <v/>
      </c>
      <c r="F641" s="155" t="str">
        <f ca="1">IF(SUM($E635:F635)=$B635,F$2,"")</f>
        <v/>
      </c>
      <c r="G641" s="155" t="str">
        <f ca="1">IF(SUM($E635:G635)=$B635,G$2,"")</f>
        <v/>
      </c>
      <c r="H641" s="155" t="str">
        <f ca="1">IF(SUM($E635:H635)=$B635,H$2,"")</f>
        <v/>
      </c>
      <c r="I641" s="155" t="str">
        <f ca="1">IF(SUM($E635:I635)=$B635,I$2,"")</f>
        <v/>
      </c>
      <c r="J641" s="155" t="str">
        <f ca="1">IF(SUM($E635:J635)=$B635,J$2,"")</f>
        <v/>
      </c>
      <c r="K641" s="155" t="str">
        <f ca="1">IF(SUM($E635:K635)=$B635,K$2,"")</f>
        <v/>
      </c>
      <c r="L641" s="155" t="str">
        <f ca="1">IF(SUM($E635:L635)=$B635,L$2,"")</f>
        <v/>
      </c>
      <c r="M641" s="155" t="str">
        <f ca="1">IF(SUM($E635:M635)=$B635,M$2,"")</f>
        <v/>
      </c>
      <c r="N641" s="155" t="str">
        <f ca="1">IF(SUM($E635:N635)=$B635,N$2,"")</f>
        <v/>
      </c>
      <c r="O641" s="155" t="str">
        <f ca="1">IF(SUM($E635:O635)=$B635,O$2,"")</f>
        <v/>
      </c>
      <c r="P641" s="155" t="str">
        <f ca="1">IF(SUM($E635:P635)=$B635,P$2,"")</f>
        <v/>
      </c>
      <c r="Q641" s="155" t="str">
        <f ca="1">IF(SUM($E635:Q635)=$B635,Q$2,"")</f>
        <v/>
      </c>
      <c r="R641" s="155" t="str">
        <f ca="1">IF(SUM($E635:R635)=$B635,R$2,"")</f>
        <v/>
      </c>
      <c r="S641" s="155" t="str">
        <f ca="1">IF(SUM($E635:S635)=$B635,S$2,"")</f>
        <v/>
      </c>
      <c r="T641" s="155">
        <f ca="1">IF(SUM($E635:T635)=$B635,T$2,"")</f>
        <v>16</v>
      </c>
      <c r="U641" s="155">
        <f ca="1">IF(SUM($E635:U635)=$B635,U$2,"")</f>
        <v>17</v>
      </c>
      <c r="V641" s="155">
        <f ca="1">IF(SUM($E635:V635)=$B635,V$2,"")</f>
        <v>18</v>
      </c>
      <c r="W641" s="155">
        <f ca="1">IF(SUM($E635:W635)=$B635,W$2,"")</f>
        <v>19</v>
      </c>
      <c r="X641" s="155">
        <f ca="1">IF(SUM($E635:X635)=$B635,X$2,"")</f>
        <v>20</v>
      </c>
      <c r="Y641" s="155">
        <f ca="1">IF(SUM($E635:Y635)=$B635,Y$2,"")</f>
        <v>21</v>
      </c>
      <c r="Z641" s="155">
        <f ca="1">IF(SUM($E635:Z635)=$B635,Z$2,"")</f>
        <v>22</v>
      </c>
      <c r="AA641" s="155">
        <f ca="1">IF(SUM($E635:AA635)=$B635,AA$2,"")</f>
        <v>23</v>
      </c>
      <c r="AB641" s="155">
        <f ca="1">IF(SUM($E635:AB635)=$B635,AB$2,"")</f>
        <v>24</v>
      </c>
      <c r="AC641" s="155">
        <f ca="1">IF(SUM($E635:AC635)=$B635,AC$2,"")</f>
        <v>25</v>
      </c>
      <c r="AD641" s="155">
        <f ca="1">IF(SUM($E635:AD635)=$B635,AD$2,"")</f>
        <v>26</v>
      </c>
      <c r="AE641" s="155">
        <f ca="1">IF(SUM($E635:AE635)=$B635,AE$2,"")</f>
        <v>27</v>
      </c>
      <c r="AF641" s="155">
        <f ca="1">IF(SUM($E635:AF635)=$B635,AF$2,"")</f>
        <v>28</v>
      </c>
      <c r="AG641" s="155">
        <f ca="1">IF(SUM($E635:AG635)=$B635,AG$2,"")</f>
        <v>29</v>
      </c>
      <c r="AH641" s="155">
        <f ca="1">IF(SUM($E635:AH635)=$B635,AH$2,"")</f>
        <v>30</v>
      </c>
      <c r="AI641" s="155">
        <f ca="1">IF(SUM($E635:AI635)=$B635,AI$2,"")</f>
        <v>31</v>
      </c>
      <c r="AJ641" s="155">
        <f ca="1">IF(SUM($E635:AJ635)=$B635,AJ$2,"")</f>
        <v>32</v>
      </c>
      <c r="AK641" s="155">
        <f ca="1">IF(SUM($E635:AK635)=$B635,AK$2,"")</f>
        <v>33</v>
      </c>
      <c r="AL641" s="155">
        <f ca="1">IF(SUM($E635:AL635)=$B635,AL$2,"")</f>
        <v>34</v>
      </c>
      <c r="AM641" s="155">
        <f ca="1">IF(SUM($E635:AM635)=$B635,AM$2,"")</f>
        <v>35</v>
      </c>
      <c r="AN641" s="155">
        <f ca="1">IF(SUM($E635:AN635)=$B635,AN$2,"")</f>
        <v>36</v>
      </c>
      <c r="AO641" s="155">
        <f ca="1">IF(SUM($E635:AO635)=$B635,AO$2,"")</f>
        <v>37</v>
      </c>
      <c r="AP641" s="155">
        <f ca="1">IF(SUM($E635:AP635)=$B635,AP$2,"")</f>
        <v>38</v>
      </c>
      <c r="AQ641" s="155">
        <f ca="1">IF(SUM($E635:AQ635)=$B635,AQ$2,"")</f>
        <v>39</v>
      </c>
      <c r="AR641" s="155">
        <f ca="1">IF(SUM($E635:AR635)=$B635,AR$2,"")</f>
        <v>40</v>
      </c>
      <c r="AS641" s="129"/>
      <c r="AT641" s="103"/>
    </row>
    <row r="642" spans="1:46" s="64" customFormat="1" ht="11.25" customHeight="1" x14ac:dyDescent="0.2">
      <c r="D642" s="65"/>
      <c r="AS642" s="41"/>
      <c r="AT642" s="92"/>
    </row>
    <row r="643" spans="1:46" s="60" customFormat="1" x14ac:dyDescent="0.2">
      <c r="A643" s="60" t="s">
        <v>182</v>
      </c>
      <c r="B643" s="29"/>
      <c r="C643" s="266" t="str">
        <f>Параметры!$B$64</f>
        <v>тыс. руб.</v>
      </c>
      <c r="D643" s="40"/>
      <c r="E643" s="85">
        <f t="shared" ref="E643:AR643" ca="1" si="471">E649+E650</f>
        <v>12820</v>
      </c>
      <c r="F643" s="85">
        <f t="shared" ca="1" si="471"/>
        <v>51280</v>
      </c>
      <c r="G643" s="85">
        <f t="shared" ca="1" si="471"/>
        <v>115380</v>
      </c>
      <c r="H643" s="85">
        <f t="shared" ca="1" si="471"/>
        <v>187172</v>
      </c>
      <c r="I643" s="85">
        <f t="shared" ca="1" si="471"/>
        <v>254120.57957191186</v>
      </c>
      <c r="J643" s="85">
        <f t="shared" ca="1" si="471"/>
        <v>385915.70242772572</v>
      </c>
      <c r="K643" s="85">
        <f t="shared" ca="1" si="471"/>
        <v>559516.92078299657</v>
      </c>
      <c r="L643" s="85">
        <f t="shared" ca="1" si="471"/>
        <v>648047.02574424585</v>
      </c>
      <c r="M643" s="85">
        <f t="shared" ca="1" si="471"/>
        <v>819013.04157423868</v>
      </c>
      <c r="N643" s="85">
        <f t="shared" ca="1" si="471"/>
        <v>1180080.6856043418</v>
      </c>
      <c r="O643" s="85">
        <f t="shared" ca="1" si="471"/>
        <v>1711787.4147865884</v>
      </c>
      <c r="P643" s="85">
        <f t="shared" ca="1" si="471"/>
        <v>2003629.6896970982</v>
      </c>
      <c r="Q643" s="85">
        <f t="shared" ca="1" si="471"/>
        <v>2164840.6874518287</v>
      </c>
      <c r="R643" s="85">
        <f t="shared" ca="1" si="471"/>
        <v>2669425.660639883</v>
      </c>
      <c r="S643" s="85">
        <f t="shared" ca="1" si="471"/>
        <v>3230643.110675755</v>
      </c>
      <c r="T643" s="85">
        <f t="shared" ca="1" si="471"/>
        <v>3446220.4376739608</v>
      </c>
      <c r="U643" s="85">
        <f t="shared" ca="1" si="471"/>
        <v>3307700.0612534466</v>
      </c>
      <c r="V643" s="85">
        <f t="shared" ca="1" si="471"/>
        <v>3166081.4274439896</v>
      </c>
      <c r="W643" s="85">
        <f t="shared" ca="1" si="471"/>
        <v>3021295.1944759469</v>
      </c>
      <c r="X643" s="85">
        <f t="shared" ca="1" si="471"/>
        <v>2873270.4677702938</v>
      </c>
      <c r="Y643" s="85">
        <f t="shared" ca="1" si="471"/>
        <v>2721934.7651480176</v>
      </c>
      <c r="Z643" s="85">
        <f t="shared" ca="1" si="471"/>
        <v>2567213.981259679</v>
      </c>
      <c r="AA643" s="85">
        <f t="shared" ca="1" si="471"/>
        <v>2409032.3512176508</v>
      </c>
      <c r="AB643" s="85">
        <f t="shared" ca="1" si="471"/>
        <v>2247312.4134131502</v>
      </c>
      <c r="AC643" s="85">
        <f t="shared" ca="1" si="471"/>
        <v>2081974.9714997923</v>
      </c>
      <c r="AD643" s="85">
        <f t="shared" ca="1" si="471"/>
        <v>1912939.0555249613</v>
      </c>
      <c r="AE643" s="85">
        <f t="shared" ca="1" si="471"/>
        <v>1740121.8821899062</v>
      </c>
      <c r="AF643" s="85">
        <f t="shared" ca="1" si="471"/>
        <v>1563438.8142190063</v>
      </c>
      <c r="AG643" s="85">
        <f t="shared" ca="1" si="471"/>
        <v>1382803.318818239</v>
      </c>
      <c r="AH643" s="85">
        <f t="shared" ca="1" si="471"/>
        <v>1198126.9252024214</v>
      </c>
      <c r="AI643" s="85">
        <f t="shared" ca="1" si="471"/>
        <v>1009319.1811703448</v>
      </c>
      <c r="AJ643" s="85">
        <f t="shared" ca="1" si="471"/>
        <v>816287.60870644485</v>
      </c>
      <c r="AK643" s="85">
        <f t="shared" ca="1" si="471"/>
        <v>618937.65858718357</v>
      </c>
      <c r="AL643" s="85">
        <f t="shared" ca="1" si="471"/>
        <v>417172.66396981681</v>
      </c>
      <c r="AM643" s="85">
        <f t="shared" ca="1" si="471"/>
        <v>210893.79294072912</v>
      </c>
      <c r="AN643" s="85">
        <f t="shared" ca="1" si="471"/>
        <v>0</v>
      </c>
      <c r="AO643" s="85">
        <f t="shared" ca="1" si="471"/>
        <v>0</v>
      </c>
      <c r="AP643" s="85">
        <f t="shared" ca="1" si="471"/>
        <v>0</v>
      </c>
      <c r="AQ643" s="85">
        <f t="shared" ca="1" si="471"/>
        <v>0</v>
      </c>
      <c r="AR643" s="85">
        <f t="shared" ca="1" si="471"/>
        <v>0</v>
      </c>
      <c r="AS643" s="1"/>
      <c r="AT643" s="30"/>
    </row>
    <row r="644" spans="1:46" s="60" customFormat="1" ht="11.25" customHeight="1" outlineLevel="1" x14ac:dyDescent="0.2">
      <c r="A644" s="63" t="s">
        <v>149</v>
      </c>
      <c r="B644" s="29"/>
      <c r="C644" s="266" t="str">
        <f>Параметры!$B$64</f>
        <v>тыс. руб.</v>
      </c>
      <c r="D644" s="40"/>
      <c r="E644" s="82">
        <f>SUM(E$565*CHOOSE($C$558,1,Параметры!E$109,Параметры!E$118),E$579*CHOOSE($C$572,1,Параметры!E$109,Параметры!E$118),E$593*CHOOSE($C$586,1,Параметры!E$109,Параметры!E$118),E$607*CHOOSE($C$600,1,Параметры!E$109,Параметры!E$118),E$621*CHOOSE($C$614,1,Параметры!E$109,Параметры!E$118),E$635*CHOOSE($C$628,1,Параметры!E$109,Параметры!E$118))</f>
        <v>12820</v>
      </c>
      <c r="F644" s="82">
        <f ca="1">SUM(F$565*CHOOSE($C$558,1,Параметры!F$109,Параметры!F$118),F$579*CHOOSE($C$572,1,Параметры!F$109,Параметры!F$118),F$593*CHOOSE($C$586,1,Параметры!F$109,Параметры!F$118),F$607*CHOOSE($C$600,1,Параметры!F$109,Параметры!F$118),F$621*CHOOSE($C$614,1,Параметры!F$109,Параметры!F$118),F$635*CHOOSE($C$628,1,Параметры!F$109,Параметры!F$118))</f>
        <v>38460</v>
      </c>
      <c r="G644" s="82">
        <f ca="1">SUM(G$565*CHOOSE($C$558,1,Параметры!G$109,Параметры!G$118),G$579*CHOOSE($C$572,1,Параметры!G$109,Параметры!G$118),G$593*CHOOSE($C$586,1,Параметры!G$109,Параметры!G$118),G$607*CHOOSE($C$600,1,Параметры!G$109,Параметры!G$118),G$621*CHOOSE($C$614,1,Параметры!G$109,Параметры!G$118),G$635*CHOOSE($C$628,1,Параметры!G$109,Параметры!G$118))</f>
        <v>64100</v>
      </c>
      <c r="H644" s="82">
        <f ca="1">SUM(H$565*CHOOSE($C$558,1,Параметры!H$109,Параметры!H$118),H$579*CHOOSE($C$572,1,Параметры!H$109,Параметры!H$118),H$593*CHOOSE($C$586,1,Параметры!H$109,Параметры!H$118),H$607*CHOOSE($C$600,1,Параметры!H$109,Параметры!H$118),H$621*CHOOSE($C$614,1,Параметры!H$109,Параметры!H$118),H$635*CHOOSE($C$628,1,Параметры!H$109,Параметры!H$118))</f>
        <v>71792</v>
      </c>
      <c r="I644" s="82">
        <f ca="1">SUM(I$565*CHOOSE($C$558,1,Параметры!I$109,Параметры!I$118),I$579*CHOOSE($C$572,1,Параметры!I$109,Параметры!I$118),I$593*CHOOSE($C$586,1,Параметры!I$109,Параметры!I$118),I$607*CHOOSE($C$600,1,Параметры!I$109,Параметры!I$118),I$621*CHOOSE($C$614,1,Параметры!I$109,Параметры!I$118),I$635*CHOOSE($C$628,1,Параметры!I$109,Параметры!I$118))</f>
        <v>72768</v>
      </c>
      <c r="J644" s="82">
        <f ca="1">SUM(J$565*CHOOSE($C$558,1,Параметры!J$109,Параметры!J$118),J$579*CHOOSE($C$572,1,Параметры!J$109,Параметры!J$118),J$593*CHOOSE($C$586,1,Параметры!J$109,Параметры!J$118),J$607*CHOOSE($C$600,1,Параметры!J$109,Параметры!J$118),J$621*CHOOSE($C$614,1,Параметры!J$109,Параметры!J$118),J$635*CHOOSE($C$628,1,Параметры!J$109,Параметры!J$118))</f>
        <v>137730.93169246375</v>
      </c>
      <c r="K644" s="82">
        <f ca="1">SUM(K$565*CHOOSE($C$558,1,Параметры!K$109,Параметры!K$118),K$579*CHOOSE($C$572,1,Параметры!K$109,Параметры!K$118),K$593*CHOOSE($C$586,1,Параметры!K$109,Параметры!K$118),K$607*CHOOSE($C$600,1,Параметры!K$109,Параметры!K$118),K$621*CHOOSE($C$614,1,Параметры!K$109,Параметры!K$118),K$635*CHOOSE($C$628,1,Параметры!K$109,Параметры!K$118))</f>
        <v>179655.74336865376</v>
      </c>
      <c r="L644" s="82">
        <f ca="1">SUM(L$565*CHOOSE($C$558,1,Параметры!L$109,Параметры!L$118),L$579*CHOOSE($C$572,1,Параметры!L$109,Параметры!L$118),L$593*CHOOSE($C$586,1,Параметры!L$109,Параметры!L$118),L$607*CHOOSE($C$600,1,Параметры!L$109,Параметры!L$118),L$621*CHOOSE($C$614,1,Параметры!L$109,Параметры!L$118),L$635*CHOOSE($C$628,1,Параметры!L$109,Параметры!L$118))</f>
        <v>94705.720474899892</v>
      </c>
      <c r="M644" s="82">
        <f ca="1">SUM(M$565*CHOOSE($C$558,1,Параметры!M$109,Параметры!M$118),M$579*CHOOSE($C$572,1,Параметры!M$109,Параметры!M$118),M$593*CHOOSE($C$586,1,Параметры!M$109,Параметры!M$118),M$607*CHOOSE($C$600,1,Параметры!M$109,Параметры!M$118),M$621*CHOOSE($C$614,1,Параметры!M$109,Параметры!M$118),M$635*CHOOSE($C$628,1,Параметры!M$109,Параметры!M$118))</f>
        <v>188056.68858994072</v>
      </c>
      <c r="N644" s="82">
        <f ca="1">SUM(N$565*CHOOSE($C$558,1,Параметры!N$109,Параметры!N$118),N$579*CHOOSE($C$572,1,Параметры!N$109,Параметры!N$118),N$593*CHOOSE($C$586,1,Параметры!N$109,Параметры!N$118),N$607*CHOOSE($C$600,1,Параметры!N$109,Параметры!N$118),N$621*CHOOSE($C$614,1,Параметры!N$109,Параметры!N$118),N$635*CHOOSE($C$628,1,Параметры!N$109,Параметры!N$118))</f>
        <v>378527.10910759011</v>
      </c>
      <c r="O644" s="82">
        <f ca="1">SUM(O$565*CHOOSE($C$558,1,Параметры!O$109,Параметры!O$118),O$579*CHOOSE($C$572,1,Параметры!O$109,Параметры!O$118),O$593*CHOOSE($C$586,1,Параметры!O$109,Параметры!O$118),O$607*CHOOSE($C$600,1,Параметры!O$109,Параметры!O$118),O$621*CHOOSE($C$614,1,Параметры!O$109,Параметры!O$118),O$635*CHOOSE($C$628,1,Параметры!O$109,Параметры!O$118))</f>
        <v>549542.96944802604</v>
      </c>
      <c r="P644" s="82">
        <f ca="1">SUM(P$565*CHOOSE($C$558,1,Параметры!P$109,Параметры!P$118),P$579*CHOOSE($C$572,1,Параметры!P$109,Параметры!P$118),P$593*CHOOSE($C$586,1,Параметры!P$109,Параметры!P$118),P$607*CHOOSE($C$600,1,Параметры!P$109,Параметры!P$118),P$621*CHOOSE($C$614,1,Параметры!P$109,Параметры!P$118),P$635*CHOOSE($C$628,1,Параметры!P$109,Параметры!P$118))</f>
        <v>310063.44655079942</v>
      </c>
      <c r="Q644" s="82">
        <f ca="1">SUM(Q$565*CHOOSE($C$558,1,Параметры!Q$109,Параметры!Q$118),Q$579*CHOOSE($C$572,1,Параметры!Q$109,Параметры!Q$118),Q$593*CHOOSE($C$586,1,Параметры!Q$109,Параметры!Q$118),Q$607*CHOOSE($C$600,1,Параметры!Q$109,Параметры!Q$118),Q$621*CHOOSE($C$614,1,Параметры!Q$109,Параметры!Q$118),Q$635*CHOOSE($C$628,1,Параметры!Q$109,Параметры!Q$118))</f>
        <v>288001.88155170059</v>
      </c>
      <c r="R644" s="82">
        <f ca="1">SUM(R$565*CHOOSE($C$558,1,Параметры!R$109,Параметры!R$118),R$579*CHOOSE($C$572,1,Параметры!R$109,Параметры!R$118),R$593*CHOOSE($C$586,1,Параметры!R$109,Параметры!R$118),R$607*CHOOSE($C$600,1,Параметры!R$109,Параметры!R$118),R$621*CHOOSE($C$614,1,Параметры!R$109,Параметры!R$118),R$635*CHOOSE($C$628,1,Параметры!R$109,Параметры!R$118))</f>
        <v>634211.60592411482</v>
      </c>
      <c r="S644" s="82">
        <f ca="1">SUM(S$565*CHOOSE($C$558,1,Параметры!S$109,Параметры!S$118),S$579*CHOOSE($C$572,1,Параметры!S$109,Параметры!S$118),S$593*CHOOSE($C$586,1,Параметры!S$109,Параметры!S$118),S$607*CHOOSE($C$600,1,Параметры!S$109,Параметры!S$118),S$621*CHOOSE($C$614,1,Параметры!S$109,Параметры!S$118),S$635*CHOOSE($C$628,1,Параметры!S$109,Параметры!S$118))</f>
        <v>693743.29514322511</v>
      </c>
      <c r="T644" s="82">
        <f ca="1">SUM(T$565*CHOOSE($C$558,1,Параметры!T$109,Параметры!T$118),T$579*CHOOSE($C$572,1,Параметры!T$109,Параметры!T$118),T$593*CHOOSE($C$586,1,Параметры!T$109,Параметры!T$118),T$607*CHOOSE($C$600,1,Параметры!T$109,Параметры!T$118),T$621*CHOOSE($C$614,1,Параметры!T$109,Параметры!T$118),T$635*CHOOSE($C$628,1,Параметры!T$109,Параметры!T$118))</f>
        <v>351067.26901790162</v>
      </c>
      <c r="U644" s="82">
        <f ca="1">SUM(U$565*CHOOSE($C$558,1,Параметры!U$109,Параметры!U$118),U$579*CHOOSE($C$572,1,Параметры!U$109,Параметры!U$118),U$593*CHOOSE($C$586,1,Параметры!U$109,Параметры!U$118),U$607*CHOOSE($C$600,1,Параметры!U$109,Параметры!U$118),U$621*CHOOSE($C$614,1,Параметры!U$109,Параметры!U$118),U$635*CHOOSE($C$628,1,Параметры!U$109,Параметры!U$118))</f>
        <v>0</v>
      </c>
      <c r="V644" s="82">
        <f ca="1">SUM(V$565*CHOOSE($C$558,1,Параметры!V$109,Параметры!V$118),V$579*CHOOSE($C$572,1,Параметры!V$109,Параметры!V$118),V$593*CHOOSE($C$586,1,Параметры!V$109,Параметры!V$118),V$607*CHOOSE($C$600,1,Параметры!V$109,Параметры!V$118),V$621*CHOOSE($C$614,1,Параметры!V$109,Параметры!V$118),V$635*CHOOSE($C$628,1,Параметры!V$109,Параметры!V$118))</f>
        <v>0</v>
      </c>
      <c r="W644" s="82">
        <f ca="1">SUM(W$565*CHOOSE($C$558,1,Параметры!W$109,Параметры!W$118),W$579*CHOOSE($C$572,1,Параметры!W$109,Параметры!W$118),W$593*CHOOSE($C$586,1,Параметры!W$109,Параметры!W$118),W$607*CHOOSE($C$600,1,Параметры!W$109,Параметры!W$118),W$621*CHOOSE($C$614,1,Параметры!W$109,Параметры!W$118),W$635*CHOOSE($C$628,1,Параметры!W$109,Параметры!W$118))</f>
        <v>0</v>
      </c>
      <c r="X644" s="82">
        <f ca="1">SUM(X$565*CHOOSE($C$558,1,Параметры!X$109,Параметры!X$118),X$579*CHOOSE($C$572,1,Параметры!X$109,Параметры!X$118),X$593*CHOOSE($C$586,1,Параметры!X$109,Параметры!X$118),X$607*CHOOSE($C$600,1,Параметры!X$109,Параметры!X$118),X$621*CHOOSE($C$614,1,Параметры!X$109,Параметры!X$118),X$635*CHOOSE($C$628,1,Параметры!X$109,Параметры!X$118))</f>
        <v>0</v>
      </c>
      <c r="Y644" s="82">
        <f ca="1">SUM(Y$565*CHOOSE($C$558,1,Параметры!Y$109,Параметры!Y$118),Y$579*CHOOSE($C$572,1,Параметры!Y$109,Параметры!Y$118),Y$593*CHOOSE($C$586,1,Параметры!Y$109,Параметры!Y$118),Y$607*CHOOSE($C$600,1,Параметры!Y$109,Параметры!Y$118),Y$621*CHOOSE($C$614,1,Параметры!Y$109,Параметры!Y$118),Y$635*CHOOSE($C$628,1,Параметры!Y$109,Параметры!Y$118))</f>
        <v>0</v>
      </c>
      <c r="Z644" s="82">
        <f ca="1">SUM(Z$565*CHOOSE($C$558,1,Параметры!Z$109,Параметры!Z$118),Z$579*CHOOSE($C$572,1,Параметры!Z$109,Параметры!Z$118),Z$593*CHOOSE($C$586,1,Параметры!Z$109,Параметры!Z$118),Z$607*CHOOSE($C$600,1,Параметры!Z$109,Параметры!Z$118),Z$621*CHOOSE($C$614,1,Параметры!Z$109,Параметры!Z$118),Z$635*CHOOSE($C$628,1,Параметры!Z$109,Параметры!Z$118))</f>
        <v>0</v>
      </c>
      <c r="AA644" s="82">
        <f ca="1">SUM(AA$565*CHOOSE($C$558,1,Параметры!AA$109,Параметры!AA$118),AA$579*CHOOSE($C$572,1,Параметры!AA$109,Параметры!AA$118),AA$593*CHOOSE($C$586,1,Параметры!AA$109,Параметры!AA$118),AA$607*CHOOSE($C$600,1,Параметры!AA$109,Параметры!AA$118),AA$621*CHOOSE($C$614,1,Параметры!AA$109,Параметры!AA$118),AA$635*CHOOSE($C$628,1,Параметры!AA$109,Параметры!AA$118))</f>
        <v>0</v>
      </c>
      <c r="AB644" s="82">
        <f ca="1">SUM(AB$565*CHOOSE($C$558,1,Параметры!AB$109,Параметры!AB$118),AB$579*CHOOSE($C$572,1,Параметры!AB$109,Параметры!AB$118),AB$593*CHOOSE($C$586,1,Параметры!AB$109,Параметры!AB$118),AB$607*CHOOSE($C$600,1,Параметры!AB$109,Параметры!AB$118),AB$621*CHOOSE($C$614,1,Параметры!AB$109,Параметры!AB$118),AB$635*CHOOSE($C$628,1,Параметры!AB$109,Параметры!AB$118))</f>
        <v>0</v>
      </c>
      <c r="AC644" s="82">
        <f ca="1">SUM(AC$565*CHOOSE($C$558,1,Параметры!AC$109,Параметры!AC$118),AC$579*CHOOSE($C$572,1,Параметры!AC$109,Параметры!AC$118),AC$593*CHOOSE($C$586,1,Параметры!AC$109,Параметры!AC$118),AC$607*CHOOSE($C$600,1,Параметры!AC$109,Параметры!AC$118),AC$621*CHOOSE($C$614,1,Параметры!AC$109,Параметры!AC$118),AC$635*CHOOSE($C$628,1,Параметры!AC$109,Параметры!AC$118))</f>
        <v>0</v>
      </c>
      <c r="AD644" s="82">
        <f ca="1">SUM(AD$565*CHOOSE($C$558,1,Параметры!AD$109,Параметры!AD$118),AD$579*CHOOSE($C$572,1,Параметры!AD$109,Параметры!AD$118),AD$593*CHOOSE($C$586,1,Параметры!AD$109,Параметры!AD$118),AD$607*CHOOSE($C$600,1,Параметры!AD$109,Параметры!AD$118),AD$621*CHOOSE($C$614,1,Параметры!AD$109,Параметры!AD$118),AD$635*CHOOSE($C$628,1,Параметры!AD$109,Параметры!AD$118))</f>
        <v>0</v>
      </c>
      <c r="AE644" s="82">
        <f ca="1">SUM(AE$565*CHOOSE($C$558,1,Параметры!AE$109,Параметры!AE$118),AE$579*CHOOSE($C$572,1,Параметры!AE$109,Параметры!AE$118),AE$593*CHOOSE($C$586,1,Параметры!AE$109,Параметры!AE$118),AE$607*CHOOSE($C$600,1,Параметры!AE$109,Параметры!AE$118),AE$621*CHOOSE($C$614,1,Параметры!AE$109,Параметры!AE$118),AE$635*CHOOSE($C$628,1,Параметры!AE$109,Параметры!AE$118))</f>
        <v>0</v>
      </c>
      <c r="AF644" s="82">
        <f ca="1">SUM(AF$565*CHOOSE($C$558,1,Параметры!AF$109,Параметры!AF$118),AF$579*CHOOSE($C$572,1,Параметры!AF$109,Параметры!AF$118),AF$593*CHOOSE($C$586,1,Параметры!AF$109,Параметры!AF$118),AF$607*CHOOSE($C$600,1,Параметры!AF$109,Параметры!AF$118),AF$621*CHOOSE($C$614,1,Параметры!AF$109,Параметры!AF$118),AF$635*CHOOSE($C$628,1,Параметры!AF$109,Параметры!AF$118))</f>
        <v>0</v>
      </c>
      <c r="AG644" s="82">
        <f ca="1">SUM(AG$565*CHOOSE($C$558,1,Параметры!AG$109,Параметры!AG$118),AG$579*CHOOSE($C$572,1,Параметры!AG$109,Параметры!AG$118),AG$593*CHOOSE($C$586,1,Параметры!AG$109,Параметры!AG$118),AG$607*CHOOSE($C$600,1,Параметры!AG$109,Параметры!AG$118),AG$621*CHOOSE($C$614,1,Параметры!AG$109,Параметры!AG$118),AG$635*CHOOSE($C$628,1,Параметры!AG$109,Параметры!AG$118))</f>
        <v>0</v>
      </c>
      <c r="AH644" s="82">
        <f ca="1">SUM(AH$565*CHOOSE($C$558,1,Параметры!AH$109,Параметры!AH$118),AH$579*CHOOSE($C$572,1,Параметры!AH$109,Параметры!AH$118),AH$593*CHOOSE($C$586,1,Параметры!AH$109,Параметры!AH$118),AH$607*CHOOSE($C$600,1,Параметры!AH$109,Параметры!AH$118),AH$621*CHOOSE($C$614,1,Параметры!AH$109,Параметры!AH$118),AH$635*CHOOSE($C$628,1,Параметры!AH$109,Параметры!AH$118))</f>
        <v>0</v>
      </c>
      <c r="AI644" s="82">
        <f ca="1">SUM(AI$565*CHOOSE($C$558,1,Параметры!AI$109,Параметры!AI$118),AI$579*CHOOSE($C$572,1,Параметры!AI$109,Параметры!AI$118),AI$593*CHOOSE($C$586,1,Параметры!AI$109,Параметры!AI$118),AI$607*CHOOSE($C$600,1,Параметры!AI$109,Параметры!AI$118),AI$621*CHOOSE($C$614,1,Параметры!AI$109,Параметры!AI$118),AI$635*CHOOSE($C$628,1,Параметры!AI$109,Параметры!AI$118))</f>
        <v>0</v>
      </c>
      <c r="AJ644" s="82">
        <f ca="1">SUM(AJ$565*CHOOSE($C$558,1,Параметры!AJ$109,Параметры!AJ$118),AJ$579*CHOOSE($C$572,1,Параметры!AJ$109,Параметры!AJ$118),AJ$593*CHOOSE($C$586,1,Параметры!AJ$109,Параметры!AJ$118),AJ$607*CHOOSE($C$600,1,Параметры!AJ$109,Параметры!AJ$118),AJ$621*CHOOSE($C$614,1,Параметры!AJ$109,Параметры!AJ$118),AJ$635*CHOOSE($C$628,1,Параметры!AJ$109,Параметры!AJ$118))</f>
        <v>0</v>
      </c>
      <c r="AK644" s="82">
        <f ca="1">SUM(AK$565*CHOOSE($C$558,1,Параметры!AK$109,Параметры!AK$118),AK$579*CHOOSE($C$572,1,Параметры!AK$109,Параметры!AK$118),AK$593*CHOOSE($C$586,1,Параметры!AK$109,Параметры!AK$118),AK$607*CHOOSE($C$600,1,Параметры!AK$109,Параметры!AK$118),AK$621*CHOOSE($C$614,1,Параметры!AK$109,Параметры!AK$118),AK$635*CHOOSE($C$628,1,Параметры!AK$109,Параметры!AK$118))</f>
        <v>0</v>
      </c>
      <c r="AL644" s="82">
        <f ca="1">SUM(AL$565*CHOOSE($C$558,1,Параметры!AL$109,Параметры!AL$118),AL$579*CHOOSE($C$572,1,Параметры!AL$109,Параметры!AL$118),AL$593*CHOOSE($C$586,1,Параметры!AL$109,Параметры!AL$118),AL$607*CHOOSE($C$600,1,Параметры!AL$109,Параметры!AL$118),AL$621*CHOOSE($C$614,1,Параметры!AL$109,Параметры!AL$118),AL$635*CHOOSE($C$628,1,Параметры!AL$109,Параметры!AL$118))</f>
        <v>0</v>
      </c>
      <c r="AM644" s="82">
        <f ca="1">SUM(AM$565*CHOOSE($C$558,1,Параметры!AM$109,Параметры!AM$118),AM$579*CHOOSE($C$572,1,Параметры!AM$109,Параметры!AM$118),AM$593*CHOOSE($C$586,1,Параметры!AM$109,Параметры!AM$118),AM$607*CHOOSE($C$600,1,Параметры!AM$109,Параметры!AM$118),AM$621*CHOOSE($C$614,1,Параметры!AM$109,Параметры!AM$118),AM$635*CHOOSE($C$628,1,Параметры!AM$109,Параметры!AM$118))</f>
        <v>0</v>
      </c>
      <c r="AN644" s="82">
        <f ca="1">SUM(AN$565*CHOOSE($C$558,1,Параметры!AN$109,Параметры!AN$118),AN$579*CHOOSE($C$572,1,Параметры!AN$109,Параметры!AN$118),AN$593*CHOOSE($C$586,1,Параметры!AN$109,Параметры!AN$118),AN$607*CHOOSE($C$600,1,Параметры!AN$109,Параметры!AN$118),AN$621*CHOOSE($C$614,1,Параметры!AN$109,Параметры!AN$118),AN$635*CHOOSE($C$628,1,Параметры!AN$109,Параметры!AN$118))</f>
        <v>0</v>
      </c>
      <c r="AO644" s="82">
        <f ca="1">SUM(AO$565*CHOOSE($C$558,1,Параметры!AO$109,Параметры!AO$118),AO$579*CHOOSE($C$572,1,Параметры!AO$109,Параметры!AO$118),AO$593*CHOOSE($C$586,1,Параметры!AO$109,Параметры!AO$118),AO$607*CHOOSE($C$600,1,Параметры!AO$109,Параметры!AO$118),AO$621*CHOOSE($C$614,1,Параметры!AO$109,Параметры!AO$118),AO$635*CHOOSE($C$628,1,Параметры!AO$109,Параметры!AO$118))</f>
        <v>0</v>
      </c>
      <c r="AP644" s="82">
        <f ca="1">SUM(AP$565*CHOOSE($C$558,1,Параметры!AP$109,Параметры!AP$118),AP$579*CHOOSE($C$572,1,Параметры!AP$109,Параметры!AP$118),AP$593*CHOOSE($C$586,1,Параметры!AP$109,Параметры!AP$118),AP$607*CHOOSE($C$600,1,Параметры!AP$109,Параметры!AP$118),AP$621*CHOOSE($C$614,1,Параметры!AP$109,Параметры!AP$118),AP$635*CHOOSE($C$628,1,Параметры!AP$109,Параметры!AP$118))</f>
        <v>0</v>
      </c>
      <c r="AQ644" s="82">
        <f ca="1">SUM(AQ$565*CHOOSE($C$558,1,Параметры!AQ$109,Параметры!AQ$118),AQ$579*CHOOSE($C$572,1,Параметры!AQ$109,Параметры!AQ$118),AQ$593*CHOOSE($C$586,1,Параметры!AQ$109,Параметры!AQ$118),AQ$607*CHOOSE($C$600,1,Параметры!AQ$109,Параметры!AQ$118),AQ$621*CHOOSE($C$614,1,Параметры!AQ$109,Параметры!AQ$118),AQ$635*CHOOSE($C$628,1,Параметры!AQ$109,Параметры!AQ$118))</f>
        <v>0</v>
      </c>
      <c r="AR644" s="82">
        <f ca="1">SUM(AR$565*CHOOSE($C$558,1,Параметры!AR$109,Параметры!AR$118),AR$579*CHOOSE($C$572,1,Параметры!AR$109,Параметры!AR$118),AR$593*CHOOSE($C$586,1,Параметры!AR$109,Параметры!AR$118),AR$607*CHOOSE($C$600,1,Параметры!AR$109,Параметры!AR$118),AR$621*CHOOSE($C$614,1,Параметры!AR$109,Параметры!AR$118),AR$635*CHOOSE($C$628,1,Параметры!AR$109,Параметры!AR$118))</f>
        <v>0</v>
      </c>
      <c r="AS644" s="1"/>
      <c r="AT644" s="100">
        <f ca="1">SUM(E644:AS644)</f>
        <v>4065246.6608693157</v>
      </c>
    </row>
    <row r="645" spans="1:46" s="60" customFormat="1" ht="11.25" customHeight="1" outlineLevel="1" x14ac:dyDescent="0.2">
      <c r="A645" s="63" t="s">
        <v>177</v>
      </c>
      <c r="B645" s="29"/>
      <c r="C645" s="266" t="str">
        <f>Параметры!$B$64</f>
        <v>тыс. руб.</v>
      </c>
      <c r="D645" s="40"/>
      <c r="E645" s="82">
        <f ca="1">SUM(E$566*CHOOSE($C$558,1,Параметры!E$109,Параметры!E$118),E$580*CHOOSE($C$572,1,Параметры!E$109,Параметры!E$118),E$594*CHOOSE($C$586,1,Параметры!E$109,Параметры!E$118),E$608*CHOOSE($C$600,1,Параметры!E$109,Параметры!E$118),E$622*CHOOSE($C$614,1,Параметры!E$109,Параметры!E$118),E$636*CHOOSE($C$628,1,Параметры!E$109,Параметры!E$118))</f>
        <v>0</v>
      </c>
      <c r="F645" s="82">
        <f ca="1">SUM(F$566*CHOOSE($C$558,1,Параметры!F$109,Параметры!F$118),F$580*CHOOSE($C$572,1,Параметры!F$109,Параметры!F$118),F$594*CHOOSE($C$586,1,Параметры!F$109,Параметры!F$118),F$608*CHOOSE($C$600,1,Параметры!F$109,Параметры!F$118),F$622*CHOOSE($C$614,1,Параметры!F$109,Параметры!F$118),F$636*CHOOSE($C$628,1,Параметры!F$109,Параметры!F$118))</f>
        <v>0</v>
      </c>
      <c r="G645" s="82">
        <f ca="1">SUM(G$566*CHOOSE($C$558,1,Параметры!G$109,Параметры!G$118),G$580*CHOOSE($C$572,1,Параметры!G$109,Параметры!G$118),G$594*CHOOSE($C$586,1,Параметры!G$109,Параметры!G$118),G$608*CHOOSE($C$600,1,Параметры!G$109,Параметры!G$118),G$622*CHOOSE($C$614,1,Параметры!G$109,Параметры!G$118),G$636*CHOOSE($C$628,1,Параметры!G$109,Параметры!G$118))</f>
        <v>0</v>
      </c>
      <c r="H645" s="82">
        <f ca="1">SUM(H$566*CHOOSE($C$558,1,Параметры!H$109,Параметры!H$118),H$580*CHOOSE($C$572,1,Параметры!H$109,Параметры!H$118),H$594*CHOOSE($C$586,1,Параметры!H$109,Параметры!H$118),H$608*CHOOSE($C$600,1,Параметры!H$109,Параметры!H$118),H$622*CHOOSE($C$614,1,Параметры!H$109,Параметры!H$118),H$636*CHOOSE($C$628,1,Параметры!H$109,Параметры!H$118))</f>
        <v>0</v>
      </c>
      <c r="I645" s="82">
        <f ca="1">SUM(I$566*CHOOSE($C$558,1,Параметры!I$109,Параметры!I$118),I$580*CHOOSE($C$572,1,Параметры!I$109,Параметры!I$118),I$594*CHOOSE($C$586,1,Параметры!I$109,Параметры!I$118),I$608*CHOOSE($C$600,1,Параметры!I$109,Параметры!I$118),I$622*CHOOSE($C$614,1,Параметры!I$109,Параметры!I$118),I$636*CHOOSE($C$628,1,Параметры!I$109,Параметры!I$118))</f>
        <v>5819.4204280881422</v>
      </c>
      <c r="J645" s="82">
        <f ca="1">SUM(J$566*CHOOSE($C$558,1,Параметры!J$109,Параметры!J$118),J$580*CHOOSE($C$572,1,Параметры!J$109,Параметры!J$118),J$594*CHOOSE($C$586,1,Параметры!J$109,Параметры!J$118),J$608*CHOOSE($C$600,1,Параметры!J$109,Параметры!J$118),J$622*CHOOSE($C$614,1,Параметры!J$109,Параметры!J$118),J$636*CHOOSE($C$628,1,Параметры!J$109,Параметры!J$118))</f>
        <v>5935.8088366499042</v>
      </c>
      <c r="K645" s="82">
        <f ca="1">SUM(K$566*CHOOSE($C$558,1,Параметры!K$109,Параметры!K$118),K$580*CHOOSE($C$572,1,Параметры!K$109,Параметры!K$118),K$594*CHOOSE($C$586,1,Параметры!K$109,Параметры!K$118),K$608*CHOOSE($C$600,1,Параметры!K$109,Параметры!K$118),K$622*CHOOSE($C$614,1,Параметры!K$109,Параметры!K$118),K$636*CHOOSE($C$628,1,Параметры!K$109,Параметры!K$118))</f>
        <v>6054.5250133829031</v>
      </c>
      <c r="L645" s="82">
        <f ca="1">SUM(L$566*CHOOSE($C$558,1,Параметры!L$109,Параметры!L$118),L$580*CHOOSE($C$572,1,Параметры!L$109,Параметры!L$118),L$594*CHOOSE($C$586,1,Параметры!L$109,Параметры!L$118),L$608*CHOOSE($C$600,1,Параметры!L$109,Параметры!L$118),L$622*CHOOSE($C$614,1,Параметры!L$109,Параметры!L$118),L$636*CHOOSE($C$628,1,Параметры!L$109,Параметры!L$118))</f>
        <v>6175.6155136505595</v>
      </c>
      <c r="M645" s="82">
        <f ca="1">SUM(M$566*CHOOSE($C$558,1,Параметры!M$109,Параметры!M$118),M$580*CHOOSE($C$572,1,Параметры!M$109,Параметры!M$118),M$594*CHOOSE($C$586,1,Параметры!M$109,Параметры!M$118),M$608*CHOOSE($C$600,1,Параметры!M$109,Параметры!M$118),M$622*CHOOSE($C$614,1,Параметры!M$109,Параметры!M$118),M$636*CHOOSE($C$628,1,Параметры!M$109,Параметры!M$118))</f>
        <v>17090.672759947985</v>
      </c>
      <c r="N645" s="82">
        <f ca="1">SUM(N$566*CHOOSE($C$558,1,Параметры!N$109,Параметры!N$118),N$580*CHOOSE($C$572,1,Параметры!N$109,Параметры!N$118),N$594*CHOOSE($C$586,1,Параметры!N$109,Параметры!N$118),N$608*CHOOSE($C$600,1,Параметры!N$109,Параметры!N$118),N$622*CHOOSE($C$614,1,Параметры!N$109,Параметры!N$118),N$636*CHOOSE($C$628,1,Параметры!N$109,Параметры!N$118))</f>
        <v>17459.465077487006</v>
      </c>
      <c r="O645" s="82">
        <f ca="1">SUM(O$566*CHOOSE($C$558,1,Параметры!O$109,Параметры!O$118),O$580*CHOOSE($C$572,1,Параметры!O$109,Параметры!O$118),O$594*CHOOSE($C$586,1,Параметры!O$109,Параметры!O$118),O$608*CHOOSE($C$600,1,Параметры!O$109,Параметры!O$118),O$622*CHOOSE($C$614,1,Параметры!O$109,Параметры!O$118),O$636*CHOOSE($C$628,1,Параметры!O$109,Параметры!O$118))</f>
        <v>17836.240265779459</v>
      </c>
      <c r="P645" s="82">
        <f ca="1">SUM(P$566*CHOOSE($C$558,1,Параметры!P$109,Параметры!P$118),P$580*CHOOSE($C$572,1,Параметры!P$109,Параметры!P$118),P$594*CHOOSE($C$586,1,Параметры!P$109,Параметры!P$118),P$608*CHOOSE($C$600,1,Параметры!P$109,Параметры!P$118),P$622*CHOOSE($C$614,1,Параметры!P$109,Параметры!P$118),P$636*CHOOSE($C$628,1,Параметры!P$109,Параметры!P$118))</f>
        <v>18221.171640289467</v>
      </c>
      <c r="Q645" s="82">
        <f ca="1">SUM(Q$566*CHOOSE($C$558,1,Параметры!Q$109,Параметры!Q$118),Q$580*CHOOSE($C$572,1,Параметры!Q$109,Параметры!Q$118),Q$594*CHOOSE($C$586,1,Параметры!Q$109,Параметры!Q$118),Q$608*CHOOSE($C$600,1,Параметры!Q$109,Параметры!Q$118),Q$622*CHOOSE($C$614,1,Параметры!Q$109,Параметры!Q$118),Q$636*CHOOSE($C$628,1,Параметры!Q$109,Параметры!Q$118))</f>
        <v>126790.88379697019</v>
      </c>
      <c r="R645" s="82">
        <f ca="1">SUM(R$566*CHOOSE($C$558,1,Параметры!R$109,Параметры!R$118),R$580*CHOOSE($C$572,1,Параметры!R$109,Параметры!R$118),R$594*CHOOSE($C$586,1,Параметры!R$109,Параметры!R$118),R$608*CHOOSE($C$600,1,Параметры!R$109,Параметры!R$118),R$622*CHOOSE($C$614,1,Параметры!R$109,Параметры!R$118),R$636*CHOOSE($C$628,1,Параметры!R$109,Параметры!R$118))</f>
        <v>129626.63273606059</v>
      </c>
      <c r="S645" s="82">
        <f ca="1">SUM(S$566*CHOOSE($C$558,1,Параметры!S$109,Параметры!S$118),S$580*CHOOSE($C$572,1,Параметры!S$109,Параметры!S$118),S$594*CHOOSE($C$586,1,Параметры!S$109,Параметры!S$118),S$608*CHOOSE($C$600,1,Параметры!S$109,Параметры!S$118),S$622*CHOOSE($C$614,1,Параметры!S$109,Параметры!S$118),S$636*CHOOSE($C$628,1,Параметры!S$109,Параметры!S$118))</f>
        <v>132525.84510735373</v>
      </c>
      <c r="T645" s="82">
        <f ca="1">SUM(T$566*CHOOSE($C$558,1,Параметры!T$109,Параметры!T$118),T$580*CHOOSE($C$572,1,Параметры!T$109,Параметры!T$118),T$594*CHOOSE($C$586,1,Параметры!T$109,Параметры!T$118),T$608*CHOOSE($C$600,1,Параметры!T$109,Параметры!T$118),T$622*CHOOSE($C$614,1,Параметры!T$109,Параметры!T$118),T$636*CHOOSE($C$628,1,Параметры!T$109,Параметры!T$118))</f>
        <v>135489.94201969559</v>
      </c>
      <c r="U645" s="82">
        <f ca="1">SUM(U$566*CHOOSE($C$558,1,Параметры!U$109,Параметры!U$118),U$580*CHOOSE($C$572,1,Параметры!U$109,Параметры!U$118),U$594*CHOOSE($C$586,1,Параметры!U$109,Параметры!U$118),U$608*CHOOSE($C$600,1,Параметры!U$109,Параметры!U$118),U$622*CHOOSE($C$614,1,Параметры!U$109,Параметры!U$118),U$636*CHOOSE($C$628,1,Параметры!U$109,Параметры!U$118))</f>
        <v>138520.37642051367</v>
      </c>
      <c r="V645" s="82">
        <f ca="1">SUM(V$566*CHOOSE($C$558,1,Параметры!V$109,Параметры!V$118),V$580*CHOOSE($C$572,1,Параметры!V$109,Параметры!V$118),V$594*CHOOSE($C$586,1,Параметры!V$109,Параметры!V$118),V$608*CHOOSE($C$600,1,Параметры!V$109,Параметры!V$118),V$622*CHOOSE($C$614,1,Параметры!V$109,Параметры!V$118),V$636*CHOOSE($C$628,1,Параметры!V$109,Параметры!V$118))</f>
        <v>141618.63380945762</v>
      </c>
      <c r="W645" s="82">
        <f ca="1">SUM(W$566*CHOOSE($C$558,1,Параметры!W$109,Параметры!W$118),W$580*CHOOSE($C$572,1,Параметры!W$109,Параметры!W$118),W$594*CHOOSE($C$586,1,Параметры!W$109,Параметры!W$118),W$608*CHOOSE($C$600,1,Параметры!W$109,Параметры!W$118),W$622*CHOOSE($C$614,1,Параметры!W$109,Параметры!W$118),W$636*CHOOSE($C$628,1,Параметры!W$109,Параметры!W$118))</f>
        <v>144786.23296804249</v>
      </c>
      <c r="X645" s="82">
        <f ca="1">SUM(X$566*CHOOSE($C$558,1,Параметры!X$109,Параметры!X$118),X$580*CHOOSE($C$572,1,Параметры!X$109,Параметры!X$118),X$594*CHOOSE($C$586,1,Параметры!X$109,Параметры!X$118),X$608*CHOOSE($C$600,1,Параметры!X$109,Параметры!X$118),X$622*CHOOSE($C$614,1,Параметры!X$109,Параметры!X$118),X$636*CHOOSE($C$628,1,Параметры!X$109,Параметры!X$118))</f>
        <v>148024.72670565295</v>
      </c>
      <c r="Y645" s="82">
        <f ca="1">SUM(Y$566*CHOOSE($C$558,1,Параметры!Y$109,Параметры!Y$118),Y$580*CHOOSE($C$572,1,Параметры!Y$109,Параметры!Y$118),Y$594*CHOOSE($C$586,1,Параметры!Y$109,Параметры!Y$118),Y$608*CHOOSE($C$600,1,Параметры!Y$109,Параметры!Y$118),Y$622*CHOOSE($C$614,1,Параметры!Y$109,Параметры!Y$118),Y$636*CHOOSE($C$628,1,Параметры!Y$109,Параметры!Y$118))</f>
        <v>151335.70262227627</v>
      </c>
      <c r="Z645" s="82">
        <f ca="1">SUM(Z$566*CHOOSE($C$558,1,Параметры!Z$109,Параметры!Z$118),Z$580*CHOOSE($C$572,1,Параметры!Z$109,Параметры!Z$118),Z$594*CHOOSE($C$586,1,Параметры!Z$109,Параметры!Z$118),Z$608*CHOOSE($C$600,1,Параметры!Z$109,Параметры!Z$118),Z$622*CHOOSE($C$614,1,Параметры!Z$109,Параметры!Z$118),Z$636*CHOOSE($C$628,1,Параметры!Z$109,Параметры!Z$118))</f>
        <v>154720.78388833848</v>
      </c>
      <c r="AA645" s="82">
        <f ca="1">SUM(AA$566*CHOOSE($C$558,1,Параметры!AA$109,Параметры!AA$118),AA$580*CHOOSE($C$572,1,Параметры!AA$109,Параметры!AA$118),AA$594*CHOOSE($C$586,1,Параметры!AA$109,Параметры!AA$118),AA$608*CHOOSE($C$600,1,Параметры!AA$109,Параметры!AA$118),AA$622*CHOOSE($C$614,1,Параметры!AA$109,Параметры!AA$118),AA$636*CHOOSE($C$628,1,Параметры!AA$109,Параметры!AA$118))</f>
        <v>158181.63004202835</v>
      </c>
      <c r="AB645" s="82">
        <f ca="1">SUM(AB$566*CHOOSE($C$558,1,Параметры!AB$109,Параметры!AB$118),AB$580*CHOOSE($C$572,1,Параметры!AB$109,Параметры!AB$118),AB$594*CHOOSE($C$586,1,Параметры!AB$109,Параметры!AB$118),AB$608*CHOOSE($C$600,1,Параметры!AB$109,Параметры!AB$118),AB$622*CHOOSE($C$614,1,Параметры!AB$109,Параметры!AB$118),AB$636*CHOOSE($C$628,1,Параметры!AB$109,Параметры!AB$118))</f>
        <v>161719.93780450028</v>
      </c>
      <c r="AC645" s="82">
        <f ca="1">SUM(AC$566*CHOOSE($C$558,1,Параметры!AC$109,Параметры!AC$118),AC$580*CHOOSE($C$572,1,Параметры!AC$109,Параметры!AC$118),AC$594*CHOOSE($C$586,1,Параметры!AC$109,Параметры!AC$118),AC$608*CHOOSE($C$600,1,Параметры!AC$109,Параметры!AC$118),AC$622*CHOOSE($C$614,1,Параметры!AC$109,Параметры!AC$118),AC$636*CHOOSE($C$628,1,Параметры!AC$109,Параметры!AC$118))</f>
        <v>165337.44191335831</v>
      </c>
      <c r="AD645" s="82">
        <f ca="1">SUM(AD$566*CHOOSE($C$558,1,Параметры!AD$109,Параметры!AD$118),AD$580*CHOOSE($C$572,1,Параметры!AD$109,Параметры!AD$118),AD$594*CHOOSE($C$586,1,Параметры!AD$109,Параметры!AD$118),AD$608*CHOOSE($C$600,1,Параметры!AD$109,Параметры!AD$118),AD$622*CHOOSE($C$614,1,Параметры!AD$109,Параметры!AD$118),AD$636*CHOOSE($C$628,1,Параметры!AD$109,Параметры!AD$118))</f>
        <v>169035.91597483086</v>
      </c>
      <c r="AE645" s="82">
        <f ca="1">SUM(AE$566*CHOOSE($C$558,1,Параметры!AE$109,Параметры!AE$118),AE$580*CHOOSE($C$572,1,Параметры!AE$109,Параметры!AE$118),AE$594*CHOOSE($C$586,1,Параметры!AE$109,Параметры!AE$118),AE$608*CHOOSE($C$600,1,Параметры!AE$109,Параметры!AE$118),AE$622*CHOOSE($C$614,1,Параметры!AE$109,Параметры!AE$118),AE$636*CHOOSE($C$628,1,Параметры!AE$109,Параметры!AE$118))</f>
        <v>172817.17333505492</v>
      </c>
      <c r="AF645" s="82">
        <f ca="1">SUM(AF$566*CHOOSE($C$558,1,Параметры!AF$109,Параметры!AF$118),AF$580*CHOOSE($C$572,1,Параметры!AF$109,Параметры!AF$118),AF$594*CHOOSE($C$586,1,Параметры!AF$109,Параметры!AF$118),AF$608*CHOOSE($C$600,1,Параметры!AF$109,Параметры!AF$118),AF$622*CHOOSE($C$614,1,Параметры!AF$109,Параметры!AF$118),AF$636*CHOOSE($C$628,1,Параметры!AF$109,Параметры!AF$118))</f>
        <v>176683.06797089987</v>
      </c>
      <c r="AG645" s="82">
        <f ca="1">SUM(AG$566*CHOOSE($C$558,1,Параметры!AG$109,Параметры!AG$118),AG$580*CHOOSE($C$572,1,Параметры!AG$109,Параметры!AG$118),AG$594*CHOOSE($C$586,1,Параметры!AG$109,Параметры!AG$118),AG$608*CHOOSE($C$600,1,Параметры!AG$109,Параметры!AG$118),AG$622*CHOOSE($C$614,1,Параметры!AG$109,Параметры!AG$118),AG$636*CHOOSE($C$628,1,Параметры!AG$109,Параметры!AG$118))</f>
        <v>180635.4954007674</v>
      </c>
      <c r="AH645" s="82">
        <f ca="1">SUM(AH$566*CHOOSE($C$558,1,Параметры!AH$109,Параметры!AH$118),AH$580*CHOOSE($C$572,1,Параметры!AH$109,Параметры!AH$118),AH$594*CHOOSE($C$586,1,Параметры!AH$109,Параметры!AH$118),AH$608*CHOOSE($C$600,1,Параметры!AH$109,Параметры!AH$118),AH$622*CHOOSE($C$614,1,Параметры!AH$109,Параметры!AH$118),AH$636*CHOOSE($C$628,1,Параметры!AH$109,Параметры!AH$118))</f>
        <v>184676.39361581745</v>
      </c>
      <c r="AI645" s="82">
        <f ca="1">SUM(AI$566*CHOOSE($C$558,1,Параметры!AI$109,Параметры!AI$118),AI$580*CHOOSE($C$572,1,Параметры!AI$109,Параметры!AI$118),AI$594*CHOOSE($C$586,1,Параметры!AI$109,Параметры!AI$118),AI$608*CHOOSE($C$600,1,Параметры!AI$109,Параметры!AI$118),AI$622*CHOOSE($C$614,1,Параметры!AI$109,Параметры!AI$118),AI$636*CHOOSE($C$628,1,Параметры!AI$109,Параметры!AI$118))</f>
        <v>188807.74403207673</v>
      </c>
      <c r="AJ645" s="82">
        <f ca="1">SUM(AJ$566*CHOOSE($C$558,1,Параметры!AJ$109,Параметры!AJ$118),AJ$580*CHOOSE($C$572,1,Параметры!AJ$109,Параметры!AJ$118),AJ$594*CHOOSE($C$586,1,Параметры!AJ$109,Параметры!AJ$118),AJ$608*CHOOSE($C$600,1,Параметры!AJ$109,Параметры!AJ$118),AJ$622*CHOOSE($C$614,1,Параметры!AJ$109,Параметры!AJ$118),AJ$636*CHOOSE($C$628,1,Параметры!AJ$109,Параметры!AJ$118))</f>
        <v>193031.57246389997</v>
      </c>
      <c r="AK645" s="82">
        <f ca="1">SUM(AK$566*CHOOSE($C$558,1,Параметры!AK$109,Параметры!AK$118),AK$580*CHOOSE($C$572,1,Параметры!AK$109,Параметры!AK$118),AK$594*CHOOSE($C$586,1,Параметры!AK$109,Параметры!AK$118),AK$608*CHOOSE($C$600,1,Параметры!AK$109,Параметры!AK$118),AK$622*CHOOSE($C$614,1,Параметры!AK$109,Параметры!AK$118),AK$636*CHOOSE($C$628,1,Параметры!AK$109,Параметры!AK$118))</f>
        <v>197349.95011926125</v>
      </c>
      <c r="AL645" s="82">
        <f ca="1">SUM(AL$566*CHOOSE($C$558,1,Параметры!AL$109,Параметры!AL$118),AL$580*CHOOSE($C$572,1,Параметры!AL$109,Параметры!AL$118),AL$594*CHOOSE($C$586,1,Параметры!AL$109,Параметры!AL$118),AL$608*CHOOSE($C$600,1,Параметры!AL$109,Параметры!AL$118),AL$622*CHOOSE($C$614,1,Параметры!AL$109,Параметры!AL$118),AL$636*CHOOSE($C$628,1,Параметры!AL$109,Параметры!AL$118))</f>
        <v>201764.99461736658</v>
      </c>
      <c r="AM645" s="82">
        <f ca="1">SUM(AM$566*CHOOSE($C$558,1,Параметры!AM$109,Параметры!AM$118),AM$580*CHOOSE($C$572,1,Параметры!AM$109,Параметры!AM$118),AM$594*CHOOSE($C$586,1,Параметры!AM$109,Параметры!AM$118),AM$608*CHOOSE($C$600,1,Параметры!AM$109,Параметры!AM$118),AM$622*CHOOSE($C$614,1,Параметры!AM$109,Параметры!AM$118),AM$636*CHOOSE($C$628,1,Параметры!AM$109,Параметры!AM$118))</f>
        <v>206278.87102908781</v>
      </c>
      <c r="AN645" s="82">
        <f ca="1">SUM(AN$566*CHOOSE($C$558,1,Параметры!AN$109,Параметры!AN$118),AN$580*CHOOSE($C$572,1,Параметры!AN$109,Параметры!AN$118),AN$594*CHOOSE($C$586,1,Параметры!AN$109,Параметры!AN$118),AN$608*CHOOSE($C$600,1,Параметры!AN$109,Параметры!AN$118),AN$622*CHOOSE($C$614,1,Параметры!AN$109,Параметры!AN$118),AN$636*CHOOSE($C$628,1,Параметры!AN$109,Параметры!AN$118))</f>
        <v>210893.79294072927</v>
      </c>
      <c r="AO645" s="82">
        <f ca="1">SUM(AO$566*CHOOSE($C$558,1,Параметры!AO$109,Параметры!AO$118),AO$580*CHOOSE($C$572,1,Параметры!AO$109,Параметры!AO$118),AO$594*CHOOSE($C$586,1,Параметры!AO$109,Параметры!AO$118),AO$608*CHOOSE($C$600,1,Параметры!AO$109,Параметры!AO$118),AO$622*CHOOSE($C$614,1,Параметры!AO$109,Параметры!AO$118),AO$636*CHOOSE($C$628,1,Параметры!AO$109,Параметры!AO$118))</f>
        <v>0</v>
      </c>
      <c r="AP645" s="82">
        <f ca="1">SUM(AP$566*CHOOSE($C$558,1,Параметры!AP$109,Параметры!AP$118),AP$580*CHOOSE($C$572,1,Параметры!AP$109,Параметры!AP$118),AP$594*CHOOSE($C$586,1,Параметры!AP$109,Параметры!AP$118),AP$608*CHOOSE($C$600,1,Параметры!AP$109,Параметры!AP$118),AP$622*CHOOSE($C$614,1,Параметры!AP$109,Параметры!AP$118),AP$636*CHOOSE($C$628,1,Параметры!AP$109,Параметры!AP$118))</f>
        <v>0</v>
      </c>
      <c r="AQ645" s="82">
        <f ca="1">SUM(AQ$566*CHOOSE($C$558,1,Параметры!AQ$109,Параметры!AQ$118),AQ$580*CHOOSE($C$572,1,Параметры!AQ$109,Параметры!AQ$118),AQ$594*CHOOSE($C$586,1,Параметры!AQ$109,Параметры!AQ$118),AQ$608*CHOOSE($C$600,1,Параметры!AQ$109,Параметры!AQ$118),AQ$622*CHOOSE($C$614,1,Параметры!AQ$109,Параметры!AQ$118),AQ$636*CHOOSE($C$628,1,Параметры!AQ$109,Параметры!AQ$118))</f>
        <v>0</v>
      </c>
      <c r="AR645" s="82">
        <f ca="1">SUM(AR$566*CHOOSE($C$558,1,Параметры!AR$109,Параметры!AR$118),AR$580*CHOOSE($C$572,1,Параметры!AR$109,Параметры!AR$118),AR$594*CHOOSE($C$586,1,Параметры!AR$109,Параметры!AR$118),AR$608*CHOOSE($C$600,1,Параметры!AR$109,Параметры!AR$118),AR$622*CHOOSE($C$614,1,Параметры!AR$109,Параметры!AR$118),AR$636*CHOOSE($C$628,1,Параметры!AR$109,Параметры!AR$118))</f>
        <v>0</v>
      </c>
      <c r="AS645" s="1"/>
      <c r="AT645" s="100">
        <f ca="1">SUM(E645:AS645)</f>
        <v>4065246.6608693162</v>
      </c>
    </row>
    <row r="646" spans="1:46" s="60" customFormat="1" ht="11.25" customHeight="1" outlineLevel="1" x14ac:dyDescent="0.2">
      <c r="A646" s="63" t="s">
        <v>178</v>
      </c>
      <c r="B646" s="29"/>
      <c r="C646" s="266" t="str">
        <f>Параметры!$B$64</f>
        <v>тыс. руб.</v>
      </c>
      <c r="D646" s="40"/>
      <c r="E646" s="82">
        <f ca="1">SUM(E$568*CHOOSE($C$558,1,Параметры!E$109,Параметры!E$118),E$582*CHOOSE($C$572,1,Параметры!E$109,Параметры!E$118),E$596*CHOOSE($C$586,1,Параметры!E$109,Параметры!E$118),E$610*CHOOSE($C$600,1,Параметры!E$109,Параметры!E$118),E$624*CHOOSE($C$614,1,Параметры!E$109,Параметры!E$118),E$638*CHOOSE($C$628,1,Параметры!E$109,Параметры!E$118))</f>
        <v>256.39999999999998</v>
      </c>
      <c r="F646" s="82">
        <f ca="1">SUM(F$568*CHOOSE($C$558,1,Параметры!F$109,Параметры!F$118),F$582*CHOOSE($C$572,1,Параметры!F$109,Параметры!F$118),F$596*CHOOSE($C$586,1,Параметры!F$109,Параметры!F$118),F$610*CHOOSE($C$600,1,Параметры!F$109,Параметры!F$118),F$624*CHOOSE($C$614,1,Параметры!F$109,Параметры!F$118),F$638*CHOOSE($C$628,1,Параметры!F$109,Параметры!F$118))</f>
        <v>1025.5999999999999</v>
      </c>
      <c r="G646" s="82">
        <f ca="1">SUM(G$568*CHOOSE($C$558,1,Параметры!G$109,Параметры!G$118),G$582*CHOOSE($C$572,1,Параметры!G$109,Параметры!G$118),G$596*CHOOSE($C$586,1,Параметры!G$109,Параметры!G$118),G$610*CHOOSE($C$600,1,Параметры!G$109,Параметры!G$118),G$624*CHOOSE($C$614,1,Параметры!G$109,Параметры!G$118),G$638*CHOOSE($C$628,1,Параметры!G$109,Параметры!G$118))</f>
        <v>2307.6</v>
      </c>
      <c r="H646" s="82">
        <f ca="1">SUM(H$568*CHOOSE($C$558,1,Параметры!H$109,Параметры!H$118),H$582*CHOOSE($C$572,1,Параметры!H$109,Параметры!H$118),H$596*CHOOSE($C$586,1,Параметры!H$109,Параметры!H$118),H$610*CHOOSE($C$600,1,Параметры!H$109,Параметры!H$118),H$624*CHOOSE($C$614,1,Параметры!H$109,Параметры!H$118),H$638*CHOOSE($C$628,1,Параметры!H$109,Параметры!H$118))</f>
        <v>3743.4399999999996</v>
      </c>
      <c r="I646" s="82">
        <f ca="1">SUM(I$568*CHOOSE($C$558,1,Параметры!I$109,Параметры!I$118),I$582*CHOOSE($C$572,1,Параметры!I$109,Параметры!I$118),I$596*CHOOSE($C$586,1,Параметры!I$109,Параметры!I$118),I$610*CHOOSE($C$600,1,Параметры!I$109,Параметры!I$118),I$624*CHOOSE($C$614,1,Параметры!I$109,Параметры!I$118),I$638*CHOOSE($C$628,1,Параметры!I$109,Параметры!I$118))</f>
        <v>5187.4115914382373</v>
      </c>
      <c r="J646" s="82">
        <f ca="1">SUM(J$568*CHOOSE($C$558,1,Параметры!J$109,Параметры!J$118),J$582*CHOOSE($C$572,1,Параметры!J$109,Параметры!J$118),J$596*CHOOSE($C$586,1,Параметры!J$109,Параметры!J$118),J$610*CHOOSE($C$600,1,Параметры!J$109,Параметры!J$118),J$624*CHOOSE($C$614,1,Параметры!J$109,Параметры!J$118),J$638*CHOOSE($C$628,1,Параметры!J$109,Параметры!J$118))</f>
        <v>8135.188235889309</v>
      </c>
      <c r="K646" s="82">
        <f ca="1">SUM(K$568*CHOOSE($C$558,1,Параметры!K$109,Параметры!K$118),K$582*CHOOSE($C$572,1,Параметры!K$109,Параметры!K$118),K$596*CHOOSE($C$586,1,Параметры!K$109,Параметры!K$118),K$610*CHOOSE($C$600,1,Параметры!K$109,Параметры!K$118),K$624*CHOOSE($C$614,1,Параметры!K$109,Параметры!K$118),K$638*CHOOSE($C$628,1,Параметры!K$109,Параметры!K$118))</f>
        <v>12023.49060669107</v>
      </c>
      <c r="L646" s="82">
        <f ca="1">SUM(L$568*CHOOSE($C$558,1,Параметры!L$109,Параметры!L$118),L$582*CHOOSE($C$572,1,Параметры!L$109,Параметры!L$118),L$596*CHOOSE($C$586,1,Параметры!L$109,Параметры!L$118),L$610*CHOOSE($C$600,1,Параметры!L$109,Параметры!L$118),L$624*CHOOSE($C$614,1,Параметры!L$109,Параметры!L$118),L$638*CHOOSE($C$628,1,Параметры!L$109,Параметры!L$118))</f>
        <v>13997.582304831649</v>
      </c>
      <c r="M646" s="82">
        <f ca="1">SUM(M$568*CHOOSE($C$558,1,Параметры!M$109,Параметры!M$118),M$582*CHOOSE($C$572,1,Параметры!M$109,Параметры!M$118),M$596*CHOOSE($C$586,1,Параметры!M$109,Параметры!M$118),M$610*CHOOSE($C$600,1,Параметры!M$109,Параметры!M$118),M$624*CHOOSE($C$614,1,Параметры!M$109,Параметры!M$118),M$638*CHOOSE($C$628,1,Параметры!M$109,Параметры!M$118))</f>
        <v>17860.065480566293</v>
      </c>
      <c r="N646" s="82">
        <f ca="1">SUM(N$568*CHOOSE($C$558,1,Параметры!N$109,Параметры!N$118),N$582*CHOOSE($C$572,1,Параметры!N$109,Параметры!N$118),N$596*CHOOSE($C$586,1,Параметры!N$109,Параметры!N$118),N$610*CHOOSE($C$600,1,Параметры!N$109,Параметры!N$118),N$624*CHOOSE($C$614,1,Параметры!N$109,Параметры!N$118),N$638*CHOOSE($C$628,1,Параметры!N$109,Параметры!N$118))</f>
        <v>26000.150247194619</v>
      </c>
      <c r="O646" s="82">
        <f ca="1">SUM(O$568*CHOOSE($C$558,1,Параметры!O$109,Параметры!O$118),O$582*CHOOSE($C$572,1,Параметры!O$109,Параметры!O$118),O$596*CHOOSE($C$586,1,Параметры!O$109,Параметры!O$118),O$610*CHOOSE($C$600,1,Параметры!O$109,Параметры!O$118),O$624*CHOOSE($C$614,1,Параметры!O$109,Параметры!O$118),O$638*CHOOSE($C$628,1,Параметры!O$109,Параметры!O$118))</f>
        <v>37979.935685265191</v>
      </c>
      <c r="P646" s="82">
        <f ca="1">SUM(P$568*CHOOSE($C$558,1,Параметры!P$109,Параметры!P$118),P$582*CHOOSE($C$572,1,Параметры!P$109,Параметры!P$118),P$596*CHOOSE($C$586,1,Параметры!P$109,Параметры!P$118),P$610*CHOOSE($C$600,1,Параметры!P$109,Параметры!P$118),P$624*CHOOSE($C$614,1,Параметры!P$109,Параметры!P$118),P$638*CHOOSE($C$628,1,Параметры!P$109,Параметры!P$118))</f>
        <v>44563.098582851089</v>
      </c>
      <c r="Q646" s="82">
        <f ca="1">SUM(Q$568*CHOOSE($C$558,1,Параметры!Q$109,Параметры!Q$118),Q$582*CHOOSE($C$572,1,Параметры!Q$109,Параметры!Q$118),Q$596*CHOOSE($C$586,1,Параметры!Q$109,Параметры!Q$118),Q$610*CHOOSE($C$600,1,Параметры!Q$109,Параметры!Q$118),Q$624*CHOOSE($C$614,1,Параметры!Q$109,Параметры!Q$118),Q$638*CHOOSE($C$628,1,Параметры!Q$109,Параметры!Q$118))</f>
        <v>48207.391978673943</v>
      </c>
      <c r="R646" s="82">
        <f ca="1">SUM(R$568*CHOOSE($C$558,1,Параметры!R$109,Параметры!R$118),R$582*CHOOSE($C$572,1,Параметры!R$109,Параметры!R$118),R$596*CHOOSE($C$586,1,Параметры!R$109,Параметры!R$118),R$610*CHOOSE($C$600,1,Параметры!R$109,Параметры!R$118),R$624*CHOOSE($C$614,1,Параметры!R$109,Параметры!R$118),R$638*CHOOSE($C$628,1,Параметры!R$109,Параметры!R$118))</f>
        <v>59577.940740673403</v>
      </c>
      <c r="S646" s="82">
        <f ca="1">SUM(S$568*CHOOSE($C$558,1,Параметры!S$109,Параметры!S$118),S$582*CHOOSE($C$572,1,Параметры!S$109,Параметры!S$118),S$596*CHOOSE($C$586,1,Параметры!S$109,Параметры!S$118),S$610*CHOOSE($C$600,1,Параметры!S$109,Параметры!S$118),S$624*CHOOSE($C$614,1,Параметры!S$109,Параметры!S$118),S$638*CHOOSE($C$628,1,Параметры!S$109,Параметры!S$118))</f>
        <v>72223.067969054129</v>
      </c>
      <c r="T646" s="82">
        <f ca="1">SUM(T$568*CHOOSE($C$558,1,Параметры!T$109,Параметры!T$118),T$582*CHOOSE($C$572,1,Параметры!T$109,Параметры!T$118),T$596*CHOOSE($C$586,1,Параметры!T$109,Параметры!T$118),T$610*CHOOSE($C$600,1,Параметры!T$109,Параметры!T$118),T$624*CHOOSE($C$614,1,Параметры!T$109,Параметры!T$118),T$638*CHOOSE($C$628,1,Параметры!T$109,Параметры!T$118))</f>
        <v>77091.647121138842</v>
      </c>
      <c r="U646" s="82">
        <f ca="1">SUM(U$568*CHOOSE($C$558,1,Параметры!U$109,Параметры!U$118),U$582*CHOOSE($C$572,1,Параметры!U$109,Параметры!U$118),U$596*CHOOSE($C$586,1,Параметры!U$109,Параметры!U$118),U$610*CHOOSE($C$600,1,Параметры!U$109,Параметры!U$118),U$624*CHOOSE($C$614,1,Параметры!U$109,Параметры!U$118),U$638*CHOOSE($C$628,1,Параметры!U$109,Параметры!U$118))</f>
        <v>73993.389732194861</v>
      </c>
      <c r="V646" s="82">
        <f ca="1">SUM(V$568*CHOOSE($C$558,1,Параметры!V$109,Параметры!V$118),V$582*CHOOSE($C$572,1,Параметры!V$109,Параметры!V$118),V$596*CHOOSE($C$586,1,Параметры!V$109,Параметры!V$118),V$610*CHOOSE($C$600,1,Параметры!V$109,Параметры!V$118),V$624*CHOOSE($C$614,1,Параметры!V$109,Параметры!V$118),V$638*CHOOSE($C$628,1,Параметры!V$109,Параметры!V$118))</f>
        <v>70825.790573610007</v>
      </c>
      <c r="W646" s="82">
        <f ca="1">SUM(W$568*CHOOSE($C$558,1,Параметры!W$109,Параметры!W$118),W$582*CHOOSE($C$572,1,Параметры!W$109,Параметры!W$118),W$596*CHOOSE($C$586,1,Параметры!W$109,Параметры!W$118),W$610*CHOOSE($C$600,1,Параметры!W$109,Параметры!W$118),W$624*CHOOSE($C$614,1,Параметры!W$109,Параметры!W$118),W$638*CHOOSE($C$628,1,Параметры!W$109,Параметры!W$118))</f>
        <v>67587.296835999528</v>
      </c>
      <c r="X646" s="82">
        <f ca="1">SUM(X$568*CHOOSE($C$558,1,Параметры!X$109,Параметры!X$118),X$582*CHOOSE($C$572,1,Параметры!X$109,Параметры!X$118),X$596*CHOOSE($C$586,1,Параметры!X$109,Параметры!X$118),X$610*CHOOSE($C$600,1,Параметры!X$109,Параметры!X$118),X$624*CHOOSE($C$614,1,Параметры!X$109,Параметры!X$118),X$638*CHOOSE($C$628,1,Параметры!X$109,Параметры!X$118))</f>
        <v>64276.320919376245</v>
      </c>
      <c r="Y646" s="82">
        <f ca="1">SUM(Y$568*CHOOSE($C$558,1,Параметры!Y$109,Параметры!Y$118),Y$582*CHOOSE($C$572,1,Параметры!Y$109,Параметры!Y$118),Y$596*CHOOSE($C$586,1,Параметры!Y$109,Параметры!Y$118),Y$610*CHOOSE($C$600,1,Параметры!Y$109,Параметры!Y$118),Y$624*CHOOSE($C$614,1,Параметры!Y$109,Параметры!Y$118),Y$638*CHOOSE($C$628,1,Параметры!Y$109,Параметры!Y$118))</f>
        <v>60891.239653314005</v>
      </c>
      <c r="Z646" s="82">
        <f ca="1">SUM(Z$568*CHOOSE($C$558,1,Параметры!Z$109,Параметры!Z$118),Z$582*CHOOSE($C$572,1,Параметры!Z$109,Параметры!Z$118),Z$596*CHOOSE($C$586,1,Параметры!Z$109,Параметры!Z$118),Z$610*CHOOSE($C$600,1,Параметры!Z$109,Параметры!Z$118),Z$624*CHOOSE($C$614,1,Параметры!Z$109,Параметры!Z$118),Z$638*CHOOSE($C$628,1,Параметры!Z$109,Параметры!Z$118))</f>
        <v>57430.393499624144</v>
      </c>
      <c r="AA646" s="82">
        <f ca="1">SUM(AA$568*CHOOSE($C$558,1,Параметры!AA$109,Параметры!AA$118),AA$582*CHOOSE($C$572,1,Параметры!AA$109,Параметры!AA$118),AA$596*CHOOSE($C$586,1,Параметры!AA$109,Параметры!AA$118),AA$610*CHOOSE($C$600,1,Параметры!AA$109,Параметры!AA$118),AA$624*CHOOSE($C$614,1,Параметры!AA$109,Параметры!AA$118),AA$638*CHOOSE($C$628,1,Параметры!AA$109,Параметры!AA$118))</f>
        <v>53892.085737152229</v>
      </c>
      <c r="AB646" s="82">
        <f ca="1">SUM(AB$568*CHOOSE($C$558,1,Параметры!AB$109,Параметры!AB$118),AB$582*CHOOSE($C$572,1,Параметры!AB$109,Параметры!AB$118),AB$596*CHOOSE($C$586,1,Параметры!AB$109,Параметры!AB$118),AB$610*CHOOSE($C$600,1,Параметры!AB$109,Параметры!AB$118),AB$624*CHOOSE($C$614,1,Параметры!AB$109,Параметры!AB$118),AB$638*CHOOSE($C$628,1,Параметры!AB$109,Параметры!AB$118))</f>
        <v>50274.581628294152</v>
      </c>
      <c r="AC646" s="82">
        <f ca="1">SUM(AC$568*CHOOSE($C$558,1,Параметры!AC$109,Параметры!AC$118),AC$582*CHOOSE($C$572,1,Параметры!AC$109,Параметры!AC$118),AC$596*CHOOSE($C$586,1,Параметры!AC$109,Параметры!AC$118),AC$610*CHOOSE($C$600,1,Параметры!AC$109,Параметры!AC$118),AC$624*CHOOSE($C$614,1,Параметры!AC$109,Параметры!AC$118),AC$638*CHOOSE($C$628,1,Параметры!AC$109,Параметры!AC$118))</f>
        <v>46090.725398947834</v>
      </c>
      <c r="AD646" s="82">
        <f ca="1">SUM(AD$568*CHOOSE($C$558,1,Параметры!AD$109,Параметры!AD$118),AD$582*CHOOSE($C$572,1,Параметры!AD$109,Параметры!AD$118),AD$596*CHOOSE($C$586,1,Параметры!AD$109,Параметры!AD$118),AD$610*CHOOSE($C$600,1,Параметры!AD$109,Параметры!AD$118),AD$624*CHOOSE($C$614,1,Параметры!AD$109,Параметры!AD$118),AD$638*CHOOSE($C$628,1,Параметры!AD$109,Параметры!AD$118))</f>
        <v>42348.850242560453</v>
      </c>
      <c r="AE646" s="82">
        <f ca="1">SUM(AE$568*CHOOSE($C$558,1,Параметры!AE$109,Параметры!AE$118),AE$582*CHOOSE($C$572,1,Параметры!AE$109,Параметры!AE$118),AE$596*CHOOSE($C$586,1,Параметры!AE$109,Параметры!AE$118),AE$610*CHOOSE($C$600,1,Параметры!AE$109,Параметры!AE$118),AE$624*CHOOSE($C$614,1,Параметры!AE$109,Параметры!AE$118),AE$638*CHOOSE($C$628,1,Параметры!AE$109,Параметры!AE$118))</f>
        <v>38523.223910138549</v>
      </c>
      <c r="AF646" s="82">
        <f ca="1">SUM(AF$568*CHOOSE($C$558,1,Параметры!AF$109,Параметры!AF$118),AF$582*CHOOSE($C$572,1,Параметры!AF$109,Параметры!AF$118),AF$596*CHOOSE($C$586,1,Параметры!AF$109,Параметры!AF$118),AF$610*CHOOSE($C$600,1,Параметры!AF$109,Параметры!AF$118),AF$624*CHOOSE($C$614,1,Параметры!AF$109,Параметры!AF$118),AF$638*CHOOSE($C$628,1,Параметры!AF$109,Параметры!AF$118))</f>
        <v>34611.970820521026</v>
      </c>
      <c r="AG646" s="82">
        <f ca="1">SUM(AG$568*CHOOSE($C$558,1,Параметры!AG$109,Параметры!AG$118),AG$582*CHOOSE($C$572,1,Параметры!AG$109,Параметры!AG$118),AG$596*CHOOSE($C$586,1,Параметры!AG$109,Параметры!AG$118),AG$610*CHOOSE($C$600,1,Параметры!AG$109,Параметры!AG$118),AG$624*CHOOSE($C$614,1,Параметры!AG$109,Параметры!AG$118),AG$638*CHOOSE($C$628,1,Параметры!AG$109,Параметры!AG$118))</f>
        <v>27656.066376364779</v>
      </c>
      <c r="AH646" s="82">
        <f ca="1">SUM(AH$568*CHOOSE($C$558,1,Параметры!AH$109,Параметры!AH$118),AH$582*CHOOSE($C$572,1,Параметры!AH$109,Параметры!AH$118),AH$596*CHOOSE($C$586,1,Параметры!AH$109,Параметры!AH$118),AH$610*CHOOSE($C$600,1,Параметры!AH$109,Параметры!AH$118),AH$624*CHOOSE($C$614,1,Параметры!AH$109,Параметры!AH$118),AH$638*CHOOSE($C$628,1,Параметры!AH$109,Параметры!AH$118))</f>
        <v>23962.538504048429</v>
      </c>
      <c r="AI646" s="82">
        <f ca="1">SUM(AI$568*CHOOSE($C$558,1,Параметры!AI$109,Параметры!AI$118),AI$582*CHOOSE($C$572,1,Параметры!AI$109,Параметры!AI$118),AI$596*CHOOSE($C$586,1,Параметры!AI$109,Параметры!AI$118),AI$610*CHOOSE($C$600,1,Параметры!AI$109,Параметры!AI$118),AI$624*CHOOSE($C$614,1,Параметры!AI$109,Параметры!AI$118),AI$638*CHOOSE($C$628,1,Параметры!AI$109,Параметры!AI$118))</f>
        <v>20186.383623406895</v>
      </c>
      <c r="AJ646" s="82">
        <f ca="1">SUM(AJ$568*CHOOSE($C$558,1,Параметры!AJ$109,Параметры!AJ$118),AJ$582*CHOOSE($C$572,1,Параметры!AJ$109,Параметры!AJ$118),AJ$596*CHOOSE($C$586,1,Параметры!AJ$109,Параметры!AJ$118),AJ$610*CHOOSE($C$600,1,Параметры!AJ$109,Параметры!AJ$118),AJ$624*CHOOSE($C$614,1,Параметры!AJ$109,Параметры!AJ$118),AJ$638*CHOOSE($C$628,1,Параметры!AJ$109,Параметры!AJ$118))</f>
        <v>16325.752174128897</v>
      </c>
      <c r="AK646" s="82">
        <f ca="1">SUM(AK$568*CHOOSE($C$558,1,Параметры!AK$109,Параметры!AK$118),AK$582*CHOOSE($C$572,1,Параметры!AK$109,Параметры!AK$118),AK$596*CHOOSE($C$586,1,Параметры!AK$109,Параметры!AK$118),AK$610*CHOOSE($C$600,1,Параметры!AK$109,Параметры!AK$118),AK$624*CHOOSE($C$614,1,Параметры!AK$109,Параметры!AK$118),AK$638*CHOOSE($C$628,1,Параметры!AK$109,Параметры!AK$118))</f>
        <v>12378.753171743672</v>
      </c>
      <c r="AL646" s="82">
        <f ca="1">SUM(AL$568*CHOOSE($C$558,1,Параметры!AL$109,Параметры!AL$118),AL$582*CHOOSE($C$572,1,Параметры!AL$109,Параметры!AL$118),AL$596*CHOOSE($C$586,1,Параметры!AL$109,Параметры!AL$118),AL$610*CHOOSE($C$600,1,Параметры!AL$109,Параметры!AL$118),AL$624*CHOOSE($C$614,1,Параметры!AL$109,Параметры!AL$118),AL$638*CHOOSE($C$628,1,Параметры!AL$109,Параметры!AL$118))</f>
        <v>8343.4532793963353</v>
      </c>
      <c r="AM646" s="82">
        <f ca="1">SUM(AM$568*CHOOSE($C$558,1,Параметры!AM$109,Параметры!AM$118),AM$582*CHOOSE($C$572,1,Параметры!AM$109,Параметры!AM$118),AM$596*CHOOSE($C$586,1,Параметры!AM$109,Параметры!AM$118),AM$610*CHOOSE($C$600,1,Параметры!AM$109,Параметры!AM$118),AM$624*CHOOSE($C$614,1,Параметры!AM$109,Параметры!AM$118),AM$638*CHOOSE($C$628,1,Параметры!AM$109,Параметры!AM$118))</f>
        <v>4217.8758588145829</v>
      </c>
      <c r="AN646" s="82">
        <f ca="1">SUM(AN$568*CHOOSE($C$558,1,Параметры!AN$109,Параметры!AN$118),AN$582*CHOOSE($C$572,1,Параметры!AN$109,Параметры!AN$118),AN$596*CHOOSE($C$586,1,Параметры!AN$109,Параметры!AN$118),AN$610*CHOOSE($C$600,1,Параметры!AN$109,Параметры!AN$118),AN$624*CHOOSE($C$614,1,Параметры!AN$109,Параметры!AN$118),AN$638*CHOOSE($C$628,1,Параметры!AN$109,Параметры!AN$118))</f>
        <v>6.5483618527650831E-13</v>
      </c>
      <c r="AO646" s="82">
        <f ca="1">SUM(AO$568*CHOOSE($C$558,1,Параметры!AO$109,Параметры!AO$118),AO$582*CHOOSE($C$572,1,Параметры!AO$109,Параметры!AO$118),AO$596*CHOOSE($C$586,1,Параметры!AO$109,Параметры!AO$118),AO$610*CHOOSE($C$600,1,Параметры!AO$109,Параметры!AO$118),AO$624*CHOOSE($C$614,1,Параметры!AO$109,Параметры!AO$118),AO$638*CHOOSE($C$628,1,Параметры!AO$109,Параметры!AO$118))</f>
        <v>6.5483618527650831E-13</v>
      </c>
      <c r="AP646" s="82">
        <f ca="1">SUM(AP$568*CHOOSE($C$558,1,Параметры!AP$109,Параметры!AP$118),AP$582*CHOOSE($C$572,1,Параметры!AP$109,Параметры!AP$118),AP$596*CHOOSE($C$586,1,Параметры!AP$109,Параметры!AP$118),AP$610*CHOOSE($C$600,1,Параметры!AP$109,Параметры!AP$118),AP$624*CHOOSE($C$614,1,Параметры!AP$109,Параметры!AP$118),AP$638*CHOOSE($C$628,1,Параметры!AP$109,Параметры!AP$118))</f>
        <v>6.5483618527650831E-13</v>
      </c>
      <c r="AQ646" s="82">
        <f ca="1">SUM(AQ$568*CHOOSE($C$558,1,Параметры!AQ$109,Параметры!AQ$118),AQ$582*CHOOSE($C$572,1,Параметры!AQ$109,Параметры!AQ$118),AQ$596*CHOOSE($C$586,1,Параметры!AQ$109,Параметры!AQ$118),AQ$610*CHOOSE($C$600,1,Параметры!AQ$109,Параметры!AQ$118),AQ$624*CHOOSE($C$614,1,Параметры!AQ$109,Параметры!AQ$118),AQ$638*CHOOSE($C$628,1,Параметры!AQ$109,Параметры!AQ$118))</f>
        <v>6.5483618527650831E-13</v>
      </c>
      <c r="AR646" s="82">
        <f ca="1">SUM(AR$568*CHOOSE($C$558,1,Параметры!AR$109,Параметры!AR$118),AR$582*CHOOSE($C$572,1,Параметры!AR$109,Параметры!AR$118),AR$596*CHOOSE($C$586,1,Параметры!AR$109,Параметры!AR$118),AR$610*CHOOSE($C$600,1,Параметры!AR$109,Параметры!AR$118),AR$624*CHOOSE($C$614,1,Параметры!AR$109,Параметры!AR$118),AR$638*CHOOSE($C$628,1,Параметры!AR$109,Параметры!AR$118))</f>
        <v>6.5483618527650831E-13</v>
      </c>
      <c r="AS646" s="1"/>
      <c r="AT646" s="100">
        <f ca="1">SUM(E646:AS646)</f>
        <v>1203996.7024839048</v>
      </c>
    </row>
    <row r="647" spans="1:46" s="169" customFormat="1" ht="11.25" customHeight="1" outlineLevel="1" x14ac:dyDescent="0.2">
      <c r="A647" s="146" t="s">
        <v>1004</v>
      </c>
      <c r="B647" s="1006">
        <f ca="1">SUM(E647:AR647)/COUNTIF(E647:AR647,"&gt;0")</f>
        <v>8.4197013538173215E-2</v>
      </c>
      <c r="C647" s="2" t="str">
        <f>Параметры!$B$64</f>
        <v>тыс. руб.</v>
      </c>
      <c r="D647" s="40"/>
      <c r="E647" s="425">
        <f t="shared" ref="E647:AR647" ca="1" si="472">IFERROR((E646+E94)/((E98+E649))*4,0)</f>
        <v>8.0000000000000016E-2</v>
      </c>
      <c r="F647" s="425">
        <f t="shared" ca="1" si="472"/>
        <v>0.08</v>
      </c>
      <c r="G647" s="425">
        <f t="shared" ca="1" si="472"/>
        <v>7.9999999999999988E-2</v>
      </c>
      <c r="H647" s="425">
        <f t="shared" ca="1" si="472"/>
        <v>7.9999999999999974E-2</v>
      </c>
      <c r="I647" s="425">
        <f t="shared" ca="1" si="472"/>
        <v>8.0316348988530781E-2</v>
      </c>
      <c r="J647" s="425">
        <f t="shared" ca="1" si="472"/>
        <v>8.1164640878028785E-2</v>
      </c>
      <c r="K647" s="425">
        <f t="shared" ca="1" si="472"/>
        <v>8.2113066935553911E-2</v>
      </c>
      <c r="L647" s="425">
        <f t="shared" ca="1" si="472"/>
        <v>8.2533211820573854E-2</v>
      </c>
      <c r="M647" s="425">
        <f t="shared" ca="1" si="472"/>
        <v>8.3328246294631703E-2</v>
      </c>
      <c r="N647" s="425">
        <f t="shared" ca="1" si="472"/>
        <v>8.4547867205139626E-2</v>
      </c>
      <c r="O647" s="425">
        <f t="shared" ca="1" si="472"/>
        <v>8.5736580615701372E-2</v>
      </c>
      <c r="P647" s="425">
        <f t="shared" ca="1" si="472"/>
        <v>8.6255443452881442E-2</v>
      </c>
      <c r="Q647" s="425">
        <f t="shared" ca="1" si="472"/>
        <v>8.6545594540431647E-2</v>
      </c>
      <c r="R647" s="425">
        <f t="shared" ca="1" si="472"/>
        <v>8.7128612441954925E-2</v>
      </c>
      <c r="S647" s="425">
        <f t="shared" ca="1" si="472"/>
        <v>8.7608018019108946E-2</v>
      </c>
      <c r="T647" s="425">
        <f t="shared" ca="1" si="472"/>
        <v>8.7809946231096642E-2</v>
      </c>
      <c r="U647" s="425">
        <f t="shared" ca="1" si="472"/>
        <v>8.7819713776719072E-2</v>
      </c>
      <c r="V647" s="425">
        <f t="shared" ca="1" si="472"/>
        <v>8.7830398931928386E-2</v>
      </c>
      <c r="W647" s="425">
        <f t="shared" ca="1" si="472"/>
        <v>8.7842164767748615E-2</v>
      </c>
      <c r="X647" s="425">
        <f t="shared" ca="1" si="472"/>
        <v>8.7855216106310807E-2</v>
      </c>
      <c r="Y647" s="425">
        <f t="shared" ca="1" si="472"/>
        <v>8.7869813797964588E-2</v>
      </c>
      <c r="Z647" s="425">
        <f t="shared" ca="1" si="472"/>
        <v>8.7886295286839611E-2</v>
      </c>
      <c r="AA647" s="425">
        <f t="shared" ca="1" si="472"/>
        <v>8.7905104952286831E-2</v>
      </c>
      <c r="AB647" s="425">
        <f t="shared" ca="1" si="472"/>
        <v>8.7926840114153373E-2</v>
      </c>
      <c r="AC647" s="425">
        <f t="shared" ca="1" si="472"/>
        <v>8.717042669340723E-2</v>
      </c>
      <c r="AD647" s="425">
        <f t="shared" ca="1" si="472"/>
        <v>8.7197832917106741E-2</v>
      </c>
      <c r="AE647" s="425">
        <f t="shared" ca="1" si="472"/>
        <v>8.7231204556805483E-2</v>
      </c>
      <c r="AF647" s="425">
        <f t="shared" ca="1" si="472"/>
        <v>8.7272884511157708E-2</v>
      </c>
      <c r="AG647" s="425">
        <f t="shared" ca="1" si="472"/>
        <v>0.08</v>
      </c>
      <c r="AH647" s="425">
        <f t="shared" ca="1" si="472"/>
        <v>0.08</v>
      </c>
      <c r="AI647" s="425">
        <f t="shared" ca="1" si="472"/>
        <v>0.08</v>
      </c>
      <c r="AJ647" s="425">
        <f t="shared" ca="1" si="472"/>
        <v>0.08</v>
      </c>
      <c r="AK647" s="425">
        <f t="shared" ca="1" si="472"/>
        <v>8.0000000000000016E-2</v>
      </c>
      <c r="AL647" s="425">
        <f t="shared" ca="1" si="472"/>
        <v>7.9999999999999988E-2</v>
      </c>
      <c r="AM647" s="425">
        <f t="shared" ca="1" si="472"/>
        <v>0.08</v>
      </c>
      <c r="AN647" s="425">
        <f t="shared" ca="1" si="472"/>
        <v>0</v>
      </c>
      <c r="AO647" s="425">
        <f t="shared" ca="1" si="472"/>
        <v>0</v>
      </c>
      <c r="AP647" s="425">
        <f t="shared" ca="1" si="472"/>
        <v>0</v>
      </c>
      <c r="AQ647" s="425">
        <f t="shared" ca="1" si="472"/>
        <v>0</v>
      </c>
      <c r="AR647" s="425">
        <f t="shared" ca="1" si="472"/>
        <v>0</v>
      </c>
      <c r="AS647" s="15"/>
      <c r="AT647" s="103"/>
    </row>
    <row r="648" spans="1:46" s="60" customFormat="1" ht="11.25" customHeight="1" outlineLevel="1" x14ac:dyDescent="0.2">
      <c r="A648" s="63" t="s">
        <v>179</v>
      </c>
      <c r="B648" s="29"/>
      <c r="C648" s="266" t="str">
        <f>Параметры!$B$64</f>
        <v>тыс. руб.</v>
      </c>
      <c r="D648" s="40"/>
      <c r="E648" s="82">
        <f ca="1">SUM(E$569*CHOOSE($C$558,1,Параметры!E$109,Параметры!E$118),E$583*CHOOSE($C$572,1,Параметры!E$109,Параметры!E$118),E$597*CHOOSE($C$586,1,Параметры!E$109,Параметры!E$118),E$611*CHOOSE($C$600,1,Параметры!E$109,Параметры!E$118),E$625*CHOOSE($C$614,1,Параметры!E$109,Параметры!E$118),E$639*CHOOSE($C$628,1,Параметры!E$109,Параметры!E$118))</f>
        <v>256.39999999999998</v>
      </c>
      <c r="F648" s="82">
        <f ca="1">SUM(F$569*CHOOSE($C$558,1,Параметры!F$109,Параметры!F$118),F$583*CHOOSE($C$572,1,Параметры!F$109,Параметры!F$118),F$597*CHOOSE($C$586,1,Параметры!F$109,Параметры!F$118),F$611*CHOOSE($C$600,1,Параметры!F$109,Параметры!F$118),F$625*CHOOSE($C$614,1,Параметры!F$109,Параметры!F$118),F$639*CHOOSE($C$628,1,Параметры!F$109,Параметры!F$118))</f>
        <v>1025.5999999999999</v>
      </c>
      <c r="G648" s="82">
        <f ca="1">SUM(G$569*CHOOSE($C$558,1,Параметры!G$109,Параметры!G$118),G$583*CHOOSE($C$572,1,Параметры!G$109,Параметры!G$118),G$597*CHOOSE($C$586,1,Параметры!G$109,Параметры!G$118),G$611*CHOOSE($C$600,1,Параметры!G$109,Параметры!G$118),G$625*CHOOSE($C$614,1,Параметры!G$109,Параметры!G$118),G$639*CHOOSE($C$628,1,Параметры!G$109,Параметры!G$118))</f>
        <v>2307.6</v>
      </c>
      <c r="H648" s="82">
        <f ca="1">SUM(H$569*CHOOSE($C$558,1,Параметры!H$109,Параметры!H$118),H$583*CHOOSE($C$572,1,Параметры!H$109,Параметры!H$118),H$597*CHOOSE($C$586,1,Параметры!H$109,Параметры!H$118),H$611*CHOOSE($C$600,1,Параметры!H$109,Параметры!H$118),H$625*CHOOSE($C$614,1,Параметры!H$109,Параметры!H$118),H$639*CHOOSE($C$628,1,Параметры!H$109,Параметры!H$118))</f>
        <v>3743.4399999999996</v>
      </c>
      <c r="I648" s="82">
        <f ca="1">SUM(I$569*CHOOSE($C$558,1,Параметры!I$109,Параметры!I$118),I$583*CHOOSE($C$572,1,Параметры!I$109,Параметры!I$118),I$597*CHOOSE($C$586,1,Параметры!I$109,Параметры!I$118),I$611*CHOOSE($C$600,1,Параметры!I$109,Параметры!I$118),I$625*CHOOSE($C$614,1,Параметры!I$109,Параметры!I$118),I$639*CHOOSE($C$628,1,Параметры!I$109,Параметры!I$118))</f>
        <v>5187.4115914382373</v>
      </c>
      <c r="J648" s="82">
        <f ca="1">SUM(J$569*CHOOSE($C$558,1,Параметры!J$109,Параметры!J$118),J$583*CHOOSE($C$572,1,Параметры!J$109,Параметры!J$118),J$597*CHOOSE($C$586,1,Параметры!J$109,Параметры!J$118),J$611*CHOOSE($C$600,1,Параметры!J$109,Параметры!J$118),J$625*CHOOSE($C$614,1,Параметры!J$109,Параметры!J$118),J$639*CHOOSE($C$628,1,Параметры!J$109,Параметры!J$118))</f>
        <v>8135.188235889309</v>
      </c>
      <c r="K648" s="82">
        <f ca="1">SUM(K$569*CHOOSE($C$558,1,Параметры!K$109,Параметры!K$118),K$583*CHOOSE($C$572,1,Параметры!K$109,Параметры!K$118),K$597*CHOOSE($C$586,1,Параметры!K$109,Параметры!K$118),K$611*CHOOSE($C$600,1,Параметры!K$109,Параметры!K$118),K$625*CHOOSE($C$614,1,Параметры!K$109,Параметры!K$118),K$639*CHOOSE($C$628,1,Параметры!K$109,Параметры!K$118))</f>
        <v>12023.49060669107</v>
      </c>
      <c r="L648" s="82">
        <f ca="1">SUM(L$569*CHOOSE($C$558,1,Параметры!L$109,Параметры!L$118),L$583*CHOOSE($C$572,1,Параметры!L$109,Параметры!L$118),L$597*CHOOSE($C$586,1,Параметры!L$109,Параметры!L$118),L$611*CHOOSE($C$600,1,Параметры!L$109,Параметры!L$118),L$625*CHOOSE($C$614,1,Параметры!L$109,Параметры!L$118),L$639*CHOOSE($C$628,1,Параметры!L$109,Параметры!L$118))</f>
        <v>13997.582304831649</v>
      </c>
      <c r="M648" s="82">
        <f ca="1">SUM(M$569*CHOOSE($C$558,1,Параметры!M$109,Параметры!M$118),M$583*CHOOSE($C$572,1,Параметры!M$109,Параметры!M$118),M$597*CHOOSE($C$586,1,Параметры!M$109,Параметры!M$118),M$611*CHOOSE($C$600,1,Параметры!M$109,Параметры!M$118),M$625*CHOOSE($C$614,1,Параметры!M$109,Параметры!M$118),M$639*CHOOSE($C$628,1,Параметры!M$109,Параметры!M$118))</f>
        <v>17860.065480566293</v>
      </c>
      <c r="N648" s="82">
        <f ca="1">SUM(N$569*CHOOSE($C$558,1,Параметры!N$109,Параметры!N$118),N$583*CHOOSE($C$572,1,Параметры!N$109,Параметры!N$118),N$597*CHOOSE($C$586,1,Параметры!N$109,Параметры!N$118),N$611*CHOOSE($C$600,1,Параметры!N$109,Параметры!N$118),N$625*CHOOSE($C$614,1,Параметры!N$109,Параметры!N$118),N$639*CHOOSE($C$628,1,Параметры!N$109,Параметры!N$118))</f>
        <v>26000.150247194619</v>
      </c>
      <c r="O648" s="82">
        <f ca="1">SUM(O$569*CHOOSE($C$558,1,Параметры!O$109,Параметры!O$118),O$583*CHOOSE($C$572,1,Параметры!O$109,Параметры!O$118),O$597*CHOOSE($C$586,1,Параметры!O$109,Параметры!O$118),O$611*CHOOSE($C$600,1,Параметры!O$109,Параметры!O$118),O$625*CHOOSE($C$614,1,Параметры!O$109,Параметры!O$118),O$639*CHOOSE($C$628,1,Параметры!O$109,Параметры!O$118))</f>
        <v>37979.935685265191</v>
      </c>
      <c r="P648" s="82">
        <f ca="1">SUM(P$569*CHOOSE($C$558,1,Параметры!P$109,Параметры!P$118),P$583*CHOOSE($C$572,1,Параметры!P$109,Параметры!P$118),P$597*CHOOSE($C$586,1,Параметры!P$109,Параметры!P$118),P$611*CHOOSE($C$600,1,Параметры!P$109,Параметры!P$118),P$625*CHOOSE($C$614,1,Параметры!P$109,Параметры!P$118),P$639*CHOOSE($C$628,1,Параметры!P$109,Параметры!P$118))</f>
        <v>44563.098582851089</v>
      </c>
      <c r="Q648" s="82">
        <f ca="1">SUM(Q$569*CHOOSE($C$558,1,Параметры!Q$109,Параметры!Q$118),Q$583*CHOOSE($C$572,1,Параметры!Q$109,Параметры!Q$118),Q$597*CHOOSE($C$586,1,Параметры!Q$109,Параметры!Q$118),Q$611*CHOOSE($C$600,1,Параметры!Q$109,Параметры!Q$118),Q$625*CHOOSE($C$614,1,Параметры!Q$109,Параметры!Q$118),Q$639*CHOOSE($C$628,1,Параметры!Q$109,Параметры!Q$118))</f>
        <v>48207.391978673943</v>
      </c>
      <c r="R648" s="82">
        <f ca="1">SUM(R$569*CHOOSE($C$558,1,Параметры!R$109,Параметры!R$118),R$583*CHOOSE($C$572,1,Параметры!R$109,Параметры!R$118),R$597*CHOOSE($C$586,1,Параметры!R$109,Параметры!R$118),R$611*CHOOSE($C$600,1,Параметры!R$109,Параметры!R$118),R$625*CHOOSE($C$614,1,Параметры!R$109,Параметры!R$118),R$639*CHOOSE($C$628,1,Параметры!R$109,Параметры!R$118))</f>
        <v>59577.940740673403</v>
      </c>
      <c r="S648" s="82">
        <f ca="1">SUM(S$569*CHOOSE($C$558,1,Параметры!S$109,Параметры!S$118),S$583*CHOOSE($C$572,1,Параметры!S$109,Параметры!S$118),S$597*CHOOSE($C$586,1,Параметры!S$109,Параметры!S$118),S$611*CHOOSE($C$600,1,Параметры!S$109,Параметры!S$118),S$625*CHOOSE($C$614,1,Параметры!S$109,Параметры!S$118),S$639*CHOOSE($C$628,1,Параметры!S$109,Параметры!S$118))</f>
        <v>72223.067969054129</v>
      </c>
      <c r="T648" s="82">
        <f ca="1">SUM(T$569*CHOOSE($C$558,1,Параметры!T$109,Параметры!T$118),T$583*CHOOSE($C$572,1,Параметры!T$109,Параметры!T$118),T$597*CHOOSE($C$586,1,Параметры!T$109,Параметры!T$118),T$611*CHOOSE($C$600,1,Параметры!T$109,Параметры!T$118),T$625*CHOOSE($C$614,1,Параметры!T$109,Параметры!T$118),T$639*CHOOSE($C$628,1,Параметры!T$109,Параметры!T$118))</f>
        <v>77091.647121138842</v>
      </c>
      <c r="U648" s="82">
        <f ca="1">SUM(U$569*CHOOSE($C$558,1,Параметры!U$109,Параметры!U$118),U$583*CHOOSE($C$572,1,Параметры!U$109,Параметры!U$118),U$597*CHOOSE($C$586,1,Параметры!U$109,Параметры!U$118),U$611*CHOOSE($C$600,1,Параметры!U$109,Параметры!U$118),U$625*CHOOSE($C$614,1,Параметры!U$109,Параметры!U$118),U$639*CHOOSE($C$628,1,Параметры!U$109,Параметры!U$118))</f>
        <v>73993.389732194861</v>
      </c>
      <c r="V648" s="82">
        <f ca="1">SUM(V$569*CHOOSE($C$558,1,Параметры!V$109,Параметры!V$118),V$583*CHOOSE($C$572,1,Параметры!V$109,Параметры!V$118),V$597*CHOOSE($C$586,1,Параметры!V$109,Параметры!V$118),V$611*CHOOSE($C$600,1,Параметры!V$109,Параметры!V$118),V$625*CHOOSE($C$614,1,Параметры!V$109,Параметры!V$118),V$639*CHOOSE($C$628,1,Параметры!V$109,Параметры!V$118))</f>
        <v>70825.790573610007</v>
      </c>
      <c r="W648" s="82">
        <f ca="1">SUM(W$569*CHOOSE($C$558,1,Параметры!W$109,Параметры!W$118),W$583*CHOOSE($C$572,1,Параметры!W$109,Параметры!W$118),W$597*CHOOSE($C$586,1,Параметры!W$109,Параметры!W$118),W$611*CHOOSE($C$600,1,Параметры!W$109,Параметры!W$118),W$625*CHOOSE($C$614,1,Параметры!W$109,Параметры!W$118),W$639*CHOOSE($C$628,1,Параметры!W$109,Параметры!W$118))</f>
        <v>67587.296835999528</v>
      </c>
      <c r="X648" s="82">
        <f ca="1">SUM(X$569*CHOOSE($C$558,1,Параметры!X$109,Параметры!X$118),X$583*CHOOSE($C$572,1,Параметры!X$109,Параметры!X$118),X$597*CHOOSE($C$586,1,Параметры!X$109,Параметры!X$118),X$611*CHOOSE($C$600,1,Параметры!X$109,Параметры!X$118),X$625*CHOOSE($C$614,1,Параметры!X$109,Параметры!X$118),X$639*CHOOSE($C$628,1,Параметры!X$109,Параметры!X$118))</f>
        <v>64276.320919376245</v>
      </c>
      <c r="Y648" s="82">
        <f ca="1">SUM(Y$569*CHOOSE($C$558,1,Параметры!Y$109,Параметры!Y$118),Y$583*CHOOSE($C$572,1,Параметры!Y$109,Параметры!Y$118),Y$597*CHOOSE($C$586,1,Параметры!Y$109,Параметры!Y$118),Y$611*CHOOSE($C$600,1,Параметры!Y$109,Параметры!Y$118),Y$625*CHOOSE($C$614,1,Параметры!Y$109,Параметры!Y$118),Y$639*CHOOSE($C$628,1,Параметры!Y$109,Параметры!Y$118))</f>
        <v>60891.239653314005</v>
      </c>
      <c r="Z648" s="82">
        <f ca="1">SUM(Z$569*CHOOSE($C$558,1,Параметры!Z$109,Параметры!Z$118),Z$583*CHOOSE($C$572,1,Параметры!Z$109,Параметры!Z$118),Z$597*CHOOSE($C$586,1,Параметры!Z$109,Параметры!Z$118),Z$611*CHOOSE($C$600,1,Параметры!Z$109,Параметры!Z$118),Z$625*CHOOSE($C$614,1,Параметры!Z$109,Параметры!Z$118),Z$639*CHOOSE($C$628,1,Параметры!Z$109,Параметры!Z$118))</f>
        <v>57430.393499624144</v>
      </c>
      <c r="AA648" s="82">
        <f ca="1">SUM(AA$569*CHOOSE($C$558,1,Параметры!AA$109,Параметры!AA$118),AA$583*CHOOSE($C$572,1,Параметры!AA$109,Параметры!AA$118),AA$597*CHOOSE($C$586,1,Параметры!AA$109,Параметры!AA$118),AA$611*CHOOSE($C$600,1,Параметры!AA$109,Параметры!AA$118),AA$625*CHOOSE($C$614,1,Параметры!AA$109,Параметры!AA$118),AA$639*CHOOSE($C$628,1,Параметры!AA$109,Параметры!AA$118))</f>
        <v>53892.085737152229</v>
      </c>
      <c r="AB648" s="82">
        <f ca="1">SUM(AB$569*CHOOSE($C$558,1,Параметры!AB$109,Параметры!AB$118),AB$583*CHOOSE($C$572,1,Параметры!AB$109,Параметры!AB$118),AB$597*CHOOSE($C$586,1,Параметры!AB$109,Параметры!AB$118),AB$611*CHOOSE($C$600,1,Параметры!AB$109,Параметры!AB$118),AB$625*CHOOSE($C$614,1,Параметры!AB$109,Параметры!AB$118),AB$639*CHOOSE($C$628,1,Параметры!AB$109,Параметры!AB$118))</f>
        <v>50274.581628294152</v>
      </c>
      <c r="AC648" s="82">
        <f ca="1">SUM(AC$569*CHOOSE($C$558,1,Параметры!AC$109,Параметры!AC$118),AC$583*CHOOSE($C$572,1,Параметры!AC$109,Параметры!AC$118),AC$597*CHOOSE($C$586,1,Параметры!AC$109,Параметры!AC$118),AC$611*CHOOSE($C$600,1,Параметры!AC$109,Параметры!AC$118),AC$625*CHOOSE($C$614,1,Параметры!AC$109,Параметры!AC$118),AC$639*CHOOSE($C$628,1,Параметры!AC$109,Параметры!AC$118))</f>
        <v>46090.725398947834</v>
      </c>
      <c r="AD648" s="82">
        <f ca="1">SUM(AD$569*CHOOSE($C$558,1,Параметры!AD$109,Параметры!AD$118),AD$583*CHOOSE($C$572,1,Параметры!AD$109,Параметры!AD$118),AD$597*CHOOSE($C$586,1,Параметры!AD$109,Параметры!AD$118),AD$611*CHOOSE($C$600,1,Параметры!AD$109,Параметры!AD$118),AD$625*CHOOSE($C$614,1,Параметры!AD$109,Параметры!AD$118),AD$639*CHOOSE($C$628,1,Параметры!AD$109,Параметры!AD$118))</f>
        <v>42348.850242560453</v>
      </c>
      <c r="AE648" s="82">
        <f ca="1">SUM(AE$569*CHOOSE($C$558,1,Параметры!AE$109,Параметры!AE$118),AE$583*CHOOSE($C$572,1,Параметры!AE$109,Параметры!AE$118),AE$597*CHOOSE($C$586,1,Параметры!AE$109,Параметры!AE$118),AE$611*CHOOSE($C$600,1,Параметры!AE$109,Параметры!AE$118),AE$625*CHOOSE($C$614,1,Параметры!AE$109,Параметры!AE$118),AE$639*CHOOSE($C$628,1,Параметры!AE$109,Параметры!AE$118))</f>
        <v>38523.223910138549</v>
      </c>
      <c r="AF648" s="82">
        <f ca="1">SUM(AF$569*CHOOSE($C$558,1,Параметры!AF$109,Параметры!AF$118),AF$583*CHOOSE($C$572,1,Параметры!AF$109,Параметры!AF$118),AF$597*CHOOSE($C$586,1,Параметры!AF$109,Параметры!AF$118),AF$611*CHOOSE($C$600,1,Параметры!AF$109,Параметры!AF$118),AF$625*CHOOSE($C$614,1,Параметры!AF$109,Параметры!AF$118),AF$639*CHOOSE($C$628,1,Параметры!AF$109,Параметры!AF$118))</f>
        <v>34611.970820521026</v>
      </c>
      <c r="AG648" s="82">
        <f ca="1">SUM(AG$569*CHOOSE($C$558,1,Параметры!AG$109,Параметры!AG$118),AG$583*CHOOSE($C$572,1,Параметры!AG$109,Параметры!AG$118),AG$597*CHOOSE($C$586,1,Параметры!AG$109,Параметры!AG$118),AG$611*CHOOSE($C$600,1,Параметры!AG$109,Параметры!AG$118),AG$625*CHOOSE($C$614,1,Параметры!AG$109,Параметры!AG$118),AG$639*CHOOSE($C$628,1,Параметры!AG$109,Параметры!AG$118))</f>
        <v>27656.066376364779</v>
      </c>
      <c r="AH648" s="82">
        <f ca="1">SUM(AH$569*CHOOSE($C$558,1,Параметры!AH$109,Параметры!AH$118),AH$583*CHOOSE($C$572,1,Параметры!AH$109,Параметры!AH$118),AH$597*CHOOSE($C$586,1,Параметры!AH$109,Параметры!AH$118),AH$611*CHOOSE($C$600,1,Параметры!AH$109,Параметры!AH$118),AH$625*CHOOSE($C$614,1,Параметры!AH$109,Параметры!AH$118),AH$639*CHOOSE($C$628,1,Параметры!AH$109,Параметры!AH$118))</f>
        <v>23962.538504048429</v>
      </c>
      <c r="AI648" s="82">
        <f ca="1">SUM(AI$569*CHOOSE($C$558,1,Параметры!AI$109,Параметры!AI$118),AI$583*CHOOSE($C$572,1,Параметры!AI$109,Параметры!AI$118),AI$597*CHOOSE($C$586,1,Параметры!AI$109,Параметры!AI$118),AI$611*CHOOSE($C$600,1,Параметры!AI$109,Параметры!AI$118),AI$625*CHOOSE($C$614,1,Параметры!AI$109,Параметры!AI$118),AI$639*CHOOSE($C$628,1,Параметры!AI$109,Параметры!AI$118))</f>
        <v>20186.383623406895</v>
      </c>
      <c r="AJ648" s="82">
        <f ca="1">SUM(AJ$569*CHOOSE($C$558,1,Параметры!AJ$109,Параметры!AJ$118),AJ$583*CHOOSE($C$572,1,Параметры!AJ$109,Параметры!AJ$118),AJ$597*CHOOSE($C$586,1,Параметры!AJ$109,Параметры!AJ$118),AJ$611*CHOOSE($C$600,1,Параметры!AJ$109,Параметры!AJ$118),AJ$625*CHOOSE($C$614,1,Параметры!AJ$109,Параметры!AJ$118),AJ$639*CHOOSE($C$628,1,Параметры!AJ$109,Параметры!AJ$118))</f>
        <v>16325.752174128897</v>
      </c>
      <c r="AK648" s="82">
        <f ca="1">SUM(AK$569*CHOOSE($C$558,1,Параметры!AK$109,Параметры!AK$118),AK$583*CHOOSE($C$572,1,Параметры!AK$109,Параметры!AK$118),AK$597*CHOOSE($C$586,1,Параметры!AK$109,Параметры!AK$118),AK$611*CHOOSE($C$600,1,Параметры!AK$109,Параметры!AK$118),AK$625*CHOOSE($C$614,1,Параметры!AK$109,Параметры!AK$118),AK$639*CHOOSE($C$628,1,Параметры!AK$109,Параметры!AK$118))</f>
        <v>12378.753171743672</v>
      </c>
      <c r="AL648" s="82">
        <f ca="1">SUM(AL$569*CHOOSE($C$558,1,Параметры!AL$109,Параметры!AL$118),AL$583*CHOOSE($C$572,1,Параметры!AL$109,Параметры!AL$118),AL$597*CHOOSE($C$586,1,Параметры!AL$109,Параметры!AL$118),AL$611*CHOOSE($C$600,1,Параметры!AL$109,Параметры!AL$118),AL$625*CHOOSE($C$614,1,Параметры!AL$109,Параметры!AL$118),AL$639*CHOOSE($C$628,1,Параметры!AL$109,Параметры!AL$118))</f>
        <v>8343.4532793963353</v>
      </c>
      <c r="AM648" s="82">
        <f ca="1">SUM(AM$569*CHOOSE($C$558,1,Параметры!AM$109,Параметры!AM$118),AM$583*CHOOSE($C$572,1,Параметры!AM$109,Параметры!AM$118),AM$597*CHOOSE($C$586,1,Параметры!AM$109,Параметры!AM$118),AM$611*CHOOSE($C$600,1,Параметры!AM$109,Параметры!AM$118),AM$625*CHOOSE($C$614,1,Параметры!AM$109,Параметры!AM$118),AM$639*CHOOSE($C$628,1,Параметры!AM$109,Параметры!AM$118))</f>
        <v>4217.8758588145829</v>
      </c>
      <c r="AN648" s="82">
        <f ca="1">SUM(AN$569*CHOOSE($C$558,1,Параметры!AN$109,Параметры!AN$118),AN$583*CHOOSE($C$572,1,Параметры!AN$109,Параметры!AN$118),AN$597*CHOOSE($C$586,1,Параметры!AN$109,Параметры!AN$118),AN$611*CHOOSE($C$600,1,Параметры!AN$109,Параметры!AN$118),AN$625*CHOOSE($C$614,1,Параметры!AN$109,Параметры!AN$118),AN$639*CHOOSE($C$628,1,Параметры!AN$109,Параметры!AN$118))</f>
        <v>6.5483618527650831E-13</v>
      </c>
      <c r="AO648" s="82">
        <f ca="1">SUM(AO$569*CHOOSE($C$558,1,Параметры!AO$109,Параметры!AO$118),AO$583*CHOOSE($C$572,1,Параметры!AO$109,Параметры!AO$118),AO$597*CHOOSE($C$586,1,Параметры!AO$109,Параметры!AO$118),AO$611*CHOOSE($C$600,1,Параметры!AO$109,Параметры!AO$118),AO$625*CHOOSE($C$614,1,Параметры!AO$109,Параметры!AO$118),AO$639*CHOOSE($C$628,1,Параметры!AO$109,Параметры!AO$118))</f>
        <v>6.5483618527650831E-13</v>
      </c>
      <c r="AP648" s="82">
        <f ca="1">SUM(AP$569*CHOOSE($C$558,1,Параметры!AP$109,Параметры!AP$118),AP$583*CHOOSE($C$572,1,Параметры!AP$109,Параметры!AP$118),AP$597*CHOOSE($C$586,1,Параметры!AP$109,Параметры!AP$118),AP$611*CHOOSE($C$600,1,Параметры!AP$109,Параметры!AP$118),AP$625*CHOOSE($C$614,1,Параметры!AP$109,Параметры!AP$118),AP$639*CHOOSE($C$628,1,Параметры!AP$109,Параметры!AP$118))</f>
        <v>6.5483618527650831E-13</v>
      </c>
      <c r="AQ648" s="82">
        <f ca="1">SUM(AQ$569*CHOOSE($C$558,1,Параметры!AQ$109,Параметры!AQ$118),AQ$583*CHOOSE($C$572,1,Параметры!AQ$109,Параметры!AQ$118),AQ$597*CHOOSE($C$586,1,Параметры!AQ$109,Параметры!AQ$118),AQ$611*CHOOSE($C$600,1,Параметры!AQ$109,Параметры!AQ$118),AQ$625*CHOOSE($C$614,1,Параметры!AQ$109,Параметры!AQ$118),AQ$639*CHOOSE($C$628,1,Параметры!AQ$109,Параметры!AQ$118))</f>
        <v>6.5483618527650831E-13</v>
      </c>
      <c r="AR648" s="82">
        <f ca="1">SUM(AR$569*CHOOSE($C$558,1,Параметры!AR$109,Параметры!AR$118),AR$583*CHOOSE($C$572,1,Параметры!AR$109,Параметры!AR$118),AR$597*CHOOSE($C$586,1,Параметры!AR$109,Параметры!AR$118),AR$611*CHOOSE($C$600,1,Параметры!AR$109,Параметры!AR$118),AR$625*CHOOSE($C$614,1,Параметры!AR$109,Параметры!AR$118),AR$639*CHOOSE($C$628,1,Параметры!AR$109,Параметры!AR$118))</f>
        <v>6.5483618527650831E-13</v>
      </c>
      <c r="AS648" s="1"/>
      <c r="AT648" s="100">
        <f ca="1">SUM(E648:AS648)</f>
        <v>1203996.7024839048</v>
      </c>
    </row>
    <row r="649" spans="1:46" s="60" customFormat="1" ht="11.25" customHeight="1" outlineLevel="1" x14ac:dyDescent="0.2">
      <c r="A649" s="63" t="s">
        <v>180</v>
      </c>
      <c r="B649" s="29"/>
      <c r="C649" s="266" t="str">
        <f>Параметры!$B$64</f>
        <v>тыс. руб.</v>
      </c>
      <c r="D649" s="40"/>
      <c r="E649" s="82">
        <f ca="1">SUM(E$567*CHOOSE($C$558,1,Параметры!E$109,Параметры!E$118),E$581*CHOOSE($C$572,1,Параметры!E$109,Параметры!E$118),E$595*CHOOSE($C$586,1,Параметры!E$109,Параметры!E$118),E$609*CHOOSE($C$600,1,Параметры!E$109,Параметры!E$118),E$623*CHOOSE($C$614,1,Параметры!E$109,Параметры!E$118),E$637*CHOOSE($C$628,1,Параметры!E$109,Параметры!E$118))</f>
        <v>12820</v>
      </c>
      <c r="F649" s="82">
        <f ca="1">SUM(F$567*CHOOSE($C$558,1,Параметры!F$109,Параметры!F$118),F$581*CHOOSE($C$572,1,Параметры!F$109,Параметры!F$118),F$595*CHOOSE($C$586,1,Параметры!F$109,Параметры!F$118),F$609*CHOOSE($C$600,1,Параметры!F$109,Параметры!F$118),F$623*CHOOSE($C$614,1,Параметры!F$109,Параметры!F$118),F$637*CHOOSE($C$628,1,Параметры!F$109,Параметры!F$118))</f>
        <v>51280</v>
      </c>
      <c r="G649" s="82">
        <f ca="1">SUM(G$567*CHOOSE($C$558,1,Параметры!G$109,Параметры!G$118),G$581*CHOOSE($C$572,1,Параметры!G$109,Параметры!G$118),G$595*CHOOSE($C$586,1,Параметры!G$109,Параметры!G$118),G$609*CHOOSE($C$600,1,Параметры!G$109,Параметры!G$118),G$623*CHOOSE($C$614,1,Параметры!G$109,Параметры!G$118),G$637*CHOOSE($C$628,1,Параметры!G$109,Параметры!G$118))</f>
        <v>115380</v>
      </c>
      <c r="H649" s="82">
        <f ca="1">SUM(H$567*CHOOSE($C$558,1,Параметры!H$109,Параметры!H$118),H$581*CHOOSE($C$572,1,Параметры!H$109,Параметры!H$118),H$595*CHOOSE($C$586,1,Параметры!H$109,Параметры!H$118),H$609*CHOOSE($C$600,1,Параметры!H$109,Параметры!H$118),H$623*CHOOSE($C$614,1,Параметры!H$109,Параметры!H$118),H$637*CHOOSE($C$628,1,Параметры!H$109,Параметры!H$118))</f>
        <v>187172</v>
      </c>
      <c r="I649" s="82">
        <f ca="1">SUM(I$567*CHOOSE($C$558,1,Параметры!I$109,Параметры!I$118),I$581*CHOOSE($C$572,1,Параметры!I$109,Параметры!I$118),I$595*CHOOSE($C$586,1,Параметры!I$109,Параметры!I$118),I$609*CHOOSE($C$600,1,Параметры!I$109,Параметры!I$118),I$623*CHOOSE($C$614,1,Параметры!I$109,Параметры!I$118),I$637*CHOOSE($C$628,1,Параметры!I$109,Параметры!I$118))</f>
        <v>254120.57957191186</v>
      </c>
      <c r="J649" s="82">
        <f ca="1">SUM(J$567*CHOOSE($C$558,1,Параметры!J$109,Параметры!J$118),J$581*CHOOSE($C$572,1,Параметры!J$109,Параметры!J$118),J$595*CHOOSE($C$586,1,Параметры!J$109,Параметры!J$118),J$609*CHOOSE($C$600,1,Параметры!J$109,Параметры!J$118),J$623*CHOOSE($C$614,1,Параметры!J$109,Параметры!J$118),J$637*CHOOSE($C$628,1,Параметры!J$109,Параметры!J$118))</f>
        <v>385915.70242772572</v>
      </c>
      <c r="K649" s="82">
        <f ca="1">SUM(K$567*CHOOSE($C$558,1,Параметры!K$109,Параметры!K$118),K$581*CHOOSE($C$572,1,Параметры!K$109,Параметры!K$118),K$595*CHOOSE($C$586,1,Параметры!K$109,Параметры!K$118),K$609*CHOOSE($C$600,1,Параметры!K$109,Параметры!K$118),K$623*CHOOSE($C$614,1,Параметры!K$109,Параметры!K$118),K$637*CHOOSE($C$628,1,Параметры!K$109,Параметры!K$118))</f>
        <v>559516.92078299657</v>
      </c>
      <c r="L649" s="82">
        <f ca="1">SUM(L$567*CHOOSE($C$558,1,Параметры!L$109,Параметры!L$118),L$581*CHOOSE($C$572,1,Параметры!L$109,Параметры!L$118),L$595*CHOOSE($C$586,1,Параметры!L$109,Параметры!L$118),L$609*CHOOSE($C$600,1,Параметры!L$109,Параметры!L$118),L$623*CHOOSE($C$614,1,Параметры!L$109,Параметры!L$118),L$637*CHOOSE($C$628,1,Параметры!L$109,Параметры!L$118))</f>
        <v>648047.02574424585</v>
      </c>
      <c r="M649" s="82">
        <f ca="1">SUM(M$567*CHOOSE($C$558,1,Параметры!M$109,Параметры!M$118),M$581*CHOOSE($C$572,1,Параметры!M$109,Параметры!M$118),M$595*CHOOSE($C$586,1,Параметры!M$109,Параметры!M$118),M$609*CHOOSE($C$600,1,Параметры!M$109,Параметры!M$118),M$623*CHOOSE($C$614,1,Параметры!M$109,Параметры!M$118),M$637*CHOOSE($C$628,1,Параметры!M$109,Параметры!M$118))</f>
        <v>819013.04157423868</v>
      </c>
      <c r="N649" s="82">
        <f ca="1">SUM(N$567*CHOOSE($C$558,1,Параметры!N$109,Параметры!N$118),N$581*CHOOSE($C$572,1,Параметры!N$109,Параметры!N$118),N$595*CHOOSE($C$586,1,Параметры!N$109,Параметры!N$118),N$609*CHOOSE($C$600,1,Параметры!N$109,Параметры!N$118),N$623*CHOOSE($C$614,1,Параметры!N$109,Параметры!N$118),N$637*CHOOSE($C$628,1,Параметры!N$109,Параметры!N$118))</f>
        <v>1180080.6856043418</v>
      </c>
      <c r="O649" s="82">
        <f ca="1">SUM(O$567*CHOOSE($C$558,1,Параметры!O$109,Параметры!O$118),O$581*CHOOSE($C$572,1,Параметры!O$109,Параметры!O$118),O$595*CHOOSE($C$586,1,Параметры!O$109,Параметры!O$118),O$609*CHOOSE($C$600,1,Параметры!O$109,Параметры!O$118),O$623*CHOOSE($C$614,1,Параметры!O$109,Параметры!O$118),O$637*CHOOSE($C$628,1,Параметры!O$109,Параметры!O$118))</f>
        <v>1711787.4147865884</v>
      </c>
      <c r="P649" s="82">
        <f ca="1">SUM(P$567*CHOOSE($C$558,1,Параметры!P$109,Параметры!P$118),P$581*CHOOSE($C$572,1,Параметры!P$109,Параметры!P$118),P$595*CHOOSE($C$586,1,Параметры!P$109,Параметры!P$118),P$609*CHOOSE($C$600,1,Параметры!P$109,Параметры!P$118),P$623*CHOOSE($C$614,1,Параметры!P$109,Параметры!P$118),P$637*CHOOSE($C$628,1,Параметры!P$109,Параметры!P$118))</f>
        <v>2003629.6896970982</v>
      </c>
      <c r="Q649" s="82">
        <f ca="1">SUM(Q$567*CHOOSE($C$558,1,Параметры!Q$109,Параметры!Q$118),Q$581*CHOOSE($C$572,1,Параметры!Q$109,Параметры!Q$118),Q$595*CHOOSE($C$586,1,Параметры!Q$109,Параметры!Q$118),Q$609*CHOOSE($C$600,1,Параметры!Q$109,Параметры!Q$118),Q$623*CHOOSE($C$614,1,Параметры!Q$109,Параметры!Q$118),Q$637*CHOOSE($C$628,1,Параметры!Q$109,Параметры!Q$118))</f>
        <v>2164840.6874518287</v>
      </c>
      <c r="R649" s="82">
        <f ca="1">SUM(R$567*CHOOSE($C$558,1,Параметры!R$109,Параметры!R$118),R$581*CHOOSE($C$572,1,Параметры!R$109,Параметры!R$118),R$595*CHOOSE($C$586,1,Параметры!R$109,Параметры!R$118),R$609*CHOOSE($C$600,1,Параметры!R$109,Параметры!R$118),R$623*CHOOSE($C$614,1,Параметры!R$109,Параметры!R$118),R$637*CHOOSE($C$628,1,Параметры!R$109,Параметры!R$118))</f>
        <v>2669425.660639883</v>
      </c>
      <c r="S649" s="82">
        <f ca="1">SUM(S$567*CHOOSE($C$558,1,Параметры!S$109,Параметры!S$118),S$581*CHOOSE($C$572,1,Параметры!S$109,Параметры!S$118),S$595*CHOOSE($C$586,1,Параметры!S$109,Параметры!S$118),S$609*CHOOSE($C$600,1,Параметры!S$109,Параметры!S$118),S$623*CHOOSE($C$614,1,Параметры!S$109,Параметры!S$118),S$637*CHOOSE($C$628,1,Параметры!S$109,Параметры!S$118))</f>
        <v>3230643.110675755</v>
      </c>
      <c r="T649" s="82">
        <f ca="1">SUM(T$567*CHOOSE($C$558,1,Параметры!T$109,Параметры!T$118),T$581*CHOOSE($C$572,1,Параметры!T$109,Параметры!T$118),T$595*CHOOSE($C$586,1,Параметры!T$109,Параметры!T$118),T$609*CHOOSE($C$600,1,Параметры!T$109,Параметры!T$118),T$623*CHOOSE($C$614,1,Параметры!T$109,Параметры!T$118),T$637*CHOOSE($C$628,1,Параметры!T$109,Параметры!T$118))</f>
        <v>3446220.4376739608</v>
      </c>
      <c r="U649" s="82">
        <f ca="1">SUM(U$567*CHOOSE($C$558,1,Параметры!U$109,Параметры!U$118),U$581*CHOOSE($C$572,1,Параметры!U$109,Параметры!U$118),U$595*CHOOSE($C$586,1,Параметры!U$109,Параметры!U$118),U$609*CHOOSE($C$600,1,Параметры!U$109,Параметры!U$118),U$623*CHOOSE($C$614,1,Параметры!U$109,Параметры!U$118),U$637*CHOOSE($C$628,1,Параметры!U$109,Параметры!U$118))</f>
        <v>3307700.0612534466</v>
      </c>
      <c r="V649" s="82">
        <f ca="1">SUM(V$567*CHOOSE($C$558,1,Параметры!V$109,Параметры!V$118),V$581*CHOOSE($C$572,1,Параметры!V$109,Параметры!V$118),V$595*CHOOSE($C$586,1,Параметры!V$109,Параметры!V$118),V$609*CHOOSE($C$600,1,Параметры!V$109,Параметры!V$118),V$623*CHOOSE($C$614,1,Параметры!V$109,Параметры!V$118),V$637*CHOOSE($C$628,1,Параметры!V$109,Параметры!V$118))</f>
        <v>3166081.4274439896</v>
      </c>
      <c r="W649" s="82">
        <f ca="1">SUM(W$567*CHOOSE($C$558,1,Параметры!W$109,Параметры!W$118),W$581*CHOOSE($C$572,1,Параметры!W$109,Параметры!W$118),W$595*CHOOSE($C$586,1,Параметры!W$109,Параметры!W$118),W$609*CHOOSE($C$600,1,Параметры!W$109,Параметры!W$118),W$623*CHOOSE($C$614,1,Параметры!W$109,Параметры!W$118),W$637*CHOOSE($C$628,1,Параметры!W$109,Параметры!W$118))</f>
        <v>3021295.1944759469</v>
      </c>
      <c r="X649" s="82">
        <f ca="1">SUM(X$567*CHOOSE($C$558,1,Параметры!X$109,Параметры!X$118),X$581*CHOOSE($C$572,1,Параметры!X$109,Параметры!X$118),X$595*CHOOSE($C$586,1,Параметры!X$109,Параметры!X$118),X$609*CHOOSE($C$600,1,Параметры!X$109,Параметры!X$118),X$623*CHOOSE($C$614,1,Параметры!X$109,Параметры!X$118),X$637*CHOOSE($C$628,1,Параметры!X$109,Параметры!X$118))</f>
        <v>2873270.4677702938</v>
      </c>
      <c r="Y649" s="82">
        <f ca="1">SUM(Y$567*CHOOSE($C$558,1,Параметры!Y$109,Параметры!Y$118),Y$581*CHOOSE($C$572,1,Параметры!Y$109,Параметры!Y$118),Y$595*CHOOSE($C$586,1,Параметры!Y$109,Параметры!Y$118),Y$609*CHOOSE($C$600,1,Параметры!Y$109,Параметры!Y$118),Y$623*CHOOSE($C$614,1,Параметры!Y$109,Параметры!Y$118),Y$637*CHOOSE($C$628,1,Параметры!Y$109,Параметры!Y$118))</f>
        <v>2721934.7651480176</v>
      </c>
      <c r="Z649" s="82">
        <f ca="1">SUM(Z$567*CHOOSE($C$558,1,Параметры!Z$109,Параметры!Z$118),Z$581*CHOOSE($C$572,1,Параметры!Z$109,Параметры!Z$118),Z$595*CHOOSE($C$586,1,Параметры!Z$109,Параметры!Z$118),Z$609*CHOOSE($C$600,1,Параметры!Z$109,Параметры!Z$118),Z$623*CHOOSE($C$614,1,Параметры!Z$109,Параметры!Z$118),Z$637*CHOOSE($C$628,1,Параметры!Z$109,Параметры!Z$118))</f>
        <v>2567213.981259679</v>
      </c>
      <c r="AA649" s="82">
        <f ca="1">SUM(AA$567*CHOOSE($C$558,1,Параметры!AA$109,Параметры!AA$118),AA$581*CHOOSE($C$572,1,Параметры!AA$109,Параметры!AA$118),AA$595*CHOOSE($C$586,1,Параметры!AA$109,Параметры!AA$118),AA$609*CHOOSE($C$600,1,Параметры!AA$109,Параметры!AA$118),AA$623*CHOOSE($C$614,1,Параметры!AA$109,Параметры!AA$118),AA$637*CHOOSE($C$628,1,Параметры!AA$109,Параметры!AA$118))</f>
        <v>2409032.3512176508</v>
      </c>
      <c r="AB649" s="82">
        <f ca="1">SUM(AB$567*CHOOSE($C$558,1,Параметры!AB$109,Параметры!AB$118),AB$581*CHOOSE($C$572,1,Параметры!AB$109,Параметры!AB$118),AB$595*CHOOSE($C$586,1,Параметры!AB$109,Параметры!AB$118),AB$609*CHOOSE($C$600,1,Параметры!AB$109,Параметры!AB$118),AB$623*CHOOSE($C$614,1,Параметры!AB$109,Параметры!AB$118),AB$637*CHOOSE($C$628,1,Параметры!AB$109,Параметры!AB$118))</f>
        <v>2247312.4134131502</v>
      </c>
      <c r="AC649" s="82">
        <f ca="1">SUM(AC$567*CHOOSE($C$558,1,Параметры!AC$109,Параметры!AC$118),AC$581*CHOOSE($C$572,1,Параметры!AC$109,Параметры!AC$118),AC$595*CHOOSE($C$586,1,Параметры!AC$109,Параметры!AC$118),AC$609*CHOOSE($C$600,1,Параметры!AC$109,Параметры!AC$118),AC$623*CHOOSE($C$614,1,Параметры!AC$109,Параметры!AC$118),AC$637*CHOOSE($C$628,1,Параметры!AC$109,Параметры!AC$118))</f>
        <v>2081974.9714997923</v>
      </c>
      <c r="AD649" s="82">
        <f ca="1">SUM(AD$567*CHOOSE($C$558,1,Параметры!AD$109,Параметры!AD$118),AD$581*CHOOSE($C$572,1,Параметры!AD$109,Параметры!AD$118),AD$595*CHOOSE($C$586,1,Параметры!AD$109,Параметры!AD$118),AD$609*CHOOSE($C$600,1,Параметры!AD$109,Параметры!AD$118),AD$623*CHOOSE($C$614,1,Параметры!AD$109,Параметры!AD$118),AD$637*CHOOSE($C$628,1,Параметры!AD$109,Параметры!AD$118))</f>
        <v>1912939.0555249613</v>
      </c>
      <c r="AE649" s="82">
        <f ca="1">SUM(AE$567*CHOOSE($C$558,1,Параметры!AE$109,Параметры!AE$118),AE$581*CHOOSE($C$572,1,Параметры!AE$109,Параметры!AE$118),AE$595*CHOOSE($C$586,1,Параметры!AE$109,Параметры!AE$118),AE$609*CHOOSE($C$600,1,Параметры!AE$109,Параметры!AE$118),AE$623*CHOOSE($C$614,1,Параметры!AE$109,Параметры!AE$118),AE$637*CHOOSE($C$628,1,Параметры!AE$109,Параметры!AE$118))</f>
        <v>1740121.8821899062</v>
      </c>
      <c r="AF649" s="82">
        <f ca="1">SUM(AF$567*CHOOSE($C$558,1,Параметры!AF$109,Параметры!AF$118),AF$581*CHOOSE($C$572,1,Параметры!AF$109,Параметры!AF$118),AF$595*CHOOSE($C$586,1,Параметры!AF$109,Параметры!AF$118),AF$609*CHOOSE($C$600,1,Параметры!AF$109,Параметры!AF$118),AF$623*CHOOSE($C$614,1,Параметры!AF$109,Параметры!AF$118),AF$637*CHOOSE($C$628,1,Параметры!AF$109,Параметры!AF$118))</f>
        <v>1563438.8142190063</v>
      </c>
      <c r="AG649" s="82">
        <f ca="1">SUM(AG$567*CHOOSE($C$558,1,Параметры!AG$109,Параметры!AG$118),AG$581*CHOOSE($C$572,1,Параметры!AG$109,Параметры!AG$118),AG$595*CHOOSE($C$586,1,Параметры!AG$109,Параметры!AG$118),AG$609*CHOOSE($C$600,1,Параметры!AG$109,Параметры!AG$118),AG$623*CHOOSE($C$614,1,Параметры!AG$109,Параметры!AG$118),AG$637*CHOOSE($C$628,1,Параметры!AG$109,Параметры!AG$118))</f>
        <v>1382803.318818239</v>
      </c>
      <c r="AH649" s="82">
        <f ca="1">SUM(AH$567*CHOOSE($C$558,1,Параметры!AH$109,Параметры!AH$118),AH$581*CHOOSE($C$572,1,Параметры!AH$109,Параметры!AH$118),AH$595*CHOOSE($C$586,1,Параметры!AH$109,Параметры!AH$118),AH$609*CHOOSE($C$600,1,Параметры!AH$109,Параметры!AH$118),AH$623*CHOOSE($C$614,1,Параметры!AH$109,Параметры!AH$118),AH$637*CHOOSE($C$628,1,Параметры!AH$109,Параметры!AH$118))</f>
        <v>1198126.9252024214</v>
      </c>
      <c r="AI649" s="82">
        <f ca="1">SUM(AI$567*CHOOSE($C$558,1,Параметры!AI$109,Параметры!AI$118),AI$581*CHOOSE($C$572,1,Параметры!AI$109,Параметры!AI$118),AI$595*CHOOSE($C$586,1,Параметры!AI$109,Параметры!AI$118),AI$609*CHOOSE($C$600,1,Параметры!AI$109,Параметры!AI$118),AI$623*CHOOSE($C$614,1,Параметры!AI$109,Параметры!AI$118),AI$637*CHOOSE($C$628,1,Параметры!AI$109,Параметры!AI$118))</f>
        <v>1009319.1811703448</v>
      </c>
      <c r="AJ649" s="82">
        <f ca="1">SUM(AJ$567*CHOOSE($C$558,1,Параметры!AJ$109,Параметры!AJ$118),AJ$581*CHOOSE($C$572,1,Параметры!AJ$109,Параметры!AJ$118),AJ$595*CHOOSE($C$586,1,Параметры!AJ$109,Параметры!AJ$118),AJ$609*CHOOSE($C$600,1,Параметры!AJ$109,Параметры!AJ$118),AJ$623*CHOOSE($C$614,1,Параметры!AJ$109,Параметры!AJ$118),AJ$637*CHOOSE($C$628,1,Параметры!AJ$109,Параметры!AJ$118))</f>
        <v>816287.60870644485</v>
      </c>
      <c r="AK649" s="82">
        <f ca="1">SUM(AK$567*CHOOSE($C$558,1,Параметры!AK$109,Параметры!AK$118),AK$581*CHOOSE($C$572,1,Параметры!AK$109,Параметры!AK$118),AK$595*CHOOSE($C$586,1,Параметры!AK$109,Параметры!AK$118),AK$609*CHOOSE($C$600,1,Параметры!AK$109,Параметры!AK$118),AK$623*CHOOSE($C$614,1,Параметры!AK$109,Параметры!AK$118),AK$637*CHOOSE($C$628,1,Параметры!AK$109,Параметры!AK$118))</f>
        <v>618937.65858718357</v>
      </c>
      <c r="AL649" s="82">
        <f ca="1">SUM(AL$567*CHOOSE($C$558,1,Параметры!AL$109,Параметры!AL$118),AL$581*CHOOSE($C$572,1,Параметры!AL$109,Параметры!AL$118),AL$595*CHOOSE($C$586,1,Параметры!AL$109,Параметры!AL$118),AL$609*CHOOSE($C$600,1,Параметры!AL$109,Параметры!AL$118),AL$623*CHOOSE($C$614,1,Параметры!AL$109,Параметры!AL$118),AL$637*CHOOSE($C$628,1,Параметры!AL$109,Параметры!AL$118))</f>
        <v>417172.66396981681</v>
      </c>
      <c r="AM649" s="82">
        <f ca="1">SUM(AM$567*CHOOSE($C$558,1,Параметры!AM$109,Параметры!AM$118),AM$581*CHOOSE($C$572,1,Параметры!AM$109,Параметры!AM$118),AM$595*CHOOSE($C$586,1,Параметры!AM$109,Параметры!AM$118),AM$609*CHOOSE($C$600,1,Параметры!AM$109,Параметры!AM$118),AM$623*CHOOSE($C$614,1,Параметры!AM$109,Параметры!AM$118),AM$637*CHOOSE($C$628,1,Параметры!AM$109,Параметры!AM$118))</f>
        <v>210893.79294072912</v>
      </c>
      <c r="AN649" s="82">
        <f ca="1">SUM(AN$567*CHOOSE($C$558,1,Параметры!AN$109,Параметры!AN$118),AN$581*CHOOSE($C$572,1,Параметры!AN$109,Параметры!AN$118),AN$595*CHOOSE($C$586,1,Параметры!AN$109,Параметры!AN$118),AN$609*CHOOSE($C$600,1,Параметры!AN$109,Параметры!AN$118),AN$623*CHOOSE($C$614,1,Параметры!AN$109,Параметры!AN$118),AN$637*CHOOSE($C$628,1,Параметры!AN$109,Параметры!AN$118))</f>
        <v>0</v>
      </c>
      <c r="AO649" s="82">
        <f ca="1">SUM(AO$567*CHOOSE($C$558,1,Параметры!AO$109,Параметры!AO$118),AO$581*CHOOSE($C$572,1,Параметры!AO$109,Параметры!AO$118),AO$595*CHOOSE($C$586,1,Параметры!AO$109,Параметры!AO$118),AO$609*CHOOSE($C$600,1,Параметры!AO$109,Параметры!AO$118),AO$623*CHOOSE($C$614,1,Параметры!AO$109,Параметры!AO$118),AO$637*CHOOSE($C$628,1,Параметры!AO$109,Параметры!AO$118))</f>
        <v>0</v>
      </c>
      <c r="AP649" s="82">
        <f ca="1">SUM(AP$567*CHOOSE($C$558,1,Параметры!AP$109,Параметры!AP$118),AP$581*CHOOSE($C$572,1,Параметры!AP$109,Параметры!AP$118),AP$595*CHOOSE($C$586,1,Параметры!AP$109,Параметры!AP$118),AP$609*CHOOSE($C$600,1,Параметры!AP$109,Параметры!AP$118),AP$623*CHOOSE($C$614,1,Параметры!AP$109,Параметры!AP$118),AP$637*CHOOSE($C$628,1,Параметры!AP$109,Параметры!AP$118))</f>
        <v>0</v>
      </c>
      <c r="AQ649" s="82">
        <f ca="1">SUM(AQ$567*CHOOSE($C$558,1,Параметры!AQ$109,Параметры!AQ$118),AQ$581*CHOOSE($C$572,1,Параметры!AQ$109,Параметры!AQ$118),AQ$595*CHOOSE($C$586,1,Параметры!AQ$109,Параметры!AQ$118),AQ$609*CHOOSE($C$600,1,Параметры!AQ$109,Параметры!AQ$118),AQ$623*CHOOSE($C$614,1,Параметры!AQ$109,Параметры!AQ$118),AQ$637*CHOOSE($C$628,1,Параметры!AQ$109,Параметры!AQ$118))</f>
        <v>0</v>
      </c>
      <c r="AR649" s="82">
        <f ca="1">SUM(AR$567*CHOOSE($C$558,1,Параметры!AR$109,Параметры!AR$118),AR$581*CHOOSE($C$572,1,Параметры!AR$109,Параметры!AR$118),AR$595*CHOOSE($C$586,1,Параметры!AR$109,Параметры!AR$118),AR$609*CHOOSE($C$600,1,Параметры!AR$109,Параметры!AR$118),AR$623*CHOOSE($C$614,1,Параметры!AR$109,Параметры!AR$118),AR$637*CHOOSE($C$628,1,Параметры!AR$109,Параметры!AR$118))</f>
        <v>0</v>
      </c>
      <c r="AS649" s="1"/>
      <c r="AT649" s="30"/>
    </row>
    <row r="650" spans="1:46" s="60" customFormat="1" ht="11.25" customHeight="1" outlineLevel="1" x14ac:dyDescent="0.2">
      <c r="A650" s="63" t="s">
        <v>181</v>
      </c>
      <c r="B650" s="29"/>
      <c r="C650" s="266" t="str">
        <f>Параметры!$B$64</f>
        <v>тыс. руб.</v>
      </c>
      <c r="D650" s="40"/>
      <c r="E650" s="82">
        <v>0</v>
      </c>
      <c r="F650" s="82">
        <v>0</v>
      </c>
      <c r="G650" s="82">
        <v>0</v>
      </c>
      <c r="H650" s="82">
        <v>0</v>
      </c>
      <c r="I650" s="82">
        <v>0</v>
      </c>
      <c r="J650" s="82">
        <v>0</v>
      </c>
      <c r="K650" s="82">
        <v>0</v>
      </c>
      <c r="L650" s="82">
        <v>0</v>
      </c>
      <c r="M650" s="82">
        <v>0</v>
      </c>
      <c r="N650" s="82">
        <v>0</v>
      </c>
      <c r="O650" s="82">
        <v>0</v>
      </c>
      <c r="P650" s="82">
        <v>0</v>
      </c>
      <c r="Q650" s="82">
        <v>0</v>
      </c>
      <c r="R650" s="82">
        <v>0</v>
      </c>
      <c r="S650" s="82">
        <v>0</v>
      </c>
      <c r="T650" s="82">
        <v>0</v>
      </c>
      <c r="U650" s="82">
        <v>0</v>
      </c>
      <c r="V650" s="82">
        <v>0</v>
      </c>
      <c r="W650" s="82">
        <v>0</v>
      </c>
      <c r="X650" s="82">
        <v>0</v>
      </c>
      <c r="Y650" s="82">
        <v>0</v>
      </c>
      <c r="Z650" s="82">
        <v>0</v>
      </c>
      <c r="AA650" s="82">
        <v>0</v>
      </c>
      <c r="AB650" s="82">
        <v>0</v>
      </c>
      <c r="AC650" s="82">
        <v>0</v>
      </c>
      <c r="AD650" s="82">
        <v>0</v>
      </c>
      <c r="AE650" s="82">
        <v>0</v>
      </c>
      <c r="AF650" s="82">
        <v>0</v>
      </c>
      <c r="AG650" s="82">
        <v>0</v>
      </c>
      <c r="AH650" s="82">
        <v>0</v>
      </c>
      <c r="AI650" s="82">
        <v>0</v>
      </c>
      <c r="AJ650" s="82">
        <v>0</v>
      </c>
      <c r="AK650" s="82">
        <v>0</v>
      </c>
      <c r="AL650" s="82">
        <v>0</v>
      </c>
      <c r="AM650" s="82">
        <v>0</v>
      </c>
      <c r="AN650" s="82">
        <v>0</v>
      </c>
      <c r="AO650" s="82">
        <v>0</v>
      </c>
      <c r="AP650" s="82">
        <v>0</v>
      </c>
      <c r="AQ650" s="82">
        <v>0</v>
      </c>
      <c r="AR650" s="82">
        <v>0</v>
      </c>
      <c r="AS650" s="1"/>
      <c r="AT650" s="30"/>
    </row>
    <row r="651" spans="1:46" s="60" customFormat="1" ht="11.25" customHeight="1" outlineLevel="1" x14ac:dyDescent="0.2">
      <c r="A651" s="63" t="s">
        <v>230</v>
      </c>
      <c r="B651" s="29"/>
      <c r="C651" s="266" t="str">
        <f>Параметры!$B$64</f>
        <v>тыс. руб.</v>
      </c>
      <c r="D651" s="40"/>
      <c r="E651" s="82">
        <f>IF(Параметры!E$36=1,0,SUM($D644:E644)-SUM($D645:E645)-E649-E650+SUM($D646:E646)-SUM($D648:E648)-(SUM($D644:D644)-SUM($D645:D645)-D649-D650+SUM($D646:D646)-SUM($D648:D648)))</f>
        <v>0</v>
      </c>
      <c r="F651" s="82">
        <f ca="1">IF(Параметры!F$36=1,0,SUM($D644:F644)-SUM($D645:F645)-F649-F650+SUM($D646:F646)-SUM($D648:F648)-(SUM($D644:E644)-SUM($D645:E645)-E649-E650+SUM($D646:E646)-SUM($D648:E648)))</f>
        <v>0</v>
      </c>
      <c r="G651" s="82">
        <f ca="1">IF(Параметры!G$36=1,0,SUM($D644:G644)-SUM($D645:G645)-G649-G650+SUM($D646:G646)-SUM($D648:G648)-(SUM($D644:F644)-SUM($D645:F645)-F649-F650+SUM($D646:F646)-SUM($D648:F648)))</f>
        <v>0</v>
      </c>
      <c r="H651" s="82">
        <f ca="1">IF(Параметры!H$36=1,0,SUM($D644:H644)-SUM($D645:H645)-H649-H650+SUM($D646:H646)-SUM($D648:H648)-(SUM($D644:G644)-SUM($D645:G645)-G649-G650+SUM($D646:G646)-SUM($D648:G648)))</f>
        <v>0</v>
      </c>
      <c r="I651" s="82">
        <f ca="1">IF(Параметры!I$36=1,0,SUM($D644:I644)-SUM($D645:I645)-I649-I650+SUM($D646:I646)-SUM($D648:I648)-(SUM($D644:H644)-SUM($D645:H645)-H649-H650+SUM($D646:H646)-SUM($D648:H648)))</f>
        <v>0</v>
      </c>
      <c r="J651" s="82">
        <f ca="1">IF(Параметры!J$36=1,0,SUM($D644:J644)-SUM($D645:J645)-J649-J650+SUM($D646:J646)-SUM($D648:J648)-(SUM($D644:I644)-SUM($D645:I645)-I649-I650+SUM($D646:I646)-SUM($D648:I648)))</f>
        <v>0</v>
      </c>
      <c r="K651" s="82">
        <f ca="1">IF(Параметры!K$36=1,0,SUM($D644:K644)-SUM($D645:K645)-K649-K650+SUM($D646:K646)-SUM($D648:K648)-(SUM($D644:J644)-SUM($D645:J645)-J649-J650+SUM($D646:J646)-SUM($D648:J648)))</f>
        <v>0</v>
      </c>
      <c r="L651" s="82">
        <f ca="1">IF(Параметры!L$36=1,0,SUM($D644:L644)-SUM($D645:L645)-L649-L650+SUM($D646:L646)-SUM($D648:L648)-(SUM($D644:K644)-SUM($D645:K645)-K649-K650+SUM($D646:K646)-SUM($D648:K648)))</f>
        <v>0</v>
      </c>
      <c r="M651" s="82">
        <f ca="1">IF(Параметры!M$36=1,0,SUM($D644:M644)-SUM($D645:M645)-M649-M650+SUM($D646:M646)-SUM($D648:M648)-(SUM($D644:L644)-SUM($D645:L645)-L649-L650+SUM($D646:L646)-SUM($D648:L648)))</f>
        <v>0</v>
      </c>
      <c r="N651" s="82">
        <f ca="1">IF(Параметры!N$36=1,0,SUM($D644:N644)-SUM($D645:N645)-N649-N650+SUM($D646:N646)-SUM($D648:N648)-(SUM($D644:M644)-SUM($D645:M645)-M649-M650+SUM($D646:M646)-SUM($D648:M648)))</f>
        <v>0</v>
      </c>
      <c r="O651" s="82">
        <f ca="1">IF(Параметры!O$36=1,0,SUM($D644:O644)-SUM($D645:O645)-O649-O650+SUM($D646:O646)-SUM($D648:O648)-(SUM($D644:N644)-SUM($D645:N645)-N649-N650+SUM($D646:N646)-SUM($D648:N648)))</f>
        <v>-2.3283064365386963E-10</v>
      </c>
      <c r="P651" s="82">
        <f ca="1">IF(Параметры!P$36=1,0,SUM($D644:P644)-SUM($D645:P645)-P649-P650+SUM($D646:P646)-SUM($D648:P648)-(SUM($D644:O644)-SUM($D645:O645)-O649-O650+SUM($D646:O646)-SUM($D648:O648)))</f>
        <v>0</v>
      </c>
      <c r="Q651" s="82">
        <f ca="1">IF(Параметры!Q$36=1,0,SUM($D644:Q644)-SUM($D645:Q645)-Q649-Q650+SUM($D646:Q646)-SUM($D648:Q648)-(SUM($D644:P644)-SUM($D645:P645)-P649-P650+SUM($D646:P646)-SUM($D648:P648)))</f>
        <v>2.3283064365386963E-10</v>
      </c>
      <c r="R651" s="82">
        <f ca="1">IF(Параметры!R$36=1,0,SUM($D644:R644)-SUM($D645:R645)-R649-R650+SUM($D646:R646)-SUM($D648:R648)-(SUM($D644:Q644)-SUM($D645:Q645)-Q649-Q650+SUM($D646:Q646)-SUM($D648:Q648)))</f>
        <v>-4.6566128730773926E-10</v>
      </c>
      <c r="S651" s="82">
        <f ca="1">IF(Параметры!S$36=1,0,SUM($D644:S644)-SUM($D645:S645)-S649-S650+SUM($D646:S646)-SUM($D648:S648)-(SUM($D644:R644)-SUM($D645:R645)-R649-R650+SUM($D646:R646)-SUM($D648:R648)))</f>
        <v>-4.6566128730773926E-10</v>
      </c>
      <c r="T651" s="82">
        <f ca="1">IF(Параметры!T$36=1,0,SUM($D644:T644)-SUM($D645:T645)-T649-T650+SUM($D646:T646)-SUM($D648:T648)-(SUM($D644:S644)-SUM($D645:S645)-S649-S650+SUM($D646:S646)-SUM($D648:S648)))</f>
        <v>0</v>
      </c>
      <c r="U651" s="82">
        <f ca="1">IF(Параметры!U$36=1,0,SUM($D644:U644)-SUM($D645:U645)-U649-U650+SUM($D646:U646)-SUM($D648:U648)-(SUM($D644:T644)-SUM($D645:T645)-T649-T650+SUM($D646:T646)-SUM($D648:T648)))</f>
        <v>4.6566128730773926E-10</v>
      </c>
      <c r="V651" s="82">
        <f ca="1">IF(Параметры!V$36=1,0,SUM($D644:V644)-SUM($D645:V645)-V649-V650+SUM($D646:V646)-SUM($D648:V648)-(SUM($D644:U644)-SUM($D645:U645)-U649-U650+SUM($D646:U646)-SUM($D648:U648)))</f>
        <v>-4.6566128730773926E-10</v>
      </c>
      <c r="W651" s="82">
        <f ca="1">IF(Параметры!W$36=1,0,SUM($D644:W644)-SUM($D645:W645)-W649-W650+SUM($D646:W646)-SUM($D648:W648)-(SUM($D644:V644)-SUM($D645:V645)-V649-V650+SUM($D646:V646)-SUM($D648:V648)))</f>
        <v>0</v>
      </c>
      <c r="X651" s="82">
        <f ca="1">IF(Параметры!X$36=1,0,SUM($D644:X644)-SUM($D645:X645)-X649-X650+SUM($D646:X646)-SUM($D648:X648)-(SUM($D644:W644)-SUM($D645:W645)-W649-W650+SUM($D646:W646)-SUM($D648:W648)))</f>
        <v>4.6566128730773926E-10</v>
      </c>
      <c r="Y651" s="82">
        <f ca="1">IF(Параметры!Y$36=1,0,SUM($D644:Y644)-SUM($D645:Y645)-Y649-Y650+SUM($D646:Y646)-SUM($D648:Y648)-(SUM($D644:X644)-SUM($D645:X645)-X649-X650+SUM($D646:X646)-SUM($D648:X648)))</f>
        <v>0</v>
      </c>
      <c r="Z651" s="82">
        <f ca="1">IF(Параметры!Z$36=1,0,SUM($D644:Z644)-SUM($D645:Z645)-Z649-Z650+SUM($D646:Z646)-SUM($D648:Z648)-(SUM($D644:Y644)-SUM($D645:Y645)-Y649-Y650+SUM($D646:Y646)-SUM($D648:Y648)))</f>
        <v>0</v>
      </c>
      <c r="AA651" s="82">
        <f ca="1">IF(Параметры!AA$36=1,0,SUM($D644:AA644)-SUM($D645:AA645)-AA649-AA650+SUM($D646:AA646)-SUM($D648:AA648)-(SUM($D644:Z644)-SUM($D645:Z645)-Z649-Z650+SUM($D646:Z646)-SUM($D648:Z648)))</f>
        <v>-4.6566128730773926E-10</v>
      </c>
      <c r="AB651" s="82">
        <f ca="1">IF(Параметры!AB$36=1,0,SUM($D644:AB644)-SUM($D645:AB645)-AB649-AB650+SUM($D646:AB646)-SUM($D648:AB648)-(SUM($D644:AA644)-SUM($D645:AA645)-AA649-AA650+SUM($D646:AA646)-SUM($D648:AA648)))</f>
        <v>4.6566128730773926E-10</v>
      </c>
      <c r="AC651" s="82">
        <f ca="1">IF(Параметры!AC$36=1,0,SUM($D644:AC644)-SUM($D645:AC645)-AC649-AC650+SUM($D646:AC646)-SUM($D648:AC648)-(SUM($D644:AB644)-SUM($D645:AB645)-AB649-AB650+SUM($D646:AB646)-SUM($D648:AB648)))</f>
        <v>-4.6566128730773926E-10</v>
      </c>
      <c r="AD651" s="82">
        <f ca="1">IF(Параметры!AD$36=1,0,SUM($D644:AD644)-SUM($D645:AD645)-AD649-AD650+SUM($D646:AD646)-SUM($D648:AD648)-(SUM($D644:AC644)-SUM($D645:AC645)-AC649-AC650+SUM($D646:AC646)-SUM($D648:AC648)))</f>
        <v>2.3283064365386963E-10</v>
      </c>
      <c r="AE651" s="82">
        <f ca="1">IF(Параметры!AE$36=1,0,SUM($D644:AE644)-SUM($D645:AE645)-AE649-AE650+SUM($D646:AE646)-SUM($D648:AE648)-(SUM($D644:AD644)-SUM($D645:AD645)-AD649-AD650+SUM($D646:AD646)-SUM($D648:AD648)))</f>
        <v>2.3283064365386963E-10</v>
      </c>
      <c r="AF651" s="82">
        <f ca="1">IF(Параметры!AF$36=1,0,SUM($D644:AF644)-SUM($D645:AF645)-AF649-AF650+SUM($D646:AF646)-SUM($D648:AF648)-(SUM($D644:AE644)-SUM($D645:AE645)-AE649-AE650+SUM($D646:AE646)-SUM($D648:AE648)))</f>
        <v>0</v>
      </c>
      <c r="AG651" s="82">
        <f ca="1">IF(Параметры!AG$36=1,0,SUM($D644:AG644)-SUM($D645:AG645)-AG649-AG650+SUM($D646:AG646)-SUM($D648:AG648)-(SUM($D644:AF644)-SUM($D645:AF645)-AF649-AF650+SUM($D646:AF646)-SUM($D648:AF648)))</f>
        <v>0</v>
      </c>
      <c r="AH651" s="82">
        <f ca="1">IF(Параметры!AH$36=1,0,SUM($D644:AH644)-SUM($D645:AH645)-AH649-AH650+SUM($D646:AH646)-SUM($D648:AH648)-(SUM($D644:AG644)-SUM($D645:AG645)-AG649-AG650+SUM($D646:AG646)-SUM($D648:AG648)))</f>
        <v>0</v>
      </c>
      <c r="AI651" s="82">
        <f ca="1">IF(Параметры!AI$36=1,0,SUM($D644:AI644)-SUM($D645:AI645)-AI649-AI650+SUM($D646:AI646)-SUM($D648:AI648)-(SUM($D644:AH644)-SUM($D645:AH645)-AH649-AH650+SUM($D646:AH646)-SUM($D648:AH648)))</f>
        <v>0</v>
      </c>
      <c r="AJ651" s="82">
        <f ca="1">IF(Параметры!AJ$36=1,0,SUM($D644:AJ644)-SUM($D645:AJ645)-AJ649-AJ650+SUM($D646:AJ646)-SUM($D648:AJ648)-(SUM($D644:AI644)-SUM($D645:AI645)-AI649-AI650+SUM($D646:AI646)-SUM($D648:AI648)))</f>
        <v>0</v>
      </c>
      <c r="AK651" s="82">
        <f ca="1">IF(Параметры!AK$36=1,0,SUM($D644:AK644)-SUM($D645:AK645)-AK649-AK650+SUM($D646:AK646)-SUM($D648:AK648)-(SUM($D644:AJ644)-SUM($D645:AJ645)-AJ649-AJ650+SUM($D646:AJ646)-SUM($D648:AJ648)))</f>
        <v>2.3283064365386963E-10</v>
      </c>
      <c r="AL651" s="82">
        <f ca="1">IF(Параметры!AL$36=1,0,SUM($D644:AL644)-SUM($D645:AL645)-AL649-AL650+SUM($D646:AL646)-SUM($D648:AL648)-(SUM($D644:AK644)-SUM($D645:AK645)-AK649-AK650+SUM($D646:AK646)-SUM($D648:AK648)))</f>
        <v>0</v>
      </c>
      <c r="AM651" s="82">
        <f ca="1">IF(Параметры!AM$36=1,0,SUM($D644:AM644)-SUM($D645:AM645)-AM649-AM650+SUM($D646:AM646)-SUM($D648:AM648)-(SUM($D644:AL644)-SUM($D645:AL645)-AL649-AL650+SUM($D646:AL646)-SUM($D648:AL648)))</f>
        <v>0</v>
      </c>
      <c r="AN651" s="82">
        <f ca="1">IF(Параметры!AN$36=1,0,SUM($D644:AN644)-SUM($D645:AN645)-AN649-AN650+SUM($D646:AN646)-SUM($D648:AN648)-(SUM($D644:AM644)-SUM($D645:AM645)-AM649-AM650+SUM($D646:AM646)-SUM($D648:AM648)))</f>
        <v>-2.3283064365386963E-10</v>
      </c>
      <c r="AO651" s="82">
        <f ca="1">IF(Параметры!AO$36=1,0,SUM($D644:AO644)-SUM($D645:AO645)-AO649-AO650+SUM($D646:AO646)-SUM($D648:AO648)-(SUM($D644:AN644)-SUM($D645:AN645)-AN649-AN650+SUM($D646:AN646)-SUM($D648:AN648)))</f>
        <v>0</v>
      </c>
      <c r="AP651" s="82">
        <f ca="1">IF(Параметры!AP$36=1,0,SUM($D644:AP644)-SUM($D645:AP645)-AP649-AP650+SUM($D646:AP646)-SUM($D648:AP648)-(SUM($D644:AO644)-SUM($D645:AO645)-AO649-AO650+SUM($D646:AO646)-SUM($D648:AO648)))</f>
        <v>0</v>
      </c>
      <c r="AQ651" s="82">
        <f ca="1">IF(Параметры!AQ$36=1,0,SUM($D644:AQ644)-SUM($D645:AQ645)-AQ649-AQ650+SUM($D646:AQ646)-SUM($D648:AQ648)-(SUM($D644:AP644)-SUM($D645:AP645)-AP649-AP650+SUM($D646:AP646)-SUM($D648:AP648)))</f>
        <v>0</v>
      </c>
      <c r="AR651" s="82">
        <f ca="1">IF(Параметры!AR$36=1,0,SUM($D644:AR644)-SUM($D645:AR645)-AR649-AR650+SUM($D646:AR646)-SUM($D648:AR648)-(SUM($D644:AQ644)-SUM($D645:AQ645)-AQ649-AQ650+SUM($D646:AQ646)-SUM($D648:AQ648)))</f>
        <v>0</v>
      </c>
      <c r="AS651" s="1"/>
      <c r="AT651" s="100">
        <f ca="1">SUM(E651:AS651)</f>
        <v>-4.6566128730773926E-10</v>
      </c>
    </row>
    <row r="652" spans="1:46" s="60" customFormat="1" x14ac:dyDescent="0.2">
      <c r="A652" s="29"/>
      <c r="B652" s="29"/>
      <c r="C652" s="266"/>
      <c r="D652" s="40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82"/>
      <c r="AN652" s="82"/>
      <c r="AO652" s="82"/>
      <c r="AP652" s="82"/>
      <c r="AQ652" s="82"/>
      <c r="AR652" s="82"/>
      <c r="AS652" s="1"/>
      <c r="AT652" s="100"/>
    </row>
    <row r="653" spans="1:46" s="60" customFormat="1" x14ac:dyDescent="0.2">
      <c r="A653" s="104" t="s">
        <v>201</v>
      </c>
      <c r="B653" s="104"/>
      <c r="C653" s="31" t="str">
        <f>Параметры!$B$64</f>
        <v>тыс. руб.</v>
      </c>
      <c r="D653" s="116"/>
      <c r="E653" s="30">
        <f ca="1">OFFSET(Результаты_УК!$D$77,0,Параметры!E$36)*Параметры!E$126</f>
        <v>5266.9274999999907</v>
      </c>
      <c r="F653" s="30">
        <f ca="1">OFFSET(Результаты_УК!$D$77,0,Параметры!F$36)*Параметры!F$126</f>
        <v>12494.617499999993</v>
      </c>
      <c r="G653" s="30">
        <f ca="1">OFFSET(Результаты_УК!$D$77,0,Параметры!G$36)*Параметры!G$126</f>
        <v>27773.723314400369</v>
      </c>
      <c r="H653" s="30">
        <f ca="1">OFFSET(Результаты_УК!$D$77,0,Параметры!H$36)*Параметры!H$126</f>
        <v>43480.451816223431</v>
      </c>
      <c r="I653" s="30">
        <f ca="1">OFFSET(Результаты_УК!$D$77,0,Параметры!I$36)*Параметры!I$126</f>
        <v>61363.006025075549</v>
      </c>
      <c r="J653" s="30">
        <f ca="1">OFFSET(Результаты_УК!$D$77,0,Параметры!J$36)*Параметры!J$126</f>
        <v>80161.554013026078</v>
      </c>
      <c r="K653" s="30">
        <f ca="1">OFFSET(Результаты_УК!$D$77,0,Параметры!K$36)*Параметры!K$126</f>
        <v>100158.88671369549</v>
      </c>
      <c r="L653" s="30">
        <f ca="1">OFFSET(Результаты_УК!$D$77,0,Параметры!L$36)*Параметры!L$126</f>
        <v>120781.38680531505</v>
      </c>
      <c r="M653" s="30">
        <f ca="1">OFFSET(Результаты_УК!$D$77,0,Параметры!M$36)*Параметры!M$126</f>
        <v>145833.69400960038</v>
      </c>
      <c r="N653" s="30">
        <f ca="1">OFFSET(Результаты_УК!$D$77,0,Параметры!N$36)*Параметры!N$126</f>
        <v>173435.14022491331</v>
      </c>
      <c r="O653" s="30">
        <f ca="1">OFFSET(Результаты_УК!$D$77,0,Параметры!O$36)*Параметры!O$126</f>
        <v>204739.96003162785</v>
      </c>
      <c r="P653" s="30">
        <f ca="1">OFFSET(Результаты_УК!$D$77,0,Параметры!P$36)*Параметры!P$126</f>
        <v>238131.54163153394</v>
      </c>
      <c r="Q653" s="30">
        <f ca="1">OFFSET(Результаты_УК!$D$77,0,Параметры!Q$36)*Параметры!Q$126</f>
        <v>305183.58507898502</v>
      </c>
      <c r="R653" s="30">
        <f ca="1">OFFSET(Результаты_УК!$D$77,0,Параметры!R$36)*Параметры!R$126</f>
        <v>376493.70322219311</v>
      </c>
      <c r="S653" s="30">
        <f ca="1">OFFSET(Результаты_УК!$D$77,0,Параметры!S$36)*Параметры!S$126</f>
        <v>452463.23233844183</v>
      </c>
      <c r="T653" s="30">
        <f ca="1">OFFSET(Результаты_УК!$D$77,0,Параметры!T$36)*Параметры!T$126</f>
        <v>530778.59554901929</v>
      </c>
      <c r="U653" s="30">
        <f ca="1">OFFSET(Результаты_УК!$D$77,0,Параметры!U$36)*Параметры!U$126</f>
        <v>613282.20976021967</v>
      </c>
      <c r="V653" s="30">
        <f ca="1">OFFSET(Результаты_УК!$D$77,0,Параметры!V$36)*Параметры!V$126</f>
        <v>705648.19211424177</v>
      </c>
      <c r="W653" s="30">
        <f ca="1">OFFSET(Результаты_УК!$D$77,0,Параметры!W$36)*Параметры!W$126</f>
        <v>873948.12222168525</v>
      </c>
      <c r="X653" s="30">
        <f ca="1">OFFSET(Результаты_УК!$D$77,0,Параметры!X$36)*Параметры!X$126</f>
        <v>978596.9500301244</v>
      </c>
      <c r="Y653" s="30">
        <f ca="1">OFFSET(Результаты_УК!$D$77,0,Параметры!Y$36)*Параметры!Y$126</f>
        <v>1086555.2260112632</v>
      </c>
      <c r="Z653" s="30">
        <f ca="1">OFFSET(Результаты_УК!$D$77,0,Параметры!Z$36)*Параметры!Z$126</f>
        <v>1214368.3253104754</v>
      </c>
      <c r="AA653" s="30">
        <f ca="1">OFFSET(Результаты_УК!$D$77,0,Параметры!AA$36)*Параметры!AA$126</f>
        <v>1328751.2273864893</v>
      </c>
      <c r="AB653" s="30">
        <f ca="1">OFFSET(Результаты_УК!$D$77,0,Параметры!AB$36)*Параметры!AB$126</f>
        <v>1404044.0360056132</v>
      </c>
      <c r="AC653" s="30">
        <f ca="1">OFFSET(Результаты_УК!$D$77,0,Параметры!AC$36)*Параметры!AC$126</f>
        <v>1482470.5176294076</v>
      </c>
      <c r="AD653" s="30">
        <f ca="1">OFFSET(Результаты_УК!$D$77,0,Параметры!AD$36)*Параметры!AD$126</f>
        <v>1555473.2985978157</v>
      </c>
      <c r="AE653" s="30">
        <f ca="1">OFFSET(Результаты_УК!$D$77,0,Параметры!AE$36)*Параметры!AE$126</f>
        <v>1624611.3265331232</v>
      </c>
      <c r="AF653" s="30">
        <f ca="1">OFFSET(Результаты_УК!$D$77,0,Параметры!AF$36)*Параметры!AF$126</f>
        <v>1695532.055461619</v>
      </c>
      <c r="AG653" s="30">
        <f ca="1">OFFSET(Результаты_УК!$D$77,0,Параметры!AG$36)*Параметры!AG$126</f>
        <v>1770316.3249207479</v>
      </c>
      <c r="AH653" s="30">
        <f ca="1">OFFSET(Результаты_УК!$D$77,0,Параметры!AH$36)*Параметры!AH$126</f>
        <v>1820765.8720936822</v>
      </c>
      <c r="AI653" s="30">
        <f ca="1">OFFSET(Результаты_УК!$D$77,0,Параметры!AI$36)*Параметры!AI$126</f>
        <v>1872807.7513591677</v>
      </c>
      <c r="AJ653" s="30">
        <f ca="1">OFFSET(Результаты_УК!$D$77,0,Параметры!AJ$36)*Параметры!AJ$126</f>
        <v>1926441.9743763444</v>
      </c>
      <c r="AK653" s="30">
        <f ca="1">OFFSET(Результаты_УК!$D$77,0,Параметры!AK$36)*Параметры!AK$126</f>
        <v>2461024.7153861295</v>
      </c>
      <c r="AL653" s="30">
        <f ca="1">OFFSET(Результаты_УК!$D$77,0,Параметры!AL$36)*Параметры!AL$126</f>
        <v>2468875.2294769166</v>
      </c>
      <c r="AM653" s="30">
        <f ca="1">OFFSET(Результаты_УК!$D$77,0,Параметры!AM$36)*Параметры!AM$126</f>
        <v>2551542.7640369441</v>
      </c>
      <c r="AN653" s="30">
        <f ca="1">OFFSET(Результаты_УК!$D$77,0,Параметры!AN$36)*Параметры!AN$126</f>
        <v>2572503.6230487865</v>
      </c>
      <c r="AO653" s="30">
        <f ca="1">OFFSET(Результаты_УК!$D$77,0,Параметры!AO$36)*Параметры!AO$126</f>
        <v>10294285.705005927</v>
      </c>
      <c r="AP653" s="30">
        <f ca="1">OFFSET(Результаты_УК!$D$77,0,Параметры!AP$36)*Параметры!AP$126</f>
        <v>8296165.7109658662</v>
      </c>
      <c r="AQ653" s="30">
        <f ca="1">OFFSET(Результаты_УК!$D$77,0,Параметры!AQ$36)*Параметры!AQ$126</f>
        <v>8382978.1160642123</v>
      </c>
      <c r="AR653" s="30">
        <f ca="1">OFFSET(Результаты_УК!$D$77,0,Параметры!AR$36)*Параметры!AR$126</f>
        <v>8467797.5368973203</v>
      </c>
      <c r="AS653" s="96"/>
      <c r="AT653" s="100"/>
    </row>
    <row r="654" spans="1:46" s="60" customFormat="1" x14ac:dyDescent="0.2">
      <c r="A654" s="156" t="s">
        <v>123</v>
      </c>
      <c r="B654" s="104"/>
      <c r="C654" s="31" t="s">
        <v>133</v>
      </c>
      <c r="D654" s="116"/>
      <c r="E654" s="157">
        <f ca="1">OFFSET(Результаты_УК!$D$134,0,Параметры!E$36)</f>
        <v>1.2999999999999994</v>
      </c>
      <c r="F654" s="157">
        <f ca="1">OFFSET(Результаты_УК!$D$134,0,Параметры!F$36)</f>
        <v>1.2999999999999996</v>
      </c>
      <c r="G654" s="157">
        <f ca="1">OFFSET(Результаты_УК!$D$134,0,Параметры!G$36)</f>
        <v>1.3000000000000003</v>
      </c>
      <c r="H654" s="157">
        <f ca="1">OFFSET(Результаты_УК!$D$134,0,Параметры!H$36)</f>
        <v>1.2999999999999998</v>
      </c>
      <c r="I654" s="157">
        <f ca="1">OFFSET(Результаты_УК!$D$134,0,Параметры!I$36)</f>
        <v>1.3000000000000003</v>
      </c>
      <c r="J654" s="157">
        <f ca="1">OFFSET(Результаты_УК!$D$134,0,Параметры!J$36)</f>
        <v>1.3000000000000003</v>
      </c>
      <c r="K654" s="157">
        <f ca="1">OFFSET(Результаты_УК!$D$134,0,Параметры!K$36)</f>
        <v>1.3</v>
      </c>
      <c r="L654" s="157">
        <f ca="1">OFFSET(Результаты_УК!$D$134,0,Параметры!L$36)</f>
        <v>1.3000000000000005</v>
      </c>
      <c r="M654" s="157">
        <f ca="1">OFFSET(Результаты_УК!$D$134,0,Параметры!M$36)</f>
        <v>1.3000000000000003</v>
      </c>
      <c r="N654" s="157">
        <f ca="1">OFFSET(Результаты_УК!$D$134,0,Параметры!N$36)</f>
        <v>1.3</v>
      </c>
      <c r="O654" s="157">
        <f ca="1">OFFSET(Результаты_УК!$D$134,0,Параметры!O$36)</f>
        <v>1.2999999999999994</v>
      </c>
      <c r="P654" s="157">
        <f ca="1">OFFSET(Результаты_УК!$D$134,0,Параметры!P$36)</f>
        <v>1.3000000000000003</v>
      </c>
      <c r="Q654" s="157">
        <f ca="1">OFFSET(Результаты_УК!$D$134,0,Параметры!Q$36)</f>
        <v>1.3</v>
      </c>
      <c r="R654" s="157">
        <f ca="1">OFFSET(Результаты_УК!$D$134,0,Параметры!R$36)</f>
        <v>1.3000000000000003</v>
      </c>
      <c r="S654" s="157">
        <f ca="1">OFFSET(Результаты_УК!$D$134,0,Параметры!S$36)</f>
        <v>1.2999999999999998</v>
      </c>
      <c r="T654" s="157">
        <f ca="1">OFFSET(Результаты_УК!$D$134,0,Параметры!T$36)</f>
        <v>1.2999999999999992</v>
      </c>
      <c r="U654" s="157">
        <f ca="1">OFFSET(Результаты_УК!$D$134,0,Параметры!U$36)</f>
        <v>1.3161422681030457</v>
      </c>
      <c r="V654" s="157">
        <f ca="1">OFFSET(Результаты_УК!$D$134,0,Параметры!V$36)</f>
        <v>1.3540462236505471</v>
      </c>
      <c r="W654" s="157">
        <f ca="1">OFFSET(Результаты_УК!$D$134,0,Параметры!W$36)</f>
        <v>1.6453172270564891</v>
      </c>
      <c r="X654" s="157">
        <f ca="1">OFFSET(Результаты_УК!$D$134,0,Параметры!X$36)</f>
        <v>1.4013915819897462</v>
      </c>
      <c r="Y654" s="157">
        <f ca="1">OFFSET(Результаты_УК!$D$134,0,Параметры!Y$36)</f>
        <v>1.4142262637157161</v>
      </c>
      <c r="Z654" s="157">
        <f ca="1">OFFSET(Результаты_УК!$D$134,0,Параметры!Z$36)</f>
        <v>1.4905781029815124</v>
      </c>
      <c r="AA654" s="157">
        <f ca="1">OFFSET(Результаты_УК!$D$134,0,Параметры!AA$36)</f>
        <v>1.4391858970478937</v>
      </c>
      <c r="AB654" s="157">
        <f ca="1">OFFSET(Результаты_УК!$D$134,0,Параметры!AB$36)</f>
        <v>1.2892002801890285</v>
      </c>
      <c r="AC654" s="157">
        <f ca="1">OFFSET(Результаты_УК!$D$134,0,Параметры!AC$36)</f>
        <v>1.3019118451077241</v>
      </c>
      <c r="AD654" s="157">
        <f ca="1">OFFSET(Результаты_УК!$D$134,0,Параметры!AD$36)</f>
        <v>1.2810970952366476</v>
      </c>
      <c r="AE654" s="157">
        <f ca="1">OFFSET(Результаты_УК!$D$134,0,Параметры!AE$36)</f>
        <v>1.2662782262574506</v>
      </c>
      <c r="AF654" s="157">
        <f ca="1">OFFSET(Результаты_УК!$D$134,0,Параметры!AF$36)</f>
        <v>1.2732095035900988</v>
      </c>
      <c r="AG654" s="157">
        <f ca="1">OFFSET(Результаты_УК!$D$134,0,Параметры!AG$36)</f>
        <v>1.2914849089017482</v>
      </c>
      <c r="AH654" s="157">
        <f ca="1">OFFSET(Результаты_УК!$D$134,0,Параметры!AH$36)</f>
        <v>1.1963834976236543</v>
      </c>
      <c r="AI654" s="157">
        <f ca="1">OFFSET(Результаты_УК!$D$134,0,Параметры!AI$36)</f>
        <v>1.2023162104577547</v>
      </c>
      <c r="AJ654" s="157">
        <f ca="1">OFFSET(Результаты_УК!$D$134,0,Параметры!AJ$36)</f>
        <v>1.2082272451189631</v>
      </c>
      <c r="AK654" s="157">
        <f ca="1">OFFSET(Результаты_УК!$D$134,0,Параметры!AK$36)</f>
        <v>3.0726022095711545</v>
      </c>
      <c r="AL654" s="157">
        <f ca="1">OFFSET(Результаты_УК!$D$134,0,Параметры!AL$36)</f>
        <v>1.0303942865139077</v>
      </c>
      <c r="AM654" s="157">
        <f ca="1">OFFSET(Результаты_УК!$D$134,0,Параметры!AM$36)</f>
        <v>1.392725948415968</v>
      </c>
      <c r="AN654" s="157">
        <f ca="1">OFFSET(Результаты_УК!$D$134,0,Параметры!AN$36)</f>
        <v>1.0993905923904241</v>
      </c>
      <c r="AO654" s="1007">
        <f ca="1">OFFSET(Результаты_УК!$D$134,0,Параметры!AO$36)</f>
        <v>1.1791929425367009E+19</v>
      </c>
      <c r="AP654" s="1007" t="str">
        <f ca="1">OFFSET(Результаты_УК!$D$134,0,Параметры!AP$36)</f>
        <v/>
      </c>
      <c r="AQ654" s="1007">
        <f ca="1">OFFSET(Результаты_УК!$D$134,0,Параметры!AQ$36)</f>
        <v>1.3257117894559987E+17</v>
      </c>
      <c r="AR654" s="1007">
        <f ca="1">OFFSET(Результаты_УК!$D$134,0,Параметры!AR$36)</f>
        <v>1.2952769370448214E+17</v>
      </c>
      <c r="AS654" s="96"/>
      <c r="AT654" s="100"/>
    </row>
    <row r="655" spans="1:46" x14ac:dyDescent="0.2">
      <c r="A655" s="46"/>
      <c r="B655" s="46"/>
      <c r="C655" s="46"/>
      <c r="D655" s="47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  <c r="AP655" s="46"/>
      <c r="AQ655" s="46"/>
      <c r="AR655" s="46"/>
      <c r="AS655" s="73"/>
      <c r="AT655" s="91"/>
    </row>
    <row r="657" spans="1:46" ht="12" thickBot="1" x14ac:dyDescent="0.25"/>
    <row r="658" spans="1:46" s="43" customFormat="1" ht="25.5" customHeight="1" thickBot="1" x14ac:dyDescent="0.25">
      <c r="A658" s="481" t="s">
        <v>510</v>
      </c>
      <c r="B658" s="479"/>
      <c r="C658" s="490"/>
      <c r="D658" s="491"/>
      <c r="E658" s="479" t="str">
        <f>CHOOSE($D$2,Параметры!E$53,Параметры!E$54)</f>
        <v>1 кв. 2020</v>
      </c>
      <c r="F658" s="479" t="str">
        <f>CHOOSE($D$2,Параметры!F$53,Параметры!F$54)</f>
        <v>2 кв. 2020</v>
      </c>
      <c r="G658" s="479" t="str">
        <f>CHOOSE($D$2,Параметры!G$53,Параметры!G$54)</f>
        <v>3 кв. 2020</v>
      </c>
      <c r="H658" s="479" t="str">
        <f>CHOOSE($D$2,Параметры!H$53,Параметры!H$54)</f>
        <v>4 кв. 2020</v>
      </c>
      <c r="I658" s="479" t="str">
        <f>CHOOSE($D$2,Параметры!I$53,Параметры!I$54)</f>
        <v>1 кв. 2021</v>
      </c>
      <c r="J658" s="479" t="str">
        <f>CHOOSE($D$2,Параметры!J$53,Параметры!J$54)</f>
        <v>2 кв. 2021</v>
      </c>
      <c r="K658" s="479" t="str">
        <f>CHOOSE($D$2,Параметры!K$53,Параметры!K$54)</f>
        <v>3 кв. 2021</v>
      </c>
      <c r="L658" s="479" t="str">
        <f>CHOOSE($D$2,Параметры!L$53,Параметры!L$54)</f>
        <v>4 кв. 2021</v>
      </c>
      <c r="M658" s="479" t="str">
        <f>CHOOSE($D$2,Параметры!M$53,Параметры!M$54)</f>
        <v>1 кв. 2022</v>
      </c>
      <c r="N658" s="479" t="str">
        <f>CHOOSE($D$2,Параметры!N$53,Параметры!N$54)</f>
        <v>2 кв. 2022</v>
      </c>
      <c r="O658" s="479" t="str">
        <f>CHOOSE($D$2,Параметры!O$53,Параметры!O$54)</f>
        <v>3 кв. 2022</v>
      </c>
      <c r="P658" s="479" t="str">
        <f>CHOOSE($D$2,Параметры!P$53,Параметры!P$54)</f>
        <v>4 кв. 2022</v>
      </c>
      <c r="Q658" s="479" t="str">
        <f>CHOOSE($D$2,Параметры!Q$53,Параметры!Q$54)</f>
        <v>1 кв. 2023</v>
      </c>
      <c r="R658" s="479" t="str">
        <f>CHOOSE($D$2,Параметры!R$53,Параметры!R$54)</f>
        <v>2 кв. 2023</v>
      </c>
      <c r="S658" s="479" t="str">
        <f>CHOOSE($D$2,Параметры!S$53,Параметры!S$54)</f>
        <v>3 кв. 2023</v>
      </c>
      <c r="T658" s="479" t="str">
        <f>CHOOSE($D$2,Параметры!T$53,Параметры!T$54)</f>
        <v>4 кв. 2023</v>
      </c>
      <c r="U658" s="479" t="str">
        <f>CHOOSE($D$2,Параметры!U$53,Параметры!U$54)</f>
        <v>1 кв. 2024</v>
      </c>
      <c r="V658" s="479" t="str">
        <f>CHOOSE($D$2,Параметры!V$53,Параметры!V$54)</f>
        <v>2 кв. 2024</v>
      </c>
      <c r="W658" s="479" t="str">
        <f>CHOOSE($D$2,Параметры!W$53,Параметры!W$54)</f>
        <v>3 кв. 2024</v>
      </c>
      <c r="X658" s="479" t="str">
        <f>CHOOSE($D$2,Параметры!X$53,Параметры!X$54)</f>
        <v>4 кв. 2024</v>
      </c>
      <c r="Y658" s="479" t="str">
        <f>CHOOSE($D$2,Параметры!Y$53,Параметры!Y$54)</f>
        <v>1 кв. 2025</v>
      </c>
      <c r="Z658" s="479" t="str">
        <f>CHOOSE($D$2,Параметры!Z$53,Параметры!Z$54)</f>
        <v>2 кв. 2025</v>
      </c>
      <c r="AA658" s="479" t="str">
        <f>CHOOSE($D$2,Параметры!AA$53,Параметры!AA$54)</f>
        <v>3 кв. 2025</v>
      </c>
      <c r="AB658" s="479" t="str">
        <f>CHOOSE($D$2,Параметры!AB$53,Параметры!AB$54)</f>
        <v>4 кв. 2025</v>
      </c>
      <c r="AC658" s="479" t="str">
        <f>CHOOSE($D$2,Параметры!AC$53,Параметры!AC$54)</f>
        <v>1 кв. 2026</v>
      </c>
      <c r="AD658" s="479" t="str">
        <f>CHOOSE($D$2,Параметры!AD$53,Параметры!AD$54)</f>
        <v>2 кв. 2026</v>
      </c>
      <c r="AE658" s="479" t="str">
        <f>CHOOSE($D$2,Параметры!AE$53,Параметры!AE$54)</f>
        <v>3 кв. 2026</v>
      </c>
      <c r="AF658" s="479" t="str">
        <f>CHOOSE($D$2,Параметры!AF$53,Параметры!AF$54)</f>
        <v>4 кв. 2026</v>
      </c>
      <c r="AG658" s="479" t="str">
        <f>CHOOSE($D$2,Параметры!AG$53,Параметры!AG$54)</f>
        <v>1 кв. 2027</v>
      </c>
      <c r="AH658" s="479" t="str">
        <f>CHOOSE($D$2,Параметры!AH$53,Параметры!AH$54)</f>
        <v>2 кв. 2027</v>
      </c>
      <c r="AI658" s="479" t="str">
        <f>CHOOSE($D$2,Параметры!AI$53,Параметры!AI$54)</f>
        <v>3 кв. 2027</v>
      </c>
      <c r="AJ658" s="479" t="str">
        <f>CHOOSE($D$2,Параметры!AJ$53,Параметры!AJ$54)</f>
        <v>4 кв. 2027</v>
      </c>
      <c r="AK658" s="479" t="str">
        <f>CHOOSE($D$2,Параметры!AK$53,Параметры!AK$54)</f>
        <v>1 кв. 2028</v>
      </c>
      <c r="AL658" s="479" t="str">
        <f>CHOOSE($D$2,Параметры!AL$53,Параметры!AL$54)</f>
        <v>2 кв. 2028</v>
      </c>
      <c r="AM658" s="479" t="str">
        <f>CHOOSE($D$2,Параметры!AM$53,Параметры!AM$54)</f>
        <v>3 кв. 2028</v>
      </c>
      <c r="AN658" s="479" t="str">
        <f>CHOOSE($D$2,Параметры!AN$53,Параметры!AN$54)</f>
        <v>4 кв. 2028</v>
      </c>
      <c r="AO658" s="479" t="str">
        <f>CHOOSE($D$2,Параметры!AO$53,Параметры!AO$54)</f>
        <v>1 кв. 2029</v>
      </c>
      <c r="AP658" s="479" t="str">
        <f>CHOOSE($D$2,Параметры!AP$53,Параметры!AP$54)</f>
        <v>2 кв. 2029</v>
      </c>
      <c r="AQ658" s="479" t="str">
        <f>CHOOSE($D$2,Параметры!AQ$53,Параметры!AQ$54)</f>
        <v>3 кв. 2029</v>
      </c>
      <c r="AR658" s="479" t="str">
        <f>CHOOSE($D$2,Параметры!AR$53,Параметры!AR$54)</f>
        <v>4 кв. 2029</v>
      </c>
      <c r="AS658" s="479"/>
      <c r="AT658" s="479" t="s">
        <v>0</v>
      </c>
    </row>
    <row r="659" spans="1:46" x14ac:dyDescent="0.2">
      <c r="A659" s="64"/>
      <c r="B659" s="64"/>
      <c r="C659" s="64"/>
      <c r="D659" s="65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  <c r="AA659" s="64"/>
      <c r="AB659" s="64"/>
      <c r="AC659" s="64"/>
      <c r="AD659" s="64"/>
      <c r="AE659" s="64"/>
      <c r="AF659" s="64"/>
      <c r="AG659" s="64"/>
      <c r="AH659" s="64"/>
      <c r="AI659" s="64"/>
      <c r="AJ659" s="64"/>
      <c r="AK659" s="64"/>
      <c r="AL659" s="64"/>
      <c r="AM659" s="64"/>
      <c r="AN659" s="64"/>
      <c r="AO659" s="64"/>
      <c r="AP659" s="64"/>
      <c r="AQ659" s="64"/>
      <c r="AR659" s="64"/>
      <c r="AS659" s="41"/>
      <c r="AT659" s="92"/>
    </row>
    <row r="660" spans="1:46" x14ac:dyDescent="0.2">
      <c r="A660" s="64"/>
      <c r="B660" s="64"/>
      <c r="C660" s="64"/>
      <c r="D660" s="65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  <c r="AA660" s="64"/>
      <c r="AB660" s="64"/>
      <c r="AC660" s="64"/>
      <c r="AD660" s="64"/>
      <c r="AE660" s="64"/>
      <c r="AF660" s="64"/>
      <c r="AG660" s="64"/>
      <c r="AH660" s="64"/>
      <c r="AI660" s="64"/>
      <c r="AJ660" s="64"/>
      <c r="AK660" s="64"/>
      <c r="AL660" s="64"/>
      <c r="AM660" s="64"/>
      <c r="AN660" s="64"/>
      <c r="AO660" s="64"/>
      <c r="AP660" s="64"/>
      <c r="AQ660" s="64"/>
      <c r="AR660" s="64"/>
      <c r="AS660" s="41"/>
      <c r="AT660" s="92"/>
    </row>
    <row r="661" spans="1:46" x14ac:dyDescent="0.2">
      <c r="A661" s="64"/>
      <c r="B661" s="64"/>
      <c r="C661" s="64"/>
      <c r="D661" s="65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  <c r="AA661" s="64"/>
      <c r="AB661" s="64"/>
      <c r="AC661" s="64"/>
      <c r="AD661" s="64"/>
      <c r="AE661" s="64"/>
      <c r="AF661" s="64"/>
      <c r="AG661" s="64"/>
      <c r="AH661" s="64"/>
      <c r="AI661" s="64"/>
      <c r="AJ661" s="64"/>
      <c r="AK661" s="64"/>
      <c r="AL661" s="64"/>
      <c r="AM661" s="64"/>
      <c r="AN661" s="64"/>
      <c r="AO661" s="64"/>
      <c r="AP661" s="64"/>
      <c r="AQ661" s="64"/>
      <c r="AR661" s="64"/>
      <c r="AS661" s="41"/>
      <c r="AT661" s="92"/>
    </row>
    <row r="662" spans="1:46" x14ac:dyDescent="0.2">
      <c r="A662" s="64"/>
      <c r="B662" s="64"/>
      <c r="C662" s="64"/>
      <c r="D662" s="65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41"/>
      <c r="AT662" s="92"/>
    </row>
    <row r="663" spans="1:46" collapsed="1" x14ac:dyDescent="0.2">
      <c r="A663" s="135" t="s">
        <v>204</v>
      </c>
      <c r="B663" s="153"/>
      <c r="C663" s="266" t="str">
        <f>Параметры!$B$64</f>
        <v>тыс. руб.</v>
      </c>
      <c r="D663" s="65"/>
      <c r="E663" s="160">
        <f ca="1">IF(Параметры!$B$138=1,
MAX(E673-IF(Параметры!E$36=1,0,D675),0),
IF(MAX(0,E673)-IF(Параметры!E$36&gt;=Параметры!$B$139,D675+MAX(D663,0),0)&lt;-Параметры!$B$140,MAX(0,E673)-IF(Параметры!E$36&gt;=Параметры!$B$139,D675+MAX(D663,0),0),MAX(MAX(0,E673)-IF(Параметры!E$36&gt;=Параметры!$B$139,D675,0),0))
)</f>
        <v>0</v>
      </c>
      <c r="F663" s="160">
        <f ca="1">IF(Параметры!$B$138=1,
MAX(F673-IF(Параметры!F$36=1,0,E675),0),
IF(MAX(0,F673)-IF(Параметры!F$36&gt;=Параметры!$B$139,E675+MAX(E663,0),0)&lt;-Параметры!$B$140,MAX(0,F673)-IF(Параметры!F$36&gt;=Параметры!$B$139,E675+MAX(E663,0),0),MAX(MAX(0,F673)-IF(Параметры!F$36&gt;=Параметры!$B$139,E675,0),0))
)</f>
        <v>0</v>
      </c>
      <c r="G663" s="160">
        <f ca="1">IF(Параметры!$B$138=1,
MAX(G673-IF(Параметры!G$36=1,0,F675),0),
IF(MAX(0,G673)-IF(Параметры!G$36&gt;=Параметры!$B$139,F675+MAX(F663,0),0)&lt;-Параметры!$B$140,MAX(0,G673)-IF(Параметры!G$36&gt;=Параметры!$B$139,F675+MAX(F663,0),0),MAX(MAX(0,G673)-IF(Параметры!G$36&gt;=Параметры!$B$139,F675,0),0))
)</f>
        <v>0</v>
      </c>
      <c r="H663" s="160">
        <f ca="1">IF(Параметры!$B$138=1,
MAX(H673-IF(Параметры!H$36=1,0,G675),0),
IF(MAX(0,H673)-IF(Параметры!H$36&gt;=Параметры!$B$139,G675+MAX(G663,0),0)&lt;-Параметры!$B$140,MAX(0,H673)-IF(Параметры!H$36&gt;=Параметры!$B$139,G675+MAX(G663,0),0),MAX(MAX(0,H673)-IF(Параметры!H$36&gt;=Параметры!$B$139,G675,0),0))
)</f>
        <v>0</v>
      </c>
      <c r="I663" s="160">
        <f ca="1">IF(Параметры!$B$138=1,
MAX(I673-IF(Параметры!I$36=1,0,H675),0),
IF(MAX(0,I673)-IF(Параметры!I$36&gt;=Параметры!$B$139,H675+MAX(H663,0),0)&lt;-Параметры!$B$140,MAX(0,I673)-IF(Параметры!I$36&gt;=Параметры!$B$139,H675+MAX(H663,0),0),MAX(MAX(0,I673)-IF(Параметры!I$36&gt;=Параметры!$B$139,H675,0),0))
)</f>
        <v>0</v>
      </c>
      <c r="J663" s="160">
        <f ca="1">IF(Параметры!$B$138=1,
MAX(J673-IF(Параметры!J$36=1,0,I675),0),
IF(MAX(0,J673)-IF(Параметры!J$36&gt;=Параметры!$B$139,I675+MAX(I663,0),0)&lt;-Параметры!$B$140,MAX(0,J673)-IF(Параметры!J$36&gt;=Параметры!$B$139,I675+MAX(I663,0),0),MAX(MAX(0,J673)-IF(Параметры!J$36&gt;=Параметры!$B$139,I675,0),0))
)</f>
        <v>0</v>
      </c>
      <c r="K663" s="160">
        <f ca="1">IF(Параметры!$B$138=1,
MAX(K673-IF(Параметры!K$36=1,0,J675),0),
IF(MAX(0,K673)-IF(Параметры!K$36&gt;=Параметры!$B$139,J675+MAX(J663,0),0)&lt;-Параметры!$B$140,MAX(0,K673)-IF(Параметры!K$36&gt;=Параметры!$B$139,J675+MAX(J663,0),0),MAX(MAX(0,K673)-IF(Параметры!K$36&gt;=Параметры!$B$139,J675,0),0))
)</f>
        <v>0</v>
      </c>
      <c r="L663" s="160">
        <f ca="1">IF(Параметры!$B$138=1,
MAX(L673-IF(Параметры!L$36=1,0,K675),0),
IF(MAX(0,L673)-IF(Параметры!L$36&gt;=Параметры!$B$139,K675+MAX(K663,0),0)&lt;-Параметры!$B$140,MAX(0,L673)-IF(Параметры!L$36&gt;=Параметры!$B$139,K675+MAX(K663,0),0),MAX(MAX(0,L673)-IF(Параметры!L$36&gt;=Параметры!$B$139,K675,0),0))
)</f>
        <v>0</v>
      </c>
      <c r="M663" s="160">
        <f ca="1">IF(Параметры!$B$138=1,
MAX(M673-IF(Параметры!M$36=1,0,L675),0),
IF(MAX(0,M673)-IF(Параметры!M$36&gt;=Параметры!$B$139,L675+MAX(L663,0),0)&lt;-Параметры!$B$140,MAX(0,M673)-IF(Параметры!M$36&gt;=Параметры!$B$139,L675+MAX(L663,0),0),MAX(MAX(0,M673)-IF(Параметры!M$36&gt;=Параметры!$B$139,L675,0),0))
)</f>
        <v>0</v>
      </c>
      <c r="N663" s="160">
        <f ca="1">IF(Параметры!$B$138=1,
MAX(N673-IF(Параметры!N$36=1,0,M675),0),
IF(MAX(0,N673)-IF(Параметры!N$36&gt;=Параметры!$B$139,M675+MAX(M663,0),0)&lt;-Параметры!$B$140,MAX(0,N673)-IF(Параметры!N$36&gt;=Параметры!$B$139,M675+MAX(M663,0),0),MAX(MAX(0,N673)-IF(Параметры!N$36&gt;=Параметры!$B$139,M675,0),0))
)</f>
        <v>0</v>
      </c>
      <c r="O663" s="160">
        <f ca="1">IF(Параметры!$B$138=1,
MAX(O673-IF(Параметры!O$36=1,0,N675),0),
IF(MAX(0,O673)-IF(Параметры!O$36&gt;=Параметры!$B$139,N675+MAX(N663,0),0)&lt;-Параметры!$B$140,MAX(0,O673)-IF(Параметры!O$36&gt;=Параметры!$B$139,N675+MAX(N663,0),0),MAX(MAX(0,O673)-IF(Параметры!O$36&gt;=Параметры!$B$139,N675,0),0))
)</f>
        <v>0</v>
      </c>
      <c r="P663" s="160">
        <f ca="1">IF(Параметры!$B$138=1,
MAX(P673-IF(Параметры!P$36=1,0,O675),0),
IF(MAX(0,P673)-IF(Параметры!P$36&gt;=Параметры!$B$139,O675+MAX(O663,0),0)&lt;-Параметры!$B$140,MAX(0,P673)-IF(Параметры!P$36&gt;=Параметры!$B$139,O675+MAX(O663,0),0),MAX(MAX(0,P673)-IF(Параметры!P$36&gt;=Параметры!$B$139,O675,0),0))
)</f>
        <v>0</v>
      </c>
      <c r="Q663" s="160">
        <f ca="1">IF(Параметры!$B$138=1,
MAX(Q673-IF(Параметры!Q$36=1,0,P675),0),
IF(MAX(0,Q673)-IF(Параметры!Q$36&gt;=Параметры!$B$139,P675+MAX(P663,0),0)&lt;-Параметры!$B$140,MAX(0,Q673)-IF(Параметры!Q$36&gt;=Параметры!$B$139,P675+MAX(P663,0),0),MAX(MAX(0,Q673)-IF(Параметры!Q$36&gt;=Параметры!$B$139,P675,0),0))
)</f>
        <v>0</v>
      </c>
      <c r="R663" s="160">
        <f ca="1">IF(Параметры!$B$138=1,
MAX(R673-IF(Параметры!R$36=1,0,Q675),0),
IF(MAX(0,R673)-IF(Параметры!R$36&gt;=Параметры!$B$139,Q675+MAX(Q663,0),0)&lt;-Параметры!$B$140,MAX(0,R673)-IF(Параметры!R$36&gt;=Параметры!$B$139,Q675+MAX(Q663,0),0),MAX(MAX(0,R673)-IF(Параметры!R$36&gt;=Параметры!$B$139,Q675,0),0))
)</f>
        <v>0</v>
      </c>
      <c r="S663" s="160">
        <f ca="1">IF(Параметры!$B$138=1,
MAX(S673-IF(Параметры!S$36=1,0,R675),0),
IF(MAX(0,S673)-IF(Параметры!S$36&gt;=Параметры!$B$139,R675+MAX(R663,0),0)&lt;-Параметры!$B$140,MAX(0,S673)-IF(Параметры!S$36&gt;=Параметры!$B$139,R675+MAX(R663,0),0),MAX(MAX(0,S673)-IF(Параметры!S$36&gt;=Параметры!$B$139,R675,0),0))
)</f>
        <v>0</v>
      </c>
      <c r="T663" s="160">
        <f ca="1">IF(Параметры!$B$138=1,
MAX(T673-IF(Параметры!T$36=1,0,S675),0),
IF(MAX(0,T673)-IF(Параметры!T$36&gt;=Параметры!$B$139,S675+MAX(S663,0),0)&lt;-Параметры!$B$140,MAX(0,T673)-IF(Параметры!T$36&gt;=Параметры!$B$139,S675+MAX(S663,0),0),MAX(MAX(0,T673)-IF(Параметры!T$36&gt;=Параметры!$B$139,S675,0),0))
)</f>
        <v>0</v>
      </c>
      <c r="U663" s="160">
        <f ca="1">IF(Параметры!$B$138=1,
MAX(U673-IF(Параметры!U$36=1,0,T675),0),
IF(MAX(0,U673)-IF(Параметры!U$36&gt;=Параметры!$B$139,T675+MAX(T663,0),0)&lt;-Параметры!$B$140,MAX(0,U673)-IF(Параметры!U$36&gt;=Параметры!$B$139,T675+MAX(T663,0),0),MAX(MAX(0,U673)-IF(Параметры!U$36&gt;=Параметры!$B$139,T675,0),0))
)</f>
        <v>0</v>
      </c>
      <c r="V663" s="160">
        <f ca="1">IF(Параметры!$B$138=1,
MAX(V673-IF(Параметры!V$36=1,0,U675),0),
IF(MAX(0,V673)-IF(Параметры!V$36&gt;=Параметры!$B$139,U675+MAX(U663,0),0)&lt;-Параметры!$B$140,MAX(0,V673)-IF(Параметры!V$36&gt;=Параметры!$B$139,U675+MAX(U663,0),0),MAX(MAX(0,V673)-IF(Параметры!V$36&gt;=Параметры!$B$139,U675,0),0))
)</f>
        <v>0</v>
      </c>
      <c r="W663" s="160">
        <f ca="1">IF(Параметры!$B$138=1,
MAX(W673-IF(Параметры!W$36=1,0,V675),0),
IF(MAX(0,W673)-IF(Параметры!W$36&gt;=Параметры!$B$139,V675+MAX(V663,0),0)&lt;-Параметры!$B$140,MAX(0,W673)-IF(Параметры!W$36&gt;=Параметры!$B$139,V675+MAX(V663,0),0),MAX(MAX(0,W673)-IF(Параметры!W$36&gt;=Параметры!$B$139,V675,0),0))
)</f>
        <v>0</v>
      </c>
      <c r="X663" s="160">
        <f ca="1">IF(Параметры!$B$138=1,
MAX(X673-IF(Параметры!X$36=1,0,W675),0),
IF(MAX(0,X673)-IF(Параметры!X$36&gt;=Параметры!$B$139,W675+MAX(W663,0),0)&lt;-Параметры!$B$140,MAX(0,X673)-IF(Параметры!X$36&gt;=Параметры!$B$139,W675+MAX(W663,0),0),MAX(MAX(0,X673)-IF(Параметры!X$36&gt;=Параметры!$B$139,W675,0),0))
)</f>
        <v>0</v>
      </c>
      <c r="Y663" s="160">
        <f ca="1">IF(Параметры!$B$138=1,
MAX(Y673-IF(Параметры!Y$36=1,0,X675),0),
IF(MAX(0,Y673)-IF(Параметры!Y$36&gt;=Параметры!$B$139,X675+MAX(X663,0),0)&lt;-Параметры!$B$140,MAX(0,Y673)-IF(Параметры!Y$36&gt;=Параметры!$B$139,X675+MAX(X663,0),0),MAX(MAX(0,Y673)-IF(Параметры!Y$36&gt;=Параметры!$B$139,X675,0),0))
)</f>
        <v>0</v>
      </c>
      <c r="Z663" s="160">
        <f ca="1">IF(Параметры!$B$138=1,
MAX(Z673-IF(Параметры!Z$36=1,0,Y675),0),
IF(MAX(0,Z673)-IF(Параметры!Z$36&gt;=Параметры!$B$139,Y675+MAX(Y663,0),0)&lt;-Параметры!$B$140,MAX(0,Z673)-IF(Параметры!Z$36&gt;=Параметры!$B$139,Y675+MAX(Y663,0),0),MAX(MAX(0,Z673)-IF(Параметры!Z$36&gt;=Параметры!$B$139,Y675,0),0))
)</f>
        <v>0</v>
      </c>
      <c r="AA663" s="160">
        <f ca="1">IF(Параметры!$B$138=1,
MAX(AA673-IF(Параметры!AA$36=1,0,Z675),0),
IF(MAX(0,AA673)-IF(Параметры!AA$36&gt;=Параметры!$B$139,Z675+MAX(Z663,0),0)&lt;-Параметры!$B$140,MAX(0,AA673)-IF(Параметры!AA$36&gt;=Параметры!$B$139,Z675+MAX(Z663,0),0),MAX(MAX(0,AA673)-IF(Параметры!AA$36&gt;=Параметры!$B$139,Z675,0),0))
)</f>
        <v>0</v>
      </c>
      <c r="AB663" s="160">
        <f ca="1">IF(Параметры!$B$138=1,
MAX(AB673-IF(Параметры!AB$36=1,0,AA675),0),
IF(MAX(0,AB673)-IF(Параметры!AB$36&gt;=Параметры!$B$139,AA675+MAX(AA663,0),0)&lt;-Параметры!$B$140,MAX(0,AB673)-IF(Параметры!AB$36&gt;=Параметры!$B$139,AA675+MAX(AA663,0),0),MAX(MAX(0,AB673)-IF(Параметры!AB$36&gt;=Параметры!$B$139,AA675,0),0))
)</f>
        <v>0</v>
      </c>
      <c r="AC663" s="160">
        <f ca="1">IF(Параметры!$B$138=1,
MAX(AC673-IF(Параметры!AC$36=1,0,AB675),0),
IF(MAX(0,AC673)-IF(Параметры!AC$36&gt;=Параметры!$B$139,AB675+MAX(AB663,0),0)&lt;-Параметры!$B$140,MAX(0,AC673)-IF(Параметры!AC$36&gt;=Параметры!$B$139,AB675+MAX(AB663,0),0),MAX(MAX(0,AC673)-IF(Параметры!AC$36&gt;=Параметры!$B$139,AB675,0),0))
)</f>
        <v>0</v>
      </c>
      <c r="AD663" s="160">
        <f ca="1">IF(Параметры!$B$138=1,
MAX(AD673-IF(Параметры!AD$36=1,0,AC675),0),
IF(MAX(0,AD673)-IF(Параметры!AD$36&gt;=Параметры!$B$139,AC675+MAX(AC663,0),0)&lt;-Параметры!$B$140,MAX(0,AD673)-IF(Параметры!AD$36&gt;=Параметры!$B$139,AC675+MAX(AC663,0),0),MAX(MAX(0,AD673)-IF(Параметры!AD$36&gt;=Параметры!$B$139,AC675,0),0))
)</f>
        <v>0</v>
      </c>
      <c r="AE663" s="160">
        <f ca="1">IF(Параметры!$B$138=1,
MAX(AE673-IF(Параметры!AE$36=1,0,AD675),0),
IF(MAX(0,AE673)-IF(Параметры!AE$36&gt;=Параметры!$B$139,AD675+MAX(AD663,0),0)&lt;-Параметры!$B$140,MAX(0,AE673)-IF(Параметры!AE$36&gt;=Параметры!$B$139,AD675+MAX(AD663,0),0),MAX(MAX(0,AE673)-IF(Параметры!AE$36&gt;=Параметры!$B$139,AD675,0),0))
)</f>
        <v>0</v>
      </c>
      <c r="AF663" s="160">
        <f ca="1">IF(Параметры!$B$138=1,
MAX(AF673-IF(Параметры!AF$36=1,0,AE675),0),
IF(MAX(0,AF673)-IF(Параметры!AF$36&gt;=Параметры!$B$139,AE675+MAX(AE663,0),0)&lt;-Параметры!$B$140,MAX(0,AF673)-IF(Параметры!AF$36&gt;=Параметры!$B$139,AE675+MAX(AE663,0),0),MAX(MAX(0,AF673)-IF(Параметры!AF$36&gt;=Параметры!$B$139,AE675,0),0))
)</f>
        <v>0</v>
      </c>
      <c r="AG663" s="160">
        <f ca="1">IF(Параметры!$B$138=1,
MAX(AG673-IF(Параметры!AG$36=1,0,AF675),0),
IF(MAX(0,AG673)-IF(Параметры!AG$36&gt;=Параметры!$B$139,AF675+MAX(AF663,0),0)&lt;-Параметры!$B$140,MAX(0,AG673)-IF(Параметры!AG$36&gt;=Параметры!$B$139,AF675+MAX(AF663,0),0),MAX(MAX(0,AG673)-IF(Параметры!AG$36&gt;=Параметры!$B$139,AF675,0),0))
)</f>
        <v>0</v>
      </c>
      <c r="AH663" s="160">
        <f ca="1">IF(Параметры!$B$138=1,
MAX(AH673-IF(Параметры!AH$36=1,0,AG675),0),
IF(MAX(0,AH673)-IF(Параметры!AH$36&gt;=Параметры!$B$139,AG675+MAX(AG663,0),0)&lt;-Параметры!$B$140,MAX(0,AH673)-IF(Параметры!AH$36&gt;=Параметры!$B$139,AG675+MAX(AG663,0),0),MAX(MAX(0,AH673)-IF(Параметры!AH$36&gt;=Параметры!$B$139,AG675,0),0))
)</f>
        <v>0</v>
      </c>
      <c r="AI663" s="160">
        <f ca="1">IF(Параметры!$B$138=1,
MAX(AI673-IF(Параметры!AI$36=1,0,AH675),0),
IF(MAX(0,AI673)-IF(Параметры!AI$36&gt;=Параметры!$B$139,AH675+MAX(AH663,0),0)&lt;-Параметры!$B$140,MAX(0,AI673)-IF(Параметры!AI$36&gt;=Параметры!$B$139,AH675+MAX(AH663,0),0),MAX(MAX(0,AI673)-IF(Параметры!AI$36&gt;=Параметры!$B$139,AH675,0),0))
)</f>
        <v>0</v>
      </c>
      <c r="AJ663" s="160">
        <f ca="1">IF(Параметры!$B$138=1,
MAX(AJ673-IF(Параметры!AJ$36=1,0,AI675),0),
IF(MAX(0,AJ673)-IF(Параметры!AJ$36&gt;=Параметры!$B$139,AI675+MAX(AI663,0),0)&lt;-Параметры!$B$140,MAX(0,AJ673)-IF(Параметры!AJ$36&gt;=Параметры!$B$139,AI675+MAX(AI663,0),0),MAX(MAX(0,AJ673)-IF(Параметры!AJ$36&gt;=Параметры!$B$139,AI675,0),0))
)</f>
        <v>0</v>
      </c>
      <c r="AK663" s="160">
        <f ca="1">IF(Параметры!$B$138=1,
MAX(AK673-IF(Параметры!AK$36=1,0,AJ675),0),
IF(MAX(0,AK673)-IF(Параметры!AK$36&gt;=Параметры!$B$139,AJ675+MAX(AJ663,0),0)&lt;-Параметры!$B$140,MAX(0,AK673)-IF(Параметры!AK$36&gt;=Параметры!$B$139,AJ675+MAX(AJ663,0),0),MAX(MAX(0,AK673)-IF(Параметры!AK$36&gt;=Параметры!$B$139,AJ675,0),0))
)</f>
        <v>0</v>
      </c>
      <c r="AL663" s="160">
        <f ca="1">IF(Параметры!$B$138=1,
MAX(AL673-IF(Параметры!AL$36=1,0,AK675),0),
IF(MAX(0,AL673)-IF(Параметры!AL$36&gt;=Параметры!$B$139,AK675+MAX(AK663,0),0)&lt;-Параметры!$B$140,MAX(0,AL673)-IF(Параметры!AL$36&gt;=Параметры!$B$139,AK675+MAX(AK663,0),0),MAX(MAX(0,AL673)-IF(Параметры!AL$36&gt;=Параметры!$B$139,AK675,0),0))
)</f>
        <v>0</v>
      </c>
      <c r="AM663" s="160">
        <f ca="1">IF(Параметры!$B$138=1,
MAX(AM673-IF(Параметры!AM$36=1,0,AL675),0),
IF(MAX(0,AM673)-IF(Параметры!AM$36&gt;=Параметры!$B$139,AL675+MAX(AL663,0),0)&lt;-Параметры!$B$140,MAX(0,AM673)-IF(Параметры!AM$36&gt;=Параметры!$B$139,AL675+MAX(AL663,0),0),MAX(MAX(0,AM673)-IF(Параметры!AM$36&gt;=Параметры!$B$139,AL675,0),0))
)</f>
        <v>0</v>
      </c>
      <c r="AN663" s="160">
        <f ca="1">IF(Параметры!$B$138=1,
MAX(AN673-IF(Параметры!AN$36=1,0,AM675),0),
IF(MAX(0,AN673)-IF(Параметры!AN$36&gt;=Параметры!$B$139,AM675+MAX(AM663,0),0)&lt;-Параметры!$B$140,MAX(0,AN673)-IF(Параметры!AN$36&gt;=Параметры!$B$139,AM675+MAX(AM663,0),0),MAX(MAX(0,AN673)-IF(Параметры!AN$36&gt;=Параметры!$B$139,AM675,0),0))
)</f>
        <v>0</v>
      </c>
      <c r="AO663" s="160">
        <f ca="1">IF(Параметры!$B$138=1,
MAX(AO673-IF(Параметры!AO$36=1,0,AN675),0),
IF(MAX(0,AO673)-IF(Параметры!AO$36&gt;=Параметры!$B$139,AN675+MAX(AN663,0),0)&lt;-Параметры!$B$140,MAX(0,AO673)-IF(Параметры!AO$36&gt;=Параметры!$B$139,AN675+MAX(AN663,0),0),MAX(MAX(0,AO673)-IF(Параметры!AO$36&gt;=Параметры!$B$139,AN675,0),0))
)</f>
        <v>1275781.6275359434</v>
      </c>
      <c r="AP663" s="160">
        <f ca="1">IF(Параметры!$B$138=1,
MAX(AP673-IF(Параметры!AP$36=1,0,AO675),0),
IF(MAX(0,AP673)-IF(Параметры!AP$36&gt;=Параметры!$B$139,AO675+MAX(AO663,0),0)&lt;-Параметры!$B$140,MAX(0,AP673)-IF(Параметры!AP$36&gt;=Параметры!$B$139,AO675+MAX(AO663,0),0),MAX(MAX(0,AP673)-IF(Параметры!AP$36&gt;=Параметры!$B$139,AO675,0),0))
)</f>
        <v>22435.72580900243</v>
      </c>
      <c r="AQ663" s="160">
        <f ca="1">IF(Параметры!$B$138=1,
MAX(AQ673-IF(Параметры!AQ$36=1,0,AP675),0),
IF(MAX(0,AQ673)-IF(Параметры!AQ$36&gt;=Параметры!$B$139,AP675+MAX(AP663,0),0)&lt;-Параметры!$B$140,MAX(0,AQ673)-IF(Параметры!AQ$36&gt;=Параметры!$B$139,AP675+MAX(AP663,0),0),MAX(MAX(0,AQ673)-IF(Параметры!AQ$36&gt;=Параметры!$B$139,AP675,0),0))
)</f>
        <v>24123.66051247179</v>
      </c>
      <c r="AR663" s="160">
        <f ca="1">IF(Параметры!$B$138=1,
MAX(AR673-IF(Параметры!AR$36=1,0,AQ675),0),
IF(MAX(0,AR673)-IF(Параметры!AR$36&gt;=Параметры!$B$139,AQ675+MAX(AQ663,0),0)&lt;-Параметры!$B$140,MAX(0,AR673)-IF(Параметры!AR$36&gt;=Параметры!$B$139,AQ675+MAX(AQ663,0),0),MAX(MAX(0,AR673)-IF(Параметры!AR$36&gt;=Параметры!$B$139,AQ675,0),0))
)</f>
        <v>24364.3734710545</v>
      </c>
      <c r="AS663" s="41"/>
      <c r="AT663" s="137">
        <f ca="1">SUM(E663:AS663)</f>
        <v>1346705.3873284722</v>
      </c>
    </row>
    <row r="664" spans="1:46" ht="11.25" customHeight="1" outlineLevel="1" x14ac:dyDescent="0.2">
      <c r="A664" s="114" t="s">
        <v>219</v>
      </c>
      <c r="B664" s="9"/>
      <c r="C664" s="2" t="str">
        <f>Параметры!$B$64</f>
        <v>тыс. руб.</v>
      </c>
      <c r="D664" s="65"/>
      <c r="E664" s="353">
        <f ca="1">IF(Параметры!$B$137&lt;=Параметры!$B$27,IF(AND(Параметры!$B$137=0,Параметры!E$36&gt;1),D664,E663*Параметры!$B$137/Параметры!E$40),IF(OR(Параметры!E$43=1,Параметры!E$43=4,Параметры!E$43=7,Параметры!E$43=10),0,IF(Параметры!E$36=1,0,D664))+E663)</f>
        <v>0</v>
      </c>
      <c r="F664" s="353">
        <f ca="1">IF(Параметры!$B$137&lt;=Параметры!$B$27,IF(AND(Параметры!$B$137=0,Параметры!F$36&gt;1),E664,F663*Параметры!$B$137/Параметры!F$40),IF(OR(Параметры!F$43=1,Параметры!F$43=4,Параметры!F$43=7,Параметры!F$43=10),0,IF(Параметры!F$36=1,0,E664))+F663)</f>
        <v>0</v>
      </c>
      <c r="G664" s="353">
        <f ca="1">IF(Параметры!$B$137&lt;=Параметры!$B$27,IF(AND(Параметры!$B$137=0,Параметры!G$36&gt;1),F664,G663*Параметры!$B$137/Параметры!G$40),IF(OR(Параметры!G$43=1,Параметры!G$43=4,Параметры!G$43=7,Параметры!G$43=10),0,IF(Параметры!G$36=1,0,F664))+G663)</f>
        <v>0</v>
      </c>
      <c r="H664" s="353">
        <f ca="1">IF(Параметры!$B$137&lt;=Параметры!$B$27,IF(AND(Параметры!$B$137=0,Параметры!H$36&gt;1),G664,H663*Параметры!$B$137/Параметры!H$40),IF(OR(Параметры!H$43=1,Параметры!H$43=4,Параметры!H$43=7,Параметры!H$43=10),0,IF(Параметры!H$36=1,0,G664))+H663)</f>
        <v>0</v>
      </c>
      <c r="I664" s="353">
        <f ca="1">IF(Параметры!$B$137&lt;=Параметры!$B$27,IF(AND(Параметры!$B$137=0,Параметры!I$36&gt;1),H664,I663*Параметры!$B$137/Параметры!I$40),IF(OR(Параметры!I$43=1,Параметры!I$43=4,Параметры!I$43=7,Параметры!I$43=10),0,IF(Параметры!I$36=1,0,H664))+I663)</f>
        <v>0</v>
      </c>
      <c r="J664" s="353">
        <f ca="1">IF(Параметры!$B$137&lt;=Параметры!$B$27,IF(AND(Параметры!$B$137=0,Параметры!J$36&gt;1),I664,J663*Параметры!$B$137/Параметры!J$40),IF(OR(Параметры!J$43=1,Параметры!J$43=4,Параметры!J$43=7,Параметры!J$43=10),0,IF(Параметры!J$36=1,0,I664))+J663)</f>
        <v>0</v>
      </c>
      <c r="K664" s="353">
        <f ca="1">IF(Параметры!$B$137&lt;=Параметры!$B$27,IF(AND(Параметры!$B$137=0,Параметры!K$36&gt;1),J664,K663*Параметры!$B$137/Параметры!K$40),IF(OR(Параметры!K$43=1,Параметры!K$43=4,Параметры!K$43=7,Параметры!K$43=10),0,IF(Параметры!K$36=1,0,J664))+K663)</f>
        <v>0</v>
      </c>
      <c r="L664" s="353">
        <f ca="1">IF(Параметры!$B$137&lt;=Параметры!$B$27,IF(AND(Параметры!$B$137=0,Параметры!L$36&gt;1),K664,L663*Параметры!$B$137/Параметры!L$40),IF(OR(Параметры!L$43=1,Параметры!L$43=4,Параметры!L$43=7,Параметры!L$43=10),0,IF(Параметры!L$36=1,0,K664))+L663)</f>
        <v>0</v>
      </c>
      <c r="M664" s="353">
        <f ca="1">IF(Параметры!$B$137&lt;=Параметры!$B$27,IF(AND(Параметры!$B$137=0,Параметры!M$36&gt;1),L664,M663*Параметры!$B$137/Параметры!M$40),IF(OR(Параметры!M$43=1,Параметры!M$43=4,Параметры!M$43=7,Параметры!M$43=10),0,IF(Параметры!M$36=1,0,L664))+M663)</f>
        <v>0</v>
      </c>
      <c r="N664" s="353">
        <f ca="1">IF(Параметры!$B$137&lt;=Параметры!$B$27,IF(AND(Параметры!$B$137=0,Параметры!N$36&gt;1),M664,N663*Параметры!$B$137/Параметры!N$40),IF(OR(Параметры!N$43=1,Параметры!N$43=4,Параметры!N$43=7,Параметры!N$43=10),0,IF(Параметры!N$36=1,0,M664))+N663)</f>
        <v>0</v>
      </c>
      <c r="O664" s="353">
        <f ca="1">IF(Параметры!$B$137&lt;=Параметры!$B$27,IF(AND(Параметры!$B$137=0,Параметры!O$36&gt;1),N664,O663*Параметры!$B$137/Параметры!O$40),IF(OR(Параметры!O$43=1,Параметры!O$43=4,Параметры!O$43=7,Параметры!O$43=10),0,IF(Параметры!O$36=1,0,N664))+O663)</f>
        <v>0</v>
      </c>
      <c r="P664" s="353">
        <f ca="1">IF(Параметры!$B$137&lt;=Параметры!$B$27,IF(AND(Параметры!$B$137=0,Параметры!P$36&gt;1),O664,P663*Параметры!$B$137/Параметры!P$40),IF(OR(Параметры!P$43=1,Параметры!P$43=4,Параметры!P$43=7,Параметры!P$43=10),0,IF(Параметры!P$36=1,0,O664))+P663)</f>
        <v>0</v>
      </c>
      <c r="Q664" s="353">
        <f ca="1">IF(Параметры!$B$137&lt;=Параметры!$B$27,IF(AND(Параметры!$B$137=0,Параметры!Q$36&gt;1),P664,Q663*Параметры!$B$137/Параметры!Q$40),IF(OR(Параметры!Q$43=1,Параметры!Q$43=4,Параметры!Q$43=7,Параметры!Q$43=10),0,IF(Параметры!Q$36=1,0,P664))+Q663)</f>
        <v>0</v>
      </c>
      <c r="R664" s="353">
        <f ca="1">IF(Параметры!$B$137&lt;=Параметры!$B$27,IF(AND(Параметры!$B$137=0,Параметры!R$36&gt;1),Q664,R663*Параметры!$B$137/Параметры!R$40),IF(OR(Параметры!R$43=1,Параметры!R$43=4,Параметры!R$43=7,Параметры!R$43=10),0,IF(Параметры!R$36=1,0,Q664))+R663)</f>
        <v>0</v>
      </c>
      <c r="S664" s="353">
        <f ca="1">IF(Параметры!$B$137&lt;=Параметры!$B$27,IF(AND(Параметры!$B$137=0,Параметры!S$36&gt;1),R664,S663*Параметры!$B$137/Параметры!S$40),IF(OR(Параметры!S$43=1,Параметры!S$43=4,Параметры!S$43=7,Параметры!S$43=10),0,IF(Параметры!S$36=1,0,R664))+S663)</f>
        <v>0</v>
      </c>
      <c r="T664" s="353">
        <f ca="1">IF(Параметры!$B$137&lt;=Параметры!$B$27,IF(AND(Параметры!$B$137=0,Параметры!T$36&gt;1),S664,T663*Параметры!$B$137/Параметры!T$40),IF(OR(Параметры!T$43=1,Параметры!T$43=4,Параметры!T$43=7,Параметры!T$43=10),0,IF(Параметры!T$36=1,0,S664))+T663)</f>
        <v>0</v>
      </c>
      <c r="U664" s="353">
        <f ca="1">IF(Параметры!$B$137&lt;=Параметры!$B$27,IF(AND(Параметры!$B$137=0,Параметры!U$36&gt;1),T664,U663*Параметры!$B$137/Параметры!U$40),IF(OR(Параметры!U$43=1,Параметры!U$43=4,Параметры!U$43=7,Параметры!U$43=10),0,IF(Параметры!U$36=1,0,T664))+U663)</f>
        <v>0</v>
      </c>
      <c r="V664" s="353">
        <f ca="1">IF(Параметры!$B$137&lt;=Параметры!$B$27,IF(AND(Параметры!$B$137=0,Параметры!V$36&gt;1),U664,V663*Параметры!$B$137/Параметры!V$40),IF(OR(Параметры!V$43=1,Параметры!V$43=4,Параметры!V$43=7,Параметры!V$43=10),0,IF(Параметры!V$36=1,0,U664))+V663)</f>
        <v>0</v>
      </c>
      <c r="W664" s="353">
        <f ca="1">IF(Параметры!$B$137&lt;=Параметры!$B$27,IF(AND(Параметры!$B$137=0,Параметры!W$36&gt;1),V664,W663*Параметры!$B$137/Параметры!W$40),IF(OR(Параметры!W$43=1,Параметры!W$43=4,Параметры!W$43=7,Параметры!W$43=10),0,IF(Параметры!W$36=1,0,V664))+W663)</f>
        <v>0</v>
      </c>
      <c r="X664" s="353">
        <f ca="1">IF(Параметры!$B$137&lt;=Параметры!$B$27,IF(AND(Параметры!$B$137=0,Параметры!X$36&gt;1),W664,X663*Параметры!$B$137/Параметры!X$40),IF(OR(Параметры!X$43=1,Параметры!X$43=4,Параметры!X$43=7,Параметры!X$43=10),0,IF(Параметры!X$36=1,0,W664))+X663)</f>
        <v>0</v>
      </c>
      <c r="Y664" s="353">
        <f ca="1">IF(Параметры!$B$137&lt;=Параметры!$B$27,IF(AND(Параметры!$B$137=0,Параметры!Y$36&gt;1),X664,Y663*Параметры!$B$137/Параметры!Y$40),IF(OR(Параметры!Y$43=1,Параметры!Y$43=4,Параметры!Y$43=7,Параметры!Y$43=10),0,IF(Параметры!Y$36=1,0,X664))+Y663)</f>
        <v>0</v>
      </c>
      <c r="Z664" s="353">
        <f ca="1">IF(Параметры!$B$137&lt;=Параметры!$B$27,IF(AND(Параметры!$B$137=0,Параметры!Z$36&gt;1),Y664,Z663*Параметры!$B$137/Параметры!Z$40),IF(OR(Параметры!Z$43=1,Параметры!Z$43=4,Параметры!Z$43=7,Параметры!Z$43=10),0,IF(Параметры!Z$36=1,0,Y664))+Z663)</f>
        <v>0</v>
      </c>
      <c r="AA664" s="353">
        <f ca="1">IF(Параметры!$B$137&lt;=Параметры!$B$27,IF(AND(Параметры!$B$137=0,Параметры!AA$36&gt;1),Z664,AA663*Параметры!$B$137/Параметры!AA$40),IF(OR(Параметры!AA$43=1,Параметры!AA$43=4,Параметры!AA$43=7,Параметры!AA$43=10),0,IF(Параметры!AA$36=1,0,Z664))+AA663)</f>
        <v>0</v>
      </c>
      <c r="AB664" s="353">
        <f ca="1">IF(Параметры!$B$137&lt;=Параметры!$B$27,IF(AND(Параметры!$B$137=0,Параметры!AB$36&gt;1),AA664,AB663*Параметры!$B$137/Параметры!AB$40),IF(OR(Параметры!AB$43=1,Параметры!AB$43=4,Параметры!AB$43=7,Параметры!AB$43=10),0,IF(Параметры!AB$36=1,0,AA664))+AB663)</f>
        <v>0</v>
      </c>
      <c r="AC664" s="353">
        <f ca="1">IF(Параметры!$B$137&lt;=Параметры!$B$27,IF(AND(Параметры!$B$137=0,Параметры!AC$36&gt;1),AB664,AC663*Параметры!$B$137/Параметры!AC$40),IF(OR(Параметры!AC$43=1,Параметры!AC$43=4,Параметры!AC$43=7,Параметры!AC$43=10),0,IF(Параметры!AC$36=1,0,AB664))+AC663)</f>
        <v>0</v>
      </c>
      <c r="AD664" s="353">
        <f ca="1">IF(Параметры!$B$137&lt;=Параметры!$B$27,IF(AND(Параметры!$B$137=0,Параметры!AD$36&gt;1),AC664,AD663*Параметры!$B$137/Параметры!AD$40),IF(OR(Параметры!AD$43=1,Параметры!AD$43=4,Параметры!AD$43=7,Параметры!AD$43=10),0,IF(Параметры!AD$36=1,0,AC664))+AD663)</f>
        <v>0</v>
      </c>
      <c r="AE664" s="353">
        <f ca="1">IF(Параметры!$B$137&lt;=Параметры!$B$27,IF(AND(Параметры!$B$137=0,Параметры!AE$36&gt;1),AD664,AE663*Параметры!$B$137/Параметры!AE$40),IF(OR(Параметры!AE$43=1,Параметры!AE$43=4,Параметры!AE$43=7,Параметры!AE$43=10),0,IF(Параметры!AE$36=1,0,AD664))+AE663)</f>
        <v>0</v>
      </c>
      <c r="AF664" s="353">
        <f ca="1">IF(Параметры!$B$137&lt;=Параметры!$B$27,IF(AND(Параметры!$B$137=0,Параметры!AF$36&gt;1),AE664,AF663*Параметры!$B$137/Параметры!AF$40),IF(OR(Параметры!AF$43=1,Параметры!AF$43=4,Параметры!AF$43=7,Параметры!AF$43=10),0,IF(Параметры!AF$36=1,0,AE664))+AF663)</f>
        <v>0</v>
      </c>
      <c r="AG664" s="353">
        <f ca="1">IF(Параметры!$B$137&lt;=Параметры!$B$27,IF(AND(Параметры!$B$137=0,Параметры!AG$36&gt;1),AF664,AG663*Параметры!$B$137/Параметры!AG$40),IF(OR(Параметры!AG$43=1,Параметры!AG$43=4,Параметры!AG$43=7,Параметры!AG$43=10),0,IF(Параметры!AG$36=1,0,AF664))+AG663)</f>
        <v>0</v>
      </c>
      <c r="AH664" s="353">
        <f ca="1">IF(Параметры!$B$137&lt;=Параметры!$B$27,IF(AND(Параметры!$B$137=0,Параметры!AH$36&gt;1),AG664,AH663*Параметры!$B$137/Параметры!AH$40),IF(OR(Параметры!AH$43=1,Параметры!AH$43=4,Параметры!AH$43=7,Параметры!AH$43=10),0,IF(Параметры!AH$36=1,0,AG664))+AH663)</f>
        <v>0</v>
      </c>
      <c r="AI664" s="353">
        <f ca="1">IF(Параметры!$B$137&lt;=Параметры!$B$27,IF(AND(Параметры!$B$137=0,Параметры!AI$36&gt;1),AH664,AI663*Параметры!$B$137/Параметры!AI$40),IF(OR(Параметры!AI$43=1,Параметры!AI$43=4,Параметры!AI$43=7,Параметры!AI$43=10),0,IF(Параметры!AI$36=1,0,AH664))+AI663)</f>
        <v>0</v>
      </c>
      <c r="AJ664" s="353">
        <f ca="1">IF(Параметры!$B$137&lt;=Параметры!$B$27,IF(AND(Параметры!$B$137=0,Параметры!AJ$36&gt;1),AI664,AJ663*Параметры!$B$137/Параметры!AJ$40),IF(OR(Параметры!AJ$43=1,Параметры!AJ$43=4,Параметры!AJ$43=7,Параметры!AJ$43=10),0,IF(Параметры!AJ$36=1,0,AI664))+AJ663)</f>
        <v>0</v>
      </c>
      <c r="AK664" s="353">
        <f ca="1">IF(Параметры!$B$137&lt;=Параметры!$B$27,IF(AND(Параметры!$B$137=0,Параметры!AK$36&gt;1),AJ664,AK663*Параметры!$B$137/Параметры!AK$40),IF(OR(Параметры!AK$43=1,Параметры!AK$43=4,Параметры!AK$43=7,Параметры!AK$43=10),0,IF(Параметры!AK$36=1,0,AJ664))+AK663)</f>
        <v>0</v>
      </c>
      <c r="AL664" s="353">
        <f ca="1">IF(Параметры!$B$137&lt;=Параметры!$B$27,IF(AND(Параметры!$B$137=0,Параметры!AL$36&gt;1),AK664,AL663*Параметры!$B$137/Параметры!AL$40),IF(OR(Параметры!AL$43=1,Параметры!AL$43=4,Параметры!AL$43=7,Параметры!AL$43=10),0,IF(Параметры!AL$36=1,0,AK664))+AL663)</f>
        <v>0</v>
      </c>
      <c r="AM664" s="353">
        <f ca="1">IF(Параметры!$B$137&lt;=Параметры!$B$27,IF(AND(Параметры!$B$137=0,Параметры!AM$36&gt;1),AL664,AM663*Параметры!$B$137/Параметры!AM$40),IF(OR(Параметры!AM$43=1,Параметры!AM$43=4,Параметры!AM$43=7,Параметры!AM$43=10),0,IF(Параметры!AM$36=1,0,AL664))+AM663)</f>
        <v>0</v>
      </c>
      <c r="AN664" s="353">
        <f ca="1">IF(Параметры!$B$137&lt;=Параметры!$B$27,IF(AND(Параметры!$B$137=0,Параметры!AN$36&gt;1),AM664,AN663*Параметры!$B$137/Параметры!AN$40),IF(OR(Параметры!AN$43=1,Параметры!AN$43=4,Параметры!AN$43=7,Параметры!AN$43=10),0,IF(Параметры!AN$36=1,0,AM664))+AN663)</f>
        <v>0</v>
      </c>
      <c r="AO664" s="353">
        <f ca="1">IF(Параметры!$B$137&lt;=Параметры!$B$27,IF(AND(Параметры!$B$137=0,Параметры!AO$36&gt;1),AN664,AO663*Параметры!$B$137/Параметры!AO$40),IF(OR(Параметры!AO$43=1,Параметры!AO$43=4,Параметры!AO$43=7,Параметры!AO$43=10),0,IF(Параметры!AO$36=1,0,AN664))+AO663)</f>
        <v>1275781.6275359434</v>
      </c>
      <c r="AP664" s="353">
        <f ca="1">IF(Параметры!$B$137&lt;=Параметры!$B$27,IF(AND(Параметры!$B$137=0,Параметры!AP$36&gt;1),AO664,AP663*Параметры!$B$137/Параметры!AP$40),IF(OR(Параметры!AP$43=1,Параметры!AP$43=4,Параметры!AP$43=7,Параметры!AP$43=10),0,IF(Параметры!AP$36=1,0,AO664))+AP663)</f>
        <v>22435.72580900243</v>
      </c>
      <c r="AQ664" s="353">
        <f ca="1">IF(Параметры!$B$137&lt;=Параметры!$B$27,IF(AND(Параметры!$B$137=0,Параметры!AQ$36&gt;1),AP664,AQ663*Параметры!$B$137/Параметры!AQ$40),IF(OR(Параметры!AQ$43=1,Параметры!AQ$43=4,Параметры!AQ$43=7,Параметры!AQ$43=10),0,IF(Параметры!AQ$36=1,0,AP664))+AQ663)</f>
        <v>24123.66051247179</v>
      </c>
      <c r="AR664" s="353">
        <f ca="1">IF(Параметры!$B$137&lt;=Параметры!$B$27,IF(AND(Параметры!$B$137=0,Параметры!AR$36&gt;1),AQ664,AR663*Параметры!$B$137/Параметры!AR$40),IF(OR(Параметры!AR$43=1,Параметры!AR$43=4,Параметры!AR$43=7,Параметры!AR$43=10),0,IF(Параметры!AR$36=1,0,AQ664))+AR663)</f>
        <v>24364.3734710545</v>
      </c>
      <c r="AS664" s="102"/>
      <c r="AT664" s="84"/>
    </row>
    <row r="665" spans="1:46" ht="11.25" customHeight="1" outlineLevel="1" x14ac:dyDescent="0.2">
      <c r="A665" s="114" t="s">
        <v>218</v>
      </c>
      <c r="B665" s="153"/>
      <c r="C665" s="2" t="str">
        <f>Параметры!$B$64</f>
        <v>тыс. руб.</v>
      </c>
      <c r="D665" s="65"/>
      <c r="E665" s="115">
        <f ca="1">E663-IF(Параметры!E$36=1,E664,E664-D664)</f>
        <v>0</v>
      </c>
      <c r="F665" s="115">
        <f ca="1">F663-IF(Параметры!F$36=1,F664,F664-E664)</f>
        <v>0</v>
      </c>
      <c r="G665" s="115">
        <f ca="1">G663-IF(Параметры!G$36=1,G664,G664-F664)</f>
        <v>0</v>
      </c>
      <c r="H665" s="115">
        <f ca="1">H663-IF(Параметры!H$36=1,H664,H664-G664)</f>
        <v>0</v>
      </c>
      <c r="I665" s="115">
        <f ca="1">I663-IF(Параметры!I$36=1,I664,I664-H664)</f>
        <v>0</v>
      </c>
      <c r="J665" s="115">
        <f ca="1">J663-IF(Параметры!J$36=1,J664,J664-I664)</f>
        <v>0</v>
      </c>
      <c r="K665" s="115">
        <f ca="1">K663-IF(Параметры!K$36=1,K664,K664-J664)</f>
        <v>0</v>
      </c>
      <c r="L665" s="115">
        <f ca="1">L663-IF(Параметры!L$36=1,L664,L664-K664)</f>
        <v>0</v>
      </c>
      <c r="M665" s="115">
        <f ca="1">M663-IF(Параметры!M$36=1,M664,M664-L664)</f>
        <v>0</v>
      </c>
      <c r="N665" s="115">
        <f ca="1">N663-IF(Параметры!N$36=1,N664,N664-M664)</f>
        <v>0</v>
      </c>
      <c r="O665" s="115">
        <f ca="1">O663-IF(Параметры!O$36=1,O664,O664-N664)</f>
        <v>0</v>
      </c>
      <c r="P665" s="115">
        <f ca="1">P663-IF(Параметры!P$36=1,P664,P664-O664)</f>
        <v>0</v>
      </c>
      <c r="Q665" s="115">
        <f ca="1">Q663-IF(Параметры!Q$36=1,Q664,Q664-P664)</f>
        <v>0</v>
      </c>
      <c r="R665" s="115">
        <f ca="1">R663-IF(Параметры!R$36=1,R664,R664-Q664)</f>
        <v>0</v>
      </c>
      <c r="S665" s="115">
        <f ca="1">S663-IF(Параметры!S$36=1,S664,S664-R664)</f>
        <v>0</v>
      </c>
      <c r="T665" s="115">
        <f ca="1">T663-IF(Параметры!T$36=1,T664,T664-S664)</f>
        <v>0</v>
      </c>
      <c r="U665" s="115">
        <f ca="1">U663-IF(Параметры!U$36=1,U664,U664-T664)</f>
        <v>0</v>
      </c>
      <c r="V665" s="115">
        <f ca="1">V663-IF(Параметры!V$36=1,V664,V664-U664)</f>
        <v>0</v>
      </c>
      <c r="W665" s="115">
        <f ca="1">W663-IF(Параметры!W$36=1,W664,W664-V664)</f>
        <v>0</v>
      </c>
      <c r="X665" s="115">
        <f ca="1">X663-IF(Параметры!X$36=1,X664,X664-W664)</f>
        <v>0</v>
      </c>
      <c r="Y665" s="115">
        <f ca="1">Y663-IF(Параметры!Y$36=1,Y664,Y664-X664)</f>
        <v>0</v>
      </c>
      <c r="Z665" s="115">
        <f ca="1">Z663-IF(Параметры!Z$36=1,Z664,Z664-Y664)</f>
        <v>0</v>
      </c>
      <c r="AA665" s="115">
        <f ca="1">AA663-IF(Параметры!AA$36=1,AA664,AA664-Z664)</f>
        <v>0</v>
      </c>
      <c r="AB665" s="115">
        <f ca="1">AB663-IF(Параметры!AB$36=1,AB664,AB664-AA664)</f>
        <v>0</v>
      </c>
      <c r="AC665" s="115">
        <f ca="1">AC663-IF(Параметры!AC$36=1,AC664,AC664-AB664)</f>
        <v>0</v>
      </c>
      <c r="AD665" s="115">
        <f ca="1">AD663-IF(Параметры!AD$36=1,AD664,AD664-AC664)</f>
        <v>0</v>
      </c>
      <c r="AE665" s="115">
        <f ca="1">AE663-IF(Параметры!AE$36=1,AE664,AE664-AD664)</f>
        <v>0</v>
      </c>
      <c r="AF665" s="115">
        <f ca="1">AF663-IF(Параметры!AF$36=1,AF664,AF664-AE664)</f>
        <v>0</v>
      </c>
      <c r="AG665" s="115">
        <f ca="1">AG663-IF(Параметры!AG$36=1,AG664,AG664-AF664)</f>
        <v>0</v>
      </c>
      <c r="AH665" s="115">
        <f ca="1">AH663-IF(Параметры!AH$36=1,AH664,AH664-AG664)</f>
        <v>0</v>
      </c>
      <c r="AI665" s="115">
        <f ca="1">AI663-IF(Параметры!AI$36=1,AI664,AI664-AH664)</f>
        <v>0</v>
      </c>
      <c r="AJ665" s="115">
        <f ca="1">AJ663-IF(Параметры!AJ$36=1,AJ664,AJ664-AI664)</f>
        <v>0</v>
      </c>
      <c r="AK665" s="115">
        <f ca="1">AK663-IF(Параметры!AK$36=1,AK664,AK664-AJ664)</f>
        <v>0</v>
      </c>
      <c r="AL665" s="115">
        <f ca="1">AL663-IF(Параметры!AL$36=1,AL664,AL664-AK664)</f>
        <v>0</v>
      </c>
      <c r="AM665" s="115">
        <f ca="1">AM663-IF(Параметры!AM$36=1,AM664,AM664-AL664)</f>
        <v>0</v>
      </c>
      <c r="AN665" s="115">
        <f ca="1">AN663-IF(Параметры!AN$36=1,AN664,AN664-AM664)</f>
        <v>0</v>
      </c>
      <c r="AO665" s="115">
        <f ca="1">AO663-IF(Параметры!AO$36=1,AO664,AO664-AN664)</f>
        <v>0</v>
      </c>
      <c r="AP665" s="115">
        <f ca="1">AP663-IF(Параметры!AP$36=1,AP664,AP664-AO664)</f>
        <v>1275781.6275359434</v>
      </c>
      <c r="AQ665" s="115">
        <f ca="1">AQ663-IF(Параметры!AQ$36=1,AQ664,AQ664-AP664)</f>
        <v>22435.72580900243</v>
      </c>
      <c r="AR665" s="115">
        <f ca="1">AR663-IF(Параметры!AR$36=1,AR664,AR664-AQ664)</f>
        <v>24123.66051247179</v>
      </c>
      <c r="AS665" s="41"/>
      <c r="AT665" s="84">
        <f t="shared" ref="AT665:AT673" ca="1" si="473">SUM(E665:AS665)</f>
        <v>1322341.0138574177</v>
      </c>
    </row>
    <row r="666" spans="1:46" ht="11.25" customHeight="1" outlineLevel="1" x14ac:dyDescent="0.2">
      <c r="A666" s="66" t="s">
        <v>295</v>
      </c>
      <c r="B666" s="64"/>
      <c r="C666" s="266" t="str">
        <f>Параметры!$B$64</f>
        <v>тыс. руб.</v>
      </c>
      <c r="D666" s="65"/>
      <c r="E666" s="158">
        <f ca="1">E159+IF(Параметры!E$36=1,E163,E163-D163)-IF(Параметры!E$36=1,0,0)-IF(Параметры!E$36=1,0,0)+0</f>
        <v>0</v>
      </c>
      <c r="F666" s="158">
        <f ca="1">F159+IF(Параметры!F$36=1,F163,F163-E163)-IF(Параметры!F$36=1,0,0)-IF(Параметры!F$36=1,0,0)+0</f>
        <v>0</v>
      </c>
      <c r="G666" s="158">
        <f ca="1">G159+IF(Параметры!G$36=1,G163,G163-F163)-IF(Параметры!G$36=1,0,0)-IF(Параметры!G$36=1,0,0)+0</f>
        <v>5014.2648299826269</v>
      </c>
      <c r="H666" s="158">
        <f ca="1">H159+IF(Параметры!H$36=1,H163,H163-G163)-IF(Параметры!H$36=1,0,0)-IF(Параметры!H$36=1,0,0)+0</f>
        <v>6983.3570840436441</v>
      </c>
      <c r="I666" s="158">
        <f ca="1">I159+IF(Параметры!I$36=1,I163,I163-H163)-IF(Параметры!I$36=1,0,0)-IF(Параметры!I$36=1,0,0)+0</f>
        <v>6983.3570840436441</v>
      </c>
      <c r="J666" s="158">
        <f ca="1">J159+IF(Параметры!J$36=1,J163,J163-I163)-IF(Параметры!J$36=1,0,0)-IF(Параметры!J$36=1,0,0)+0</f>
        <v>7052.2468240119197</v>
      </c>
      <c r="K666" s="158">
        <f ca="1">K159+IF(Параметры!K$36=1,K163,K163-J163)-IF(Параметры!K$36=1,0,0)-IF(Параметры!K$36=1,0,0)+0</f>
        <v>7121.8162008027866</v>
      </c>
      <c r="L666" s="158">
        <f ca="1">L159+IF(Параметры!L$36=1,L163,L163-K163)-IF(Параметры!L$36=1,0,0)-IF(Параметры!L$36=1,0,0)+0</f>
        <v>7192.0719198963852</v>
      </c>
      <c r="M666" s="158">
        <f ca="1">M159+IF(Параметры!M$36=1,M163,M163-L163)-IF(Параметры!M$36=1,0,0)-IF(Параметры!M$36=1,0,0)+0</f>
        <v>11254.213284985573</v>
      </c>
      <c r="N666" s="158">
        <f ca="1">N159+IF(Параметры!N$36=1,N163,N163-M163)-IF(Параметры!N$36=1,0,0)-IF(Параметры!N$36=1,0,0)+0</f>
        <v>11492.7452073031</v>
      </c>
      <c r="O666" s="158">
        <f ca="1">O159+IF(Параметры!O$36=1,O163,O163-N163)-IF(Параметры!O$36=1,0,0)-IF(Параметры!O$36=1,0,0)+0</f>
        <v>11606.3399181778</v>
      </c>
      <c r="P666" s="158">
        <f ca="1">P159+IF(Параметры!P$36=1,P163,P163-O163)-IF(Параметры!P$36=1,0,0)-IF(Параметры!P$36=1,0,0)+0</f>
        <v>11721.058020362163</v>
      </c>
      <c r="Q666" s="158">
        <f ca="1">Q159+IF(Параметры!Q$36=1,Q163,Q163-P163)-IF(Параметры!Q$36=1,0,0)-IF(Параметры!Q$36=1,0,0)+0</f>
        <v>13946.832535859407</v>
      </c>
      <c r="R666" s="158">
        <f ca="1">R159+IF(Параметры!R$36=1,R163,R163-Q163)-IF(Параметры!R$36=1,0,0)-IF(Параметры!R$36=1,0,0)+0</f>
        <v>14157.565945672235</v>
      </c>
      <c r="S666" s="158">
        <f ca="1">S159+IF(Параметры!S$36=1,S163,S163-R163)-IF(Параметры!S$36=1,0,0)-IF(Параметры!S$36=1,0,0)+0</f>
        <v>14301.017591384216</v>
      </c>
      <c r="T666" s="158">
        <f ca="1">T159+IF(Параметры!T$36=1,T163,T163-S163)-IF(Параметры!T$36=1,0,0)-IF(Параметры!T$36=1,0,0)+0</f>
        <v>14445.931346321386</v>
      </c>
      <c r="U666" s="158">
        <f ca="1">U159+IF(Параметры!U$36=1,U163,U163-T163)-IF(Параметры!U$36=1,0,0)-IF(Параметры!U$36=1,0,0)+0</f>
        <v>44619.425950933612</v>
      </c>
      <c r="V666" s="158">
        <f ca="1">V159+IF(Параметры!V$36=1,V163,V163-U163)-IF(Параметры!V$36=1,0,0)-IF(Параметры!V$36=1,0,0)+0</f>
        <v>46265.938782173085</v>
      </c>
      <c r="W666" s="158">
        <f ca="1">W159+IF(Параметры!W$36=1,W163,W163-V163)-IF(Параметры!W$36=1,0,0)-IF(Параметры!W$36=1,0,0)+0</f>
        <v>46769.106269033829</v>
      </c>
      <c r="X666" s="158">
        <f ca="1">X159+IF(Параметры!X$36=1,X163,X163-W163)-IF(Параметры!X$36=1,0,0)-IF(Параметры!X$36=1,0,0)+0</f>
        <v>47277.781904464289</v>
      </c>
      <c r="Y666" s="158">
        <f ca="1">Y159+IF(Параметры!Y$36=1,Y163,Y163-X163)-IF(Параметры!Y$36=1,0,0)-IF(Параметры!Y$36=1,0,0)+0</f>
        <v>47792.026362945187</v>
      </c>
      <c r="Z666" s="158">
        <f ca="1">Z159+IF(Параметры!Z$36=1,Z163,Z163-Y163)-IF(Параметры!Z$36=1,0,0)-IF(Параметры!Z$36=1,0,0)+0</f>
        <v>48302.5192257944</v>
      </c>
      <c r="AA666" s="158">
        <f ca="1">AA159+IF(Параметры!AA$36=1,AA163,AA163-Z163)-IF(Параметры!AA$36=1,0,0)-IF(Параметры!AA$36=1,0,0)+0</f>
        <v>48818.489159888151</v>
      </c>
      <c r="AB666" s="158">
        <f ca="1">AB159+IF(Параметры!AB$36=1,AB163,AB163-AA163)-IF(Параметры!AB$36=1,0,0)-IF(Параметры!AB$36=1,0,0)+0</f>
        <v>49339.995180268255</v>
      </c>
      <c r="AC666" s="158">
        <f ca="1">AC159+IF(Параметры!AC$36=1,AC163,AC163-AB163)-IF(Параметры!AC$36=1,0,0)-IF(Параметры!AC$36=1,0,0)+0</f>
        <v>49867.096940462201</v>
      </c>
      <c r="AD666" s="158">
        <f ca="1">AD159+IF(Параметры!AD$36=1,AD163,AD163-AC163)-IF(Параметры!AD$36=1,0,0)-IF(Параметры!AD$36=1,0,0)+0</f>
        <v>50400.363531398558</v>
      </c>
      <c r="AE666" s="158">
        <f ca="1">AE159+IF(Параметры!AE$36=1,AE163,AE163-AD163)-IF(Параметры!AE$36=1,0,0)-IF(Параметры!AE$36=1,0,0)+0</f>
        <v>50939.359486800939</v>
      </c>
      <c r="AF666" s="158">
        <f ca="1">AF159+IF(Параметры!AF$36=1,AF163,AF163-AE163)-IF(Параметры!AF$36=1,0,0)-IF(Параметры!AF$36=1,0,0)+0</f>
        <v>51484.146640472543</v>
      </c>
      <c r="AG666" s="158">
        <f ca="1">AG159+IF(Параметры!AG$36=1,AG163,AG163-AF163)-IF(Параметры!AG$36=1,0,0)-IF(Параметры!AG$36=1,0,0)+0</f>
        <v>52034.787496432269</v>
      </c>
      <c r="AH666" s="158">
        <f ca="1">AH159+IF(Параметры!AH$36=1,AH163,AH163-AG163)-IF(Параметры!AH$36=1,0,0)-IF(Параметры!AH$36=1,0,0)+0</f>
        <v>52590.575475213111</v>
      </c>
      <c r="AI666" s="158">
        <f ca="1">AI159+IF(Параметры!AI$36=1,AI163,AI163-AH163)-IF(Параметры!AI$36=1,0,0)-IF(Параметры!AI$36=1,0,0)+0</f>
        <v>53152.328585603493</v>
      </c>
      <c r="AJ666" s="158">
        <f ca="1">AJ159+IF(Параметры!AJ$36=1,AJ163,AJ163-AI163)-IF(Параметры!AJ$36=1,0,0)-IF(Параметры!AJ$36=1,0,0)+0</f>
        <v>53720.111147637981</v>
      </c>
      <c r="AK666" s="158">
        <f ca="1">AK159+IF(Параметры!AK$36=1,AK163,AK163-AJ163)-IF(Параметры!AK$36=1,0,0)-IF(Параметры!AK$36=1,0,0)+0</f>
        <v>52163.282793025937</v>
      </c>
      <c r="AL666" s="158">
        <f ca="1">AL159+IF(Параметры!AL$36=1,AL163,AL163-AK163)-IF(Параметры!AL$36=1,0,0)-IF(Параметры!AL$36=1,0,0)+0</f>
        <v>52719.886296357348</v>
      </c>
      <c r="AM666" s="158">
        <f ca="1">AM159+IF(Параметры!AM$36=1,AM163,AM163-AL163)-IF(Параметры!AM$36=1,0,0)-IF(Параметры!AM$36=1,0,0)+0</f>
        <v>53372.453157750875</v>
      </c>
      <c r="AN666" s="158">
        <f ca="1">AN159+IF(Параметры!AN$36=1,AN163,AN163-AM163)-IF(Параметры!AN$36=1,0,0)-IF(Параметры!AN$36=1,0,0)+0</f>
        <v>53942.078505339799</v>
      </c>
      <c r="AO666" s="158">
        <f ca="1">AO159+IF(Параметры!AO$36=1,AO163,AO163-AN163)-IF(Параметры!AO$36=1,0,0)-IF(Параметры!AO$36=1,0,0)+0</f>
        <v>25162.065162281517</v>
      </c>
      <c r="AP666" s="158">
        <f ca="1">AP159+IF(Параметры!AP$36=1,AP163,AP163-AO163)-IF(Параметры!AP$36=1,0,0)-IF(Параметры!AP$36=1,0,0)+0</f>
        <v>25410.541686280787</v>
      </c>
      <c r="AQ666" s="158">
        <f ca="1">AQ159+IF(Параметры!AQ$36=1,AQ163,AQ163-AP163)-IF(Параметры!AQ$36=1,0,0)-IF(Параметры!AQ$36=1,0,0)+0</f>
        <v>27127.460925737269</v>
      </c>
      <c r="AR666" s="158">
        <f ca="1">AR159+IF(Параметры!AR$36=1,AR163,AR163-AQ163)-IF(Параметры!AR$36=1,0,0)-IF(Параметры!AR$36=1,0,0)+0</f>
        <v>27397.440825535865</v>
      </c>
      <c r="AS666" s="41"/>
      <c r="AT666" s="84">
        <f t="shared" ca="1" si="473"/>
        <v>1253942.0792846782</v>
      </c>
    </row>
    <row r="667" spans="1:46" ht="11.25" customHeight="1" outlineLevel="1" x14ac:dyDescent="0.2">
      <c r="A667" s="93" t="s">
        <v>195</v>
      </c>
      <c r="B667" s="64"/>
      <c r="C667" s="266" t="str">
        <f>Параметры!$B$64</f>
        <v>тыс. руб.</v>
      </c>
      <c r="D667" s="65"/>
      <c r="E667" s="158">
        <f t="shared" ref="E667:AR667" si="474">E496+0</f>
        <v>0</v>
      </c>
      <c r="F667" s="158">
        <f t="shared" ca="1" si="474"/>
        <v>0</v>
      </c>
      <c r="G667" s="158">
        <f t="shared" ca="1" si="474"/>
        <v>0</v>
      </c>
      <c r="H667" s="158">
        <f t="shared" ca="1" si="474"/>
        <v>0</v>
      </c>
      <c r="I667" s="158">
        <f t="shared" ca="1" si="474"/>
        <v>0</v>
      </c>
      <c r="J667" s="158">
        <f t="shared" ca="1" si="474"/>
        <v>0</v>
      </c>
      <c r="K667" s="158">
        <f t="shared" ca="1" si="474"/>
        <v>0</v>
      </c>
      <c r="L667" s="158">
        <f t="shared" ca="1" si="474"/>
        <v>0</v>
      </c>
      <c r="M667" s="158">
        <f t="shared" ca="1" si="474"/>
        <v>0</v>
      </c>
      <c r="N667" s="158">
        <f t="shared" ca="1" si="474"/>
        <v>0</v>
      </c>
      <c r="O667" s="158">
        <f t="shared" ca="1" si="474"/>
        <v>0</v>
      </c>
      <c r="P667" s="158">
        <f t="shared" ca="1" si="474"/>
        <v>0</v>
      </c>
      <c r="Q667" s="158">
        <f t="shared" ca="1" si="474"/>
        <v>0</v>
      </c>
      <c r="R667" s="158">
        <f t="shared" ca="1" si="474"/>
        <v>0</v>
      </c>
      <c r="S667" s="158">
        <f t="shared" ca="1" si="474"/>
        <v>0</v>
      </c>
      <c r="T667" s="158">
        <f t="shared" ca="1" si="474"/>
        <v>0</v>
      </c>
      <c r="U667" s="158">
        <f t="shared" ca="1" si="474"/>
        <v>0</v>
      </c>
      <c r="V667" s="158">
        <f t="shared" ca="1" si="474"/>
        <v>0</v>
      </c>
      <c r="W667" s="158">
        <f t="shared" ca="1" si="474"/>
        <v>0</v>
      </c>
      <c r="X667" s="158">
        <f t="shared" ca="1" si="474"/>
        <v>0</v>
      </c>
      <c r="Y667" s="158">
        <f t="shared" ca="1" si="474"/>
        <v>0</v>
      </c>
      <c r="Z667" s="158">
        <f t="shared" ca="1" si="474"/>
        <v>0</v>
      </c>
      <c r="AA667" s="158">
        <f t="shared" ca="1" si="474"/>
        <v>0</v>
      </c>
      <c r="AB667" s="158">
        <f t="shared" ca="1" si="474"/>
        <v>0</v>
      </c>
      <c r="AC667" s="158">
        <f t="shared" ca="1" si="474"/>
        <v>0</v>
      </c>
      <c r="AD667" s="158">
        <f t="shared" ca="1" si="474"/>
        <v>0</v>
      </c>
      <c r="AE667" s="158">
        <f t="shared" ca="1" si="474"/>
        <v>0</v>
      </c>
      <c r="AF667" s="158">
        <f t="shared" ca="1" si="474"/>
        <v>0</v>
      </c>
      <c r="AG667" s="158">
        <f t="shared" ca="1" si="474"/>
        <v>0</v>
      </c>
      <c r="AH667" s="158">
        <f t="shared" ca="1" si="474"/>
        <v>0</v>
      </c>
      <c r="AI667" s="158">
        <f t="shared" ca="1" si="474"/>
        <v>0</v>
      </c>
      <c r="AJ667" s="158">
        <f t="shared" ca="1" si="474"/>
        <v>0</v>
      </c>
      <c r="AK667" s="158">
        <f t="shared" ca="1" si="474"/>
        <v>81885.932440858058</v>
      </c>
      <c r="AL667" s="158">
        <f t="shared" ca="1" si="474"/>
        <v>0</v>
      </c>
      <c r="AM667" s="158">
        <f t="shared" ca="1" si="474"/>
        <v>0</v>
      </c>
      <c r="AN667" s="158">
        <f t="shared" ca="1" si="474"/>
        <v>0</v>
      </c>
      <c r="AO667" s="158">
        <f t="shared" ca="1" si="474"/>
        <v>1275340.1914934432</v>
      </c>
      <c r="AP667" s="158">
        <f t="shared" ca="1" si="474"/>
        <v>0</v>
      </c>
      <c r="AQ667" s="158">
        <f t="shared" ca="1" si="474"/>
        <v>0</v>
      </c>
      <c r="AR667" s="158">
        <f t="shared" ca="1" si="474"/>
        <v>0</v>
      </c>
      <c r="AS667" s="41"/>
      <c r="AT667" s="84">
        <f t="shared" ca="1" si="473"/>
        <v>1357226.1239343013</v>
      </c>
    </row>
    <row r="668" spans="1:46" ht="11.25" customHeight="1" outlineLevel="1" x14ac:dyDescent="0.2">
      <c r="A668" s="66" t="s">
        <v>166</v>
      </c>
      <c r="B668" s="64"/>
      <c r="C668" s="266" t="str">
        <f>Параметры!$B$64</f>
        <v>тыс. руб.</v>
      </c>
      <c r="D668" s="65"/>
      <c r="E668" s="158">
        <f>0</f>
        <v>0</v>
      </c>
      <c r="F668" s="158">
        <f>0</f>
        <v>0</v>
      </c>
      <c r="G668" s="158">
        <f>0</f>
        <v>0</v>
      </c>
      <c r="H668" s="158">
        <f>0</f>
        <v>0</v>
      </c>
      <c r="I668" s="158">
        <f>0</f>
        <v>0</v>
      </c>
      <c r="J668" s="158">
        <f>0</f>
        <v>0</v>
      </c>
      <c r="K668" s="158">
        <f>0</f>
        <v>0</v>
      </c>
      <c r="L668" s="158">
        <f>0</f>
        <v>0</v>
      </c>
      <c r="M668" s="158">
        <f>0</f>
        <v>0</v>
      </c>
      <c r="N668" s="158">
        <f>0</f>
        <v>0</v>
      </c>
      <c r="O668" s="158">
        <f>0</f>
        <v>0</v>
      </c>
      <c r="P668" s="158">
        <f>0</f>
        <v>0</v>
      </c>
      <c r="Q668" s="158">
        <f>0</f>
        <v>0</v>
      </c>
      <c r="R668" s="158">
        <f>0</f>
        <v>0</v>
      </c>
      <c r="S668" s="158">
        <f>0</f>
        <v>0</v>
      </c>
      <c r="T668" s="158">
        <f>0</f>
        <v>0</v>
      </c>
      <c r="U668" s="158">
        <f>0</f>
        <v>0</v>
      </c>
      <c r="V668" s="158">
        <f>0</f>
        <v>0</v>
      </c>
      <c r="W668" s="158">
        <f>0</f>
        <v>0</v>
      </c>
      <c r="X668" s="158">
        <f>0</f>
        <v>0</v>
      </c>
      <c r="Y668" s="158">
        <f>0</f>
        <v>0</v>
      </c>
      <c r="Z668" s="158">
        <f>0</f>
        <v>0</v>
      </c>
      <c r="AA668" s="158">
        <f>0</f>
        <v>0</v>
      </c>
      <c r="AB668" s="158">
        <f>0</f>
        <v>0</v>
      </c>
      <c r="AC668" s="158">
        <f>0</f>
        <v>0</v>
      </c>
      <c r="AD668" s="158">
        <f>0</f>
        <v>0</v>
      </c>
      <c r="AE668" s="158">
        <f>0</f>
        <v>0</v>
      </c>
      <c r="AF668" s="158">
        <f>0</f>
        <v>0</v>
      </c>
      <c r="AG668" s="158">
        <f>0</f>
        <v>0</v>
      </c>
      <c r="AH668" s="158">
        <f>0</f>
        <v>0</v>
      </c>
      <c r="AI668" s="158">
        <f>0</f>
        <v>0</v>
      </c>
      <c r="AJ668" s="158">
        <f>0</f>
        <v>0</v>
      </c>
      <c r="AK668" s="158">
        <f>0</f>
        <v>0</v>
      </c>
      <c r="AL668" s="158">
        <f>0</f>
        <v>0</v>
      </c>
      <c r="AM668" s="158">
        <f>0</f>
        <v>0</v>
      </c>
      <c r="AN668" s="158">
        <f>0</f>
        <v>0</v>
      </c>
      <c r="AO668" s="158">
        <f>0</f>
        <v>0</v>
      </c>
      <c r="AP668" s="158">
        <f>0</f>
        <v>0</v>
      </c>
      <c r="AQ668" s="158">
        <f>0</f>
        <v>0</v>
      </c>
      <c r="AR668" s="158">
        <f>0</f>
        <v>0</v>
      </c>
      <c r="AS668" s="41"/>
      <c r="AT668" s="84">
        <f t="shared" si="473"/>
        <v>0</v>
      </c>
    </row>
    <row r="669" spans="1:46" ht="11.25" customHeight="1" outlineLevel="1" x14ac:dyDescent="0.2">
      <c r="A669" s="93" t="s">
        <v>175</v>
      </c>
      <c r="B669" s="64"/>
      <c r="C669" s="266" t="str">
        <f>Параметры!$B$64</f>
        <v>тыс. руб.</v>
      </c>
      <c r="D669" s="65"/>
      <c r="E669" s="158">
        <f t="shared" ref="E669:AR669" ca="1" si="475">E311+E316+E321+0</f>
        <v>349.16666666666669</v>
      </c>
      <c r="F669" s="158">
        <f t="shared" ca="1" si="475"/>
        <v>349.16666666666669</v>
      </c>
      <c r="G669" s="158">
        <f t="shared" ca="1" si="475"/>
        <v>992.78924895486887</v>
      </c>
      <c r="H669" s="158">
        <f t="shared" ca="1" si="475"/>
        <v>992.78924895486887</v>
      </c>
      <c r="I669" s="158">
        <f t="shared" ca="1" si="475"/>
        <v>992.78924895486887</v>
      </c>
      <c r="J669" s="158">
        <f t="shared" ca="1" si="475"/>
        <v>1002.6278055795057</v>
      </c>
      <c r="K669" s="158">
        <f t="shared" ca="1" si="475"/>
        <v>1012.5638638931016</v>
      </c>
      <c r="L669" s="158">
        <f t="shared" ca="1" si="475"/>
        <v>1054.5810776801466</v>
      </c>
      <c r="M669" s="158">
        <f t="shared" ca="1" si="475"/>
        <v>1374.6782855746158</v>
      </c>
      <c r="N669" s="158">
        <f t="shared" ca="1" si="475"/>
        <v>1388.2720269143542</v>
      </c>
      <c r="O669" s="158">
        <f t="shared" ca="1" si="475"/>
        <v>1402.0001968961069</v>
      </c>
      <c r="P669" s="158">
        <f t="shared" ca="1" si="475"/>
        <v>1457.6325369964327</v>
      </c>
      <c r="Q669" s="158">
        <f t="shared" ca="1" si="475"/>
        <v>1640.7223493748163</v>
      </c>
      <c r="R669" s="158">
        <f t="shared" ca="1" si="475"/>
        <v>1656.8054360421502</v>
      </c>
      <c r="S669" s="158">
        <f t="shared" ca="1" si="475"/>
        <v>1673.046176537483</v>
      </c>
      <c r="T669" s="158">
        <f t="shared" ca="1" si="475"/>
        <v>1689.4461162591449</v>
      </c>
      <c r="U669" s="158">
        <f t="shared" ca="1" si="475"/>
        <v>4197.2281750470138</v>
      </c>
      <c r="V669" s="158">
        <f t="shared" ca="1" si="475"/>
        <v>4238.7497530169958</v>
      </c>
      <c r="W669" s="158">
        <f t="shared" ca="1" si="475"/>
        <v>4280.6821092725231</v>
      </c>
      <c r="X669" s="158">
        <f t="shared" ca="1" si="475"/>
        <v>4323.0293079050143</v>
      </c>
      <c r="Y669" s="158">
        <f t="shared" ca="1" si="475"/>
        <v>4365.7954532166041</v>
      </c>
      <c r="Z669" s="158">
        <f t="shared" ca="1" si="475"/>
        <v>4408.7281968414281</v>
      </c>
      <c r="AA669" s="158">
        <f t="shared" ca="1" si="475"/>
        <v>4452.0831365044642</v>
      </c>
      <c r="AB669" s="158">
        <f t="shared" ca="1" si="475"/>
        <v>4495.8644240390649</v>
      </c>
      <c r="AC669" s="158">
        <f t="shared" ca="1" si="475"/>
        <v>4540.0762521073211</v>
      </c>
      <c r="AD669" s="158">
        <f t="shared" ca="1" si="475"/>
        <v>4584.6670469430437</v>
      </c>
      <c r="AE669" s="158">
        <f t="shared" ca="1" si="475"/>
        <v>4629.6957947246701</v>
      </c>
      <c r="AF669" s="158">
        <f t="shared" ca="1" si="475"/>
        <v>4675.1667968524907</v>
      </c>
      <c r="AG669" s="158">
        <f t="shared" ca="1" si="475"/>
        <v>4721.0843969734642</v>
      </c>
      <c r="AH669" s="158">
        <f t="shared" ca="1" si="475"/>
        <v>4767.3160310152289</v>
      </c>
      <c r="AI669" s="158">
        <f t="shared" ca="1" si="475"/>
        <v>4814.0003925004949</v>
      </c>
      <c r="AJ669" s="158">
        <f t="shared" ca="1" si="475"/>
        <v>4861.141914804557</v>
      </c>
      <c r="AK669" s="158">
        <f t="shared" ca="1" si="475"/>
        <v>4771.2284021908699</v>
      </c>
      <c r="AL669" s="158">
        <f t="shared" ca="1" si="475"/>
        <v>4817.8122739175915</v>
      </c>
      <c r="AM669" s="158">
        <f t="shared" ca="1" si="475"/>
        <v>4864.8509671879856</v>
      </c>
      <c r="AN669" s="158">
        <f t="shared" ca="1" si="475"/>
        <v>4912.3489226520724</v>
      </c>
      <c r="AO669" s="158">
        <f t="shared" ca="1" si="475"/>
        <v>2946.1110215089871</v>
      </c>
      <c r="AP669" s="158">
        <f t="shared" ca="1" si="475"/>
        <v>2974.8158772783277</v>
      </c>
      <c r="AQ669" s="158">
        <f t="shared" ca="1" si="475"/>
        <v>3003.8004132654778</v>
      </c>
      <c r="AR669" s="158">
        <f t="shared" ca="1" si="475"/>
        <v>3033.0673544813667</v>
      </c>
      <c r="AS669" s="41"/>
      <c r="AT669" s="84">
        <f t="shared" ca="1" si="473"/>
        <v>122708.42136619284</v>
      </c>
    </row>
    <row r="670" spans="1:46" ht="11.25" customHeight="1" outlineLevel="1" x14ac:dyDescent="0.2">
      <c r="A670" s="93" t="s">
        <v>457</v>
      </c>
      <c r="B670" s="64"/>
      <c r="C670" s="266" t="str">
        <f>Параметры!$B$64</f>
        <v>тыс. руб.</v>
      </c>
      <c r="D670" s="65"/>
      <c r="E670" s="158">
        <f t="shared" ref="E670:AR670" si="476">E501</f>
        <v>50192.291666666664</v>
      </c>
      <c r="F670" s="158">
        <f t="shared" ca="1" si="476"/>
        <v>54465.625</v>
      </c>
      <c r="G670" s="158">
        <f t="shared" ca="1" si="476"/>
        <v>10683.333333333336</v>
      </c>
      <c r="H670" s="158">
        <f t="shared" ca="1" si="476"/>
        <v>11965.333333333336</v>
      </c>
      <c r="I670" s="158">
        <f t="shared" ca="1" si="476"/>
        <v>15128</v>
      </c>
      <c r="J670" s="158">
        <f t="shared" ca="1" si="476"/>
        <v>31865.846348785733</v>
      </c>
      <c r="K670" s="158">
        <f t="shared" ca="1" si="476"/>
        <v>41836.28114324261</v>
      </c>
      <c r="L670" s="158">
        <f t="shared" ca="1" si="476"/>
        <v>21598.275286262156</v>
      </c>
      <c r="M670" s="158">
        <f t="shared" ca="1" si="476"/>
        <v>44775.402045223986</v>
      </c>
      <c r="N670" s="158">
        <f t="shared" ca="1" si="476"/>
        <v>90125.502168473846</v>
      </c>
      <c r="O670" s="158">
        <f t="shared" ca="1" si="476"/>
        <v>130843.56415429193</v>
      </c>
      <c r="P670" s="158">
        <f t="shared" ca="1" si="476"/>
        <v>73824.630131142723</v>
      </c>
      <c r="Q670" s="158">
        <f t="shared" ca="1" si="476"/>
        <v>68571.876559928714</v>
      </c>
      <c r="R670" s="158">
        <f t="shared" ca="1" si="476"/>
        <v>151002.76331526547</v>
      </c>
      <c r="S670" s="158">
        <f t="shared" ca="1" si="476"/>
        <v>165176.97503410126</v>
      </c>
      <c r="T670" s="158">
        <f t="shared" ca="1" si="476"/>
        <v>83587.445004262307</v>
      </c>
      <c r="U670" s="158">
        <f t="shared" ca="1" si="476"/>
        <v>0</v>
      </c>
      <c r="V670" s="158">
        <f t="shared" ca="1" si="476"/>
        <v>0</v>
      </c>
      <c r="W670" s="158">
        <f t="shared" ca="1" si="476"/>
        <v>0</v>
      </c>
      <c r="X670" s="158">
        <f t="shared" ca="1" si="476"/>
        <v>0</v>
      </c>
      <c r="Y670" s="158">
        <f t="shared" ca="1" si="476"/>
        <v>0</v>
      </c>
      <c r="Z670" s="158">
        <f t="shared" ca="1" si="476"/>
        <v>0</v>
      </c>
      <c r="AA670" s="158">
        <f t="shared" ca="1" si="476"/>
        <v>0</v>
      </c>
      <c r="AB670" s="158">
        <f t="shared" ca="1" si="476"/>
        <v>0</v>
      </c>
      <c r="AC670" s="158">
        <f t="shared" ca="1" si="476"/>
        <v>0</v>
      </c>
      <c r="AD670" s="158">
        <f t="shared" ca="1" si="476"/>
        <v>0</v>
      </c>
      <c r="AE670" s="158">
        <f t="shared" ca="1" si="476"/>
        <v>0</v>
      </c>
      <c r="AF670" s="158">
        <f t="shared" ca="1" si="476"/>
        <v>0</v>
      </c>
      <c r="AG670" s="158">
        <f t="shared" ca="1" si="476"/>
        <v>0</v>
      </c>
      <c r="AH670" s="158">
        <f t="shared" ca="1" si="476"/>
        <v>0</v>
      </c>
      <c r="AI670" s="158">
        <f t="shared" ca="1" si="476"/>
        <v>0</v>
      </c>
      <c r="AJ670" s="158">
        <f t="shared" ca="1" si="476"/>
        <v>0</v>
      </c>
      <c r="AK670" s="158">
        <f t="shared" ca="1" si="476"/>
        <v>0</v>
      </c>
      <c r="AL670" s="158">
        <f t="shared" ca="1" si="476"/>
        <v>0</v>
      </c>
      <c r="AM670" s="158">
        <f t="shared" ca="1" si="476"/>
        <v>0</v>
      </c>
      <c r="AN670" s="158">
        <f t="shared" ca="1" si="476"/>
        <v>0</v>
      </c>
      <c r="AO670" s="158">
        <f t="shared" ca="1" si="476"/>
        <v>0</v>
      </c>
      <c r="AP670" s="158">
        <f t="shared" ca="1" si="476"/>
        <v>0</v>
      </c>
      <c r="AQ670" s="158">
        <f t="shared" ca="1" si="476"/>
        <v>0</v>
      </c>
      <c r="AR670" s="158">
        <f t="shared" ca="1" si="476"/>
        <v>0</v>
      </c>
      <c r="AS670" s="41"/>
      <c r="AT670" s="84">
        <f t="shared" ca="1" si="473"/>
        <v>1045643.1445243141</v>
      </c>
    </row>
    <row r="671" spans="1:46" ht="11.25" customHeight="1" outlineLevel="1" x14ac:dyDescent="0.2">
      <c r="A671" s="93" t="s">
        <v>458</v>
      </c>
      <c r="B671" s="64"/>
      <c r="C671" s="266" t="str">
        <f>Параметры!$B$64</f>
        <v>тыс. руб.</v>
      </c>
      <c r="D671" s="65"/>
      <c r="E671" s="158">
        <f t="shared" ref="E671:AR671" ca="1" si="477">E491+(0)-0*0-0*0</f>
        <v>0</v>
      </c>
      <c r="F671" s="158">
        <f t="shared" ca="1" si="477"/>
        <v>0</v>
      </c>
      <c r="G671" s="158">
        <f t="shared" ca="1" si="477"/>
        <v>174280.23810145655</v>
      </c>
      <c r="H671" s="158">
        <f t="shared" ca="1" si="477"/>
        <v>0</v>
      </c>
      <c r="I671" s="158">
        <f t="shared" ca="1" si="477"/>
        <v>0</v>
      </c>
      <c r="J671" s="158">
        <f t="shared" ca="1" si="477"/>
        <v>0</v>
      </c>
      <c r="K671" s="158">
        <f t="shared" ca="1" si="477"/>
        <v>0</v>
      </c>
      <c r="L671" s="158">
        <f t="shared" ca="1" si="477"/>
        <v>49684.945403289777</v>
      </c>
      <c r="M671" s="158">
        <f t="shared" ca="1" si="477"/>
        <v>83357.121749058715</v>
      </c>
      <c r="N671" s="158">
        <f t="shared" ca="1" si="477"/>
        <v>0</v>
      </c>
      <c r="O671" s="158">
        <f t="shared" ca="1" si="477"/>
        <v>0</v>
      </c>
      <c r="P671" s="158">
        <f t="shared" ca="1" si="477"/>
        <v>62391.872369974408</v>
      </c>
      <c r="Q671" s="158">
        <f t="shared" ca="1" si="477"/>
        <v>51910.277647104864</v>
      </c>
      <c r="R671" s="158">
        <f t="shared" ca="1" si="477"/>
        <v>0</v>
      </c>
      <c r="S671" s="158">
        <f t="shared" ca="1" si="477"/>
        <v>0</v>
      </c>
      <c r="T671" s="158">
        <f t="shared" ca="1" si="477"/>
        <v>0</v>
      </c>
      <c r="U671" s="158">
        <f t="shared" ca="1" si="477"/>
        <v>624018.68925343</v>
      </c>
      <c r="V671" s="158">
        <f t="shared" ca="1" si="477"/>
        <v>0</v>
      </c>
      <c r="W671" s="158">
        <f t="shared" ca="1" si="477"/>
        <v>0</v>
      </c>
      <c r="X671" s="158">
        <f t="shared" ca="1" si="477"/>
        <v>0</v>
      </c>
      <c r="Y671" s="158">
        <f t="shared" ca="1" si="477"/>
        <v>0</v>
      </c>
      <c r="Z671" s="158">
        <f t="shared" ca="1" si="477"/>
        <v>0</v>
      </c>
      <c r="AA671" s="158">
        <f t="shared" ca="1" si="477"/>
        <v>0</v>
      </c>
      <c r="AB671" s="158">
        <f t="shared" ca="1" si="477"/>
        <v>0</v>
      </c>
      <c r="AC671" s="158">
        <f t="shared" ca="1" si="477"/>
        <v>0</v>
      </c>
      <c r="AD671" s="158">
        <f t="shared" ca="1" si="477"/>
        <v>0</v>
      </c>
      <c r="AE671" s="158">
        <f t="shared" ca="1" si="477"/>
        <v>0</v>
      </c>
      <c r="AF671" s="158">
        <f t="shared" ca="1" si="477"/>
        <v>0</v>
      </c>
      <c r="AG671" s="158">
        <f t="shared" ca="1" si="477"/>
        <v>0</v>
      </c>
      <c r="AH671" s="158">
        <f t="shared" ca="1" si="477"/>
        <v>0</v>
      </c>
      <c r="AI671" s="158">
        <f t="shared" ca="1" si="477"/>
        <v>0</v>
      </c>
      <c r="AJ671" s="158">
        <f t="shared" ca="1" si="477"/>
        <v>0</v>
      </c>
      <c r="AK671" s="158">
        <f t="shared" ca="1" si="477"/>
        <v>0</v>
      </c>
      <c r="AL671" s="158">
        <f t="shared" ca="1" si="477"/>
        <v>0</v>
      </c>
      <c r="AM671" s="158">
        <f t="shared" ca="1" si="477"/>
        <v>0</v>
      </c>
      <c r="AN671" s="158">
        <f t="shared" ca="1" si="477"/>
        <v>0</v>
      </c>
      <c r="AO671" s="158">
        <f t="shared" ca="1" si="477"/>
        <v>0</v>
      </c>
      <c r="AP671" s="158">
        <f t="shared" ca="1" si="477"/>
        <v>0</v>
      </c>
      <c r="AQ671" s="158">
        <f t="shared" ca="1" si="477"/>
        <v>0</v>
      </c>
      <c r="AR671" s="158">
        <f t="shared" ca="1" si="477"/>
        <v>0</v>
      </c>
      <c r="AS671" s="41"/>
      <c r="AT671" s="84">
        <f t="shared" ca="1" si="473"/>
        <v>1045643.1445243142</v>
      </c>
    </row>
    <row r="672" spans="1:46" ht="11.25" customHeight="1" outlineLevel="1" x14ac:dyDescent="0.2">
      <c r="A672" s="93" t="s">
        <v>238</v>
      </c>
      <c r="B672" s="161">
        <f>Деятельность_УК!B21</f>
        <v>96111.25</v>
      </c>
      <c r="C672" s="266" t="str">
        <f>Параметры!$B$64</f>
        <v>тыс. руб.</v>
      </c>
      <c r="D672" s="65"/>
      <c r="E672" s="346">
        <v>0</v>
      </c>
      <c r="F672" s="346">
        <v>0</v>
      </c>
      <c r="G672" s="346">
        <v>0</v>
      </c>
      <c r="H672" s="346">
        <v>0</v>
      </c>
      <c r="I672" s="346">
        <v>0</v>
      </c>
      <c r="J672" s="346">
        <v>0</v>
      </c>
      <c r="K672" s="346">
        <v>0</v>
      </c>
      <c r="L672" s="346">
        <v>0</v>
      </c>
      <c r="M672" s="346">
        <v>0</v>
      </c>
      <c r="N672" s="346">
        <v>0</v>
      </c>
      <c r="O672" s="346">
        <v>0</v>
      </c>
      <c r="P672" s="346">
        <v>0</v>
      </c>
      <c r="Q672" s="346">
        <v>0</v>
      </c>
      <c r="R672" s="346">
        <v>0</v>
      </c>
      <c r="S672" s="346">
        <v>0</v>
      </c>
      <c r="T672" s="346">
        <v>0</v>
      </c>
      <c r="U672" s="346">
        <v>0</v>
      </c>
      <c r="V672" s="346">
        <v>0</v>
      </c>
      <c r="W672" s="346">
        <v>0</v>
      </c>
      <c r="X672" s="346">
        <v>0</v>
      </c>
      <c r="Y672" s="346">
        <v>0</v>
      </c>
      <c r="Z672" s="346">
        <v>0</v>
      </c>
      <c r="AA672" s="346">
        <v>0</v>
      </c>
      <c r="AB672" s="346">
        <v>0</v>
      </c>
      <c r="AC672" s="346">
        <v>0</v>
      </c>
      <c r="AD672" s="346">
        <v>0</v>
      </c>
      <c r="AE672" s="346">
        <v>0</v>
      </c>
      <c r="AF672" s="346">
        <v>0</v>
      </c>
      <c r="AG672" s="346">
        <v>0</v>
      </c>
      <c r="AH672" s="346">
        <v>0</v>
      </c>
      <c r="AI672" s="346">
        <v>0</v>
      </c>
      <c r="AJ672" s="346">
        <v>0</v>
      </c>
      <c r="AK672" s="346">
        <v>0</v>
      </c>
      <c r="AL672" s="346">
        <v>0</v>
      </c>
      <c r="AM672" s="346">
        <v>0</v>
      </c>
      <c r="AN672" s="346">
        <v>0</v>
      </c>
      <c r="AO672" s="346">
        <v>0</v>
      </c>
      <c r="AP672" s="346">
        <v>0</v>
      </c>
      <c r="AQ672" s="346">
        <v>0</v>
      </c>
      <c r="AR672" s="346">
        <v>0</v>
      </c>
      <c r="AS672" s="41"/>
      <c r="AT672" s="84">
        <f t="shared" si="473"/>
        <v>0</v>
      </c>
    </row>
    <row r="673" spans="1:46" ht="11.25" customHeight="1" outlineLevel="1" x14ac:dyDescent="0.2">
      <c r="A673" s="93" t="s">
        <v>167</v>
      </c>
      <c r="B673" s="64"/>
      <c r="C673" s="266" t="str">
        <f>Параметры!$B$64</f>
        <v>тыс. руб.</v>
      </c>
      <c r="D673" s="65"/>
      <c r="E673" s="158">
        <f ca="1">-B672+E666+E667-E668-E669-E671-E672-0</f>
        <v>-96460.416666666672</v>
      </c>
      <c r="F673" s="158">
        <f t="shared" ref="F673:AR673" ca="1" si="478">F666+F667-F668-F669-F671-F672-0</f>
        <v>-349.16666666666669</v>
      </c>
      <c r="G673" s="158">
        <f t="shared" ca="1" si="478"/>
        <v>-170258.76252042878</v>
      </c>
      <c r="H673" s="158">
        <f t="shared" ca="1" si="478"/>
        <v>5990.5678350887756</v>
      </c>
      <c r="I673" s="158">
        <f t="shared" ca="1" si="478"/>
        <v>5990.5678350887756</v>
      </c>
      <c r="J673" s="158">
        <f t="shared" ca="1" si="478"/>
        <v>6049.6190184324141</v>
      </c>
      <c r="K673" s="158">
        <f t="shared" ca="1" si="478"/>
        <v>6109.2523369096853</v>
      </c>
      <c r="L673" s="158">
        <f t="shared" ca="1" si="478"/>
        <v>-43547.454561073537</v>
      </c>
      <c r="M673" s="158">
        <f t="shared" ca="1" si="478"/>
        <v>-73477.586749647759</v>
      </c>
      <c r="N673" s="158">
        <f t="shared" ca="1" si="478"/>
        <v>10104.473180388746</v>
      </c>
      <c r="O673" s="158">
        <f t="shared" ca="1" si="478"/>
        <v>10204.339721281693</v>
      </c>
      <c r="P673" s="158">
        <f t="shared" ca="1" si="478"/>
        <v>-52128.446886608675</v>
      </c>
      <c r="Q673" s="158">
        <f t="shared" ca="1" si="478"/>
        <v>-39604.167460620272</v>
      </c>
      <c r="R673" s="158">
        <f t="shared" ca="1" si="478"/>
        <v>12500.760509630085</v>
      </c>
      <c r="S673" s="158">
        <f t="shared" ca="1" si="478"/>
        <v>12627.971414846732</v>
      </c>
      <c r="T673" s="158">
        <f t="shared" ca="1" si="478"/>
        <v>12756.485230062241</v>
      </c>
      <c r="U673" s="158">
        <f t="shared" ca="1" si="478"/>
        <v>-583596.49147754337</v>
      </c>
      <c r="V673" s="158">
        <f t="shared" ca="1" si="478"/>
        <v>42027.189029156092</v>
      </c>
      <c r="W673" s="158">
        <f t="shared" ca="1" si="478"/>
        <v>42488.424159761307</v>
      </c>
      <c r="X673" s="158">
        <f t="shared" ca="1" si="478"/>
        <v>42954.752596559272</v>
      </c>
      <c r="Y673" s="158">
        <f t="shared" ca="1" si="478"/>
        <v>43426.230909728583</v>
      </c>
      <c r="Z673" s="158">
        <f t="shared" ca="1" si="478"/>
        <v>43893.791028952968</v>
      </c>
      <c r="AA673" s="158">
        <f t="shared" ca="1" si="478"/>
        <v>44366.406023383686</v>
      </c>
      <c r="AB673" s="158">
        <f t="shared" ca="1" si="478"/>
        <v>44844.130756229191</v>
      </c>
      <c r="AC673" s="158">
        <f t="shared" ca="1" si="478"/>
        <v>45327.020688354882</v>
      </c>
      <c r="AD673" s="158">
        <f t="shared" ca="1" si="478"/>
        <v>45815.696484455511</v>
      </c>
      <c r="AE673" s="158">
        <f t="shared" ca="1" si="478"/>
        <v>46309.663692076268</v>
      </c>
      <c r="AF673" s="158">
        <f t="shared" ca="1" si="478"/>
        <v>46808.979843620051</v>
      </c>
      <c r="AG673" s="158">
        <f t="shared" ca="1" si="478"/>
        <v>47313.703099458806</v>
      </c>
      <c r="AH673" s="158">
        <f t="shared" ca="1" si="478"/>
        <v>47823.25944419788</v>
      </c>
      <c r="AI673" s="158">
        <f t="shared" ca="1" si="478"/>
        <v>48338.328193103</v>
      </c>
      <c r="AJ673" s="158">
        <f t="shared" ca="1" si="478"/>
        <v>48858.96923283342</v>
      </c>
      <c r="AK673" s="158">
        <f t="shared" ca="1" si="478"/>
        <v>129277.98683169312</v>
      </c>
      <c r="AL673" s="158">
        <f t="shared" ca="1" si="478"/>
        <v>47902.07402243976</v>
      </c>
      <c r="AM673" s="158">
        <f t="shared" ca="1" si="478"/>
        <v>48507.602190562888</v>
      </c>
      <c r="AN673" s="158">
        <f t="shared" ca="1" si="478"/>
        <v>49029.729582687723</v>
      </c>
      <c r="AO673" s="158">
        <f t="shared" ca="1" si="478"/>
        <v>1297556.1456342158</v>
      </c>
      <c r="AP673" s="158">
        <f t="shared" ca="1" si="478"/>
        <v>22435.725809002459</v>
      </c>
      <c r="AQ673" s="158">
        <f t="shared" ca="1" si="478"/>
        <v>24123.66051247179</v>
      </c>
      <c r="AR673" s="158">
        <f t="shared" ca="1" si="478"/>
        <v>24364.3734710545</v>
      </c>
      <c r="AS673" s="41"/>
      <c r="AT673" s="84">
        <f t="shared" ca="1" si="473"/>
        <v>1346705.3873284722</v>
      </c>
    </row>
    <row r="674" spans="1:46" ht="11.25" customHeight="1" outlineLevel="1" x14ac:dyDescent="0.2">
      <c r="A674" s="93" t="s">
        <v>296</v>
      </c>
      <c r="B674" s="64"/>
      <c r="C674" s="266" t="str">
        <f>Параметры!$B$64</f>
        <v>тыс. руб.</v>
      </c>
      <c r="D674" s="65"/>
      <c r="E674" s="158">
        <f ca="1">SUM($E670:E670)-SUM($E671:E671)-SUM($E672:E672)-0</f>
        <v>50192.291666666664</v>
      </c>
      <c r="F674" s="158">
        <f ca="1">SUM($E670:F670)-SUM($E671:F671)-SUM($E672:F672)-0</f>
        <v>104657.91666666666</v>
      </c>
      <c r="G674" s="158">
        <f ca="1">SUM($E670:G670)-SUM($E671:G671)-SUM($E672:G672)-0</f>
        <v>-58938.988101456547</v>
      </c>
      <c r="H674" s="158">
        <f ca="1">SUM($E670:H670)-SUM($E671:H671)-SUM($E672:H672)-0</f>
        <v>-46973.654768123204</v>
      </c>
      <c r="I674" s="158">
        <f ca="1">SUM($E670:I670)-SUM($E671:I671)-SUM($E672:I672)-0</f>
        <v>-31845.654768123204</v>
      </c>
      <c r="J674" s="158">
        <f ca="1">SUM($E670:J670)-SUM($E671:J671)-SUM($E672:J672)-0</f>
        <v>20.191580662532942</v>
      </c>
      <c r="K674" s="158">
        <f ca="1">SUM($E670:K670)-SUM($E671:K671)-SUM($E672:K672)-0</f>
        <v>41856.472723905143</v>
      </c>
      <c r="L674" s="158">
        <f ca="1">SUM($E670:L670)-SUM($E671:L671)-SUM($E672:L672)-0</f>
        <v>13769.802606877522</v>
      </c>
      <c r="M674" s="158">
        <f ca="1">SUM($E670:M670)-SUM($E671:M671)-SUM($E672:M672)-0</f>
        <v>-24811.917096957157</v>
      </c>
      <c r="N674" s="158">
        <f ca="1">SUM($E670:N670)-SUM($E671:N671)-SUM($E672:N672)-0</f>
        <v>65313.585071516689</v>
      </c>
      <c r="O674" s="158">
        <f ca="1">SUM($E670:O670)-SUM($E671:O671)-SUM($E672:O672)-0</f>
        <v>196157.14922580862</v>
      </c>
      <c r="P674" s="158">
        <f ca="1">SUM($E670:P670)-SUM($E671:P671)-SUM($E672:P672)-0</f>
        <v>207589.90698697697</v>
      </c>
      <c r="Q674" s="158">
        <f ca="1">SUM($E670:Q670)-SUM($E671:Q671)-SUM($E672:Q672)-0</f>
        <v>224251.50589980086</v>
      </c>
      <c r="R674" s="158">
        <f ca="1">SUM($E670:R670)-SUM($E671:R671)-SUM($E672:R672)-0</f>
        <v>375254.26921506628</v>
      </c>
      <c r="S674" s="158">
        <f ca="1">SUM($E670:S670)-SUM($E671:S671)-SUM($E672:S672)-0</f>
        <v>540431.24424916762</v>
      </c>
      <c r="T674" s="158">
        <f ca="1">SUM($E670:T670)-SUM($E671:T671)-SUM($E672:T672)-0</f>
        <v>624018.68925342988</v>
      </c>
      <c r="U674" s="158">
        <f ca="1">SUM($E670:U670)-SUM($E671:U671)-SUM($E672:U672)-0</f>
        <v>-1.1641532182693481E-10</v>
      </c>
      <c r="V674" s="158">
        <f ca="1">SUM($E670:V670)-SUM($E671:V671)-SUM($E672:V672)-0</f>
        <v>-1.1641532182693481E-10</v>
      </c>
      <c r="W674" s="158">
        <f ca="1">SUM($E670:W670)-SUM($E671:W671)-SUM($E672:W672)-0</f>
        <v>-1.1641532182693481E-10</v>
      </c>
      <c r="X674" s="158">
        <f ca="1">SUM($E670:X670)-SUM($E671:X671)-SUM($E672:X672)-0</f>
        <v>-1.1641532182693481E-10</v>
      </c>
      <c r="Y674" s="158">
        <f ca="1">SUM($E670:Y670)-SUM($E671:Y671)-SUM($E672:Y672)-0</f>
        <v>-1.1641532182693481E-10</v>
      </c>
      <c r="Z674" s="158">
        <f ca="1">SUM($E670:Z670)-SUM($E671:Z671)-SUM($E672:Z672)-0</f>
        <v>-1.1641532182693481E-10</v>
      </c>
      <c r="AA674" s="158">
        <f ca="1">SUM($E670:AA670)-SUM($E671:AA671)-SUM($E672:AA672)-0</f>
        <v>-1.1641532182693481E-10</v>
      </c>
      <c r="AB674" s="158">
        <f ca="1">SUM($E670:AB670)-SUM($E671:AB671)-SUM($E672:AB672)-0</f>
        <v>-1.1641532182693481E-10</v>
      </c>
      <c r="AC674" s="158">
        <f ca="1">SUM($E670:AC670)-SUM($E671:AC671)-SUM($E672:AC672)-0</f>
        <v>-1.1641532182693481E-10</v>
      </c>
      <c r="AD674" s="158">
        <f ca="1">SUM($E670:AD670)-SUM($E671:AD671)-SUM($E672:AD672)-0</f>
        <v>-1.1641532182693481E-10</v>
      </c>
      <c r="AE674" s="158">
        <f ca="1">SUM($E670:AE670)-SUM($E671:AE671)-SUM($E672:AE672)-0</f>
        <v>-1.1641532182693481E-10</v>
      </c>
      <c r="AF674" s="158">
        <f ca="1">SUM($E670:AF670)-SUM($E671:AF671)-SUM($E672:AF672)-0</f>
        <v>-1.1641532182693481E-10</v>
      </c>
      <c r="AG674" s="158">
        <f ca="1">SUM($E670:AG670)-SUM($E671:AG671)-SUM($E672:AG672)-0</f>
        <v>-1.1641532182693481E-10</v>
      </c>
      <c r="AH674" s="158">
        <f ca="1">SUM($E670:AH670)-SUM($E671:AH671)-SUM($E672:AH672)-0</f>
        <v>-1.1641532182693481E-10</v>
      </c>
      <c r="AI674" s="158">
        <f ca="1">SUM($E670:AI670)-SUM($E671:AI671)-SUM($E672:AI672)-0</f>
        <v>-1.1641532182693481E-10</v>
      </c>
      <c r="AJ674" s="158">
        <f ca="1">SUM($E670:AJ670)-SUM($E671:AJ671)-SUM($E672:AJ672)-0</f>
        <v>-1.1641532182693481E-10</v>
      </c>
      <c r="AK674" s="158">
        <f ca="1">SUM($E670:AK670)-SUM($E671:AK671)-SUM($E672:AK672)-0</f>
        <v>-1.1641532182693481E-10</v>
      </c>
      <c r="AL674" s="158">
        <f ca="1">SUM($E670:AL670)-SUM($E671:AL671)-SUM($E672:AL672)-0</f>
        <v>-1.1641532182693481E-10</v>
      </c>
      <c r="AM674" s="158">
        <f ca="1">SUM($E670:AM670)-SUM($E671:AM671)-SUM($E672:AM672)-0</f>
        <v>-1.1641532182693481E-10</v>
      </c>
      <c r="AN674" s="158">
        <f ca="1">SUM($E670:AN670)-SUM($E671:AN671)-SUM($E672:AN672)-0</f>
        <v>-1.1641532182693481E-10</v>
      </c>
      <c r="AO674" s="158">
        <f ca="1">SUM($E670:AO670)-SUM($E671:AO671)-SUM($E672:AO672)-0</f>
        <v>-1.1641532182693481E-10</v>
      </c>
      <c r="AP674" s="158">
        <f ca="1">SUM($E670:AP670)-SUM($E671:AP671)-SUM($E672:AP672)-0</f>
        <v>-1.1641532182693481E-10</v>
      </c>
      <c r="AQ674" s="158">
        <f ca="1">SUM($E670:AQ670)-SUM($E671:AQ671)-SUM($E672:AQ672)-0</f>
        <v>-1.1641532182693481E-10</v>
      </c>
      <c r="AR674" s="158">
        <f ca="1">SUM($E670:AR670)-SUM($E671:AR671)-SUM($E672:AR672)-0</f>
        <v>-1.1641532182693481E-10</v>
      </c>
      <c r="AS674" s="41"/>
      <c r="AT674" s="84"/>
    </row>
    <row r="675" spans="1:46" ht="11.25" customHeight="1" outlineLevel="1" x14ac:dyDescent="0.2">
      <c r="A675" s="93" t="s">
        <v>203</v>
      </c>
      <c r="B675" s="64"/>
      <c r="C675" s="266" t="str">
        <f>Параметры!$B$64</f>
        <v>тыс. руб.</v>
      </c>
      <c r="D675" s="65"/>
      <c r="E675" s="158">
        <f ca="1">MAX(0,IF(Параметры!$B$138=2,
IF(Параметры!E$36=1,0,D675)-MIN(E673,0)+IF(AND(Параметры!$B$138=2,Параметры!E$36&gt;=Параметры!$B$139),
MIN(0,E663)-MAX(E673,0),0),
MAX(IF(Параметры!E$36=1,0,D675)-(E673-E663),0)))</f>
        <v>96460.416666666672</v>
      </c>
      <c r="F675" s="158">
        <f ca="1">MAX(0,IF(Параметры!$B$138=2,
IF(Параметры!F$36=1,0,E675)-MIN(F673,0)+IF(AND(Параметры!$B$138=2,Параметры!F$36&gt;=Параметры!$B$139),
MIN(0,F663)-MAX(F673,0),0),
MAX(IF(Параметры!F$36=1,0,E675)-(F673-F663),0)))</f>
        <v>96809.583333333343</v>
      </c>
      <c r="G675" s="158">
        <f ca="1">MAX(0,IF(Параметры!$B$138=2,
IF(Параметры!G$36=1,0,F675)-MIN(G673,0)+IF(AND(Параметры!$B$138=2,Параметры!G$36&gt;=Параметры!$B$139),
MIN(0,G663)-MAX(G673,0),0),
MAX(IF(Параметры!G$36=1,0,F675)-(G673-G663),0)))</f>
        <v>267068.34585376212</v>
      </c>
      <c r="H675" s="158">
        <f ca="1">MAX(0,IF(Параметры!$B$138=2,
IF(Параметры!H$36=1,0,G675)-MIN(H673,0)+IF(AND(Параметры!$B$138=2,Параметры!H$36&gt;=Параметры!$B$139),
MIN(0,H663)-MAX(H673,0),0),
MAX(IF(Параметры!H$36=1,0,G675)-(H673-H663),0)))</f>
        <v>261077.77801867336</v>
      </c>
      <c r="I675" s="158">
        <f ca="1">MAX(0,IF(Параметры!$B$138=2,
IF(Параметры!I$36=1,0,H675)-MIN(I673,0)+IF(AND(Параметры!$B$138=2,Параметры!I$36&gt;=Параметры!$B$139),
MIN(0,I663)-MAX(I673,0),0),
MAX(IF(Параметры!I$36=1,0,H675)-(I673-I663),0)))</f>
        <v>255087.2101835846</v>
      </c>
      <c r="J675" s="158">
        <f ca="1">MAX(0,IF(Параметры!$B$138=2,
IF(Параметры!J$36=1,0,I675)-MIN(J673,0)+IF(AND(Параметры!$B$138=2,Параметры!J$36&gt;=Параметры!$B$139),
MIN(0,J663)-MAX(J673,0),0),
MAX(IF(Параметры!J$36=1,0,I675)-(J673-J663),0)))</f>
        <v>249037.59116515217</v>
      </c>
      <c r="K675" s="158">
        <f ca="1">MAX(0,IF(Параметры!$B$138=2,
IF(Параметры!K$36=1,0,J675)-MIN(K673,0)+IF(AND(Параметры!$B$138=2,Параметры!K$36&gt;=Параметры!$B$139),
MIN(0,K663)-MAX(K673,0),0),
MAX(IF(Параметры!K$36=1,0,J675)-(K673-K663),0)))</f>
        <v>242928.3388282425</v>
      </c>
      <c r="L675" s="158">
        <f ca="1">MAX(0,IF(Параметры!$B$138=2,
IF(Параметры!L$36=1,0,K675)-MIN(L673,0)+IF(AND(Параметры!$B$138=2,Параметры!L$36&gt;=Параметры!$B$139),
MIN(0,L663)-MAX(L673,0),0),
MAX(IF(Параметры!L$36=1,0,K675)-(L673-L663),0)))</f>
        <v>286475.79338931607</v>
      </c>
      <c r="M675" s="158">
        <f ca="1">MAX(0,IF(Параметры!$B$138=2,
IF(Параметры!M$36=1,0,L675)-MIN(M673,0)+IF(AND(Параметры!$B$138=2,Параметры!M$36&gt;=Параметры!$B$139),
MIN(0,M663)-MAX(M673,0),0),
MAX(IF(Параметры!M$36=1,0,L675)-(M673-M663),0)))</f>
        <v>359953.38013896381</v>
      </c>
      <c r="N675" s="158">
        <f ca="1">MAX(0,IF(Параметры!$B$138=2,
IF(Параметры!N$36=1,0,M675)-MIN(N673,0)+IF(AND(Параметры!$B$138=2,Параметры!N$36&gt;=Параметры!$B$139),
MIN(0,N663)-MAX(N673,0),0),
MAX(IF(Параметры!N$36=1,0,M675)-(N673-N663),0)))</f>
        <v>349848.90695857507</v>
      </c>
      <c r="O675" s="158">
        <f ca="1">MAX(0,IF(Параметры!$B$138=2,
IF(Параметры!O$36=1,0,N675)-MIN(O673,0)+IF(AND(Параметры!$B$138=2,Параметры!O$36&gt;=Параметры!$B$139),
MIN(0,O663)-MAX(O673,0),0),
MAX(IF(Параметры!O$36=1,0,N675)-(O673-O663),0)))</f>
        <v>339644.56723729335</v>
      </c>
      <c r="P675" s="158">
        <f ca="1">MAX(0,IF(Параметры!$B$138=2,
IF(Параметры!P$36=1,0,O675)-MIN(P673,0)+IF(AND(Параметры!$B$138=2,Параметры!P$36&gt;=Параметры!$B$139),
MIN(0,P663)-MAX(P673,0),0),
MAX(IF(Параметры!P$36=1,0,O675)-(P673-P663),0)))</f>
        <v>391773.01412390202</v>
      </c>
      <c r="Q675" s="158">
        <f ca="1">MAX(0,IF(Параметры!$B$138=2,
IF(Параметры!Q$36=1,0,P675)-MIN(Q673,0)+IF(AND(Параметры!$B$138=2,Параметры!Q$36&gt;=Параметры!$B$139),
MIN(0,Q663)-MAX(Q673,0),0),
MAX(IF(Параметры!Q$36=1,0,P675)-(Q673-Q663),0)))</f>
        <v>431377.1815845223</v>
      </c>
      <c r="R675" s="158">
        <f ca="1">MAX(0,IF(Параметры!$B$138=2,
IF(Параметры!R$36=1,0,Q675)-MIN(R673,0)+IF(AND(Параметры!$B$138=2,Параметры!R$36&gt;=Параметры!$B$139),
MIN(0,R663)-MAX(R673,0),0),
MAX(IF(Параметры!R$36=1,0,Q675)-(R673-R663),0)))</f>
        <v>418876.42107489222</v>
      </c>
      <c r="S675" s="158">
        <f ca="1">MAX(0,IF(Параметры!$B$138=2,
IF(Параметры!S$36=1,0,R675)-MIN(S673,0)+IF(AND(Параметры!$B$138=2,Параметры!S$36&gt;=Параметры!$B$139),
MIN(0,S663)-MAX(S673,0),0),
MAX(IF(Параметры!S$36=1,0,R675)-(S673-S663),0)))</f>
        <v>406248.4496600455</v>
      </c>
      <c r="T675" s="158">
        <f ca="1">MAX(0,IF(Параметры!$B$138=2,
IF(Параметры!T$36=1,0,S675)-MIN(T673,0)+IF(AND(Параметры!$B$138=2,Параметры!T$36&gt;=Параметры!$B$139),
MIN(0,T663)-MAX(T673,0),0),
MAX(IF(Параметры!T$36=1,0,S675)-(T673-T663),0)))</f>
        <v>393491.96442998329</v>
      </c>
      <c r="U675" s="158">
        <f ca="1">MAX(0,IF(Параметры!$B$138=2,
IF(Параметры!U$36=1,0,T675)-MIN(U673,0)+IF(AND(Параметры!$B$138=2,Параметры!U$36&gt;=Параметры!$B$139),
MIN(0,U663)-MAX(U673,0),0),
MAX(IF(Параметры!U$36=1,0,T675)-(U673-U663),0)))</f>
        <v>977088.45590752666</v>
      </c>
      <c r="V675" s="158">
        <f ca="1">MAX(0,IF(Параметры!$B$138=2,
IF(Параметры!V$36=1,0,U675)-MIN(V673,0)+IF(AND(Параметры!$B$138=2,Параметры!V$36&gt;=Параметры!$B$139),
MIN(0,V663)-MAX(V673,0),0),
MAX(IF(Параметры!V$36=1,0,U675)-(V673-V663),0)))</f>
        <v>935061.26687837054</v>
      </c>
      <c r="W675" s="158">
        <f ca="1">MAX(0,IF(Параметры!$B$138=2,
IF(Параметры!W$36=1,0,V675)-MIN(W673,0)+IF(AND(Параметры!$B$138=2,Параметры!W$36&gt;=Параметры!$B$139),
MIN(0,W663)-MAX(W673,0),0),
MAX(IF(Параметры!W$36=1,0,V675)-(W673-W663),0)))</f>
        <v>892572.84271860926</v>
      </c>
      <c r="X675" s="158">
        <f ca="1">MAX(0,IF(Параметры!$B$138=2,
IF(Параметры!X$36=1,0,W675)-MIN(X673,0)+IF(AND(Параметры!$B$138=2,Параметры!X$36&gt;=Параметры!$B$139),
MIN(0,X663)-MAX(X673,0),0),
MAX(IF(Параметры!X$36=1,0,W675)-(X673-X663),0)))</f>
        <v>849618.09012205002</v>
      </c>
      <c r="Y675" s="158">
        <f ca="1">MAX(0,IF(Параметры!$B$138=2,
IF(Параметры!Y$36=1,0,X675)-MIN(Y673,0)+IF(AND(Параметры!$B$138=2,Параметры!Y$36&gt;=Параметры!$B$139),
MIN(0,Y663)-MAX(Y673,0),0),
MAX(IF(Параметры!Y$36=1,0,X675)-(Y673-Y663),0)))</f>
        <v>806191.85921232146</v>
      </c>
      <c r="Z675" s="158">
        <f ca="1">MAX(0,IF(Параметры!$B$138=2,
IF(Параметры!Z$36=1,0,Y675)-MIN(Z673,0)+IF(AND(Параметры!$B$138=2,Параметры!Z$36&gt;=Параметры!$B$139),
MIN(0,Z663)-MAX(Z673,0),0),
MAX(IF(Параметры!Z$36=1,0,Y675)-(Z673-Z663),0)))</f>
        <v>762298.06818336854</v>
      </c>
      <c r="AA675" s="158">
        <f ca="1">MAX(0,IF(Параметры!$B$138=2,
IF(Параметры!AA$36=1,0,Z675)-MIN(AA673,0)+IF(AND(Параметры!$B$138=2,Параметры!AA$36&gt;=Параметры!$B$139),
MIN(0,AA663)-MAX(AA673,0),0),
MAX(IF(Параметры!AA$36=1,0,Z675)-(AA673-AA663),0)))</f>
        <v>717931.66215998481</v>
      </c>
      <c r="AB675" s="158">
        <f ca="1">MAX(0,IF(Параметры!$B$138=2,
IF(Параметры!AB$36=1,0,AA675)-MIN(AB673,0)+IF(AND(Параметры!$B$138=2,Параметры!AB$36&gt;=Параметры!$B$139),
MIN(0,AB663)-MAX(AB673,0),0),
MAX(IF(Параметры!AB$36=1,0,AA675)-(AB673-AB663),0)))</f>
        <v>673087.53140375565</v>
      </c>
      <c r="AC675" s="158">
        <f ca="1">MAX(0,IF(Параметры!$B$138=2,
IF(Параметры!AC$36=1,0,AB675)-MIN(AC673,0)+IF(AND(Параметры!$B$138=2,Параметры!AC$36&gt;=Параметры!$B$139),
MIN(0,AC663)-MAX(AC673,0),0),
MAX(IF(Параметры!AC$36=1,0,AB675)-(AC673-AC663),0)))</f>
        <v>627760.5107154008</v>
      </c>
      <c r="AD675" s="158">
        <f ca="1">MAX(0,IF(Параметры!$B$138=2,
IF(Параметры!AD$36=1,0,AC675)-MIN(AD673,0)+IF(AND(Параметры!$B$138=2,Параметры!AD$36&gt;=Параметры!$B$139),
MIN(0,AD663)-MAX(AD673,0),0),
MAX(IF(Параметры!AD$36=1,0,AC675)-(AD673-AD663),0)))</f>
        <v>581944.81423094531</v>
      </c>
      <c r="AE675" s="158">
        <f ca="1">MAX(0,IF(Параметры!$B$138=2,
IF(Параметры!AE$36=1,0,AD675)-MIN(AE673,0)+IF(AND(Параметры!$B$138=2,Параметры!AE$36&gt;=Параметры!$B$139),
MIN(0,AE663)-MAX(AE673,0),0),
MAX(IF(Параметры!AE$36=1,0,AD675)-(AE673-AE663),0)))</f>
        <v>535635.15053886909</v>
      </c>
      <c r="AF675" s="158">
        <f ca="1">MAX(0,IF(Параметры!$B$138=2,
IF(Параметры!AF$36=1,0,AE675)-MIN(AF673,0)+IF(AND(Параметры!$B$138=2,Параметры!AF$36&gt;=Параметры!$B$139),
MIN(0,AF663)-MAX(AF673,0),0),
MAX(IF(Параметры!AF$36=1,0,AE675)-(AF673-AF663),0)))</f>
        <v>488826.17069524905</v>
      </c>
      <c r="AG675" s="158">
        <f ca="1">MAX(0,IF(Параметры!$B$138=2,
IF(Параметры!AG$36=1,0,AF675)-MIN(AG673,0)+IF(AND(Параметры!$B$138=2,Параметры!AG$36&gt;=Параметры!$B$139),
MIN(0,AG663)-MAX(AG673,0),0),
MAX(IF(Параметры!AG$36=1,0,AF675)-(AG673-AG663),0)))</f>
        <v>441512.46759579022</v>
      </c>
      <c r="AH675" s="158">
        <f ca="1">MAX(0,IF(Параметры!$B$138=2,
IF(Параметры!AH$36=1,0,AG675)-MIN(AH673,0)+IF(AND(Параметры!$B$138=2,Параметры!AH$36&gt;=Параметры!$B$139),
MIN(0,AH663)-MAX(AH673,0),0),
MAX(IF(Параметры!AH$36=1,0,AG675)-(AH673-AH663),0)))</f>
        <v>393689.20815159235</v>
      </c>
      <c r="AI675" s="158">
        <f ca="1">MAX(0,IF(Параметры!$B$138=2,
IF(Параметры!AI$36=1,0,AH675)-MIN(AI673,0)+IF(AND(Параметры!$B$138=2,Параметры!AI$36&gt;=Параметры!$B$139),
MIN(0,AI663)-MAX(AI673,0),0),
MAX(IF(Параметры!AI$36=1,0,AH675)-(AI673-AI663),0)))</f>
        <v>345350.87995848933</v>
      </c>
      <c r="AJ675" s="158">
        <f ca="1">MAX(0,IF(Параметры!$B$138=2,
IF(Параметры!AJ$36=1,0,AI675)-MIN(AJ673,0)+IF(AND(Параметры!$B$138=2,Параметры!AJ$36&gt;=Параметры!$B$139),
MIN(0,AJ663)-MAX(AJ673,0),0),
MAX(IF(Параметры!AJ$36=1,0,AI675)-(AJ673-AJ663),0)))</f>
        <v>296491.91072565591</v>
      </c>
      <c r="AK675" s="158">
        <f ca="1">MAX(0,IF(Параметры!$B$138=2,
IF(Параметры!AK$36=1,0,AJ675)-MIN(AK673,0)+IF(AND(Параметры!$B$138=2,Параметры!AK$36&gt;=Параметры!$B$139),
MIN(0,AK663)-MAX(AK673,0),0),
MAX(IF(Параметры!AK$36=1,0,AJ675)-(AK673-AK663),0)))</f>
        <v>167213.92389396278</v>
      </c>
      <c r="AL675" s="158">
        <f ca="1">MAX(0,IF(Параметры!$B$138=2,
IF(Параметры!AL$36=1,0,AK675)-MIN(AL673,0)+IF(AND(Параметры!$B$138=2,Параметры!AL$36&gt;=Параметры!$B$139),
MIN(0,AL663)-MAX(AL673,0),0),
MAX(IF(Параметры!AL$36=1,0,AK675)-(AL673-AL663),0)))</f>
        <v>119311.84987152302</v>
      </c>
      <c r="AM675" s="158">
        <f ca="1">MAX(0,IF(Параметры!$B$138=2,
IF(Параметры!AM$36=1,0,AL675)-MIN(AM673,0)+IF(AND(Параметры!$B$138=2,Параметры!AM$36&gt;=Параметры!$B$139),
MIN(0,AM663)-MAX(AM673,0),0),
MAX(IF(Параметры!AM$36=1,0,AL675)-(AM673-AM663),0)))</f>
        <v>70804.247680960136</v>
      </c>
      <c r="AN675" s="158">
        <f ca="1">MAX(0,IF(Параметры!$B$138=2,
IF(Параметры!AN$36=1,0,AM675)-MIN(AN673,0)+IF(AND(Параметры!$B$138=2,Параметры!AN$36&gt;=Параметры!$B$139),
MIN(0,AN663)-MAX(AN673,0),0),
MAX(IF(Параметры!AN$36=1,0,AM675)-(AN673-AN663),0)))</f>
        <v>21774.518098272412</v>
      </c>
      <c r="AO675" s="158">
        <f ca="1">MAX(0,IF(Параметры!$B$138=2,
IF(Параметры!AO$36=1,0,AN675)-MIN(AO673,0)+IF(AND(Параметры!$B$138=2,Параметры!AO$36&gt;=Параметры!$B$139),
MIN(0,AO663)-MAX(AO673,0),0),
MAX(IF(Параметры!AO$36=1,0,AN675)-(AO673-AO663),0)))</f>
        <v>2.9103830456733704E-11</v>
      </c>
      <c r="AP675" s="158">
        <f ca="1">MAX(0,IF(Параметры!$B$138=2,
IF(Параметры!AP$36=1,0,AO675)-MIN(AP673,0)+IF(AND(Параметры!$B$138=2,Параметры!AP$36&gt;=Параметры!$B$139),
MIN(0,AP663)-MAX(AP673,0),0),
MAX(IF(Параметры!AP$36=1,0,AO675)-(AP673-AP663),0)))</f>
        <v>0</v>
      </c>
      <c r="AQ675" s="158">
        <f ca="1">MAX(0,IF(Параметры!$B$138=2,
IF(Параметры!AQ$36=1,0,AP675)-MIN(AQ673,0)+IF(AND(Параметры!$B$138=2,Параметры!AQ$36&gt;=Параметры!$B$139),
MIN(0,AQ663)-MAX(AQ673,0),0),
MAX(IF(Параметры!AQ$36=1,0,AP675)-(AQ673-AQ663),0)))</f>
        <v>0</v>
      </c>
      <c r="AR675" s="158">
        <f ca="1">MAX(0,IF(Параметры!$B$138=2,
IF(Параметры!AR$36=1,0,AQ675)-MIN(AR673,0)+IF(AND(Параметры!$B$138=2,Параметры!AR$36&gt;=Параметры!$B$139),
MIN(0,AR663)-MAX(AR673,0),0),
MAX(IF(Параметры!AR$36=1,0,AQ675)-(AR673-AR663),0)))</f>
        <v>0</v>
      </c>
      <c r="AS675" s="41"/>
      <c r="AT675" s="84">
        <f ca="1">SUM(E675:AS675)</f>
        <v>15550324.371389603</v>
      </c>
    </row>
    <row r="676" spans="1:46" x14ac:dyDescent="0.2"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82"/>
      <c r="AN676" s="82"/>
      <c r="AO676" s="82"/>
      <c r="AP676" s="82"/>
      <c r="AQ676" s="82"/>
      <c r="AR676" s="82"/>
    </row>
    <row r="677" spans="1:46" collapsed="1" x14ac:dyDescent="0.2">
      <c r="A677" s="60" t="s">
        <v>196</v>
      </c>
      <c r="C677" s="266" t="str">
        <f>Параметры!$B$64</f>
        <v>тыс. руб.</v>
      </c>
      <c r="D677" s="65"/>
      <c r="E677" s="85">
        <f ca="1">((E680)*IF(Параметры!$B$132,Параметры!E176,Параметры!E171)+(0)*Параметры!E172+0*Параметры!E170)*Параметры!E$39/Параметры!$B$13</f>
        <v>0</v>
      </c>
      <c r="F677" s="85">
        <f ca="1">((F680)*IF(Параметры!$B$132,Параметры!F176,Параметры!F171)+(0)*Параметры!F172+0*Параметры!F170)*Параметры!F$39/Параметры!$B$13</f>
        <v>0</v>
      </c>
      <c r="G677" s="85">
        <f ca="1">((G680)*IF(Параметры!$B$132,Параметры!G176,Параметры!G171)+(0)*Параметры!G172+0*Параметры!G170)*Параметры!G$39/Параметры!$B$13</f>
        <v>2610.0211328124997</v>
      </c>
      <c r="H677" s="85">
        <f ca="1">((H680)*IF(Параметры!$B$132,Параметры!H176,Параметры!H171)+(0)*Параметры!H172+0*Параметры!H170)*Параметры!H$39/Параметры!$B$13</f>
        <v>5187.0040234375001</v>
      </c>
      <c r="I677" s="85">
        <f ca="1">((I680)*IF(Параметры!$B$132,Параметры!I176,Параметры!I171)+(0)*Параметры!I172+0*Параметры!I170)*Параметры!I$39/Параметры!$B$13</f>
        <v>0</v>
      </c>
      <c r="J677" s="85">
        <f ca="1">((J680)*IF(Параметры!$B$132,Параметры!J176,Параметры!J171)+(0)*Параметры!J172+0*Параметры!J170)*Параметры!J$39/Параметры!$B$13</f>
        <v>0</v>
      </c>
      <c r="K677" s="85">
        <f ca="1">((K680)*IF(Параметры!$B$132,Параметры!K176,Параметры!K171)+(0)*Параметры!K172+0*Параметры!K170)*Параметры!K$39/Параметры!$B$13</f>
        <v>0</v>
      </c>
      <c r="L677" s="85">
        <f ca="1">((L680)*IF(Параметры!$B$132,Параметры!L176,Параметры!L171)+(0)*Параметры!L172+0*Параметры!L170)*Параметры!L$39/Параметры!$B$13</f>
        <v>0</v>
      </c>
      <c r="M677" s="85">
        <f ca="1">((M680)*IF(Параметры!$B$132,Параметры!M176,Параметры!M171)+(0)*Параметры!M172+0*Параметры!M170)*Параметры!M$39/Параметры!$B$13</f>
        <v>0</v>
      </c>
      <c r="N677" s="85">
        <f ca="1">((N680)*IF(Параметры!$B$132,Параметры!N176,Параметры!N171)+(0)*Параметры!N172+0*Параметры!N170)*Параметры!N$39/Параметры!$B$13</f>
        <v>0</v>
      </c>
      <c r="O677" s="85">
        <f ca="1">((O680)*IF(Параметры!$B$132,Параметры!O176,Параметры!O171)+(0)*Параметры!O172+0*Параметры!O170)*Параметры!O$39/Параметры!$B$13</f>
        <v>0</v>
      </c>
      <c r="P677" s="85">
        <f ca="1">((P680)*IF(Параметры!$B$132,Параметры!P176,Параметры!P171)+(0)*Параметры!P172+0*Параметры!P170)*Параметры!P$39/Параметры!$B$13</f>
        <v>0</v>
      </c>
      <c r="Q677" s="85">
        <f ca="1">((Q680)*IF(Параметры!$B$132,Параметры!Q176,Параметры!Q171)+(0)*Параметры!Q172+0*Параметры!Q170)*Параметры!Q$39/Параметры!$B$13</f>
        <v>0</v>
      </c>
      <c r="R677" s="85">
        <f ca="1">((R680)*IF(Параметры!$B$132,Параметры!R176,Параметры!R171)+(0)*Параметры!R172+0*Параметры!R170)*Параметры!R$39/Параметры!$B$13</f>
        <v>0</v>
      </c>
      <c r="S677" s="85">
        <f ca="1">((S680)*IF(Параметры!$B$132,Параметры!S176,Параметры!S171)+(0)*Параметры!S172+0*Параметры!S170)*Параметры!S$39/Параметры!$B$13</f>
        <v>0</v>
      </c>
      <c r="T677" s="85">
        <f ca="1">((T680)*IF(Параметры!$B$132,Параметры!T176,Параметры!T171)+(0)*Параметры!T172+0*Параметры!T170)*Параметры!T$39/Параметры!$B$13</f>
        <v>0</v>
      </c>
      <c r="U677" s="85">
        <f ca="1">((U680)*IF(Параметры!$B$132,Параметры!U176,Параметры!U171)+(0)*Параметры!U172+0*Параметры!U170)*Параметры!U$39/Параметры!$B$13</f>
        <v>0</v>
      </c>
      <c r="V677" s="85">
        <f ca="1">((V680)*IF(Параметры!$B$132,Параметры!V176,Параметры!V171)+(0)*Параметры!V172+0*Параметры!V170)*Параметры!V$39/Параметры!$B$13</f>
        <v>0</v>
      </c>
      <c r="W677" s="85">
        <f ca="1">((W680)*IF(Параметры!$B$132,Параметры!W176,Параметры!W171)+(0)*Параметры!W172+0*Параметры!W170)*Параметры!W$39/Параметры!$B$13</f>
        <v>0</v>
      </c>
      <c r="X677" s="85">
        <f ca="1">((X680)*IF(Параметры!$B$132,Параметры!X176,Параметры!X171)+(0)*Параметры!X172+0*Параметры!X170)*Параметры!X$39/Параметры!$B$13</f>
        <v>0</v>
      </c>
      <c r="Y677" s="85">
        <f ca="1">((Y680)*IF(Параметры!$B$132,Параметры!Y176,Параметры!Y171)+(0)*Параметры!Y172+0*Параметры!Y170)*Параметры!Y$39/Параметры!$B$13</f>
        <v>0</v>
      </c>
      <c r="Z677" s="85">
        <f ca="1">((Z680)*IF(Параметры!$B$132,Параметры!Z176,Параметры!Z171)+(0)*Параметры!Z172+0*Параметры!Z170)*Параметры!Z$39/Параметры!$B$13</f>
        <v>0</v>
      </c>
      <c r="AA677" s="85">
        <f ca="1">((AA680)*IF(Параметры!$B$132,Параметры!AA176,Параметры!AA171)+(0)*Параметры!AA172+0*Параметры!AA170)*Параметры!AA$39/Параметры!$B$13</f>
        <v>0</v>
      </c>
      <c r="AB677" s="85">
        <f ca="1">((AB680)*IF(Параметры!$B$132,Параметры!AB176,Параметры!AB171)+(0)*Параметры!AB172+0*Параметры!AB170)*Параметры!AB$39/Параметры!$B$13</f>
        <v>0</v>
      </c>
      <c r="AC677" s="85">
        <f ca="1">((AC680)*IF(Параметры!$B$132,Параметры!AC176,Параметры!AC171)+(0)*Параметры!AC172+0*Параметры!AC170)*Параметры!AC$39/Параметры!$B$13</f>
        <v>0</v>
      </c>
      <c r="AD677" s="85">
        <f ca="1">((AD680)*IF(Параметры!$B$132,Параметры!AD176,Параметры!AD171)+(0)*Параметры!AD172+0*Параметры!AD170)*Параметры!AD$39/Параметры!$B$13</f>
        <v>0</v>
      </c>
      <c r="AE677" s="85">
        <f ca="1">((AE680)*IF(Параметры!$B$132,Параметры!AE176,Параметры!AE171)+(0)*Параметры!AE172+0*Параметры!AE170)*Параметры!AE$39/Параметры!$B$13</f>
        <v>0</v>
      </c>
      <c r="AF677" s="85">
        <f ca="1">((AF680)*IF(Параметры!$B$132,Параметры!AF176,Параметры!AF171)+(0)*Параметры!AF172+0*Параметры!AF170)*Параметры!AF$39/Параметры!$B$13</f>
        <v>0</v>
      </c>
      <c r="AG677" s="85">
        <f ca="1">((AG680)*IF(Параметры!$B$132,Параметры!AG176,Параметры!AG171)+(0)*Параметры!AG172+0*Параметры!AG170)*Параметры!AG$39/Параметры!$B$13</f>
        <v>24974.693747648525</v>
      </c>
      <c r="AH677" s="85">
        <f ca="1">((AH680)*IF(Параметры!$B$132,Параметры!AH176,Параметры!AH171)+(0)*Параметры!AH172+0*Параметры!AH170)*Параметры!AH$39/Параметры!$B$13</f>
        <v>24582.215674530788</v>
      </c>
      <c r="AI677" s="85">
        <f ca="1">((AI680)*IF(Параметры!$B$132,Параметры!AI176,Параметры!AI171)+(0)*Параметры!AI172+0*Параметры!AI170)*Параметры!AI$39/Параметры!$B$13</f>
        <v>24189.73760141305</v>
      </c>
      <c r="AJ677" s="85">
        <f ca="1">((AJ680)*IF(Параметры!$B$132,Параметры!AJ176,Параметры!AJ171)+(0)*Параметры!AJ172+0*Параметры!AJ170)*Параметры!AJ$39/Параметры!$B$13</f>
        <v>23797.259528295323</v>
      </c>
      <c r="AK677" s="85">
        <f ca="1">((AK680)*IF(Параметры!$B$132,Параметры!AK176,Параметры!AK171)+(0)*Параметры!AK172+0*Параметры!AK170)*Параметры!AK$39/Параметры!$B$13</f>
        <v>22819.759780718166</v>
      </c>
      <c r="AL677" s="85">
        <f ca="1">((AL680)*IF(Параметры!$B$132,Параметры!AL176,Параметры!AL171)+(0)*Параметры!AL172+0*Параметры!AL170)*Параметры!AL$39/Параметры!$B$13</f>
        <v>21852.100645843911</v>
      </c>
      <c r="AM677" s="85">
        <f ca="1">((AM680)*IF(Параметры!$B$132,Параметры!AM176,Параметры!AM171)+(0)*Параметры!AM172+0*Параметры!AM170)*Параметры!AM$39/Параметры!$B$13</f>
        <v>21479.303798131979</v>
      </c>
      <c r="AN677" s="85">
        <f ca="1">((AN680)*IF(Параметры!$B$132,Параметры!AN176,Параметры!AN171)+(0)*Параметры!AN172+0*Параметры!AN170)*Параметры!AN$39/Параметры!$B$13</f>
        <v>21106.506950420044</v>
      </c>
      <c r="AO677" s="85">
        <f ca="1">((AO680)*IF(Параметры!$B$132,Параметры!AO176,Параметры!AO171)+(0)*Параметры!AO172+0*Параметры!AO170)*Параметры!AO$39/Параметры!$B$13</f>
        <v>14545.595227507445</v>
      </c>
      <c r="AP677" s="85">
        <f ca="1">((AP680)*IF(Параметры!$B$132,Параметры!AP176,Параметры!AP171)+(0)*Параметры!AP172+0*Параметры!AP170)*Параметры!AP$39/Параметры!$B$13</f>
        <v>8102.9785035555415</v>
      </c>
      <c r="AQ677" s="85">
        <f ca="1">((AQ680)*IF(Параметры!$B$132,Параметры!AQ176,Параметры!AQ171)+(0)*Параметры!AQ172+0*Параметры!AQ170)*Параметры!AQ$39/Параметры!$B$13</f>
        <v>7966.7716537649922</v>
      </c>
      <c r="AR677" s="85">
        <f ca="1">((AR680)*IF(Параметры!$B$132,Параметры!AR176,Параметры!AR171)+(0)*Параметры!AR172+0*Параметры!AR170)*Параметры!AR$39/Параметры!$B$13</f>
        <v>7830.5648039744447</v>
      </c>
      <c r="AT677" s="137">
        <f ca="1">SUM(E677:AS677)</f>
        <v>231044.51307205422</v>
      </c>
    </row>
    <row r="678" spans="1:46" outlineLevel="1" x14ac:dyDescent="0.2">
      <c r="A678" s="114" t="s">
        <v>219</v>
      </c>
      <c r="B678" s="9"/>
      <c r="C678" s="2" t="str">
        <f>Параметры!$B$64</f>
        <v>тыс. руб.</v>
      </c>
      <c r="D678" s="65"/>
      <c r="E678" s="353">
        <f ca="1">IF(Параметры!$B$173&lt;=Параметры!$B$27,IF(AND(Параметры!$B$173=0,Параметры!E$36&gt;1),D678,E677*Параметры!$B$173/Параметры!E$40),IF(OR(Параметры!E$43=1,Параметры!E$43=4,Параметры!E$43=7,Параметры!E$43=10),0,IF(Параметры!E$36=1,0,D678))+E677)</f>
        <v>0</v>
      </c>
      <c r="F678" s="353">
        <f ca="1">IF(Параметры!$B$173&lt;=Параметры!$B$27,IF(AND(Параметры!$B$173=0,Параметры!F$36&gt;1),E678,F677*Параметры!$B$173/Параметры!F$40),IF(OR(Параметры!F$43=1,Параметры!F$43=4,Параметры!F$43=7,Параметры!F$43=10),0,IF(Параметры!F$36=1,0,E678))+F677)</f>
        <v>0</v>
      </c>
      <c r="G678" s="353">
        <f ca="1">IF(Параметры!$B$173&lt;=Параметры!$B$27,IF(AND(Параметры!$B$173=0,Параметры!G$36&gt;1),F678,G677*Параметры!$B$173/Параметры!G$40),IF(OR(Параметры!G$43=1,Параметры!G$43=4,Параметры!G$43=7,Параметры!G$43=10),0,IF(Параметры!G$36=1,0,F678))+G677)</f>
        <v>2610.0211328124997</v>
      </c>
      <c r="H678" s="353">
        <f ca="1">IF(Параметры!$B$173&lt;=Параметры!$B$27,IF(AND(Параметры!$B$173=0,Параметры!H$36&gt;1),G678,H677*Параметры!$B$173/Параметры!H$40),IF(OR(Параметры!H$43=1,Параметры!H$43=4,Параметры!H$43=7,Параметры!H$43=10),0,IF(Параметры!H$36=1,0,G678))+H677)</f>
        <v>5187.0040234375001</v>
      </c>
      <c r="I678" s="353">
        <f ca="1">IF(Параметры!$B$173&lt;=Параметры!$B$27,IF(AND(Параметры!$B$173=0,Параметры!I$36&gt;1),H678,I677*Параметры!$B$173/Параметры!I$40),IF(OR(Параметры!I$43=1,Параметры!I$43=4,Параметры!I$43=7,Параметры!I$43=10),0,IF(Параметры!I$36=1,0,H678))+I677)</f>
        <v>0</v>
      </c>
      <c r="J678" s="353">
        <f ca="1">IF(Параметры!$B$173&lt;=Параметры!$B$27,IF(AND(Параметры!$B$173=0,Параметры!J$36&gt;1),I678,J677*Параметры!$B$173/Параметры!J$40),IF(OR(Параметры!J$43=1,Параметры!J$43=4,Параметры!J$43=7,Параметры!J$43=10),0,IF(Параметры!J$36=1,0,I678))+J677)</f>
        <v>0</v>
      </c>
      <c r="K678" s="353">
        <f ca="1">IF(Параметры!$B$173&lt;=Параметры!$B$27,IF(AND(Параметры!$B$173=0,Параметры!K$36&gt;1),J678,K677*Параметры!$B$173/Параметры!K$40),IF(OR(Параметры!K$43=1,Параметры!K$43=4,Параметры!K$43=7,Параметры!K$43=10),0,IF(Параметры!K$36=1,0,J678))+K677)</f>
        <v>0</v>
      </c>
      <c r="L678" s="353">
        <f ca="1">IF(Параметры!$B$173&lt;=Параметры!$B$27,IF(AND(Параметры!$B$173=0,Параметры!L$36&gt;1),K678,L677*Параметры!$B$173/Параметры!L$40),IF(OR(Параметры!L$43=1,Параметры!L$43=4,Параметры!L$43=7,Параметры!L$43=10),0,IF(Параметры!L$36=1,0,K678))+L677)</f>
        <v>0</v>
      </c>
      <c r="M678" s="353">
        <f ca="1">IF(Параметры!$B$173&lt;=Параметры!$B$27,IF(AND(Параметры!$B$173=0,Параметры!M$36&gt;1),L678,M677*Параметры!$B$173/Параметры!M$40),IF(OR(Параметры!M$43=1,Параметры!M$43=4,Параметры!M$43=7,Параметры!M$43=10),0,IF(Параметры!M$36=1,0,L678))+M677)</f>
        <v>0</v>
      </c>
      <c r="N678" s="353">
        <f ca="1">IF(Параметры!$B$173&lt;=Параметры!$B$27,IF(AND(Параметры!$B$173=0,Параметры!N$36&gt;1),M678,N677*Параметры!$B$173/Параметры!N$40),IF(OR(Параметры!N$43=1,Параметры!N$43=4,Параметры!N$43=7,Параметры!N$43=10),0,IF(Параметры!N$36=1,0,M678))+N677)</f>
        <v>0</v>
      </c>
      <c r="O678" s="353">
        <f ca="1">IF(Параметры!$B$173&lt;=Параметры!$B$27,IF(AND(Параметры!$B$173=0,Параметры!O$36&gt;1),N678,O677*Параметры!$B$173/Параметры!O$40),IF(OR(Параметры!O$43=1,Параметры!O$43=4,Параметры!O$43=7,Параметры!O$43=10),0,IF(Параметры!O$36=1,0,N678))+O677)</f>
        <v>0</v>
      </c>
      <c r="P678" s="353">
        <f ca="1">IF(Параметры!$B$173&lt;=Параметры!$B$27,IF(AND(Параметры!$B$173=0,Параметры!P$36&gt;1),O678,P677*Параметры!$B$173/Параметры!P$40),IF(OR(Параметры!P$43=1,Параметры!P$43=4,Параметры!P$43=7,Параметры!P$43=10),0,IF(Параметры!P$36=1,0,O678))+P677)</f>
        <v>0</v>
      </c>
      <c r="Q678" s="353">
        <f ca="1">IF(Параметры!$B$173&lt;=Параметры!$B$27,IF(AND(Параметры!$B$173=0,Параметры!Q$36&gt;1),P678,Q677*Параметры!$B$173/Параметры!Q$40),IF(OR(Параметры!Q$43=1,Параметры!Q$43=4,Параметры!Q$43=7,Параметры!Q$43=10),0,IF(Параметры!Q$36=1,0,P678))+Q677)</f>
        <v>0</v>
      </c>
      <c r="R678" s="353">
        <f ca="1">IF(Параметры!$B$173&lt;=Параметры!$B$27,IF(AND(Параметры!$B$173=0,Параметры!R$36&gt;1),Q678,R677*Параметры!$B$173/Параметры!R$40),IF(OR(Параметры!R$43=1,Параметры!R$43=4,Параметры!R$43=7,Параметры!R$43=10),0,IF(Параметры!R$36=1,0,Q678))+R677)</f>
        <v>0</v>
      </c>
      <c r="S678" s="353">
        <f ca="1">IF(Параметры!$B$173&lt;=Параметры!$B$27,IF(AND(Параметры!$B$173=0,Параметры!S$36&gt;1),R678,S677*Параметры!$B$173/Параметры!S$40),IF(OR(Параметры!S$43=1,Параметры!S$43=4,Параметры!S$43=7,Параметры!S$43=10),0,IF(Параметры!S$36=1,0,R678))+S677)</f>
        <v>0</v>
      </c>
      <c r="T678" s="353">
        <f ca="1">IF(Параметры!$B$173&lt;=Параметры!$B$27,IF(AND(Параметры!$B$173=0,Параметры!T$36&gt;1),S678,T677*Параметры!$B$173/Параметры!T$40),IF(OR(Параметры!T$43=1,Параметры!T$43=4,Параметры!T$43=7,Параметры!T$43=10),0,IF(Параметры!T$36=1,0,S678))+T677)</f>
        <v>0</v>
      </c>
      <c r="U678" s="353">
        <f ca="1">IF(Параметры!$B$173&lt;=Параметры!$B$27,IF(AND(Параметры!$B$173=0,Параметры!U$36&gt;1),T678,U677*Параметры!$B$173/Параметры!U$40),IF(OR(Параметры!U$43=1,Параметры!U$43=4,Параметры!U$43=7,Параметры!U$43=10),0,IF(Параметры!U$36=1,0,T678))+U677)</f>
        <v>0</v>
      </c>
      <c r="V678" s="353">
        <f ca="1">IF(Параметры!$B$173&lt;=Параметры!$B$27,IF(AND(Параметры!$B$173=0,Параметры!V$36&gt;1),U678,V677*Параметры!$B$173/Параметры!V$40),IF(OR(Параметры!V$43=1,Параметры!V$43=4,Параметры!V$43=7,Параметры!V$43=10),0,IF(Параметры!V$36=1,0,U678))+V677)</f>
        <v>0</v>
      </c>
      <c r="W678" s="353">
        <f ca="1">IF(Параметры!$B$173&lt;=Параметры!$B$27,IF(AND(Параметры!$B$173=0,Параметры!W$36&gt;1),V678,W677*Параметры!$B$173/Параметры!W$40),IF(OR(Параметры!W$43=1,Параметры!W$43=4,Параметры!W$43=7,Параметры!W$43=10),0,IF(Параметры!W$36=1,0,V678))+W677)</f>
        <v>0</v>
      </c>
      <c r="X678" s="353">
        <f ca="1">IF(Параметры!$B$173&lt;=Параметры!$B$27,IF(AND(Параметры!$B$173=0,Параметры!X$36&gt;1),W678,X677*Параметры!$B$173/Параметры!X$40),IF(OR(Параметры!X$43=1,Параметры!X$43=4,Параметры!X$43=7,Параметры!X$43=10),0,IF(Параметры!X$36=1,0,W678))+X677)</f>
        <v>0</v>
      </c>
      <c r="Y678" s="353">
        <f ca="1">IF(Параметры!$B$173&lt;=Параметры!$B$27,IF(AND(Параметры!$B$173=0,Параметры!Y$36&gt;1),X678,Y677*Параметры!$B$173/Параметры!Y$40),IF(OR(Параметры!Y$43=1,Параметры!Y$43=4,Параметры!Y$43=7,Параметры!Y$43=10),0,IF(Параметры!Y$36=1,0,X678))+Y677)</f>
        <v>0</v>
      </c>
      <c r="Z678" s="353">
        <f ca="1">IF(Параметры!$B$173&lt;=Параметры!$B$27,IF(AND(Параметры!$B$173=0,Параметры!Z$36&gt;1),Y678,Z677*Параметры!$B$173/Параметры!Z$40),IF(OR(Параметры!Z$43=1,Параметры!Z$43=4,Параметры!Z$43=7,Параметры!Z$43=10),0,IF(Параметры!Z$36=1,0,Y678))+Z677)</f>
        <v>0</v>
      </c>
      <c r="AA678" s="353">
        <f ca="1">IF(Параметры!$B$173&lt;=Параметры!$B$27,IF(AND(Параметры!$B$173=0,Параметры!AA$36&gt;1),Z678,AA677*Параметры!$B$173/Параметры!AA$40),IF(OR(Параметры!AA$43=1,Параметры!AA$43=4,Параметры!AA$43=7,Параметры!AA$43=10),0,IF(Параметры!AA$36=1,0,Z678))+AA677)</f>
        <v>0</v>
      </c>
      <c r="AB678" s="353">
        <f ca="1">IF(Параметры!$B$173&lt;=Параметры!$B$27,IF(AND(Параметры!$B$173=0,Параметры!AB$36&gt;1),AA678,AB677*Параметры!$B$173/Параметры!AB$40),IF(OR(Параметры!AB$43=1,Параметры!AB$43=4,Параметры!AB$43=7,Параметры!AB$43=10),0,IF(Параметры!AB$36=1,0,AA678))+AB677)</f>
        <v>0</v>
      </c>
      <c r="AC678" s="353">
        <f ca="1">IF(Параметры!$B$173&lt;=Параметры!$B$27,IF(AND(Параметры!$B$173=0,Параметры!AC$36&gt;1),AB678,AC677*Параметры!$B$173/Параметры!AC$40),IF(OR(Параметры!AC$43=1,Параметры!AC$43=4,Параметры!AC$43=7,Параметры!AC$43=10),0,IF(Параметры!AC$36=1,0,AB678))+AC677)</f>
        <v>0</v>
      </c>
      <c r="AD678" s="353">
        <f ca="1">IF(Параметры!$B$173&lt;=Параметры!$B$27,IF(AND(Параметры!$B$173=0,Параметры!AD$36&gt;1),AC678,AD677*Параметры!$B$173/Параметры!AD$40),IF(OR(Параметры!AD$43=1,Параметры!AD$43=4,Параметры!AD$43=7,Параметры!AD$43=10),0,IF(Параметры!AD$36=1,0,AC678))+AD677)</f>
        <v>0</v>
      </c>
      <c r="AE678" s="353">
        <f ca="1">IF(Параметры!$B$173&lt;=Параметры!$B$27,IF(AND(Параметры!$B$173=0,Параметры!AE$36&gt;1),AD678,AE677*Параметры!$B$173/Параметры!AE$40),IF(OR(Параметры!AE$43=1,Параметры!AE$43=4,Параметры!AE$43=7,Параметры!AE$43=10),0,IF(Параметры!AE$36=1,0,AD678))+AE677)</f>
        <v>0</v>
      </c>
      <c r="AF678" s="353">
        <f ca="1">IF(Параметры!$B$173&lt;=Параметры!$B$27,IF(AND(Параметры!$B$173=0,Параметры!AF$36&gt;1),AE678,AF677*Параметры!$B$173/Параметры!AF$40),IF(OR(Параметры!AF$43=1,Параметры!AF$43=4,Параметры!AF$43=7,Параметры!AF$43=10),0,IF(Параметры!AF$36=1,0,AE678))+AF677)</f>
        <v>0</v>
      </c>
      <c r="AG678" s="353">
        <f ca="1">IF(Параметры!$B$173&lt;=Параметры!$B$27,IF(AND(Параметры!$B$173=0,Параметры!AG$36&gt;1),AF678,AG677*Параметры!$B$173/Параметры!AG$40),IF(OR(Параметры!AG$43=1,Параметры!AG$43=4,Параметры!AG$43=7,Параметры!AG$43=10),0,IF(Параметры!AG$36=1,0,AF678))+AG677)</f>
        <v>24974.693747648522</v>
      </c>
      <c r="AH678" s="353">
        <f ca="1">IF(Параметры!$B$173&lt;=Параметры!$B$27,IF(AND(Параметры!$B$173=0,Параметры!AH$36&gt;1),AG678,AH677*Параметры!$B$173/Параметры!AH$40),IF(OR(Параметры!AH$43=1,Параметры!AH$43=4,Параметры!AH$43=7,Параметры!AH$43=10),0,IF(Параметры!AH$36=1,0,AG678))+AH677)</f>
        <v>24582.215674530788</v>
      </c>
      <c r="AI678" s="353">
        <f ca="1">IF(Параметры!$B$173&lt;=Параметры!$B$27,IF(AND(Параметры!$B$173=0,Параметры!AI$36&gt;1),AH678,AI677*Параметры!$B$173/Параметры!AI$40),IF(OR(Параметры!AI$43=1,Параметры!AI$43=4,Параметры!AI$43=7,Параметры!AI$43=10),0,IF(Параметры!AI$36=1,0,AH678))+AI677)</f>
        <v>24189.737601413053</v>
      </c>
      <c r="AJ678" s="353">
        <f ca="1">IF(Параметры!$B$173&lt;=Параметры!$B$27,IF(AND(Параметры!$B$173=0,Параметры!AJ$36&gt;1),AI678,AJ677*Параметры!$B$173/Параметры!AJ$40),IF(OR(Параметры!AJ$43=1,Параметры!AJ$43=4,Параметры!AJ$43=7,Параметры!AJ$43=10),0,IF(Параметры!AJ$36=1,0,AI678))+AJ677)</f>
        <v>23797.259528295323</v>
      </c>
      <c r="AK678" s="353">
        <f ca="1">IF(Параметры!$B$173&lt;=Параметры!$B$27,IF(AND(Параметры!$B$173=0,Параметры!AK$36&gt;1),AJ678,AK677*Параметры!$B$173/Параметры!AK$40),IF(OR(Параметры!AK$43=1,Параметры!AK$43=4,Параметры!AK$43=7,Параметры!AK$43=10),0,IF(Параметры!AK$36=1,0,AJ678))+AK677)</f>
        <v>22819.75978071817</v>
      </c>
      <c r="AL678" s="353">
        <f ca="1">IF(Параметры!$B$173&lt;=Параметры!$B$27,IF(AND(Параметры!$B$173=0,Параметры!AL$36&gt;1),AK678,AL677*Параметры!$B$173/Параметры!AL$40),IF(OR(Параметры!AL$43=1,Параметры!AL$43=4,Параметры!AL$43=7,Параметры!AL$43=10),0,IF(Параметры!AL$36=1,0,AK678))+AL677)</f>
        <v>21852.100645843911</v>
      </c>
      <c r="AM678" s="353">
        <f ca="1">IF(Параметры!$B$173&lt;=Параметры!$B$27,IF(AND(Параметры!$B$173=0,Параметры!AM$36&gt;1),AL678,AM677*Параметры!$B$173/Параметры!AM$40),IF(OR(Параметры!AM$43=1,Параметры!AM$43=4,Параметры!AM$43=7,Параметры!AM$43=10),0,IF(Параметры!AM$36=1,0,AL678))+AM677)</f>
        <v>21479.303798131979</v>
      </c>
      <c r="AN678" s="353">
        <f ca="1">IF(Параметры!$B$173&lt;=Параметры!$B$27,IF(AND(Параметры!$B$173=0,Параметры!AN$36&gt;1),AM678,AN677*Параметры!$B$173/Параметры!AN$40),IF(OR(Параметры!AN$43=1,Параметры!AN$43=4,Параметры!AN$43=7,Параметры!AN$43=10),0,IF(Параметры!AN$36=1,0,AM678))+AN677)</f>
        <v>21106.506950420044</v>
      </c>
      <c r="AO678" s="353">
        <f ca="1">IF(Параметры!$B$173&lt;=Параметры!$B$27,IF(AND(Параметры!$B$173=0,Параметры!AO$36&gt;1),AN678,AO677*Параметры!$B$173/Параметры!AO$40),IF(OR(Параметры!AO$43=1,Параметры!AO$43=4,Параметры!AO$43=7,Параметры!AO$43=10),0,IF(Параметры!AO$36=1,0,AN678))+AO677)</f>
        <v>14545.595227507445</v>
      </c>
      <c r="AP678" s="353">
        <f ca="1">IF(Параметры!$B$173&lt;=Параметры!$B$27,IF(AND(Параметры!$B$173=0,Параметры!AP$36&gt;1),AO678,AP677*Параметры!$B$173/Параметры!AP$40),IF(OR(Параметры!AP$43=1,Параметры!AP$43=4,Параметры!AP$43=7,Параметры!AP$43=10),0,IF(Параметры!AP$36=1,0,AO678))+AP677)</f>
        <v>8102.9785035555424</v>
      </c>
      <c r="AQ678" s="353">
        <f ca="1">IF(Параметры!$B$173&lt;=Параметры!$B$27,IF(AND(Параметры!$B$173=0,Параметры!AQ$36&gt;1),AP678,AQ677*Параметры!$B$173/Параметры!AQ$40),IF(OR(Параметры!AQ$43=1,Параметры!AQ$43=4,Параметры!AQ$43=7,Параметры!AQ$43=10),0,IF(Параметры!AQ$36=1,0,AP678))+AQ677)</f>
        <v>7966.7716537649931</v>
      </c>
      <c r="AR678" s="353">
        <f ca="1">IF(Параметры!$B$173&lt;=Параметры!$B$27,IF(AND(Параметры!$B$173=0,Параметры!AR$36&gt;1),AQ678,AR677*Параметры!$B$173/Параметры!AR$40),IF(OR(Параметры!AR$43=1,Параметры!AR$43=4,Параметры!AR$43=7,Параметры!AR$43=10),0,IF(Параметры!AR$36=1,0,AQ678))+AR677)</f>
        <v>7830.5648039744447</v>
      </c>
      <c r="AS678" s="102"/>
      <c r="AT678" s="84">
        <f ca="1">SUM(E678:AS678)</f>
        <v>231044.51307205422</v>
      </c>
    </row>
    <row r="679" spans="1:46" outlineLevel="1" x14ac:dyDescent="0.2">
      <c r="A679" s="114" t="s">
        <v>220</v>
      </c>
      <c r="B679" s="153"/>
      <c r="C679" s="2" t="str">
        <f>Параметры!$B$64</f>
        <v>тыс. руб.</v>
      </c>
      <c r="D679" s="65"/>
      <c r="E679" s="115">
        <f ca="1">E677-IF(Параметры!E$36=1,E678,E678-D678)</f>
        <v>0</v>
      </c>
      <c r="F679" s="115">
        <f ca="1">F677-IF(Параметры!F$36=1,F678,F678-E678)</f>
        <v>0</v>
      </c>
      <c r="G679" s="115">
        <f ca="1">G677-IF(Параметры!G$36=1,G678,G678-F678)</f>
        <v>0</v>
      </c>
      <c r="H679" s="115">
        <f ca="1">H677-IF(Параметры!H$36=1,H678,H678-G678)</f>
        <v>2610.0211328124997</v>
      </c>
      <c r="I679" s="115">
        <f ca="1">I677-IF(Параметры!I$36=1,I678,I678-H678)</f>
        <v>5187.0040234375001</v>
      </c>
      <c r="J679" s="115">
        <f ca="1">J677-IF(Параметры!J$36=1,J678,J678-I678)</f>
        <v>0</v>
      </c>
      <c r="K679" s="115">
        <f ca="1">K677-IF(Параметры!K$36=1,K678,K678-J678)</f>
        <v>0</v>
      </c>
      <c r="L679" s="115">
        <f ca="1">L677-IF(Параметры!L$36=1,L678,L678-K678)</f>
        <v>0</v>
      </c>
      <c r="M679" s="115">
        <f ca="1">M677-IF(Параметры!M$36=1,M678,M678-L678)</f>
        <v>0</v>
      </c>
      <c r="N679" s="115">
        <f ca="1">N677-IF(Параметры!N$36=1,N678,N678-M678)</f>
        <v>0</v>
      </c>
      <c r="O679" s="115">
        <f ca="1">O677-IF(Параметры!O$36=1,O678,O678-N678)</f>
        <v>0</v>
      </c>
      <c r="P679" s="115">
        <f ca="1">P677-IF(Параметры!P$36=1,P678,P678-O678)</f>
        <v>0</v>
      </c>
      <c r="Q679" s="115">
        <f ca="1">Q677-IF(Параметры!Q$36=1,Q678,Q678-P678)</f>
        <v>0</v>
      </c>
      <c r="R679" s="115">
        <f ca="1">R677-IF(Параметры!R$36=1,R678,R678-Q678)</f>
        <v>0</v>
      </c>
      <c r="S679" s="115">
        <f ca="1">S677-IF(Параметры!S$36=1,S678,S678-R678)</f>
        <v>0</v>
      </c>
      <c r="T679" s="115">
        <f ca="1">T677-IF(Параметры!T$36=1,T678,T678-S678)</f>
        <v>0</v>
      </c>
      <c r="U679" s="115">
        <f ca="1">U677-IF(Параметры!U$36=1,U678,U678-T678)</f>
        <v>0</v>
      </c>
      <c r="V679" s="115">
        <f ca="1">V677-IF(Параметры!V$36=1,V678,V678-U678)</f>
        <v>0</v>
      </c>
      <c r="W679" s="115">
        <f ca="1">W677-IF(Параметры!W$36=1,W678,W678-V678)</f>
        <v>0</v>
      </c>
      <c r="X679" s="115">
        <f ca="1">X677-IF(Параметры!X$36=1,X678,X678-W678)</f>
        <v>0</v>
      </c>
      <c r="Y679" s="115">
        <f ca="1">Y677-IF(Параметры!Y$36=1,Y678,Y678-X678)</f>
        <v>0</v>
      </c>
      <c r="Z679" s="115">
        <f ca="1">Z677-IF(Параметры!Z$36=1,Z678,Z678-Y678)</f>
        <v>0</v>
      </c>
      <c r="AA679" s="115">
        <f ca="1">AA677-IF(Параметры!AA$36=1,AA678,AA678-Z678)</f>
        <v>0</v>
      </c>
      <c r="AB679" s="115">
        <f ca="1">AB677-IF(Параметры!AB$36=1,AB678,AB678-AA678)</f>
        <v>0</v>
      </c>
      <c r="AC679" s="115">
        <f ca="1">AC677-IF(Параметры!AC$36=1,AC678,AC678-AB678)</f>
        <v>0</v>
      </c>
      <c r="AD679" s="115">
        <f ca="1">AD677-IF(Параметры!AD$36=1,AD678,AD678-AC678)</f>
        <v>0</v>
      </c>
      <c r="AE679" s="115">
        <f ca="1">AE677-IF(Параметры!AE$36=1,AE678,AE678-AD678)</f>
        <v>0</v>
      </c>
      <c r="AF679" s="115">
        <f ca="1">AF677-IF(Параметры!AF$36=1,AF678,AF678-AE678)</f>
        <v>0</v>
      </c>
      <c r="AG679" s="115">
        <f ca="1">AG677-IF(Параметры!AG$36=1,AG678,AG678-AF678)</f>
        <v>0</v>
      </c>
      <c r="AH679" s="115">
        <f ca="1">AH677-IF(Параметры!AH$36=1,AH678,AH678-AG678)</f>
        <v>24974.693747648522</v>
      </c>
      <c r="AI679" s="115">
        <f ca="1">AI677-IF(Параметры!AI$36=1,AI678,AI678-AH678)</f>
        <v>24582.215674530784</v>
      </c>
      <c r="AJ679" s="115">
        <f ca="1">AJ677-IF(Параметры!AJ$36=1,AJ678,AJ678-AI678)</f>
        <v>24189.737601413053</v>
      </c>
      <c r="AK679" s="115">
        <f ca="1">AK677-IF(Параметры!AK$36=1,AK678,AK678-AJ678)</f>
        <v>23797.259528295319</v>
      </c>
      <c r="AL679" s="115">
        <f ca="1">AL677-IF(Параметры!AL$36=1,AL678,AL678-AK678)</f>
        <v>22819.75978071817</v>
      </c>
      <c r="AM679" s="115">
        <f ca="1">AM677-IF(Параметры!AM$36=1,AM678,AM678-AL678)</f>
        <v>21852.100645843911</v>
      </c>
      <c r="AN679" s="115">
        <f ca="1">AN677-IF(Параметры!AN$36=1,AN678,AN678-AM678)</f>
        <v>21479.303798131979</v>
      </c>
      <c r="AO679" s="115">
        <f ca="1">AO677-IF(Параметры!AO$36=1,AO678,AO678-AN678)</f>
        <v>21106.506950420044</v>
      </c>
      <c r="AP679" s="115">
        <f ca="1">AP677-IF(Параметры!AP$36=1,AP678,AP678-AO678)</f>
        <v>14545.595227507445</v>
      </c>
      <c r="AQ679" s="115">
        <f ca="1">AQ677-IF(Параметры!AQ$36=1,AQ678,AQ678-AP678)</f>
        <v>8102.9785035555415</v>
      </c>
      <c r="AR679" s="115">
        <f ca="1">AR677-IF(Параметры!AR$36=1,AR678,AR678-AQ678)</f>
        <v>7966.7716537649931</v>
      </c>
      <c r="AS679" s="41"/>
      <c r="AT679" s="84">
        <f ca="1">SUM(E679:AS679)</f>
        <v>223213.94826807978</v>
      </c>
    </row>
    <row r="680" spans="1:46" ht="22.5" outlineLevel="1" x14ac:dyDescent="0.2">
      <c r="A680" s="154" t="s">
        <v>302</v>
      </c>
      <c r="C680" s="266" t="str">
        <f>Параметры!$B$64</f>
        <v>тыс. руб.</v>
      </c>
      <c r="D680" s="65"/>
      <c r="E680" s="82">
        <f ca="1">(E492+IF(Параметры!E$36=1,Деятельность_УК!$B$27,D492))/2</f>
        <v>0</v>
      </c>
      <c r="F680" s="82">
        <f ca="1">(F492+IF(Параметры!F$36=1,Деятельность_УК!$B$27,E492))/2</f>
        <v>0</v>
      </c>
      <c r="G680" s="82">
        <f ca="1">(G492+IF(Параметры!G$36=1,Деятельность_УК!$B$27,F492))/2</f>
        <v>474549.296875</v>
      </c>
      <c r="H680" s="82">
        <f ca="1">(H492+IF(Параметры!H$36=1,Деятельность_УК!$B$27,G492))/2</f>
        <v>943091.640625</v>
      </c>
      <c r="I680" s="82">
        <f ca="1">(I492+IF(Параметры!I$36=1,Деятельность_УК!$B$27,H492))/2</f>
        <v>931077.734375</v>
      </c>
      <c r="J680" s="82">
        <f ca="1">(J492+IF(Параметры!J$36=1,Деятельность_УК!$B$27,I492))/2</f>
        <v>919063.828125</v>
      </c>
      <c r="K680" s="82">
        <f ca="1">(K492+IF(Параметры!K$36=1,Деятельность_УК!$B$27,J492))/2</f>
        <v>907049.921875</v>
      </c>
      <c r="L680" s="82">
        <f ca="1">(L492+IF(Параметры!L$36=1,Деятельность_УК!$B$27,K492))/2</f>
        <v>1017695.7245893716</v>
      </c>
      <c r="M680" s="82">
        <f ca="1">(M492+IF(Параметры!M$36=1,Деятельность_УК!$B$27,L492))/2</f>
        <v>1353762.7623210901</v>
      </c>
      <c r="N680" s="82">
        <f ca="1">(N492+IF(Параметры!N$36=1,Деятельность_УК!$B$27,M492))/2</f>
        <v>1562744.3493349487</v>
      </c>
      <c r="O680" s="82">
        <f ca="1">(O492+IF(Параметры!O$36=1,Деятельность_УК!$B$27,N492))/2</f>
        <v>1541878.9595779725</v>
      </c>
      <c r="P680" s="82">
        <f ca="1">(P492+IF(Параметры!P$36=1,Деятельность_УК!$B$27,O492))/2</f>
        <v>1675043.5047343704</v>
      </c>
      <c r="Q680" s="82">
        <f ca="1">(Q492+IF(Параметры!Q$36=1,Деятельность_УК!$B$27,P492))/2</f>
        <v>1947605.2863390252</v>
      </c>
      <c r="R680" s="82">
        <f ca="1">(R492+IF(Параметры!R$36=1,Деятельность_УК!$B$27,Q492))/2</f>
        <v>2062398.1847091261</v>
      </c>
      <c r="S680" s="82">
        <f ca="1">(S492+IF(Параметры!S$36=1,Деятельность_УК!$B$27,R492))/2</f>
        <v>2034054.8983097905</v>
      </c>
      <c r="T680" s="82">
        <f ca="1">(T492+IF(Параметры!T$36=1,Деятельность_УК!$B$27,S492))/2</f>
        <v>2005711.6119104545</v>
      </c>
      <c r="U680" s="82">
        <f ca="1">(U492+IF(Параметры!U$36=1,Деятельность_УК!$B$27,T492))/2</f>
        <v>3676514.6742192539</v>
      </c>
      <c r="V680" s="82">
        <f ca="1">(V492+IF(Параметры!V$36=1,Деятельность_УК!$B$27,U492))/2</f>
        <v>5325809.5548988357</v>
      </c>
      <c r="W680" s="82">
        <f ca="1">(W492+IF(Параметры!W$36=1,Деятельность_УК!$B$27,V492))/2</f>
        <v>5254449.9052410666</v>
      </c>
      <c r="X680" s="82">
        <f ca="1">(X492+IF(Параметры!X$36=1,Деятельность_УК!$B$27,W492))/2</f>
        <v>5183090.2555832956</v>
      </c>
      <c r="Y680" s="82">
        <f ca="1">(Y492+IF(Параметры!Y$36=1,Деятельность_УК!$B$27,X492))/2</f>
        <v>5111730.6059255265</v>
      </c>
      <c r="Z680" s="82">
        <f ca="1">(Z492+IF(Параметры!Z$36=1,Деятельность_УК!$B$27,Y492))/2</f>
        <v>5040370.9562677573</v>
      </c>
      <c r="AA680" s="82">
        <f ca="1">(AA492+IF(Параметры!AA$36=1,Деятельность_УК!$B$27,Z492))/2</f>
        <v>4969011.3066099863</v>
      </c>
      <c r="AB680" s="82">
        <f ca="1">(AB492+IF(Параметры!AB$36=1,Деятельность_УК!$B$27,AA492))/2</f>
        <v>4897651.6569522172</v>
      </c>
      <c r="AC680" s="82">
        <f ca="1">(AC492+IF(Параметры!AC$36=1,Деятельность_УК!$B$27,AB492))/2</f>
        <v>4826292.0072944472</v>
      </c>
      <c r="AD680" s="82">
        <f ca="1">(AD492+IF(Параметры!AD$36=1,Деятельность_УК!$B$27,AC492))/2</f>
        <v>4754932.3576366771</v>
      </c>
      <c r="AE680" s="82">
        <f ca="1">(AE492+IF(Параметры!AE$36=1,Деятельность_УК!$B$27,AD492))/2</f>
        <v>4683572.707978908</v>
      </c>
      <c r="AF680" s="82">
        <f ca="1">(AF492+IF(Параметры!AF$36=1,Деятельность_УК!$B$27,AE492))/2</f>
        <v>4612213.058321137</v>
      </c>
      <c r="AG680" s="82">
        <f ca="1">(AG492+IF(Параметры!AG$36=1,Деятельность_УК!$B$27,AF492))/2</f>
        <v>4540853.4086633679</v>
      </c>
      <c r="AH680" s="82">
        <f ca="1">(AH492+IF(Параметры!AH$36=1,Деятельность_УК!$B$27,AG492))/2</f>
        <v>4469493.7590055978</v>
      </c>
      <c r="AI680" s="82">
        <f ca="1">(AI492+IF(Параметры!AI$36=1,Деятельность_УК!$B$27,AH492))/2</f>
        <v>4398134.1093478277</v>
      </c>
      <c r="AJ680" s="82">
        <f ca="1">(AJ492+IF(Параметры!AJ$36=1,Деятельность_УК!$B$27,AI492))/2</f>
        <v>4326774.4596900586</v>
      </c>
      <c r="AK680" s="82">
        <f ca="1">(AK492+IF(Параметры!AK$36=1,Деятельность_УК!$B$27,AJ492))/2</f>
        <v>4149047.2328578485</v>
      </c>
      <c r="AL680" s="82">
        <f ca="1">(AL492+IF(Параметры!AL$36=1,Деятельность_УК!$B$27,AK492))/2</f>
        <v>3973109.2083352571</v>
      </c>
      <c r="AM680" s="82">
        <f ca="1">(AM492+IF(Параметры!AM$36=1,Деятельность_УК!$B$27,AL492))/2</f>
        <v>3905327.9632967236</v>
      </c>
      <c r="AN680" s="82">
        <f ca="1">(AN492+IF(Параметры!AN$36=1,Деятельность_УК!$B$27,AM492))/2</f>
        <v>3837546.71825819</v>
      </c>
      <c r="AO680" s="82">
        <f ca="1">(AO492+IF(Параметры!AO$36=1,Деятельность_УК!$B$27,AN492))/2</f>
        <v>2644653.6777286264</v>
      </c>
      <c r="AP680" s="82">
        <f ca="1">(AP492+IF(Параметры!AP$36=1,Деятельность_УК!$B$27,AO492))/2</f>
        <v>1473268.8188282805</v>
      </c>
      <c r="AQ680" s="82">
        <f ca="1">(AQ492+IF(Параметры!AQ$36=1,Деятельность_УК!$B$27,AP492))/2</f>
        <v>1448503.9370481805</v>
      </c>
      <c r="AR680" s="82">
        <f ca="1">(AR492+IF(Параметры!AR$36=1,Деятельность_УК!$B$27,AQ492))/2</f>
        <v>1423739.0552680809</v>
      </c>
    </row>
    <row r="681" spans="1:46" x14ac:dyDescent="0.2"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82"/>
      <c r="AN681" s="82"/>
      <c r="AO681" s="82"/>
      <c r="AP681" s="82"/>
      <c r="AQ681" s="82"/>
      <c r="AR681" s="82"/>
    </row>
    <row r="682" spans="1:46" collapsed="1" x14ac:dyDescent="0.2">
      <c r="A682" s="60" t="s">
        <v>205</v>
      </c>
      <c r="C682" s="266" t="str">
        <f>Параметры!$B$64</f>
        <v>тыс. руб.</v>
      </c>
      <c r="D682" s="65"/>
      <c r="E682" s="85">
        <f t="shared" ref="E682:AR682" si="479">E227+0</f>
        <v>318.62127600000002</v>
      </c>
      <c r="F682" s="85">
        <f t="shared" ca="1" si="479"/>
        <v>318.62127600000002</v>
      </c>
      <c r="G682" s="85">
        <f t="shared" ca="1" si="479"/>
        <v>318.62127600000002</v>
      </c>
      <c r="H682" s="85">
        <f t="shared" ca="1" si="479"/>
        <v>690.34609799999998</v>
      </c>
      <c r="I682" s="85">
        <f t="shared" ca="1" si="479"/>
        <v>690.34609799999998</v>
      </c>
      <c r="J682" s="85">
        <f t="shared" ca="1" si="479"/>
        <v>701.4055390937433</v>
      </c>
      <c r="K682" s="85">
        <f t="shared" ca="1" si="479"/>
        <v>1591.8477600859269</v>
      </c>
      <c r="L682" s="85">
        <f t="shared" ca="1" si="479"/>
        <v>1617.3493839581856</v>
      </c>
      <c r="M682" s="85">
        <f t="shared" ca="1" si="479"/>
        <v>1643.259547413455</v>
      </c>
      <c r="N682" s="85">
        <f t="shared" ca="1" si="479"/>
        <v>1670.9646883358785</v>
      </c>
      <c r="O682" s="85">
        <f t="shared" ca="1" si="479"/>
        <v>1699.1369343085898</v>
      </c>
      <c r="P682" s="85">
        <f t="shared" ca="1" si="479"/>
        <v>1966.9274671366713</v>
      </c>
      <c r="Q682" s="85">
        <f t="shared" ca="1" si="479"/>
        <v>2000.0896068284692</v>
      </c>
      <c r="R682" s="85">
        <f t="shared" ca="1" si="479"/>
        <v>2033.3857607597479</v>
      </c>
      <c r="S682" s="85">
        <f t="shared" ca="1" si="479"/>
        <v>2067.2362067901558</v>
      </c>
      <c r="T682" s="85">
        <f t="shared" ca="1" si="479"/>
        <v>2101.6501724037971</v>
      </c>
      <c r="U682" s="85">
        <f t="shared" ca="1" si="479"/>
        <v>2136.6370386977615</v>
      </c>
      <c r="V682" s="85">
        <f t="shared" ca="1" si="479"/>
        <v>2172.8787433524139</v>
      </c>
      <c r="W682" s="85">
        <f t="shared" ca="1" si="479"/>
        <v>2209.7351809413399</v>
      </c>
      <c r="X682" s="85">
        <f t="shared" ca="1" si="479"/>
        <v>2247.2167785839051</v>
      </c>
      <c r="Y682" s="85">
        <f t="shared" ca="1" si="479"/>
        <v>2285.3341402646033</v>
      </c>
      <c r="Z682" s="85">
        <f t="shared" ca="1" si="479"/>
        <v>2323.6218025496278</v>
      </c>
      <c r="AA682" s="85">
        <f t="shared" ca="1" si="479"/>
        <v>2362.5509224917296</v>
      </c>
      <c r="AB682" s="85">
        <f t="shared" ca="1" si="479"/>
        <v>2402.1322468406775</v>
      </c>
      <c r="AC682" s="85">
        <f t="shared" ca="1" si="479"/>
        <v>2442.376702393402</v>
      </c>
      <c r="AD682" s="85">
        <f t="shared" ca="1" si="479"/>
        <v>2482.8950324192365</v>
      </c>
      <c r="AE682" s="85">
        <f t="shared" ca="1" si="479"/>
        <v>2524.0855499362451</v>
      </c>
      <c r="AF682" s="85">
        <f t="shared" ca="1" si="479"/>
        <v>2565.9594063423988</v>
      </c>
      <c r="AG682" s="85">
        <f t="shared" ca="1" si="479"/>
        <v>2608.5279380341703</v>
      </c>
      <c r="AH682" s="85">
        <f t="shared" ca="1" si="479"/>
        <v>2651.6300370245035</v>
      </c>
      <c r="AI682" s="85">
        <f t="shared" ca="1" si="479"/>
        <v>2695.4443349950684</v>
      </c>
      <c r="AJ682" s="85">
        <f t="shared" ca="1" si="479"/>
        <v>2739.9825999896325</v>
      </c>
      <c r="AK682" s="85">
        <f t="shared" ca="1" si="479"/>
        <v>2785.2567945016322</v>
      </c>
      <c r="AL682" s="85">
        <f t="shared" ca="1" si="479"/>
        <v>2830.8970771819431</v>
      </c>
      <c r="AM682" s="85">
        <f t="shared" ca="1" si="479"/>
        <v>2877.2852389832206</v>
      </c>
      <c r="AN682" s="85">
        <f t="shared" ca="1" si="479"/>
        <v>2924.4335349386665</v>
      </c>
      <c r="AO682" s="85">
        <f t="shared" ca="1" si="479"/>
        <v>2972.3544208971416</v>
      </c>
      <c r="AP682" s="85">
        <f t="shared" ca="1" si="479"/>
        <v>3020.6708735406228</v>
      </c>
      <c r="AQ682" s="85">
        <f t="shared" ca="1" si="479"/>
        <v>3069.7727236386049</v>
      </c>
      <c r="AR682" s="85">
        <f t="shared" ca="1" si="479"/>
        <v>3119.6727380464317</v>
      </c>
      <c r="AT682" s="137">
        <f ca="1">SUM(E682:AS682)</f>
        <v>83881.160947699609</v>
      </c>
    </row>
    <row r="683" spans="1:46" outlineLevel="1" x14ac:dyDescent="0.2">
      <c r="A683" s="114" t="s">
        <v>221</v>
      </c>
      <c r="B683" s="9"/>
      <c r="C683" s="266" t="str">
        <f>Параметры!$B$64</f>
        <v>тыс. руб.</v>
      </c>
      <c r="D683" s="65"/>
      <c r="E683" s="102">
        <f t="shared" ref="E683:AR683" si="480">E230+0</f>
        <v>106.20709200000002</v>
      </c>
      <c r="F683" s="102">
        <f t="shared" ca="1" si="480"/>
        <v>106.20709200000002</v>
      </c>
      <c r="G683" s="102">
        <f t="shared" ca="1" si="480"/>
        <v>106.20709200000002</v>
      </c>
      <c r="H683" s="102">
        <f t="shared" ca="1" si="480"/>
        <v>230.11536599999999</v>
      </c>
      <c r="I683" s="102">
        <f t="shared" ca="1" si="480"/>
        <v>230.11536599999999</v>
      </c>
      <c r="J683" s="102">
        <f t="shared" ca="1" si="480"/>
        <v>233.80184636458111</v>
      </c>
      <c r="K683" s="102">
        <f t="shared" ca="1" si="480"/>
        <v>530.61592002864234</v>
      </c>
      <c r="L683" s="102">
        <f t="shared" ca="1" si="480"/>
        <v>539.11646131939517</v>
      </c>
      <c r="M683" s="102">
        <f t="shared" ca="1" si="480"/>
        <v>547.75318247115172</v>
      </c>
      <c r="N683" s="102">
        <f t="shared" ca="1" si="480"/>
        <v>556.98822944529275</v>
      </c>
      <c r="O683" s="102">
        <f t="shared" ca="1" si="480"/>
        <v>566.37897810286324</v>
      </c>
      <c r="P683" s="102">
        <f t="shared" ca="1" si="480"/>
        <v>655.64248904555711</v>
      </c>
      <c r="Q683" s="102">
        <f t="shared" ca="1" si="480"/>
        <v>666.69653560948973</v>
      </c>
      <c r="R683" s="102">
        <f t="shared" ca="1" si="480"/>
        <v>677.79525358658259</v>
      </c>
      <c r="S683" s="102">
        <f t="shared" ca="1" si="480"/>
        <v>689.07873559671862</v>
      </c>
      <c r="T683" s="102">
        <f t="shared" ca="1" si="480"/>
        <v>700.55005746793245</v>
      </c>
      <c r="U683" s="102">
        <f t="shared" ca="1" si="480"/>
        <v>712.21234623258715</v>
      </c>
      <c r="V683" s="102">
        <f t="shared" ca="1" si="480"/>
        <v>724.29291445080469</v>
      </c>
      <c r="W683" s="102">
        <f t="shared" ca="1" si="480"/>
        <v>736.57839364711333</v>
      </c>
      <c r="X683" s="102">
        <f t="shared" ca="1" si="480"/>
        <v>749.07225952796841</v>
      </c>
      <c r="Y683" s="102">
        <f t="shared" ca="1" si="480"/>
        <v>761.77804675486777</v>
      </c>
      <c r="Z683" s="102">
        <f t="shared" ca="1" si="480"/>
        <v>774.54060084987589</v>
      </c>
      <c r="AA683" s="102">
        <f t="shared" ca="1" si="480"/>
        <v>787.51697416390982</v>
      </c>
      <c r="AB683" s="102">
        <f t="shared" ca="1" si="480"/>
        <v>800.71074894689241</v>
      </c>
      <c r="AC683" s="102">
        <f t="shared" ca="1" si="480"/>
        <v>814.12556746446728</v>
      </c>
      <c r="AD683" s="102">
        <f t="shared" ca="1" si="480"/>
        <v>827.63167747307887</v>
      </c>
      <c r="AE683" s="102">
        <f t="shared" ca="1" si="480"/>
        <v>841.36184997874841</v>
      </c>
      <c r="AF683" s="102">
        <f t="shared" ca="1" si="480"/>
        <v>855.31980211413293</v>
      </c>
      <c r="AG683" s="102">
        <f t="shared" ca="1" si="480"/>
        <v>869.50931267805686</v>
      </c>
      <c r="AH683" s="102">
        <f t="shared" ca="1" si="480"/>
        <v>883.87667900816791</v>
      </c>
      <c r="AI683" s="102">
        <f t="shared" ca="1" si="480"/>
        <v>898.48144499835621</v>
      </c>
      <c r="AJ683" s="102">
        <f t="shared" ca="1" si="480"/>
        <v>913.3275333298775</v>
      </c>
      <c r="AK683" s="102">
        <f t="shared" ca="1" si="480"/>
        <v>928.41893150054398</v>
      </c>
      <c r="AL683" s="102">
        <f t="shared" ca="1" si="480"/>
        <v>943.63235906064767</v>
      </c>
      <c r="AM683" s="102">
        <f t="shared" ca="1" si="480"/>
        <v>959.09507966107356</v>
      </c>
      <c r="AN683" s="102">
        <f t="shared" ca="1" si="480"/>
        <v>974.81117831288884</v>
      </c>
      <c r="AO683" s="102">
        <f t="shared" ca="1" si="480"/>
        <v>990.78480696571387</v>
      </c>
      <c r="AP683" s="102">
        <f t="shared" ca="1" si="480"/>
        <v>1006.8902911802077</v>
      </c>
      <c r="AQ683" s="102">
        <f t="shared" ca="1" si="480"/>
        <v>1023.2575745462017</v>
      </c>
      <c r="AR683" s="102">
        <f t="shared" ca="1" si="480"/>
        <v>1039.8909126821441</v>
      </c>
      <c r="AS683" s="102"/>
      <c r="AT683" s="84">
        <f ca="1">SUM(E683:AS683)</f>
        <v>27960.386982566532</v>
      </c>
    </row>
    <row r="684" spans="1:46" outlineLevel="1" x14ac:dyDescent="0.2">
      <c r="A684" s="114" t="s">
        <v>222</v>
      </c>
      <c r="B684" s="153"/>
      <c r="C684" s="266" t="str">
        <f>Параметры!$B$64</f>
        <v>тыс. руб.</v>
      </c>
      <c r="D684" s="65"/>
      <c r="E684" s="115">
        <f t="shared" ref="E684:AR684" si="481">E233+0</f>
        <v>212.41418400000001</v>
      </c>
      <c r="F684" s="115">
        <f t="shared" ca="1" si="481"/>
        <v>318.62127600000002</v>
      </c>
      <c r="G684" s="115">
        <f t="shared" ca="1" si="481"/>
        <v>318.62127600000002</v>
      </c>
      <c r="H684" s="115">
        <f t="shared" ca="1" si="481"/>
        <v>566.43782399999998</v>
      </c>
      <c r="I684" s="115">
        <f t="shared" ca="1" si="481"/>
        <v>690.34609799999998</v>
      </c>
      <c r="J684" s="115">
        <f t="shared" ca="1" si="481"/>
        <v>697.71905872916216</v>
      </c>
      <c r="K684" s="115">
        <f t="shared" ca="1" si="481"/>
        <v>1295.0336864218657</v>
      </c>
      <c r="L684" s="115">
        <f t="shared" ca="1" si="481"/>
        <v>1608.8488426674328</v>
      </c>
      <c r="M684" s="115">
        <f t="shared" ca="1" si="481"/>
        <v>1634.6228262616985</v>
      </c>
      <c r="N684" s="115">
        <f t="shared" ca="1" si="481"/>
        <v>1661.7296413617373</v>
      </c>
      <c r="O684" s="115">
        <f t="shared" ca="1" si="481"/>
        <v>1689.7461856510195</v>
      </c>
      <c r="P684" s="115">
        <f t="shared" ca="1" si="481"/>
        <v>1877.6639561939774</v>
      </c>
      <c r="Q684" s="115">
        <f t="shared" ca="1" si="481"/>
        <v>1989.0355602645366</v>
      </c>
      <c r="R684" s="115">
        <f t="shared" ca="1" si="481"/>
        <v>2022.2870427826551</v>
      </c>
      <c r="S684" s="115">
        <f t="shared" ca="1" si="481"/>
        <v>2055.9527247800197</v>
      </c>
      <c r="T684" s="115">
        <f t="shared" ca="1" si="481"/>
        <v>2090.1788505325831</v>
      </c>
      <c r="U684" s="115">
        <f t="shared" ca="1" si="481"/>
        <v>2124.974749933107</v>
      </c>
      <c r="V684" s="115">
        <f t="shared" ca="1" si="481"/>
        <v>2160.7981751341963</v>
      </c>
      <c r="W684" s="115">
        <f t="shared" ca="1" si="481"/>
        <v>2197.4497017450312</v>
      </c>
      <c r="X684" s="115">
        <f t="shared" ca="1" si="481"/>
        <v>2234.72291270305</v>
      </c>
      <c r="Y684" s="115">
        <f t="shared" ca="1" si="481"/>
        <v>2272.6283530377041</v>
      </c>
      <c r="Z684" s="115">
        <f t="shared" ca="1" si="481"/>
        <v>2310.8592484546198</v>
      </c>
      <c r="AA684" s="115">
        <f t="shared" ca="1" si="481"/>
        <v>2349.5745491776956</v>
      </c>
      <c r="AB684" s="115">
        <f t="shared" ca="1" si="481"/>
        <v>2388.938472057695</v>
      </c>
      <c r="AC684" s="115">
        <f t="shared" ca="1" si="481"/>
        <v>2428.961883875827</v>
      </c>
      <c r="AD684" s="115">
        <f t="shared" ca="1" si="481"/>
        <v>2469.3889224106251</v>
      </c>
      <c r="AE684" s="115">
        <f t="shared" ca="1" si="481"/>
        <v>2510.3553774305756</v>
      </c>
      <c r="AF684" s="115">
        <f t="shared" ca="1" si="481"/>
        <v>2552.0014542070144</v>
      </c>
      <c r="AG684" s="115">
        <f t="shared" ca="1" si="481"/>
        <v>2594.3384274702466</v>
      </c>
      <c r="AH684" s="115">
        <f t="shared" ca="1" si="481"/>
        <v>2637.2626706943925</v>
      </c>
      <c r="AI684" s="115">
        <f t="shared" ca="1" si="481"/>
        <v>2680.8395690048801</v>
      </c>
      <c r="AJ684" s="115">
        <f t="shared" ca="1" si="481"/>
        <v>2725.136511658111</v>
      </c>
      <c r="AK684" s="115">
        <f t="shared" ca="1" si="481"/>
        <v>2770.1653963309655</v>
      </c>
      <c r="AL684" s="115">
        <f t="shared" ca="1" si="481"/>
        <v>2815.6836496218393</v>
      </c>
      <c r="AM684" s="115">
        <f t="shared" ca="1" si="481"/>
        <v>2861.8225183827944</v>
      </c>
      <c r="AN684" s="115">
        <f t="shared" ca="1" si="481"/>
        <v>2908.7174362868514</v>
      </c>
      <c r="AO684" s="115">
        <f t="shared" ca="1" si="481"/>
        <v>2956.3807922443166</v>
      </c>
      <c r="AP684" s="115">
        <f t="shared" ca="1" si="481"/>
        <v>3004.5653893261288</v>
      </c>
      <c r="AQ684" s="115">
        <f t="shared" ca="1" si="481"/>
        <v>3053.405440272611</v>
      </c>
      <c r="AR684" s="115">
        <f t="shared" ca="1" si="481"/>
        <v>3103.0393999104895</v>
      </c>
      <c r="AS684" s="41"/>
      <c r="AT684" s="84">
        <f ca="1">SUM(E684:AS684)</f>
        <v>82841.270035017471</v>
      </c>
    </row>
    <row r="685" spans="1:46" x14ac:dyDescent="0.2"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82"/>
      <c r="AN685" s="82"/>
      <c r="AO685" s="82"/>
      <c r="AP685" s="82"/>
      <c r="AQ685" s="82"/>
      <c r="AR685" s="82"/>
    </row>
    <row r="686" spans="1:46" collapsed="1" x14ac:dyDescent="0.2">
      <c r="A686" s="60" t="s">
        <v>216</v>
      </c>
      <c r="C686" s="266" t="str">
        <f>Параметры!$B$64</f>
        <v>тыс. руб.</v>
      </c>
      <c r="D686" s="65"/>
      <c r="E686" s="85">
        <f ca="1">E696*IF(Параметры!$B$132,Параметры!E153,Параметры!E$146)*CHOOSE(1,1,0,0)</f>
        <v>0</v>
      </c>
      <c r="F686" s="85">
        <f ca="1">F696*IF(Параметры!$B$132,Параметры!F153,Параметры!F$146)*CHOOSE(1,1,0,0)</f>
        <v>0</v>
      </c>
      <c r="G686" s="85">
        <f ca="1">G696*IF(Параметры!$B$132,Параметры!G153,Параметры!G$146)*CHOOSE(1,1,0,0)</f>
        <v>0</v>
      </c>
      <c r="H686" s="85">
        <f ca="1">H696*IF(Параметры!$B$132,Параметры!H153,Параметры!H$146)*CHOOSE(1,1,0,0)</f>
        <v>0</v>
      </c>
      <c r="I686" s="85">
        <f ca="1">I696*IF(Параметры!$B$132,Параметры!I153,Параметры!I$146)*CHOOSE(1,1,0,0)</f>
        <v>0</v>
      </c>
      <c r="J686" s="85">
        <f ca="1">J696*IF(Параметры!$B$132,Параметры!J153,Параметры!J$146)*CHOOSE(1,1,0,0)</f>
        <v>0</v>
      </c>
      <c r="K686" s="85">
        <f ca="1">K696*IF(Параметры!$B$132,Параметры!K153,Параметры!K$146)*CHOOSE(1,1,0,0)</f>
        <v>0</v>
      </c>
      <c r="L686" s="85">
        <f ca="1">L696*IF(Параметры!$B$132,Параметры!L153,Параметры!L$146)*CHOOSE(1,1,0,0)</f>
        <v>0</v>
      </c>
      <c r="M686" s="85">
        <f ca="1">M696*IF(Параметры!$B$132,Параметры!M153,Параметры!M$146)*CHOOSE(1,1,0,0)</f>
        <v>0</v>
      </c>
      <c r="N686" s="85">
        <f ca="1">N696*IF(Параметры!$B$132,Параметры!N153,Параметры!N$146)*CHOOSE(1,1,0,0)</f>
        <v>0</v>
      </c>
      <c r="O686" s="85">
        <f ca="1">O696*IF(Параметры!$B$132,Параметры!O153,Параметры!O$146)*CHOOSE(1,1,0,0)</f>
        <v>0</v>
      </c>
      <c r="P686" s="85">
        <f ca="1">P696*IF(Параметры!$B$132,Параметры!P153,Параметры!P$146)*CHOOSE(1,1,0,0)</f>
        <v>0</v>
      </c>
      <c r="Q686" s="85">
        <f ca="1">Q696*IF(Параметры!$B$132,Параметры!Q153,Параметры!Q$146)*CHOOSE(1,1,0,0)</f>
        <v>0</v>
      </c>
      <c r="R686" s="85">
        <f ca="1">R696*IF(Параметры!$B$132,Параметры!R153,Параметры!R$146)*CHOOSE(1,1,0,0)</f>
        <v>0</v>
      </c>
      <c r="S686" s="85">
        <f ca="1">S696*IF(Параметры!$B$132,Параметры!S153,Параметры!S$146)*CHOOSE(1,1,0,0)</f>
        <v>0</v>
      </c>
      <c r="T686" s="85">
        <f ca="1">T696*IF(Параметры!$B$132,Параметры!T153,Параметры!T$146)*CHOOSE(1,1,0,0)</f>
        <v>0</v>
      </c>
      <c r="U686" s="85">
        <f ca="1">U696*IF(Параметры!$B$132,Параметры!U153,Параметры!U$146)*CHOOSE(1,1,0,0)</f>
        <v>0</v>
      </c>
      <c r="V686" s="85">
        <f ca="1">V696*IF(Параметры!$B$132,Параметры!V153,Параметры!V$146)*CHOOSE(1,1,0,0)</f>
        <v>0</v>
      </c>
      <c r="W686" s="85">
        <f ca="1">W696*IF(Параметры!$B$132,Параметры!W153,Параметры!W$146)*CHOOSE(1,1,0,0)</f>
        <v>0</v>
      </c>
      <c r="X686" s="85">
        <f ca="1">X696*IF(Параметры!$B$132,Параметры!X153,Параметры!X$146)*CHOOSE(1,1,0,0)</f>
        <v>0</v>
      </c>
      <c r="Y686" s="85">
        <f ca="1">Y696*IF(Параметры!$B$132,Параметры!Y153,Параметры!Y$146)*CHOOSE(1,1,0,0)</f>
        <v>0</v>
      </c>
      <c r="Z686" s="85">
        <f ca="1">Z696*IF(Параметры!$B$132,Параметры!Z153,Параметры!Z$146)*CHOOSE(1,1,0,0)</f>
        <v>0</v>
      </c>
      <c r="AA686" s="85">
        <f ca="1">AA696*IF(Параметры!$B$132,Параметры!AA153,Параметры!AA$146)*CHOOSE(1,1,0,0)</f>
        <v>0</v>
      </c>
      <c r="AB686" s="85">
        <f ca="1">AB696*IF(Параметры!$B$132,Параметры!AB153,Параметры!AB$146)*CHOOSE(1,1,0,0)</f>
        <v>0</v>
      </c>
      <c r="AC686" s="85">
        <f ca="1">AC696*IF(Параметры!$B$132,Параметры!AC153,Параметры!AC$146)*CHOOSE(1,1,0,0)</f>
        <v>8224.7338109090142</v>
      </c>
      <c r="AD686" s="85">
        <f ca="1">AD696*IF(Параметры!$B$132,Параметры!AD153,Параметры!AD$146)*CHOOSE(1,1,0,0)</f>
        <v>14920.652587709481</v>
      </c>
      <c r="AE686" s="85">
        <f ca="1">AE696*IF(Параметры!$B$132,Параметры!AE153,Параметры!AE$146)*CHOOSE(1,1,0,0)</f>
        <v>15999.227239058982</v>
      </c>
      <c r="AF686" s="85">
        <f ca="1">AF696*IF(Параметры!$B$132,Параметры!AF153,Параметры!AF$146)*CHOOSE(1,1,0,0)</f>
        <v>17097.367955913538</v>
      </c>
      <c r="AG686" s="85">
        <f ca="1">AG696*IF(Параметры!$B$132,Параметры!AG153,Параметры!AG$146)*CHOOSE(1,1,0,0)</f>
        <v>19100.304007260733</v>
      </c>
      <c r="AH686" s="85">
        <f ca="1">AH696*IF(Параметры!$B$132,Параметры!AH153,Параметры!AH$146)*CHOOSE(1,1,0,0)</f>
        <v>20568.315858738686</v>
      </c>
      <c r="AI686" s="85">
        <f ca="1">AI696*IF(Параметры!$B$132,Параметры!AI153,Параметры!AI$146)*CHOOSE(1,1,0,0)</f>
        <v>22061.318507601503</v>
      </c>
      <c r="AJ686" s="85">
        <f ca="1">AJ696*IF(Параметры!$B$132,Параметры!AJ153,Параметры!AJ$146)*CHOOSE(1,1,0,0)</f>
        <v>23579.802925847871</v>
      </c>
      <c r="AK686" s="85">
        <f ca="1">AK696*IF(Параметры!$B$132,Параметры!AK153,Параметры!AK$146)*CHOOSE(1,1,0,0)</f>
        <v>62586.987475456073</v>
      </c>
      <c r="AL686" s="85">
        <f ca="1">AL696*IF(Параметры!$B$132,Параметры!AL153,Параметры!AL$146)*CHOOSE(1,1,0,0)</f>
        <v>25628.14272258036</v>
      </c>
      <c r="AM686" s="85">
        <f ca="1">AM696*IF(Параметры!$B$132,Параметры!AM153,Параметры!AM$146)*CHOOSE(1,1,0,0)</f>
        <v>27093.749052001149</v>
      </c>
      <c r="AN686" s="85">
        <f ca="1">AN696*IF(Параметры!$B$132,Параметры!AN153,Параметры!AN$146)*CHOOSE(1,1,0,0)</f>
        <v>28493.76544653071</v>
      </c>
      <c r="AO686" s="85">
        <f ca="1">AO696*IF(Параметры!$B$132,Параметры!AO153,Параметры!AO$146)*CHOOSE(1,1,0,0)</f>
        <v>828246.7406285418</v>
      </c>
      <c r="AP686" s="85">
        <f ca="1">AP696*IF(Параметры!$B$132,Параметры!AP153,Параметры!AP$146)*CHOOSE(1,1,0,0)</f>
        <v>13021.59232487629</v>
      </c>
      <c r="AQ686" s="85">
        <f ca="1">AQ696*IF(Параметры!$B$132,Параметры!AQ153,Параметры!AQ$146)*CHOOSE(1,1,0,0)</f>
        <v>14694.855315801791</v>
      </c>
      <c r="AR686" s="85">
        <f ca="1">AR696*IF(Параметры!$B$132,Параметры!AR153,Параметры!AR$146)*CHOOSE(1,1,0,0)</f>
        <v>14920.215252959204</v>
      </c>
      <c r="AT686" s="137">
        <f ca="1">SUM(E686:AS686)</f>
        <v>1156237.7711117871</v>
      </c>
    </row>
    <row r="687" spans="1:46" ht="11.25" customHeight="1" outlineLevel="1" x14ac:dyDescent="0.2">
      <c r="A687" s="302" t="s">
        <v>219</v>
      </c>
      <c r="B687" s="9"/>
      <c r="C687" s="2" t="str">
        <f>Параметры!$B$64</f>
        <v>тыс. руб.</v>
      </c>
      <c r="D687" s="65"/>
      <c r="E687" s="353">
        <f ca="1">IF(Параметры!$B$147&lt;=Параметры!$B$27,IF(AND(Параметры!$B$147=0,Параметры!E$36&gt;1),D687,E686*Параметры!$B$147/Параметры!E$40),IF(OR(Параметры!E$43=1,Параметры!E$43=4,Параметры!E$43=7,Параметры!E$43=10),0,IF(Параметры!E$36=1,0,D687))+E686)</f>
        <v>0</v>
      </c>
      <c r="F687" s="353">
        <f ca="1">IF(Параметры!$B$147&lt;=Параметры!$B$27,IF(AND(Параметры!$B$147=0,Параметры!F$36&gt;1),E687,F686*Параметры!$B$147/Параметры!F$40),IF(OR(Параметры!F$43=1,Параметры!F$43=4,Параметры!F$43=7,Параметры!F$43=10),0,IF(Параметры!F$36=1,0,E687))+F686)</f>
        <v>0</v>
      </c>
      <c r="G687" s="353">
        <f ca="1">IF(Параметры!$B$147&lt;=Параметры!$B$27,IF(AND(Параметры!$B$147=0,Параметры!G$36&gt;1),F687,G686*Параметры!$B$147/Параметры!G$40),IF(OR(Параметры!G$43=1,Параметры!G$43=4,Параметры!G$43=7,Параметры!G$43=10),0,IF(Параметры!G$36=1,0,F687))+G686)</f>
        <v>0</v>
      </c>
      <c r="H687" s="353">
        <f ca="1">IF(Параметры!$B$147&lt;=Параметры!$B$27,IF(AND(Параметры!$B$147=0,Параметры!H$36&gt;1),G687,H686*Параметры!$B$147/Параметры!H$40),IF(OR(Параметры!H$43=1,Параметры!H$43=4,Параметры!H$43=7,Параметры!H$43=10),0,IF(Параметры!H$36=1,0,G687))+H686)</f>
        <v>0</v>
      </c>
      <c r="I687" s="353">
        <f ca="1">IF(Параметры!$B$147&lt;=Параметры!$B$27,IF(AND(Параметры!$B$147=0,Параметры!I$36&gt;1),H687,I686*Параметры!$B$147/Параметры!I$40),IF(OR(Параметры!I$43=1,Параметры!I$43=4,Параметры!I$43=7,Параметры!I$43=10),0,IF(Параметры!I$36=1,0,H687))+I686)</f>
        <v>0</v>
      </c>
      <c r="J687" s="353">
        <f ca="1">IF(Параметры!$B$147&lt;=Параметры!$B$27,IF(AND(Параметры!$B$147=0,Параметры!J$36&gt;1),I687,J686*Параметры!$B$147/Параметры!J$40),IF(OR(Параметры!J$43=1,Параметры!J$43=4,Параметры!J$43=7,Параметры!J$43=10),0,IF(Параметры!J$36=1,0,I687))+J686)</f>
        <v>0</v>
      </c>
      <c r="K687" s="353">
        <f ca="1">IF(Параметры!$B$147&lt;=Параметры!$B$27,IF(AND(Параметры!$B$147=0,Параметры!K$36&gt;1),J687,K686*Параметры!$B$147/Параметры!K$40),IF(OR(Параметры!K$43=1,Параметры!K$43=4,Параметры!K$43=7,Параметры!K$43=10),0,IF(Параметры!K$36=1,0,J687))+K686)</f>
        <v>0</v>
      </c>
      <c r="L687" s="353">
        <f ca="1">IF(Параметры!$B$147&lt;=Параметры!$B$27,IF(AND(Параметры!$B$147=0,Параметры!L$36&gt;1),K687,L686*Параметры!$B$147/Параметры!L$40),IF(OR(Параметры!L$43=1,Параметры!L$43=4,Параметры!L$43=7,Параметры!L$43=10),0,IF(Параметры!L$36=1,0,K687))+L686)</f>
        <v>0</v>
      </c>
      <c r="M687" s="353">
        <f ca="1">IF(Параметры!$B$147&lt;=Параметры!$B$27,IF(AND(Параметры!$B$147=0,Параметры!M$36&gt;1),L687,M686*Параметры!$B$147/Параметры!M$40),IF(OR(Параметры!M$43=1,Параметры!M$43=4,Параметры!M$43=7,Параметры!M$43=10),0,IF(Параметры!M$36=1,0,L687))+M686)</f>
        <v>0</v>
      </c>
      <c r="N687" s="353">
        <f ca="1">IF(Параметры!$B$147&lt;=Параметры!$B$27,IF(AND(Параметры!$B$147=0,Параметры!N$36&gt;1),M687,N686*Параметры!$B$147/Параметры!N$40),IF(OR(Параметры!N$43=1,Параметры!N$43=4,Параметры!N$43=7,Параметры!N$43=10),0,IF(Параметры!N$36=1,0,M687))+N686)</f>
        <v>0</v>
      </c>
      <c r="O687" s="353">
        <f ca="1">IF(Параметры!$B$147&lt;=Параметры!$B$27,IF(AND(Параметры!$B$147=0,Параметры!O$36&gt;1),N687,O686*Параметры!$B$147/Параметры!O$40),IF(OR(Параметры!O$43=1,Параметры!O$43=4,Параметры!O$43=7,Параметры!O$43=10),0,IF(Параметры!O$36=1,0,N687))+O686)</f>
        <v>0</v>
      </c>
      <c r="P687" s="353">
        <f ca="1">IF(Параметры!$B$147&lt;=Параметры!$B$27,IF(AND(Параметры!$B$147=0,Параметры!P$36&gt;1),O687,P686*Параметры!$B$147/Параметры!P$40),IF(OR(Параметры!P$43=1,Параметры!P$43=4,Параметры!P$43=7,Параметры!P$43=10),0,IF(Параметры!P$36=1,0,O687))+P686)</f>
        <v>0</v>
      </c>
      <c r="Q687" s="353">
        <f ca="1">IF(Параметры!$B$147&lt;=Параметры!$B$27,IF(AND(Параметры!$B$147=0,Параметры!Q$36&gt;1),P687,Q686*Параметры!$B$147/Параметры!Q$40),IF(OR(Параметры!Q$43=1,Параметры!Q$43=4,Параметры!Q$43=7,Параметры!Q$43=10),0,IF(Параметры!Q$36=1,0,P687))+Q686)</f>
        <v>0</v>
      </c>
      <c r="R687" s="353">
        <f ca="1">IF(Параметры!$B$147&lt;=Параметры!$B$27,IF(AND(Параметры!$B$147=0,Параметры!R$36&gt;1),Q687,R686*Параметры!$B$147/Параметры!R$40),IF(OR(Параметры!R$43=1,Параметры!R$43=4,Параметры!R$43=7,Параметры!R$43=10),0,IF(Параметры!R$36=1,0,Q687))+R686)</f>
        <v>0</v>
      </c>
      <c r="S687" s="353">
        <f ca="1">IF(Параметры!$B$147&lt;=Параметры!$B$27,IF(AND(Параметры!$B$147=0,Параметры!S$36&gt;1),R687,S686*Параметры!$B$147/Параметры!S$40),IF(OR(Параметры!S$43=1,Параметры!S$43=4,Параметры!S$43=7,Параметры!S$43=10),0,IF(Параметры!S$36=1,0,R687))+S686)</f>
        <v>0</v>
      </c>
      <c r="T687" s="353">
        <f ca="1">IF(Параметры!$B$147&lt;=Параметры!$B$27,IF(AND(Параметры!$B$147=0,Параметры!T$36&gt;1),S687,T686*Параметры!$B$147/Параметры!T$40),IF(OR(Параметры!T$43=1,Параметры!T$43=4,Параметры!T$43=7,Параметры!T$43=10),0,IF(Параметры!T$36=1,0,S687))+T686)</f>
        <v>0</v>
      </c>
      <c r="U687" s="353">
        <f ca="1">IF(Параметры!$B$147&lt;=Параметры!$B$27,IF(AND(Параметры!$B$147=0,Параметры!U$36&gt;1),T687,U686*Параметры!$B$147/Параметры!U$40),IF(OR(Параметры!U$43=1,Параметры!U$43=4,Параметры!U$43=7,Параметры!U$43=10),0,IF(Параметры!U$36=1,0,T687))+U686)</f>
        <v>0</v>
      </c>
      <c r="V687" s="353">
        <f ca="1">IF(Параметры!$B$147&lt;=Параметры!$B$27,IF(AND(Параметры!$B$147=0,Параметры!V$36&gt;1),U687,V686*Параметры!$B$147/Параметры!V$40),IF(OR(Параметры!V$43=1,Параметры!V$43=4,Параметры!V$43=7,Параметры!V$43=10),0,IF(Параметры!V$36=1,0,U687))+V686)</f>
        <v>0</v>
      </c>
      <c r="W687" s="353">
        <f ca="1">IF(Параметры!$B$147&lt;=Параметры!$B$27,IF(AND(Параметры!$B$147=0,Параметры!W$36&gt;1),V687,W686*Параметры!$B$147/Параметры!W$40),IF(OR(Параметры!W$43=1,Параметры!W$43=4,Параметры!W$43=7,Параметры!W$43=10),0,IF(Параметры!W$36=1,0,V687))+W686)</f>
        <v>0</v>
      </c>
      <c r="X687" s="353">
        <f ca="1">IF(Параметры!$B$147&lt;=Параметры!$B$27,IF(AND(Параметры!$B$147=0,Параметры!X$36&gt;1),W687,X686*Параметры!$B$147/Параметры!X$40),IF(OR(Параметры!X$43=1,Параметры!X$43=4,Параметры!X$43=7,Параметры!X$43=10),0,IF(Параметры!X$36=1,0,W687))+X686)</f>
        <v>0</v>
      </c>
      <c r="Y687" s="353">
        <f ca="1">IF(Параметры!$B$147&lt;=Параметры!$B$27,IF(AND(Параметры!$B$147=0,Параметры!Y$36&gt;1),X687,Y686*Параметры!$B$147/Параметры!Y$40),IF(OR(Параметры!Y$43=1,Параметры!Y$43=4,Параметры!Y$43=7,Параметры!Y$43=10),0,IF(Параметры!Y$36=1,0,X687))+Y686)</f>
        <v>0</v>
      </c>
      <c r="Z687" s="353">
        <f ca="1">IF(Параметры!$B$147&lt;=Параметры!$B$27,IF(AND(Параметры!$B$147=0,Параметры!Z$36&gt;1),Y687,Z686*Параметры!$B$147/Параметры!Z$40),IF(OR(Параметры!Z$43=1,Параметры!Z$43=4,Параметры!Z$43=7,Параметры!Z$43=10),0,IF(Параметры!Z$36=1,0,Y687))+Z686)</f>
        <v>0</v>
      </c>
      <c r="AA687" s="353">
        <f ca="1">IF(Параметры!$B$147&lt;=Параметры!$B$27,IF(AND(Параметры!$B$147=0,Параметры!AA$36&gt;1),Z687,AA686*Параметры!$B$147/Параметры!AA$40),IF(OR(Параметры!AA$43=1,Параметры!AA$43=4,Параметры!AA$43=7,Параметры!AA$43=10),0,IF(Параметры!AA$36=1,0,Z687))+AA686)</f>
        <v>0</v>
      </c>
      <c r="AB687" s="353">
        <f ca="1">IF(Параметры!$B$147&lt;=Параметры!$B$27,IF(AND(Параметры!$B$147=0,Параметры!AB$36&gt;1),AA687,AB686*Параметры!$B$147/Параметры!AB$40),IF(OR(Параметры!AB$43=1,Параметры!AB$43=4,Параметры!AB$43=7,Параметры!AB$43=10),0,IF(Параметры!AB$36=1,0,AA687))+AB686)</f>
        <v>0</v>
      </c>
      <c r="AC687" s="353">
        <f ca="1">IF(Параметры!$B$147&lt;=Параметры!$B$27,IF(AND(Параметры!$B$147=0,Параметры!AC$36&gt;1),AB687,AC686*Параметры!$B$147/Параметры!AC$40),IF(OR(Параметры!AC$43=1,Параметры!AC$43=4,Параметры!AC$43=7,Параметры!AC$43=10),0,IF(Параметры!AC$36=1,0,AB687))+AC686)</f>
        <v>8224.7338109090142</v>
      </c>
      <c r="AD687" s="353">
        <f ca="1">IF(Параметры!$B$147&lt;=Параметры!$B$27,IF(AND(Параметры!$B$147=0,Параметры!AD$36&gt;1),AC687,AD686*Параметры!$B$147/Параметры!AD$40),IF(OR(Параметры!AD$43=1,Параметры!AD$43=4,Параметры!AD$43=7,Параметры!AD$43=10),0,IF(Параметры!AD$36=1,0,AC687))+AD686)</f>
        <v>14920.652587709481</v>
      </c>
      <c r="AE687" s="353">
        <f ca="1">IF(Параметры!$B$147&lt;=Параметры!$B$27,IF(AND(Параметры!$B$147=0,Параметры!AE$36&gt;1),AD687,AE686*Параметры!$B$147/Параметры!AE$40),IF(OR(Параметры!AE$43=1,Параметры!AE$43=4,Параметры!AE$43=7,Параметры!AE$43=10),0,IF(Параметры!AE$36=1,0,AD687))+AE686)</f>
        <v>15999.227239058984</v>
      </c>
      <c r="AF687" s="353">
        <f ca="1">IF(Параметры!$B$147&lt;=Параметры!$B$27,IF(AND(Параметры!$B$147=0,Параметры!AF$36&gt;1),AE687,AF686*Параметры!$B$147/Параметры!AF$40),IF(OR(Параметры!AF$43=1,Параметры!AF$43=4,Параметры!AF$43=7,Параметры!AF$43=10),0,IF(Параметры!AF$36=1,0,AE687))+AF686)</f>
        <v>17097.367955913538</v>
      </c>
      <c r="AG687" s="353">
        <f ca="1">IF(Параметры!$B$147&lt;=Параметры!$B$27,IF(AND(Параметры!$B$147=0,Параметры!AG$36&gt;1),AF687,AG686*Параметры!$B$147/Параметры!AG$40),IF(OR(Параметры!AG$43=1,Параметры!AG$43=4,Параметры!AG$43=7,Параметры!AG$43=10),0,IF(Параметры!AG$36=1,0,AF687))+AG686)</f>
        <v>19100.304007260733</v>
      </c>
      <c r="AH687" s="353">
        <f ca="1">IF(Параметры!$B$147&lt;=Параметры!$B$27,IF(AND(Параметры!$B$147=0,Параметры!AH$36&gt;1),AG687,AH686*Параметры!$B$147/Параметры!AH$40),IF(OR(Параметры!AH$43=1,Параметры!AH$43=4,Параметры!AH$43=7,Параметры!AH$43=10),0,IF(Параметры!AH$36=1,0,AG687))+AH686)</f>
        <v>20568.315858738686</v>
      </c>
      <c r="AI687" s="353">
        <f ca="1">IF(Параметры!$B$147&lt;=Параметры!$B$27,IF(AND(Параметры!$B$147=0,Параметры!AI$36&gt;1),AH687,AI686*Параметры!$B$147/Параметры!AI$40),IF(OR(Параметры!AI$43=1,Параметры!AI$43=4,Параметры!AI$43=7,Параметры!AI$43=10),0,IF(Параметры!AI$36=1,0,AH687))+AI686)</f>
        <v>22061.318507601503</v>
      </c>
      <c r="AJ687" s="353">
        <f ca="1">IF(Параметры!$B$147&lt;=Параметры!$B$27,IF(AND(Параметры!$B$147=0,Параметры!AJ$36&gt;1),AI687,AJ686*Параметры!$B$147/Параметры!AJ$40),IF(OR(Параметры!AJ$43=1,Параметры!AJ$43=4,Параметры!AJ$43=7,Параметры!AJ$43=10),0,IF(Параметры!AJ$36=1,0,AI687))+AJ686)</f>
        <v>23579.802925847867</v>
      </c>
      <c r="AK687" s="353">
        <f ca="1">IF(Параметры!$B$147&lt;=Параметры!$B$27,IF(AND(Параметры!$B$147=0,Параметры!AK$36&gt;1),AJ687,AK686*Параметры!$B$147/Параметры!AK$40),IF(OR(Параметры!AK$43=1,Параметры!AK$43=4,Параметры!AK$43=7,Параметры!AK$43=10),0,IF(Параметры!AK$36=1,0,AJ687))+AK686)</f>
        <v>62586.987475456066</v>
      </c>
      <c r="AL687" s="353">
        <f ca="1">IF(Параметры!$B$147&lt;=Параметры!$B$27,IF(AND(Параметры!$B$147=0,Параметры!AL$36&gt;1),AK687,AL686*Параметры!$B$147/Параметры!AL$40),IF(OR(Параметры!AL$43=1,Параметры!AL$43=4,Параметры!AL$43=7,Параметры!AL$43=10),0,IF(Параметры!AL$36=1,0,AK687))+AL686)</f>
        <v>25628.14272258036</v>
      </c>
      <c r="AM687" s="353">
        <f ca="1">IF(Параметры!$B$147&lt;=Параметры!$B$27,IF(AND(Параметры!$B$147=0,Параметры!AM$36&gt;1),AL687,AM686*Параметры!$B$147/Параметры!AM$40),IF(OR(Параметры!AM$43=1,Параметры!AM$43=4,Параметры!AM$43=7,Параметры!AM$43=10),0,IF(Параметры!AM$36=1,0,AL687))+AM686)</f>
        <v>27093.749052001149</v>
      </c>
      <c r="AN687" s="353">
        <f ca="1">IF(Параметры!$B$147&lt;=Параметры!$B$27,IF(AND(Параметры!$B$147=0,Параметры!AN$36&gt;1),AM687,AN686*Параметры!$B$147/Параметры!AN$40),IF(OR(Параметры!AN$43=1,Параметры!AN$43=4,Параметры!AN$43=7,Параметры!AN$43=10),0,IF(Параметры!AN$36=1,0,AM687))+AN686)</f>
        <v>28493.76544653071</v>
      </c>
      <c r="AO687" s="353">
        <f ca="1">IF(Параметры!$B$147&lt;=Параметры!$B$27,IF(AND(Параметры!$B$147=0,Параметры!AO$36&gt;1),AN687,AO686*Параметры!$B$147/Параметры!AO$40),IF(OR(Параметры!AO$43=1,Параметры!AO$43=4,Параметры!AO$43=7,Параметры!AO$43=10),0,IF(Параметры!AO$36=1,0,AN687))+AO686)</f>
        <v>828246.7406285418</v>
      </c>
      <c r="AP687" s="353">
        <f ca="1">IF(Параметры!$B$147&lt;=Параметры!$B$27,IF(AND(Параметры!$B$147=0,Параметры!AP$36&gt;1),AO687,AP686*Параметры!$B$147/Параметры!AP$40),IF(OR(Параметры!AP$43=1,Параметры!AP$43=4,Параметры!AP$43=7,Параметры!AP$43=10),0,IF(Параметры!AP$36=1,0,AO687))+AP686)</f>
        <v>13021.59232487629</v>
      </c>
      <c r="AQ687" s="353">
        <f ca="1">IF(Параметры!$B$147&lt;=Параметры!$B$27,IF(AND(Параметры!$B$147=0,Параметры!AQ$36&gt;1),AP687,AQ686*Параметры!$B$147/Параметры!AQ$40),IF(OR(Параметры!AQ$43=1,Параметры!AQ$43=4,Параметры!AQ$43=7,Параметры!AQ$43=10),0,IF(Параметры!AQ$36=1,0,AP687))+AQ686)</f>
        <v>14694.855315801791</v>
      </c>
      <c r="AR687" s="353">
        <f ca="1">IF(Параметры!$B$147&lt;=Параметры!$B$27,IF(AND(Параметры!$B$147=0,Параметры!AR$36&gt;1),AQ687,AR686*Параметры!$B$147/Параметры!AR$40),IF(OR(Параметры!AR$43=1,Параметры!AR$43=4,Параметры!AR$43=7,Параметры!AR$43=10),0,IF(Параметры!AR$36=1,0,AQ687))+AR686)</f>
        <v>14920.215252959204</v>
      </c>
      <c r="AS687" s="102"/>
      <c r="AT687" s="84"/>
    </row>
    <row r="688" spans="1:46" ht="11.25" customHeight="1" outlineLevel="1" x14ac:dyDescent="0.2">
      <c r="A688" s="302" t="s">
        <v>224</v>
      </c>
      <c r="B688" s="153"/>
      <c r="C688" s="2" t="str">
        <f>Параметры!$B$64</f>
        <v>тыс. руб.</v>
      </c>
      <c r="D688" s="65"/>
      <c r="E688" s="115">
        <f ca="1">E686-IF(Параметры!E$36=1,E687,E687-D687)</f>
        <v>0</v>
      </c>
      <c r="F688" s="115">
        <f ca="1">F686-IF(Параметры!F$36=1,F687,F687-E687)</f>
        <v>0</v>
      </c>
      <c r="G688" s="115">
        <f ca="1">G686-IF(Параметры!G$36=1,G687,G687-F687)</f>
        <v>0</v>
      </c>
      <c r="H688" s="115">
        <f ca="1">H686-IF(Параметры!H$36=1,H687,H687-G687)</f>
        <v>0</v>
      </c>
      <c r="I688" s="115">
        <f ca="1">I686-IF(Параметры!I$36=1,I687,I687-H687)</f>
        <v>0</v>
      </c>
      <c r="J688" s="115">
        <f ca="1">J686-IF(Параметры!J$36=1,J687,J687-I687)</f>
        <v>0</v>
      </c>
      <c r="K688" s="115">
        <f ca="1">K686-IF(Параметры!K$36=1,K687,K687-J687)</f>
        <v>0</v>
      </c>
      <c r="L688" s="115">
        <f ca="1">L686-IF(Параметры!L$36=1,L687,L687-K687)</f>
        <v>0</v>
      </c>
      <c r="M688" s="115">
        <f ca="1">M686-IF(Параметры!M$36=1,M687,M687-L687)</f>
        <v>0</v>
      </c>
      <c r="N688" s="115">
        <f ca="1">N686-IF(Параметры!N$36=1,N687,N687-M687)</f>
        <v>0</v>
      </c>
      <c r="O688" s="115">
        <f ca="1">O686-IF(Параметры!O$36=1,O687,O687-N687)</f>
        <v>0</v>
      </c>
      <c r="P688" s="115">
        <f ca="1">P686-IF(Параметры!P$36=1,P687,P687-O687)</f>
        <v>0</v>
      </c>
      <c r="Q688" s="115">
        <f ca="1">Q686-IF(Параметры!Q$36=1,Q687,Q687-P687)</f>
        <v>0</v>
      </c>
      <c r="R688" s="115">
        <f ca="1">R686-IF(Параметры!R$36=1,R687,R687-Q687)</f>
        <v>0</v>
      </c>
      <c r="S688" s="115">
        <f ca="1">S686-IF(Параметры!S$36=1,S687,S687-R687)</f>
        <v>0</v>
      </c>
      <c r="T688" s="115">
        <f ca="1">T686-IF(Параметры!T$36=1,T687,T687-S687)</f>
        <v>0</v>
      </c>
      <c r="U688" s="115">
        <f ca="1">U686-IF(Параметры!U$36=1,U687,U687-T687)</f>
        <v>0</v>
      </c>
      <c r="V688" s="115">
        <f ca="1">V686-IF(Параметры!V$36=1,V687,V687-U687)</f>
        <v>0</v>
      </c>
      <c r="W688" s="115">
        <f ca="1">W686-IF(Параметры!W$36=1,W687,W687-V687)</f>
        <v>0</v>
      </c>
      <c r="X688" s="115">
        <f ca="1">X686-IF(Параметры!X$36=1,X687,X687-W687)</f>
        <v>0</v>
      </c>
      <c r="Y688" s="115">
        <f ca="1">Y686-IF(Параметры!Y$36=1,Y687,Y687-X687)</f>
        <v>0</v>
      </c>
      <c r="Z688" s="115">
        <f ca="1">Z686-IF(Параметры!Z$36=1,Z687,Z687-Y687)</f>
        <v>0</v>
      </c>
      <c r="AA688" s="115">
        <f ca="1">AA686-IF(Параметры!AA$36=1,AA687,AA687-Z687)</f>
        <v>0</v>
      </c>
      <c r="AB688" s="115">
        <f ca="1">AB686-IF(Параметры!AB$36=1,AB687,AB687-AA687)</f>
        <v>0</v>
      </c>
      <c r="AC688" s="115">
        <f ca="1">AC686-IF(Параметры!AC$36=1,AC687,AC687-AB687)</f>
        <v>0</v>
      </c>
      <c r="AD688" s="115">
        <f ca="1">AD686-IF(Параметры!AD$36=1,AD687,AD687-AC687)</f>
        <v>8224.7338109090142</v>
      </c>
      <c r="AE688" s="115">
        <f ca="1">AE686-IF(Параметры!AE$36=1,AE687,AE687-AD687)</f>
        <v>14920.652587709479</v>
      </c>
      <c r="AF688" s="115">
        <f ca="1">AF686-IF(Параметры!AF$36=1,AF687,AF687-AE687)</f>
        <v>15999.227239058984</v>
      </c>
      <c r="AG688" s="115">
        <f ca="1">AG686-IF(Параметры!AG$36=1,AG687,AG687-AF687)</f>
        <v>17097.367955913538</v>
      </c>
      <c r="AH688" s="115">
        <f ca="1">AH686-IF(Параметры!AH$36=1,AH687,AH687-AG687)</f>
        <v>19100.304007260733</v>
      </c>
      <c r="AI688" s="115">
        <f ca="1">AI686-IF(Параметры!AI$36=1,AI687,AI687-AH687)</f>
        <v>20568.315858738686</v>
      </c>
      <c r="AJ688" s="115">
        <f ca="1">AJ686-IF(Параметры!AJ$36=1,AJ687,AJ687-AI687)</f>
        <v>22061.318507601507</v>
      </c>
      <c r="AK688" s="115">
        <f ca="1">AK686-IF(Параметры!AK$36=1,AK687,AK687-AJ687)</f>
        <v>23579.802925847878</v>
      </c>
      <c r="AL688" s="115">
        <f ca="1">AL686-IF(Параметры!AL$36=1,AL687,AL687-AK687)</f>
        <v>62586.987475456073</v>
      </c>
      <c r="AM688" s="115">
        <f ca="1">AM686-IF(Параметры!AM$36=1,AM687,AM687-AL687)</f>
        <v>25628.14272258036</v>
      </c>
      <c r="AN688" s="115">
        <f ca="1">AN686-IF(Параметры!AN$36=1,AN687,AN687-AM687)</f>
        <v>27093.749052001149</v>
      </c>
      <c r="AO688" s="115">
        <f ca="1">AO686-IF(Параметры!AO$36=1,AO687,AO687-AN687)</f>
        <v>28493.765446530655</v>
      </c>
      <c r="AP688" s="115">
        <f ca="1">AP686-IF(Параметры!AP$36=1,AP687,AP687-AO687)</f>
        <v>828246.7406285418</v>
      </c>
      <c r="AQ688" s="115">
        <f ca="1">AQ686-IF(Параметры!AQ$36=1,AQ687,AQ687-AP687)</f>
        <v>13021.59232487629</v>
      </c>
      <c r="AR688" s="115">
        <f ca="1">AR686-IF(Параметры!AR$36=1,AR687,AR687-AQ687)</f>
        <v>14694.855315801791</v>
      </c>
      <c r="AS688" s="41"/>
      <c r="AT688" s="84">
        <f ca="1">SUM(E688:AS688)</f>
        <v>1141317.5558588277</v>
      </c>
    </row>
    <row r="689" spans="1:46" ht="11.25" customHeight="1" outlineLevel="1" x14ac:dyDescent="0.2">
      <c r="A689" s="106" t="s">
        <v>534</v>
      </c>
      <c r="B689" s="31"/>
      <c r="C689" s="266" t="str">
        <f>Параметры!$B$64</f>
        <v>тыс. руб.</v>
      </c>
      <c r="D689" s="65"/>
      <c r="E689" s="82">
        <f ca="1">(OFFSET(Результаты_УК!$D$34,0,Параметры!E$36)*Параметры!E$126)</f>
        <v>-21972.788429824897</v>
      </c>
      <c r="F689" s="82">
        <f ca="1">(OFFSET(Результаты_УК!$D$34,0,Параметры!F$36)*Параметры!F$126)</f>
        <v>-28508.66342982489</v>
      </c>
      <c r="G689" s="82">
        <f ca="1">(OFFSET(Результаты_УК!$D$34,0,Параметры!G$36)*Параметры!G$126)</f>
        <v>-22039.827477947554</v>
      </c>
      <c r="H689" s="82">
        <f ca="1">(OFFSET(Результаты_УК!$D$34,0,Параметры!H$36)*Параметры!H$126)</f>
        <v>-17261.717782125412</v>
      </c>
      <c r="I689" s="82">
        <f ca="1">(OFFSET(Результаты_УК!$D$34,0,Параметры!I$36)*Параметры!I$126)</f>
        <v>-12976.06254922122</v>
      </c>
      <c r="J689" s="82">
        <f ca="1">(OFFSET(Результаты_УК!$D$34,0,Параметры!J$36)*Параметры!J$126)</f>
        <v>-15122.309425483509</v>
      </c>
      <c r="K689" s="82">
        <f ca="1">(OFFSET(Результаты_УК!$D$34,0,Параметры!K$36)*Параметры!K$126)</f>
        <v>-21948.284561496876</v>
      </c>
      <c r="L689" s="82">
        <f ca="1">(OFFSET(Результаты_УК!$D$34,0,Параметры!L$36)*Параметры!L$126)</f>
        <v>-26419.497427485294</v>
      </c>
      <c r="M689" s="82">
        <f ca="1">(OFFSET(Результаты_УК!$D$34,0,Параметры!M$36)*Параметры!M$126)</f>
        <v>-16841.165766305639</v>
      </c>
      <c r="N689" s="82">
        <f ca="1">(OFFSET(Результаты_УК!$D$34,0,Параметры!N$36)*Параметры!N$126)</f>
        <v>-23375.705027326585</v>
      </c>
      <c r="O689" s="82">
        <f ca="1">(OFFSET(Результаты_УК!$D$34,0,Параметры!O$36)*Параметры!O$126)</f>
        <v>-34365.314764000526</v>
      </c>
      <c r="P689" s="82">
        <f ca="1">(OFFSET(Результаты_УК!$D$34,0,Параметры!P$36)*Параметры!P$126)</f>
        <v>-45072.160833000496</v>
      </c>
      <c r="Q689" s="82">
        <f ca="1">(OFFSET(Результаты_УК!$D$34,0,Параметры!Q$36)*Параметры!Q$126)</f>
        <v>-41587.201382659281</v>
      </c>
      <c r="R689" s="82">
        <f ca="1">(OFFSET(Результаты_УК!$D$34,0,Параметры!R$36)*Параметры!R$126)</f>
        <v>-51478.121166496785</v>
      </c>
      <c r="S689" s="82">
        <f ca="1">(OFFSET(Результаты_УК!$D$34,0,Параметры!S$36)*Параметры!S$126)</f>
        <v>-62970.212521007714</v>
      </c>
      <c r="T689" s="82">
        <f ca="1">(OFFSET(Результаты_УК!$D$34,0,Параметры!T$36)*Параметры!T$126)</f>
        <v>-66668.417252747851</v>
      </c>
      <c r="U689" s="82">
        <f ca="1">(OFFSET(Результаты_УК!$D$34,0,Параметры!U$36)*Параметры!U$126)</f>
        <v>32280.893491021561</v>
      </c>
      <c r="V689" s="82">
        <f ca="1">(OFFSET(Результаты_УК!$D$34,0,Параметры!V$36)*Параметры!V$126)</f>
        <v>44020.710721068361</v>
      </c>
      <c r="W689" s="82">
        <f ca="1">(OFFSET(Результаты_УК!$D$34,0,Параметры!W$36)*Параметры!W$126)</f>
        <v>50124.057061790649</v>
      </c>
      <c r="X689" s="82">
        <f ca="1">(OFFSET(Результаты_УК!$D$34,0,Параметры!X$36)*Параметры!X$126)</f>
        <v>56337.003530967268</v>
      </c>
      <c r="Y689" s="82">
        <f ca="1">(OFFSET(Результаты_УК!$D$34,0,Параметры!Y$36)*Параметры!Y$126)</f>
        <v>62661.697284093345</v>
      </c>
      <c r="Z689" s="82">
        <f ca="1">(OFFSET(Результаты_УК!$D$34,0,Параметры!Z$36)*Параметры!Z$126)</f>
        <v>69056.736213082637</v>
      </c>
      <c r="AA689" s="82">
        <f ca="1">(OFFSET(Результаты_УК!$D$34,0,Параметры!AA$36)*Параметры!AA$126)</f>
        <v>75566.969460791297</v>
      </c>
      <c r="AB689" s="82">
        <f ca="1">(OFFSET(Результаты_УК!$D$34,0,Параметры!AB$36)*Параметры!AB$126)</f>
        <v>82194.66413518849</v>
      </c>
      <c r="AC689" s="82">
        <f ca="1">(OFFSET(Результаты_УК!$D$34,0,Параметры!AC$36)*Параметры!AC$126)</f>
        <v>89427.516679009117</v>
      </c>
      <c r="AD689" s="82">
        <f ca="1">(OFFSET(Результаты_УК!$D$34,0,Параметры!AD$36)*Параметры!AD$126)</f>
        <v>96262.274759416003</v>
      </c>
      <c r="AE689" s="82">
        <f ca="1">(OFFSET(Результаты_УК!$D$34,0,Параметры!AE$36)*Параметры!AE$126)</f>
        <v>103220.82089715473</v>
      </c>
      <c r="AF689" s="82">
        <f ca="1">(OFFSET(Результаты_УК!$D$34,0,Параметры!AF$36)*Параметры!AF$126)</f>
        <v>110305.59971557121</v>
      </c>
      <c r="AG689" s="82">
        <f ca="1">(OFFSET(Результаты_УК!$D$34,0,Параметры!AG$36)*Параметры!AG$126)</f>
        <v>95501.520036303671</v>
      </c>
      <c r="AH689" s="82">
        <f ca="1">(OFFSET(Результаты_УК!$D$34,0,Параметры!AH$36)*Параметры!AH$126)</f>
        <v>102841.57929369343</v>
      </c>
      <c r="AI689" s="82">
        <f ca="1">(OFFSET(Результаты_УК!$D$34,0,Параметры!AI$36)*Параметры!AI$126)</f>
        <v>110306.59253800752</v>
      </c>
      <c r="AJ689" s="82">
        <f ca="1">(OFFSET(Результаты_УК!$D$34,0,Параметры!AJ$36)*Параметры!AJ$126)</f>
        <v>117899.01462923936</v>
      </c>
      <c r="AK689" s="82">
        <f ca="1">(OFFSET(Результаты_УК!$D$34,0,Параметры!AK$36)*Параметры!AK$126)</f>
        <v>312934.93737728038</v>
      </c>
      <c r="AL689" s="82">
        <f ca="1">(OFFSET(Результаты_УК!$D$34,0,Параметры!AL$36)*Параметры!AL$126)</f>
        <v>128140.71361290182</v>
      </c>
      <c r="AM689" s="82">
        <f ca="1">(OFFSET(Результаты_УК!$D$34,0,Параметры!AM$36)*Параметры!AM$126)</f>
        <v>135468.74526000576</v>
      </c>
      <c r="AN689" s="82">
        <f ca="1">(OFFSET(Результаты_УК!$D$34,0,Параметры!AN$36)*Параметры!AN$126)</f>
        <v>142468.82723265357</v>
      </c>
      <c r="AO689" s="82">
        <f ca="1">(OFFSET(Результаты_УК!$D$34,0,Параметры!AO$36)*Параметры!AO$126)</f>
        <v>4141233.7031427096</v>
      </c>
      <c r="AP689" s="82">
        <f ca="1">(OFFSET(Результаты_УК!$D$34,0,Параметры!AP$36)*Параметры!AP$126)</f>
        <v>65107.96162438146</v>
      </c>
      <c r="AQ689" s="82">
        <f ca="1">(OFFSET(Результаты_УК!$D$34,0,Параметры!AQ$36)*Параметры!AQ$126)</f>
        <v>73474.276579008962</v>
      </c>
      <c r="AR689" s="82">
        <f ca="1">(OFFSET(Результаты_УК!$D$34,0,Параметры!AR$36)*Параметры!AR$126)</f>
        <v>74601.076264796022</v>
      </c>
      <c r="AT689" s="84">
        <f ca="1">SUM(E689:AS689)</f>
        <v>5862830.441743182</v>
      </c>
    </row>
    <row r="690" spans="1:46" ht="11.25" customHeight="1" outlineLevel="1" x14ac:dyDescent="0.2">
      <c r="A690" s="97" t="s">
        <v>449</v>
      </c>
      <c r="C690" s="266" t="str">
        <f>Параметры!$B$64</f>
        <v>тыс. руб.</v>
      </c>
      <c r="D690" s="65"/>
      <c r="E690" s="82">
        <f ca="1">MIN(E689-0,0)+IF(E$2=1,0,IF(YEAR(Параметры!E$37)=YEAR(Параметры!D$37),D690,0))</f>
        <v>-21972.788429824897</v>
      </c>
      <c r="F690" s="82">
        <f ca="1">MIN(F689-0,0)+IF(F$2=1,0,IF(YEAR(Параметры!F$37)=YEAR(Параметры!E$37),E690,0))</f>
        <v>-50481.451859649787</v>
      </c>
      <c r="G690" s="82">
        <f ca="1">MIN(G689-0,0)+IF(G$2=1,0,IF(YEAR(Параметры!G$37)=YEAR(Параметры!F$37),F690,0))</f>
        <v>-72521.279337597342</v>
      </c>
      <c r="H690" s="82">
        <f ca="1">MIN(H689-0,0)+IF(H$2=1,0,IF(YEAR(Параметры!H$37)=YEAR(Параметры!G$37),G690,0))</f>
        <v>-89782.997119722757</v>
      </c>
      <c r="I690" s="82">
        <f ca="1">MIN(I689-0,0)+IF(I$2=1,0,IF(YEAR(Параметры!I$37)=YEAR(Параметры!H$37),H690,0))</f>
        <v>-12976.06254922122</v>
      </c>
      <c r="J690" s="82">
        <f ca="1">MIN(J689-0,0)+IF(J$2=1,0,IF(YEAR(Параметры!J$37)=YEAR(Параметры!I$37),I690,0))</f>
        <v>-28098.371974704729</v>
      </c>
      <c r="K690" s="82">
        <f ca="1">MIN(K689-0,0)+IF(K$2=1,0,IF(YEAR(Параметры!K$37)=YEAR(Параметры!J$37),J690,0))</f>
        <v>-50046.656536201604</v>
      </c>
      <c r="L690" s="82">
        <f ca="1">MIN(L689-0,0)+IF(L$2=1,0,IF(YEAR(Параметры!L$37)=YEAR(Параметры!K$37),K690,0))</f>
        <v>-76466.153963686898</v>
      </c>
      <c r="M690" s="82">
        <f ca="1">MIN(M689-0,0)+IF(M$2=1,0,IF(YEAR(Параметры!M$37)=YEAR(Параметры!L$37),L690,0))</f>
        <v>-16841.165766305639</v>
      </c>
      <c r="N690" s="82">
        <f ca="1">MIN(N689-0,0)+IF(N$2=1,0,IF(YEAR(Параметры!N$37)=YEAR(Параметры!M$37),M690,0))</f>
        <v>-40216.870793632224</v>
      </c>
      <c r="O690" s="82">
        <f ca="1">MIN(O689-0,0)+IF(O$2=1,0,IF(YEAR(Параметры!O$37)=YEAR(Параметры!N$37),N690,0))</f>
        <v>-74582.185557632751</v>
      </c>
      <c r="P690" s="82">
        <f ca="1">MIN(P689-0,0)+IF(P$2=1,0,IF(YEAR(Параметры!P$37)=YEAR(Параметры!O$37),O690,0))</f>
        <v>-119654.34639063325</v>
      </c>
      <c r="Q690" s="82">
        <f ca="1">MIN(Q689-0,0)+IF(Q$2=1,0,IF(YEAR(Параметры!Q$37)=YEAR(Параметры!P$37),P690,0))</f>
        <v>-41587.201382659281</v>
      </c>
      <c r="R690" s="82">
        <f ca="1">MIN(R689-0,0)+IF(R$2=1,0,IF(YEAR(Параметры!R$37)=YEAR(Параметры!Q$37),Q690,0))</f>
        <v>-93065.322549156059</v>
      </c>
      <c r="S690" s="82">
        <f ca="1">MIN(S689-0,0)+IF(S$2=1,0,IF(YEAR(Параметры!S$37)=YEAR(Параметры!R$37),R690,0))</f>
        <v>-156035.53507016378</v>
      </c>
      <c r="T690" s="82">
        <f ca="1">MIN(T689-0,0)+IF(T$2=1,0,IF(YEAR(Параметры!T$37)=YEAR(Параметры!S$37),S690,0))</f>
        <v>-222703.95232291165</v>
      </c>
      <c r="U690" s="82">
        <f ca="1">MIN(U689-0,0)+IF(U$2=1,0,IF(YEAR(Параметры!U$37)=YEAR(Параметры!T$37),T690,0))</f>
        <v>0</v>
      </c>
      <c r="V690" s="82">
        <f ca="1">MIN(V689-0,0)+IF(V$2=1,0,IF(YEAR(Параметры!V$37)=YEAR(Параметры!U$37),U690,0))</f>
        <v>0</v>
      </c>
      <c r="W690" s="82">
        <f ca="1">MIN(W689-0,0)+IF(W$2=1,0,IF(YEAR(Параметры!W$37)=YEAR(Параметры!V$37),V690,0))</f>
        <v>0</v>
      </c>
      <c r="X690" s="82">
        <f ca="1">MIN(X689-0,0)+IF(X$2=1,0,IF(YEAR(Параметры!X$37)=YEAR(Параметры!W$37),W690,0))</f>
        <v>0</v>
      </c>
      <c r="Y690" s="82">
        <f ca="1">MIN(Y689-0,0)+IF(Y$2=1,0,IF(YEAR(Параметры!Y$37)=YEAR(Параметры!X$37),X690,0))</f>
        <v>0</v>
      </c>
      <c r="Z690" s="82">
        <f ca="1">MIN(Z689-0,0)+IF(Z$2=1,0,IF(YEAR(Параметры!Z$37)=YEAR(Параметры!Y$37),Y690,0))</f>
        <v>0</v>
      </c>
      <c r="AA690" s="82">
        <f ca="1">MIN(AA689-0,0)+IF(AA$2=1,0,IF(YEAR(Параметры!AA$37)=YEAR(Параметры!Z$37),Z690,0))</f>
        <v>0</v>
      </c>
      <c r="AB690" s="82">
        <f ca="1">MIN(AB689-0,0)+IF(AB$2=1,0,IF(YEAR(Параметры!AB$37)=YEAR(Параметры!AA$37),AA690,0))</f>
        <v>0</v>
      </c>
      <c r="AC690" s="82">
        <f ca="1">MIN(AC689-0,0)+IF(AC$2=1,0,IF(YEAR(Параметры!AC$37)=YEAR(Параметры!AB$37),AB690,0))</f>
        <v>0</v>
      </c>
      <c r="AD690" s="82">
        <f ca="1">MIN(AD689-0,0)+IF(AD$2=1,0,IF(YEAR(Параметры!AD$37)=YEAR(Параметры!AC$37),AC690,0))</f>
        <v>0</v>
      </c>
      <c r="AE690" s="82">
        <f ca="1">MIN(AE689-0,0)+IF(AE$2=1,0,IF(YEAR(Параметры!AE$37)=YEAR(Параметры!AD$37),AD690,0))</f>
        <v>0</v>
      </c>
      <c r="AF690" s="82">
        <f ca="1">MIN(AF689-0,0)+IF(AF$2=1,0,IF(YEAR(Параметры!AF$37)=YEAR(Параметры!AE$37),AE690,0))</f>
        <v>0</v>
      </c>
      <c r="AG690" s="82">
        <f ca="1">MIN(AG689-0,0)+IF(AG$2=1,0,IF(YEAR(Параметры!AG$37)=YEAR(Параметры!AF$37),AF690,0))</f>
        <v>0</v>
      </c>
      <c r="AH690" s="82">
        <f ca="1">MIN(AH689-0,0)+IF(AH$2=1,0,IF(YEAR(Параметры!AH$37)=YEAR(Параметры!AG$37),AG690,0))</f>
        <v>0</v>
      </c>
      <c r="AI690" s="82">
        <f ca="1">MIN(AI689-0,0)+IF(AI$2=1,0,IF(YEAR(Параметры!AI$37)=YEAR(Параметры!AH$37),AH690,0))</f>
        <v>0</v>
      </c>
      <c r="AJ690" s="82">
        <f ca="1">MIN(AJ689-0,0)+IF(AJ$2=1,0,IF(YEAR(Параметры!AJ$37)=YEAR(Параметры!AI$37),AI690,0))</f>
        <v>0</v>
      </c>
      <c r="AK690" s="82">
        <f ca="1">MIN(AK689-0,0)+IF(AK$2=1,0,IF(YEAR(Параметры!AK$37)=YEAR(Параметры!AJ$37),AJ690,0))</f>
        <v>0</v>
      </c>
      <c r="AL690" s="82">
        <f ca="1">MIN(AL689-0,0)+IF(AL$2=1,0,IF(YEAR(Параметры!AL$37)=YEAR(Параметры!AK$37),AK690,0))</f>
        <v>0</v>
      </c>
      <c r="AM690" s="82">
        <f ca="1">MIN(AM689-0,0)+IF(AM$2=1,0,IF(YEAR(Параметры!AM$37)=YEAR(Параметры!AL$37),AL690,0))</f>
        <v>0</v>
      </c>
      <c r="AN690" s="82">
        <f ca="1">MIN(AN689-0,0)+IF(AN$2=1,0,IF(YEAR(Параметры!AN$37)=YEAR(Параметры!AM$37),AM690,0))</f>
        <v>0</v>
      </c>
      <c r="AO690" s="82">
        <f ca="1">MIN(AO689-0,0)+IF(AO$2=1,0,IF(YEAR(Параметры!AO$37)=YEAR(Параметры!AN$37),AN690,0))</f>
        <v>0</v>
      </c>
      <c r="AP690" s="82">
        <f ca="1">MIN(AP689-0,0)+IF(AP$2=1,0,IF(YEAR(Параметры!AP$37)=YEAR(Параметры!AO$37),AO690,0))</f>
        <v>0</v>
      </c>
      <c r="AQ690" s="82">
        <f ca="1">MIN(AQ689-0,0)+IF(AQ$2=1,0,IF(YEAR(Параметры!AQ$37)=YEAR(Параметры!AP$37),AP690,0))</f>
        <v>0</v>
      </c>
      <c r="AR690" s="82">
        <f ca="1">MIN(AR689-0,0)+IF(AR$2=1,0,IF(YEAR(Параметры!AR$37)=YEAR(Параметры!AQ$37),AQ690,0))</f>
        <v>0</v>
      </c>
      <c r="AT690" s="84"/>
    </row>
    <row r="691" spans="1:46" ht="11.25" customHeight="1" outlineLevel="1" x14ac:dyDescent="0.2">
      <c r="A691" s="97" t="s">
        <v>450</v>
      </c>
      <c r="C691" s="266" t="str">
        <f>Параметры!$B$64</f>
        <v>тыс. руб.</v>
      </c>
      <c r="D691" s="65"/>
      <c r="E691" s="82">
        <f ca="1">-IF(E689-0&gt;0,MIN(E689-0,IF(E$2=1,0,-IF(YEAR(Параметры!E$37)=YEAR(Параметры!D$37),D693+MIN(E689-0,0),E690))),0)</f>
        <v>0</v>
      </c>
      <c r="F691" s="82">
        <f ca="1">-IF(F689-0&gt;0,MIN(F689-0,IF(F$2=1,0,-IF(YEAR(Параметры!F$37)=YEAR(Параметры!E$37),E693+MIN(F689-0,0),F690))),0)</f>
        <v>0</v>
      </c>
      <c r="G691" s="82">
        <f ca="1">-IF(G689-0&gt;0,MIN(G689-0,IF(G$2=1,0,-IF(YEAR(Параметры!G$37)=YEAR(Параметры!F$37),F693+MIN(G689-0,0),G690))),0)</f>
        <v>0</v>
      </c>
      <c r="H691" s="82">
        <f ca="1">-IF(H689-0&gt;0,MIN(H689-0,IF(H$2=1,0,-IF(YEAR(Параметры!H$37)=YEAR(Параметры!G$37),G693+MIN(H689-0,0),H690))),0)</f>
        <v>0</v>
      </c>
      <c r="I691" s="82">
        <f ca="1">-IF(I689-0&gt;0,MIN(I689-0,IF(I$2=1,0,-IF(YEAR(Параметры!I$37)=YEAR(Параметры!H$37),H693+MIN(I689-0,0),I690))),0)</f>
        <v>0</v>
      </c>
      <c r="J691" s="82">
        <f ca="1">-IF(J689-0&gt;0,MIN(J689-0,IF(J$2=1,0,-IF(YEAR(Параметры!J$37)=YEAR(Параметры!I$37),I693+MIN(J689-0,0),J690))),0)</f>
        <v>0</v>
      </c>
      <c r="K691" s="82">
        <f ca="1">-IF(K689-0&gt;0,MIN(K689-0,IF(K$2=1,0,-IF(YEAR(Параметры!K$37)=YEAR(Параметры!J$37),J693+MIN(K689-0,0),K690))),0)</f>
        <v>0</v>
      </c>
      <c r="L691" s="82">
        <f ca="1">-IF(L689-0&gt;0,MIN(L689-0,IF(L$2=1,0,-IF(YEAR(Параметры!L$37)=YEAR(Параметры!K$37),K693+MIN(L689-0,0),L690))),0)</f>
        <v>0</v>
      </c>
      <c r="M691" s="82">
        <f ca="1">-IF(M689-0&gt;0,MIN(M689-0,IF(M$2=1,0,-IF(YEAR(Параметры!M$37)=YEAR(Параметры!L$37),L693+MIN(M689-0,0),M690))),0)</f>
        <v>0</v>
      </c>
      <c r="N691" s="82">
        <f ca="1">-IF(N689-0&gt;0,MIN(N689-0,IF(N$2=1,0,-IF(YEAR(Параметры!N$37)=YEAR(Параметры!M$37),M693+MIN(N689-0,0),N690))),0)</f>
        <v>0</v>
      </c>
      <c r="O691" s="82">
        <f ca="1">-IF(O689-0&gt;0,MIN(O689-0,IF(O$2=1,0,-IF(YEAR(Параметры!O$37)=YEAR(Параметры!N$37),N693+MIN(O689-0,0),O690))),0)</f>
        <v>0</v>
      </c>
      <c r="P691" s="82">
        <f ca="1">-IF(P689-0&gt;0,MIN(P689-0,IF(P$2=1,0,-IF(YEAR(Параметры!P$37)=YEAR(Параметры!O$37),O693+MIN(P689-0,0),P690))),0)</f>
        <v>0</v>
      </c>
      <c r="Q691" s="82">
        <f ca="1">-IF(Q689-0&gt;0,MIN(Q689-0,IF(Q$2=1,0,-IF(YEAR(Параметры!Q$37)=YEAR(Параметры!P$37),P693+MIN(Q689-0,0),Q690))),0)</f>
        <v>0</v>
      </c>
      <c r="R691" s="82">
        <f ca="1">-IF(R689-0&gt;0,MIN(R689-0,IF(R$2=1,0,-IF(YEAR(Параметры!R$37)=YEAR(Параметры!Q$37),Q693+MIN(R689-0,0),R690))),0)</f>
        <v>0</v>
      </c>
      <c r="S691" s="82">
        <f ca="1">-IF(S689-0&gt;0,MIN(S689-0,IF(S$2=1,0,-IF(YEAR(Параметры!S$37)=YEAR(Параметры!R$37),R693+MIN(S689-0,0),S690))),0)</f>
        <v>0</v>
      </c>
      <c r="T691" s="82">
        <f ca="1">-IF(T689-0&gt;0,MIN(T689-0,IF(T$2=1,0,-IF(YEAR(Параметры!T$37)=YEAR(Параметры!S$37),S693+MIN(T689-0,0),T690))),0)</f>
        <v>0</v>
      </c>
      <c r="U691" s="82">
        <f ca="1">-IF(U689-0&gt;0,MIN(U689-0,IF(U$2=1,0,-IF(YEAR(Параметры!U$37)=YEAR(Параметры!T$37),T693+MIN(U689-0,0),U690))),0)</f>
        <v>0</v>
      </c>
      <c r="V691" s="82">
        <f ca="1">-IF(V689-0&gt;0,MIN(V689-0,IF(V$2=1,0,-IF(YEAR(Параметры!V$37)=YEAR(Параметры!U$37),U693+MIN(V689-0,0),V690))),0)</f>
        <v>0</v>
      </c>
      <c r="W691" s="82">
        <f ca="1">-IF(W689-0&gt;0,MIN(W689-0,IF(W$2=1,0,-IF(YEAR(Параметры!W$37)=YEAR(Параметры!V$37),V693+MIN(W689-0,0),W690))),0)</f>
        <v>0</v>
      </c>
      <c r="X691" s="82">
        <f ca="1">-IF(X689-0&gt;0,MIN(X689-0,IF(X$2=1,0,-IF(YEAR(Параметры!X$37)=YEAR(Параметры!W$37),W693+MIN(X689-0,0),X690))),0)</f>
        <v>0</v>
      </c>
      <c r="Y691" s="82">
        <f ca="1">-IF(Y689-0&gt;0,MIN(Y689-0,IF(Y$2=1,0,-IF(YEAR(Параметры!Y$37)=YEAR(Параметры!X$37),X693+MIN(Y689-0,0),Y690))),0)</f>
        <v>0</v>
      </c>
      <c r="Z691" s="82">
        <f ca="1">-IF(Z689-0&gt;0,MIN(Z689-0,IF(Z$2=1,0,-IF(YEAR(Параметры!Z$37)=YEAR(Параметры!Y$37),Y693+MIN(Z689-0,0),Z690))),0)</f>
        <v>0</v>
      </c>
      <c r="AA691" s="82">
        <f ca="1">-IF(AA689-0&gt;0,MIN(AA689-0,IF(AA$2=1,0,-IF(YEAR(Параметры!AA$37)=YEAR(Параметры!Z$37),Z693+MIN(AA689-0,0),AA690))),0)</f>
        <v>0</v>
      </c>
      <c r="AB691" s="82">
        <f ca="1">-IF(AB689-0&gt;0,MIN(AB689-0,IF(AB$2=1,0,-IF(YEAR(Параметры!AB$37)=YEAR(Параметры!AA$37),AA693+MIN(AB689-0,0),AB690))),0)</f>
        <v>0</v>
      </c>
      <c r="AC691" s="82">
        <f ca="1">-IF(AC689-0&gt;0,MIN(AC689-0,IF(AC$2=1,0,-IF(YEAR(Параметры!AC$37)=YEAR(Параметры!AB$37),AB693+MIN(AC689-0,0),AC690))),0)</f>
        <v>0</v>
      </c>
      <c r="AD691" s="82">
        <f ca="1">-IF(AD689-0&gt;0,MIN(AD689-0,IF(AD$2=1,0,-IF(YEAR(Параметры!AD$37)=YEAR(Параметры!AC$37),AC693+MIN(AD689-0,0),AD690))),0)</f>
        <v>0</v>
      </c>
      <c r="AE691" s="82">
        <f ca="1">-IF(AE689-0&gt;0,MIN(AE689-0,IF(AE$2=1,0,-IF(YEAR(Параметры!AE$37)=YEAR(Параметры!AD$37),AD693+MIN(AE689-0,0),AE690))),0)</f>
        <v>0</v>
      </c>
      <c r="AF691" s="82">
        <f ca="1">-IF(AF689-0&gt;0,MIN(AF689-0,IF(AF$2=1,0,-IF(YEAR(Параметры!AF$37)=YEAR(Параметры!AE$37),AE693+MIN(AF689-0,0),AF690))),0)</f>
        <v>0</v>
      </c>
      <c r="AG691" s="82">
        <f ca="1">-IF(AG689-0&gt;0,MIN(AG689-0,IF(AG$2=1,0,-IF(YEAR(Параметры!AG$37)=YEAR(Параметры!AF$37),AF693+MIN(AG689-0,0),AG690))),0)</f>
        <v>0</v>
      </c>
      <c r="AH691" s="82">
        <f ca="1">-IF(AH689-0&gt;0,MIN(AH689-0,IF(AH$2=1,0,-IF(YEAR(Параметры!AH$37)=YEAR(Параметры!AG$37),AG693+MIN(AH689-0,0),AH690))),0)</f>
        <v>0</v>
      </c>
      <c r="AI691" s="82">
        <f ca="1">-IF(AI689-0&gt;0,MIN(AI689-0,IF(AI$2=1,0,-IF(YEAR(Параметры!AI$37)=YEAR(Параметры!AH$37),AH693+MIN(AI689-0,0),AI690))),0)</f>
        <v>0</v>
      </c>
      <c r="AJ691" s="82">
        <f ca="1">-IF(AJ689-0&gt;0,MIN(AJ689-0,IF(AJ$2=1,0,-IF(YEAR(Параметры!AJ$37)=YEAR(Параметры!AI$37),AI693+MIN(AJ689-0,0),AJ690))),0)</f>
        <v>0</v>
      </c>
      <c r="AK691" s="82">
        <f ca="1">-IF(AK689-0&gt;0,MIN(AK689-0,IF(AK$2=1,0,-IF(YEAR(Параметры!AK$37)=YEAR(Параметры!AJ$37),AJ693+MIN(AK689-0,0),AK690))),0)</f>
        <v>0</v>
      </c>
      <c r="AL691" s="82">
        <f ca="1">-IF(AL689-0&gt;0,MIN(AL689-0,IF(AL$2=1,0,-IF(YEAR(Параметры!AL$37)=YEAR(Параметры!AK$37),AK693+MIN(AL689-0,0),AL690))),0)</f>
        <v>0</v>
      </c>
      <c r="AM691" s="82">
        <f ca="1">-IF(AM689-0&gt;0,MIN(AM689-0,IF(AM$2=1,0,-IF(YEAR(Параметры!AM$37)=YEAR(Параметры!AL$37),AL693+MIN(AM689-0,0),AM690))),0)</f>
        <v>0</v>
      </c>
      <c r="AN691" s="82">
        <f ca="1">-IF(AN689-0&gt;0,MIN(AN689-0,IF(AN$2=1,0,-IF(YEAR(Параметры!AN$37)=YEAR(Параметры!AM$37),AM693+MIN(AN689-0,0),AN690))),0)</f>
        <v>0</v>
      </c>
      <c r="AO691" s="82">
        <f ca="1">-IF(AO689-0&gt;0,MIN(AO689-0,IF(AO$2=1,0,-IF(YEAR(Параметры!AO$37)=YEAR(Параметры!AN$37),AN693+MIN(AO689-0,0),AO690))),0)</f>
        <v>0</v>
      </c>
      <c r="AP691" s="82">
        <f ca="1">-IF(AP689-0&gt;0,MIN(AP689-0,IF(AP$2=1,0,-IF(YEAR(Параметры!AP$37)=YEAR(Параметры!AO$37),AO693+MIN(AP689-0,0),AP690))),0)</f>
        <v>0</v>
      </c>
      <c r="AQ691" s="82">
        <f ca="1">-IF(AQ689-0&gt;0,MIN(AQ689-0,IF(AQ$2=1,0,-IF(YEAR(Параметры!AQ$37)=YEAR(Параметры!AP$37),AP693+MIN(AQ689-0,0),AQ690))),0)</f>
        <v>0</v>
      </c>
      <c r="AR691" s="82">
        <f ca="1">-IF(AR689-0&gt;0,MIN(AR689-0,IF(AR$2=1,0,-IF(YEAR(Параметры!AR$37)=YEAR(Параметры!AQ$37),AQ693+MIN(AR689-0,0),AR690))),0)</f>
        <v>0</v>
      </c>
      <c r="AT691" s="84"/>
    </row>
    <row r="692" spans="1:46" ht="11.25" customHeight="1" outlineLevel="1" x14ac:dyDescent="0.2">
      <c r="A692" s="420" t="s">
        <v>448</v>
      </c>
      <c r="C692" s="266" t="str">
        <f>Параметры!$B$64</f>
        <v>тыс. руб.</v>
      </c>
      <c r="D692" s="65"/>
      <c r="E692" s="115">
        <f ca="1">IF(E$2=1,E691,IF(YEAR(Параметры!E$37)=YEAR(Параметры!D$37),D692+E691,E691))</f>
        <v>0</v>
      </c>
      <c r="F692" s="115">
        <f ca="1">IF(F$2=1,F691,IF(YEAR(Параметры!F$37)=YEAR(Параметры!E$37),E692+F691,F691))</f>
        <v>0</v>
      </c>
      <c r="G692" s="115">
        <f ca="1">IF(G$2=1,G691,IF(YEAR(Параметры!G$37)=YEAR(Параметры!F$37),F692+G691,G691))</f>
        <v>0</v>
      </c>
      <c r="H692" s="115">
        <f ca="1">IF(H$2=1,H691,IF(YEAR(Параметры!H$37)=YEAR(Параметры!G$37),G692+H691,H691))</f>
        <v>0</v>
      </c>
      <c r="I692" s="115">
        <f ca="1">IF(I$2=1,I691,IF(YEAR(Параметры!I$37)=YEAR(Параметры!H$37),H692+I691,I691))</f>
        <v>0</v>
      </c>
      <c r="J692" s="115">
        <f ca="1">IF(J$2=1,J691,IF(YEAR(Параметры!J$37)=YEAR(Параметры!I$37),I692+J691,J691))</f>
        <v>0</v>
      </c>
      <c r="K692" s="115">
        <f ca="1">IF(K$2=1,K691,IF(YEAR(Параметры!K$37)=YEAR(Параметры!J$37),J692+K691,K691))</f>
        <v>0</v>
      </c>
      <c r="L692" s="115">
        <f ca="1">IF(L$2=1,L691,IF(YEAR(Параметры!L$37)=YEAR(Параметры!K$37),K692+L691,L691))</f>
        <v>0</v>
      </c>
      <c r="M692" s="115">
        <f ca="1">IF(M$2=1,M691,IF(YEAR(Параметры!M$37)=YEAR(Параметры!L$37),L692+M691,M691))</f>
        <v>0</v>
      </c>
      <c r="N692" s="115">
        <f ca="1">IF(N$2=1,N691,IF(YEAR(Параметры!N$37)=YEAR(Параметры!M$37),M692+N691,N691))</f>
        <v>0</v>
      </c>
      <c r="O692" s="115">
        <f ca="1">IF(O$2=1,O691,IF(YEAR(Параметры!O$37)=YEAR(Параметры!N$37),N692+O691,O691))</f>
        <v>0</v>
      </c>
      <c r="P692" s="115">
        <f ca="1">IF(P$2=1,P691,IF(YEAR(Параметры!P$37)=YEAR(Параметры!O$37),O692+P691,P691))</f>
        <v>0</v>
      </c>
      <c r="Q692" s="115">
        <f ca="1">IF(Q$2=1,Q691,IF(YEAR(Параметры!Q$37)=YEAR(Параметры!P$37),P692+Q691,Q691))</f>
        <v>0</v>
      </c>
      <c r="R692" s="115">
        <f ca="1">IF(R$2=1,R691,IF(YEAR(Параметры!R$37)=YEAR(Параметры!Q$37),Q692+R691,R691))</f>
        <v>0</v>
      </c>
      <c r="S692" s="115">
        <f ca="1">IF(S$2=1,S691,IF(YEAR(Параметры!S$37)=YEAR(Параметры!R$37),R692+S691,S691))</f>
        <v>0</v>
      </c>
      <c r="T692" s="115">
        <f ca="1">IF(T$2=1,T691,IF(YEAR(Параметры!T$37)=YEAR(Параметры!S$37),S692+T691,T691))</f>
        <v>0</v>
      </c>
      <c r="U692" s="115">
        <f ca="1">IF(U$2=1,U691,IF(YEAR(Параметры!U$37)=YEAR(Параметры!T$37),T692+U691,U691))</f>
        <v>0</v>
      </c>
      <c r="V692" s="115">
        <f ca="1">IF(V$2=1,V691,IF(YEAR(Параметры!V$37)=YEAR(Параметры!U$37),U692+V691,V691))</f>
        <v>0</v>
      </c>
      <c r="W692" s="115">
        <f ca="1">IF(W$2=1,W691,IF(YEAR(Параметры!W$37)=YEAR(Параметры!V$37),V692+W691,W691))</f>
        <v>0</v>
      </c>
      <c r="X692" s="115">
        <f ca="1">IF(X$2=1,X691,IF(YEAR(Параметры!X$37)=YEAR(Параметры!W$37),W692+X691,X691))</f>
        <v>0</v>
      </c>
      <c r="Y692" s="115">
        <f ca="1">IF(Y$2=1,Y691,IF(YEAR(Параметры!Y$37)=YEAR(Параметры!X$37),X692+Y691,Y691))</f>
        <v>0</v>
      </c>
      <c r="Z692" s="115">
        <f ca="1">IF(Z$2=1,Z691,IF(YEAR(Параметры!Z$37)=YEAR(Параметры!Y$37),Y692+Z691,Z691))</f>
        <v>0</v>
      </c>
      <c r="AA692" s="115">
        <f ca="1">IF(AA$2=1,AA691,IF(YEAR(Параметры!AA$37)=YEAR(Параметры!Z$37),Z692+AA691,AA691))</f>
        <v>0</v>
      </c>
      <c r="AB692" s="115">
        <f ca="1">IF(AB$2=1,AB691,IF(YEAR(Параметры!AB$37)=YEAR(Параметры!AA$37),AA692+AB691,AB691))</f>
        <v>0</v>
      </c>
      <c r="AC692" s="115">
        <f ca="1">IF(AC$2=1,AC691,IF(YEAR(Параметры!AC$37)=YEAR(Параметры!AB$37),AB692+AC691,AC691))</f>
        <v>0</v>
      </c>
      <c r="AD692" s="115">
        <f ca="1">IF(AD$2=1,AD691,IF(YEAR(Параметры!AD$37)=YEAR(Параметры!AC$37),AC692+AD691,AD691))</f>
        <v>0</v>
      </c>
      <c r="AE692" s="115">
        <f ca="1">IF(AE$2=1,AE691,IF(YEAR(Параметры!AE$37)=YEAR(Параметры!AD$37),AD692+AE691,AE691))</f>
        <v>0</v>
      </c>
      <c r="AF692" s="115">
        <f ca="1">IF(AF$2=1,AF691,IF(YEAR(Параметры!AF$37)=YEAR(Параметры!AE$37),AE692+AF691,AF691))</f>
        <v>0</v>
      </c>
      <c r="AG692" s="115">
        <f ca="1">IF(AG$2=1,AG691,IF(YEAR(Параметры!AG$37)=YEAR(Параметры!AF$37),AF692+AG691,AG691))</f>
        <v>0</v>
      </c>
      <c r="AH692" s="115">
        <f ca="1">IF(AH$2=1,AH691,IF(YEAR(Параметры!AH$37)=YEAR(Параметры!AG$37),AG692+AH691,AH691))</f>
        <v>0</v>
      </c>
      <c r="AI692" s="115">
        <f ca="1">IF(AI$2=1,AI691,IF(YEAR(Параметры!AI$37)=YEAR(Параметры!AH$37),AH692+AI691,AI691))</f>
        <v>0</v>
      </c>
      <c r="AJ692" s="115">
        <f ca="1">IF(AJ$2=1,AJ691,IF(YEAR(Параметры!AJ$37)=YEAR(Параметры!AI$37),AI692+AJ691,AJ691))</f>
        <v>0</v>
      </c>
      <c r="AK692" s="115">
        <f ca="1">IF(AK$2=1,AK691,IF(YEAR(Параметры!AK$37)=YEAR(Параметры!AJ$37),AJ692+AK691,AK691))</f>
        <v>0</v>
      </c>
      <c r="AL692" s="115">
        <f ca="1">IF(AL$2=1,AL691,IF(YEAR(Параметры!AL$37)=YEAR(Параметры!AK$37),AK692+AL691,AL691))</f>
        <v>0</v>
      </c>
      <c r="AM692" s="115">
        <f ca="1">IF(AM$2=1,AM691,IF(YEAR(Параметры!AM$37)=YEAR(Параметры!AL$37),AL692+AM691,AM691))</f>
        <v>0</v>
      </c>
      <c r="AN692" s="115">
        <f ca="1">IF(AN$2=1,AN691,IF(YEAR(Параметры!AN$37)=YEAR(Параметры!AM$37),AM692+AN691,AN691))</f>
        <v>0</v>
      </c>
      <c r="AO692" s="115">
        <f ca="1">IF(AO$2=1,AO691,IF(YEAR(Параметры!AO$37)=YEAR(Параметры!AN$37),AN692+AO691,AO691))</f>
        <v>0</v>
      </c>
      <c r="AP692" s="115">
        <f ca="1">IF(AP$2=1,AP691,IF(YEAR(Параметры!AP$37)=YEAR(Параметры!AO$37),AO692+AP691,AP691))</f>
        <v>0</v>
      </c>
      <c r="AQ692" s="115">
        <f ca="1">IF(AQ$2=1,AQ691,IF(YEAR(Параметры!AQ$37)=YEAR(Параметры!AP$37),AP692+AQ691,AQ691))</f>
        <v>0</v>
      </c>
      <c r="AR692" s="115">
        <f ca="1">IF(AR$2=1,AR691,IF(YEAR(Параметры!AR$37)=YEAR(Параметры!AQ$37),AQ692+AR691,AR691))</f>
        <v>0</v>
      </c>
      <c r="AT692" s="84"/>
    </row>
    <row r="693" spans="1:46" ht="11.25" customHeight="1" outlineLevel="1" x14ac:dyDescent="0.2">
      <c r="A693" s="420" t="s">
        <v>499</v>
      </c>
      <c r="C693" s="266" t="str">
        <f>Параметры!$B$64</f>
        <v>тыс. руб.</v>
      </c>
      <c r="D693" s="65"/>
      <c r="E693" s="115">
        <f t="shared" ref="E693:AR693" ca="1" si="482">E690-E692</f>
        <v>-21972.788429824897</v>
      </c>
      <c r="F693" s="115">
        <f t="shared" ca="1" si="482"/>
        <v>-50481.451859649787</v>
      </c>
      <c r="G693" s="115">
        <f t="shared" ca="1" si="482"/>
        <v>-72521.279337597342</v>
      </c>
      <c r="H693" s="115">
        <f t="shared" ca="1" si="482"/>
        <v>-89782.997119722757</v>
      </c>
      <c r="I693" s="115">
        <f t="shared" ca="1" si="482"/>
        <v>-12976.06254922122</v>
      </c>
      <c r="J693" s="115">
        <f t="shared" ca="1" si="482"/>
        <v>-28098.371974704729</v>
      </c>
      <c r="K693" s="115">
        <f t="shared" ca="1" si="482"/>
        <v>-50046.656536201604</v>
      </c>
      <c r="L693" s="115">
        <f t="shared" ca="1" si="482"/>
        <v>-76466.153963686898</v>
      </c>
      <c r="M693" s="115">
        <f t="shared" ca="1" si="482"/>
        <v>-16841.165766305639</v>
      </c>
      <c r="N693" s="115">
        <f t="shared" ca="1" si="482"/>
        <v>-40216.870793632224</v>
      </c>
      <c r="O693" s="115">
        <f t="shared" ca="1" si="482"/>
        <v>-74582.185557632751</v>
      </c>
      <c r="P693" s="115">
        <f t="shared" ca="1" si="482"/>
        <v>-119654.34639063325</v>
      </c>
      <c r="Q693" s="115">
        <f t="shared" ca="1" si="482"/>
        <v>-41587.201382659281</v>
      </c>
      <c r="R693" s="115">
        <f t="shared" ca="1" si="482"/>
        <v>-93065.322549156059</v>
      </c>
      <c r="S693" s="115">
        <f t="shared" ca="1" si="482"/>
        <v>-156035.53507016378</v>
      </c>
      <c r="T693" s="115">
        <f t="shared" ca="1" si="482"/>
        <v>-222703.95232291165</v>
      </c>
      <c r="U693" s="115">
        <f t="shared" ca="1" si="482"/>
        <v>0</v>
      </c>
      <c r="V693" s="115">
        <f t="shared" ca="1" si="482"/>
        <v>0</v>
      </c>
      <c r="W693" s="115">
        <f t="shared" ca="1" si="482"/>
        <v>0</v>
      </c>
      <c r="X693" s="115">
        <f t="shared" ca="1" si="482"/>
        <v>0</v>
      </c>
      <c r="Y693" s="115">
        <f t="shared" ca="1" si="482"/>
        <v>0</v>
      </c>
      <c r="Z693" s="115">
        <f t="shared" ca="1" si="482"/>
        <v>0</v>
      </c>
      <c r="AA693" s="115">
        <f t="shared" ca="1" si="482"/>
        <v>0</v>
      </c>
      <c r="AB693" s="115">
        <f t="shared" ca="1" si="482"/>
        <v>0</v>
      </c>
      <c r="AC693" s="115">
        <f t="shared" ca="1" si="482"/>
        <v>0</v>
      </c>
      <c r="AD693" s="115">
        <f t="shared" ca="1" si="482"/>
        <v>0</v>
      </c>
      <c r="AE693" s="115">
        <f t="shared" ca="1" si="482"/>
        <v>0</v>
      </c>
      <c r="AF693" s="115">
        <f t="shared" ca="1" si="482"/>
        <v>0</v>
      </c>
      <c r="AG693" s="115">
        <f t="shared" ca="1" si="482"/>
        <v>0</v>
      </c>
      <c r="AH693" s="115">
        <f t="shared" ca="1" si="482"/>
        <v>0</v>
      </c>
      <c r="AI693" s="115">
        <f t="shared" ca="1" si="482"/>
        <v>0</v>
      </c>
      <c r="AJ693" s="115">
        <f t="shared" ca="1" si="482"/>
        <v>0</v>
      </c>
      <c r="AK693" s="115">
        <f t="shared" ca="1" si="482"/>
        <v>0</v>
      </c>
      <c r="AL693" s="115">
        <f t="shared" ca="1" si="482"/>
        <v>0</v>
      </c>
      <c r="AM693" s="115">
        <f t="shared" ca="1" si="482"/>
        <v>0</v>
      </c>
      <c r="AN693" s="115">
        <f t="shared" ca="1" si="482"/>
        <v>0</v>
      </c>
      <c r="AO693" s="115">
        <f t="shared" ca="1" si="482"/>
        <v>0</v>
      </c>
      <c r="AP693" s="115">
        <f t="shared" ca="1" si="482"/>
        <v>0</v>
      </c>
      <c r="AQ693" s="115">
        <f t="shared" ca="1" si="482"/>
        <v>0</v>
      </c>
      <c r="AR693" s="115">
        <f t="shared" ca="1" si="482"/>
        <v>0</v>
      </c>
      <c r="AT693" s="84"/>
    </row>
    <row r="694" spans="1:46" ht="11.25" customHeight="1" outlineLevel="1" x14ac:dyDescent="0.2">
      <c r="A694" s="63" t="s">
        <v>451</v>
      </c>
      <c r="C694" s="266" t="str">
        <f>Параметры!$B$64</f>
        <v>тыс. руб.</v>
      </c>
      <c r="D694" s="65"/>
      <c r="E694" s="82">
        <f ca="1">IF(E$2=1,0,D694+IF(YEAR(Параметры!E$37)=YEAR(Параметры!D$37),0,D693))-E695</f>
        <v>0</v>
      </c>
      <c r="F694" s="82">
        <f ca="1">IF(F$2=1,0,E694+IF(YEAR(Параметры!F$37)=YEAR(Параметры!E$37),0,E693))-F695</f>
        <v>0</v>
      </c>
      <c r="G694" s="82">
        <f ca="1">IF(G$2=1,0,F694+IF(YEAR(Параметры!G$37)=YEAR(Параметры!F$37),0,F693))-G695</f>
        <v>0</v>
      </c>
      <c r="H694" s="82">
        <f ca="1">IF(H$2=1,0,G694+IF(YEAR(Параметры!H$37)=YEAR(Параметры!G$37),0,G693))-H695</f>
        <v>0</v>
      </c>
      <c r="I694" s="82">
        <f ca="1">IF(I$2=1,0,H694+IF(YEAR(Параметры!I$37)=YEAR(Параметры!H$37),0,H693))-I695</f>
        <v>-89782.997119722757</v>
      </c>
      <c r="J694" s="82">
        <f ca="1">IF(J$2=1,0,I694+IF(YEAR(Параметры!J$37)=YEAR(Параметры!I$37),0,I693))-J695</f>
        <v>-89782.997119722757</v>
      </c>
      <c r="K694" s="82">
        <f ca="1">IF(K$2=1,0,J694+IF(YEAR(Параметры!K$37)=YEAR(Параметры!J$37),0,J693))-K695</f>
        <v>-89782.997119722757</v>
      </c>
      <c r="L694" s="82">
        <f ca="1">IF(L$2=1,0,K694+IF(YEAR(Параметры!L$37)=YEAR(Параметры!K$37),0,K693))-L695</f>
        <v>-89782.997119722757</v>
      </c>
      <c r="M694" s="82">
        <f ca="1">IF(M$2=1,0,L694+IF(YEAR(Параметры!M$37)=YEAR(Параметры!L$37),0,L693))-M695</f>
        <v>-166249.15108340967</v>
      </c>
      <c r="N694" s="82">
        <f ca="1">IF(N$2=1,0,M694+IF(YEAR(Параметры!N$37)=YEAR(Параметры!M$37),0,M693))-N695</f>
        <v>-166249.15108340967</v>
      </c>
      <c r="O694" s="82">
        <f ca="1">IF(O$2=1,0,N694+IF(YEAR(Параметры!O$37)=YEAR(Параметры!N$37),0,N693))-O695</f>
        <v>-166249.15108340967</v>
      </c>
      <c r="P694" s="82">
        <f ca="1">IF(P$2=1,0,O694+IF(YEAR(Параметры!P$37)=YEAR(Параметры!O$37),0,O693))-P695</f>
        <v>-166249.15108340967</v>
      </c>
      <c r="Q694" s="82">
        <f ca="1">IF(Q$2=1,0,P694+IF(YEAR(Параметры!Q$37)=YEAR(Параметры!P$37),0,P693))-Q695</f>
        <v>-285903.49747404293</v>
      </c>
      <c r="R694" s="82">
        <f ca="1">IF(R$2=1,0,Q694+IF(YEAR(Параметры!R$37)=YEAR(Параметры!Q$37),0,Q693))-R695</f>
        <v>-285903.49747404293</v>
      </c>
      <c r="S694" s="82">
        <f ca="1">IF(S$2=1,0,R694+IF(YEAR(Параметры!S$37)=YEAR(Параметры!R$37),0,R693))-S695</f>
        <v>-285903.49747404293</v>
      </c>
      <c r="T694" s="82">
        <f ca="1">IF(T$2=1,0,S694+IF(YEAR(Параметры!T$37)=YEAR(Параметры!S$37),0,S693))-T695</f>
        <v>-285903.49747404293</v>
      </c>
      <c r="U694" s="82">
        <f ca="1">IF(U$2=1,0,T694+IF(YEAR(Параметры!U$37)=YEAR(Параметры!T$37),0,T693))-U695</f>
        <v>-476326.55630593305</v>
      </c>
      <c r="V694" s="82">
        <f ca="1">IF(V$2=1,0,U694+IF(YEAR(Параметры!V$37)=YEAR(Параметры!U$37),0,U693))-V695</f>
        <v>-432305.84558486467</v>
      </c>
      <c r="W694" s="82">
        <f ca="1">IF(W$2=1,0,V694+IF(YEAR(Параметры!W$37)=YEAR(Параметры!V$37),0,V693))-W695</f>
        <v>-382181.78852307401</v>
      </c>
      <c r="X694" s="82">
        <f ca="1">IF(X$2=1,0,W694+IF(YEAR(Параметры!X$37)=YEAR(Параметры!W$37),0,W693))-X695</f>
        <v>-325844.78499210672</v>
      </c>
      <c r="Y694" s="82">
        <f ca="1">IF(Y$2=1,0,X694+IF(YEAR(Параметры!Y$37)=YEAR(Параметры!X$37),0,X693))-Y695</f>
        <v>-263183.08770801337</v>
      </c>
      <c r="Z694" s="82">
        <f ca="1">IF(Z$2=1,0,Y694+IF(YEAR(Параметры!Z$37)=YEAR(Параметры!Y$37),0,Y693))-Z695</f>
        <v>-194126.35149493074</v>
      </c>
      <c r="AA694" s="82">
        <f ca="1">IF(AA$2=1,0,Z694+IF(YEAR(Параметры!AA$37)=YEAR(Параметры!Z$37),0,Z693))-AA695</f>
        <v>-118559.38203413945</v>
      </c>
      <c r="AB694" s="82">
        <f ca="1">IF(AB$2=1,0,AA694+IF(YEAR(Параметры!AB$37)=YEAR(Параметры!AA$37),0,AA693))-AB695</f>
        <v>-36364.717898950956</v>
      </c>
      <c r="AC694" s="82">
        <f ca="1">IF(AC$2=1,0,AB694+IF(YEAR(Параметры!AC$37)=YEAR(Параметры!AB$37),0,AB693))-AC695</f>
        <v>0</v>
      </c>
      <c r="AD694" s="82">
        <f ca="1">IF(AD$2=1,0,AC694+IF(YEAR(Параметры!AD$37)=YEAR(Параметры!AC$37),0,AC693))-AD695</f>
        <v>0</v>
      </c>
      <c r="AE694" s="82">
        <f ca="1">IF(AE$2=1,0,AD694+IF(YEAR(Параметры!AE$37)=YEAR(Параметры!AD$37),0,AD693))-AE695</f>
        <v>0</v>
      </c>
      <c r="AF694" s="82">
        <f ca="1">IF(AF$2=1,0,AE694+IF(YEAR(Параметры!AF$37)=YEAR(Параметры!AE$37),0,AE693))-AF695</f>
        <v>0</v>
      </c>
      <c r="AG694" s="82">
        <f ca="1">IF(AG$2=1,0,AF694+IF(YEAR(Параметры!AG$37)=YEAR(Параметры!AF$37),0,AF693))-AG695</f>
        <v>0</v>
      </c>
      <c r="AH694" s="82">
        <f ca="1">IF(AH$2=1,0,AG694+IF(YEAR(Параметры!AH$37)=YEAR(Параметры!AG$37),0,AG693))-AH695</f>
        <v>0</v>
      </c>
      <c r="AI694" s="82">
        <f ca="1">IF(AI$2=1,0,AH694+IF(YEAR(Параметры!AI$37)=YEAR(Параметры!AH$37),0,AH693))-AI695</f>
        <v>0</v>
      </c>
      <c r="AJ694" s="82">
        <f ca="1">IF(AJ$2=1,0,AI694+IF(YEAR(Параметры!AJ$37)=YEAR(Параметры!AI$37),0,AI693))-AJ695</f>
        <v>0</v>
      </c>
      <c r="AK694" s="82">
        <f ca="1">IF(AK$2=1,0,AJ694+IF(YEAR(Параметры!AK$37)=YEAR(Параметры!AJ$37),0,AJ693))-AK695</f>
        <v>0</v>
      </c>
      <c r="AL694" s="82">
        <f ca="1">IF(AL$2=1,0,AK694+IF(YEAR(Параметры!AL$37)=YEAR(Параметры!AK$37),0,AK693))-AL695</f>
        <v>0</v>
      </c>
      <c r="AM694" s="82">
        <f ca="1">IF(AM$2=1,0,AL694+IF(YEAR(Параметры!AM$37)=YEAR(Параметры!AL$37),0,AL693))-AM695</f>
        <v>0</v>
      </c>
      <c r="AN694" s="82">
        <f ca="1">IF(AN$2=1,0,AM694+IF(YEAR(Параметры!AN$37)=YEAR(Параметры!AM$37),0,AM693))-AN695</f>
        <v>0</v>
      </c>
      <c r="AO694" s="82">
        <f ca="1">IF(AO$2=1,0,AN694+IF(YEAR(Параметры!AO$37)=YEAR(Параметры!AN$37),0,AN693))-AO695</f>
        <v>0</v>
      </c>
      <c r="AP694" s="82">
        <f ca="1">IF(AP$2=1,0,AO694+IF(YEAR(Параметры!AP$37)=YEAR(Параметры!AO$37),0,AO693))-AP695</f>
        <v>0</v>
      </c>
      <c r="AQ694" s="82">
        <f ca="1">IF(AQ$2=1,0,AP694+IF(YEAR(Параметры!AQ$37)=YEAR(Параметры!AP$37),0,AP693))-AQ695</f>
        <v>0</v>
      </c>
      <c r="AR694" s="82">
        <f ca="1">IF(AR$2=1,0,AQ694+IF(YEAR(Параметры!AR$37)=YEAR(Параметры!AQ$37),0,AQ693))-AR695</f>
        <v>0</v>
      </c>
      <c r="AT694" s="84"/>
    </row>
    <row r="695" spans="1:46" ht="11.25" customHeight="1" outlineLevel="1" x14ac:dyDescent="0.2">
      <c r="A695" s="63" t="s">
        <v>452</v>
      </c>
      <c r="C695" s="266" t="str">
        <f>Параметры!$B$64</f>
        <v>тыс. руб.</v>
      </c>
      <c r="D695" s="65"/>
      <c r="E695" s="82">
        <f ca="1">-IF(E689-E691&gt;0,MIN((E689+E691)*Параметры!E148,IF(E$2=1,0,-D694-IF(YEAR(Параметры!E$37)=YEAR(Параметры!D$37),0,D693))),0)</f>
        <v>0</v>
      </c>
      <c r="F695" s="82">
        <f ca="1">-IF(F689-F691&gt;0,MIN((F689+F691)*Параметры!F148,IF(F$2=1,0,-E694-IF(YEAR(Параметры!F$37)=YEAR(Параметры!E$37),0,E693))),0)</f>
        <v>0</v>
      </c>
      <c r="G695" s="82">
        <f ca="1">-IF(G689-G691&gt;0,MIN((G689+G691)*Параметры!G148,IF(G$2=1,0,-F694-IF(YEAR(Параметры!G$37)=YEAR(Параметры!F$37),0,F693))),0)</f>
        <v>0</v>
      </c>
      <c r="H695" s="82">
        <f ca="1">-IF(H689-H691&gt;0,MIN((H689+H691)*Параметры!H148,IF(H$2=1,0,-G694-IF(YEAR(Параметры!H$37)=YEAR(Параметры!G$37),0,G693))),0)</f>
        <v>0</v>
      </c>
      <c r="I695" s="82">
        <f ca="1">-IF(I689-I691&gt;0,MIN((I689+I691)*Параметры!I148,IF(I$2=1,0,-H694-IF(YEAR(Параметры!I$37)=YEAR(Параметры!H$37),0,H693))),0)</f>
        <v>0</v>
      </c>
      <c r="J695" s="82">
        <f ca="1">-IF(J689-J691&gt;0,MIN((J689+J691)*Параметры!J148,IF(J$2=1,0,-I694-IF(YEAR(Параметры!J$37)=YEAR(Параметры!I$37),0,I693))),0)</f>
        <v>0</v>
      </c>
      <c r="K695" s="82">
        <f ca="1">-IF(K689-K691&gt;0,MIN((K689+K691)*Параметры!K148,IF(K$2=1,0,-J694-IF(YEAR(Параметры!K$37)=YEAR(Параметры!J$37),0,J693))),0)</f>
        <v>0</v>
      </c>
      <c r="L695" s="82">
        <f ca="1">-IF(L689-L691&gt;0,MIN((L689+L691)*Параметры!L148,IF(L$2=1,0,-K694-IF(YEAR(Параметры!L$37)=YEAR(Параметры!K$37),0,K693))),0)</f>
        <v>0</v>
      </c>
      <c r="M695" s="82">
        <f ca="1">-IF(M689-M691&gt;0,MIN((M689+M691)*Параметры!M148,IF(M$2=1,0,-L694-IF(YEAR(Параметры!M$37)=YEAR(Параметры!L$37),0,L693))),0)</f>
        <v>0</v>
      </c>
      <c r="N695" s="82">
        <f ca="1">-IF(N689-N691&gt;0,MIN((N689+N691)*Параметры!N148,IF(N$2=1,0,-M694-IF(YEAR(Параметры!N$37)=YEAR(Параметры!M$37),0,M693))),0)</f>
        <v>0</v>
      </c>
      <c r="O695" s="82">
        <f ca="1">-IF(O689-O691&gt;0,MIN((O689+O691)*Параметры!O148,IF(O$2=1,0,-N694-IF(YEAR(Параметры!O$37)=YEAR(Параметры!N$37),0,N693))),0)</f>
        <v>0</v>
      </c>
      <c r="P695" s="82">
        <f ca="1">-IF(P689-P691&gt;0,MIN((P689+P691)*Параметры!P148,IF(P$2=1,0,-O694-IF(YEAR(Параметры!P$37)=YEAR(Параметры!O$37),0,O693))),0)</f>
        <v>0</v>
      </c>
      <c r="Q695" s="82">
        <f ca="1">-IF(Q689-Q691&gt;0,MIN((Q689+Q691)*Параметры!Q148,IF(Q$2=1,0,-P694-IF(YEAR(Параметры!Q$37)=YEAR(Параметры!P$37),0,P693))),0)</f>
        <v>0</v>
      </c>
      <c r="R695" s="82">
        <f ca="1">-IF(R689-R691&gt;0,MIN((R689+R691)*Параметры!R148,IF(R$2=1,0,-Q694-IF(YEAR(Параметры!R$37)=YEAR(Параметры!Q$37),0,Q693))),0)</f>
        <v>0</v>
      </c>
      <c r="S695" s="82">
        <f ca="1">-IF(S689-S691&gt;0,MIN((S689+S691)*Параметры!S148,IF(S$2=1,0,-R694-IF(YEAR(Параметры!S$37)=YEAR(Параметры!R$37),0,R693))),0)</f>
        <v>0</v>
      </c>
      <c r="T695" s="82">
        <f ca="1">-IF(T689-T691&gt;0,MIN((T689+T691)*Параметры!T148,IF(T$2=1,0,-S694-IF(YEAR(Параметры!T$37)=YEAR(Параметры!S$37),0,S693))),0)</f>
        <v>0</v>
      </c>
      <c r="U695" s="82">
        <f ca="1">-IF(U689-U691&gt;0,MIN((U689+U691)*Параметры!U148,IF(U$2=1,0,-T694-IF(YEAR(Параметры!U$37)=YEAR(Параметры!T$37),0,T693))),0)</f>
        <v>-32280.893491021561</v>
      </c>
      <c r="V695" s="82">
        <f ca="1">-IF(V689-V691&gt;0,MIN((V689+V691)*Параметры!V148,IF(V$2=1,0,-U694-IF(YEAR(Параметры!V$37)=YEAR(Параметры!U$37),0,U693))),0)</f>
        <v>-44020.710721068361</v>
      </c>
      <c r="W695" s="82">
        <f ca="1">-IF(W689-W691&gt;0,MIN((W689+W691)*Параметры!W148,IF(W$2=1,0,-V694-IF(YEAR(Параметры!W$37)=YEAR(Параметры!V$37),0,V693))),0)</f>
        <v>-50124.057061790649</v>
      </c>
      <c r="X695" s="82">
        <f ca="1">-IF(X689-X691&gt;0,MIN((X689+X691)*Параметры!X148,IF(X$2=1,0,-W694-IF(YEAR(Параметры!X$37)=YEAR(Параметры!W$37),0,W693))),0)</f>
        <v>-56337.003530967268</v>
      </c>
      <c r="Y695" s="82">
        <f ca="1">-IF(Y689-Y691&gt;0,MIN((Y689+Y691)*Параметры!Y148,IF(Y$2=1,0,-X694-IF(YEAR(Параметры!Y$37)=YEAR(Параметры!X$37),0,X693))),0)</f>
        <v>-62661.697284093345</v>
      </c>
      <c r="Z695" s="82">
        <f ca="1">-IF(Z689-Z691&gt;0,MIN((Z689+Z691)*Параметры!Z148,IF(Z$2=1,0,-Y694-IF(YEAR(Параметры!Z$37)=YEAR(Параметры!Y$37),0,Y693))),0)</f>
        <v>-69056.736213082637</v>
      </c>
      <c r="AA695" s="82">
        <f ca="1">-IF(AA689-AA691&gt;0,MIN((AA689+AA691)*Параметры!AA148,IF(AA$2=1,0,-Z694-IF(YEAR(Параметры!AA$37)=YEAR(Параметры!Z$37),0,Z693))),0)</f>
        <v>-75566.969460791297</v>
      </c>
      <c r="AB695" s="82">
        <f ca="1">-IF(AB689-AB691&gt;0,MIN((AB689+AB691)*Параметры!AB148,IF(AB$2=1,0,-AA694-IF(YEAR(Параметры!AB$37)=YEAR(Параметры!AA$37),0,AA693))),0)</f>
        <v>-82194.66413518849</v>
      </c>
      <c r="AC695" s="82">
        <f ca="1">-IF(AC689-AC691&gt;0,MIN((AC689+AC691)*Параметры!AC148,IF(AC$2=1,0,-AB694-IF(YEAR(Параметры!AC$37)=YEAR(Параметры!AB$37),0,AB693))),0)</f>
        <v>-36364.717898950956</v>
      </c>
      <c r="AD695" s="82">
        <f ca="1">-IF(AD689-AD691&gt;0,MIN((AD689+AD691)*Параметры!AD148,IF(AD$2=1,0,-AC694-IF(YEAR(Параметры!AD$37)=YEAR(Параметры!AC$37),0,AC693))),0)</f>
        <v>0</v>
      </c>
      <c r="AE695" s="82">
        <f ca="1">-IF(AE689-AE691&gt;0,MIN((AE689+AE691)*Параметры!AE148,IF(AE$2=1,0,-AD694-IF(YEAR(Параметры!AE$37)=YEAR(Параметры!AD$37),0,AD693))),0)</f>
        <v>0</v>
      </c>
      <c r="AF695" s="82">
        <f ca="1">-IF(AF689-AF691&gt;0,MIN((AF689+AF691)*Параметры!AF148,IF(AF$2=1,0,-AE694-IF(YEAR(Параметры!AF$37)=YEAR(Параметры!AE$37),0,AE693))),0)</f>
        <v>0</v>
      </c>
      <c r="AG695" s="82">
        <f ca="1">-IF(AG689-AG691&gt;0,MIN((AG689+AG691)*Параметры!AG148,IF(AG$2=1,0,-AF694-IF(YEAR(Параметры!AG$37)=YEAR(Параметры!AF$37),0,AF693))),0)</f>
        <v>0</v>
      </c>
      <c r="AH695" s="82">
        <f ca="1">-IF(AH689-AH691&gt;0,MIN((AH689+AH691)*Параметры!AH148,IF(AH$2=1,0,-AG694-IF(YEAR(Параметры!AH$37)=YEAR(Параметры!AG$37),0,AG693))),0)</f>
        <v>0</v>
      </c>
      <c r="AI695" s="82">
        <f ca="1">-IF(AI689-AI691&gt;0,MIN((AI689+AI691)*Параметры!AI148,IF(AI$2=1,0,-AH694-IF(YEAR(Параметры!AI$37)=YEAR(Параметры!AH$37),0,AH693))),0)</f>
        <v>0</v>
      </c>
      <c r="AJ695" s="82">
        <f ca="1">-IF(AJ689-AJ691&gt;0,MIN((AJ689+AJ691)*Параметры!AJ148,IF(AJ$2=1,0,-AI694-IF(YEAR(Параметры!AJ$37)=YEAR(Параметры!AI$37),0,AI693))),0)</f>
        <v>0</v>
      </c>
      <c r="AK695" s="82">
        <f ca="1">-IF(AK689-AK691&gt;0,MIN((AK689+AK691)*Параметры!AK148,IF(AK$2=1,0,-AJ694-IF(YEAR(Параметры!AK$37)=YEAR(Параметры!AJ$37),0,AJ693))),0)</f>
        <v>0</v>
      </c>
      <c r="AL695" s="82">
        <f ca="1">-IF(AL689-AL691&gt;0,MIN((AL689+AL691)*Параметры!AL148,IF(AL$2=1,0,-AK694-IF(YEAR(Параметры!AL$37)=YEAR(Параметры!AK$37),0,AK693))),0)</f>
        <v>0</v>
      </c>
      <c r="AM695" s="82">
        <f ca="1">-IF(AM689-AM691&gt;0,MIN((AM689+AM691)*Параметры!AM148,IF(AM$2=1,0,-AL694-IF(YEAR(Параметры!AM$37)=YEAR(Параметры!AL$37),0,AL693))),0)</f>
        <v>0</v>
      </c>
      <c r="AN695" s="82">
        <f ca="1">-IF(AN689-AN691&gt;0,MIN((AN689+AN691)*Параметры!AN148,IF(AN$2=1,0,-AM694-IF(YEAR(Параметры!AN$37)=YEAR(Параметры!AM$37),0,AM693))),0)</f>
        <v>0</v>
      </c>
      <c r="AO695" s="82">
        <f ca="1">-IF(AO689-AO691&gt;0,MIN((AO689+AO691)*Параметры!AO148,IF(AO$2=1,0,-AN694-IF(YEAR(Параметры!AO$37)=YEAR(Параметры!AN$37),0,AN693))),0)</f>
        <v>0</v>
      </c>
      <c r="AP695" s="82">
        <f ca="1">-IF(AP689-AP691&gt;0,MIN((AP689+AP691)*Параметры!AP148,IF(AP$2=1,0,-AO694-IF(YEAR(Параметры!AP$37)=YEAR(Параметры!AO$37),0,AO693))),0)</f>
        <v>0</v>
      </c>
      <c r="AQ695" s="82">
        <f ca="1">-IF(AQ689-AQ691&gt;0,MIN((AQ689+AQ691)*Параметры!AQ148,IF(AQ$2=1,0,-AP694-IF(YEAR(Параметры!AQ$37)=YEAR(Параметры!AP$37),0,AP693))),0)</f>
        <v>0</v>
      </c>
      <c r="AR695" s="82">
        <f ca="1">-IF(AR689-AR691&gt;0,MIN((AR689+AR691)*Параметры!AR148,IF(AR$2=1,0,-AQ694-IF(YEAR(Параметры!AR$37)=YEAR(Параметры!AQ$37),0,AQ693))),0)</f>
        <v>0</v>
      </c>
      <c r="AT695" s="84">
        <f ca="1">SUM(E695:AS695)</f>
        <v>-508607.44979695464</v>
      </c>
    </row>
    <row r="696" spans="1:46" ht="11.25" customHeight="1" outlineLevel="1" x14ac:dyDescent="0.2">
      <c r="A696" s="63" t="s">
        <v>217</v>
      </c>
      <c r="C696" s="266" t="str">
        <f>Параметры!$B$64</f>
        <v>тыс. руб.</v>
      </c>
      <c r="D696" s="65"/>
      <c r="E696" s="82">
        <f t="shared" ref="E696:AR696" ca="1" si="483">MAX(E689+E691+E695,0)</f>
        <v>0</v>
      </c>
      <c r="F696" s="82">
        <f t="shared" ca="1" si="483"/>
        <v>0</v>
      </c>
      <c r="G696" s="82">
        <f t="shared" ca="1" si="483"/>
        <v>0</v>
      </c>
      <c r="H696" s="82">
        <f t="shared" ca="1" si="483"/>
        <v>0</v>
      </c>
      <c r="I696" s="82">
        <f t="shared" ca="1" si="483"/>
        <v>0</v>
      </c>
      <c r="J696" s="82">
        <f t="shared" ca="1" si="483"/>
        <v>0</v>
      </c>
      <c r="K696" s="82">
        <f t="shared" ca="1" si="483"/>
        <v>0</v>
      </c>
      <c r="L696" s="82">
        <f t="shared" ca="1" si="483"/>
        <v>0</v>
      </c>
      <c r="M696" s="82">
        <f t="shared" ca="1" si="483"/>
        <v>0</v>
      </c>
      <c r="N696" s="82">
        <f t="shared" ca="1" si="483"/>
        <v>0</v>
      </c>
      <c r="O696" s="82">
        <f t="shared" ca="1" si="483"/>
        <v>0</v>
      </c>
      <c r="P696" s="82">
        <f t="shared" ca="1" si="483"/>
        <v>0</v>
      </c>
      <c r="Q696" s="82">
        <f t="shared" ca="1" si="483"/>
        <v>0</v>
      </c>
      <c r="R696" s="82">
        <f t="shared" ca="1" si="483"/>
        <v>0</v>
      </c>
      <c r="S696" s="82">
        <f t="shared" ca="1" si="483"/>
        <v>0</v>
      </c>
      <c r="T696" s="82">
        <f t="shared" ca="1" si="483"/>
        <v>0</v>
      </c>
      <c r="U696" s="82">
        <f t="shared" ca="1" si="483"/>
        <v>0</v>
      </c>
      <c r="V696" s="82">
        <f t="shared" ca="1" si="483"/>
        <v>0</v>
      </c>
      <c r="W696" s="82">
        <f t="shared" ca="1" si="483"/>
        <v>0</v>
      </c>
      <c r="X696" s="82">
        <f t="shared" ca="1" si="483"/>
        <v>0</v>
      </c>
      <c r="Y696" s="82">
        <f t="shared" ca="1" si="483"/>
        <v>0</v>
      </c>
      <c r="Z696" s="82">
        <f t="shared" ca="1" si="483"/>
        <v>0</v>
      </c>
      <c r="AA696" s="82">
        <f t="shared" ca="1" si="483"/>
        <v>0</v>
      </c>
      <c r="AB696" s="82">
        <f t="shared" ca="1" si="483"/>
        <v>0</v>
      </c>
      <c r="AC696" s="82">
        <f t="shared" ca="1" si="483"/>
        <v>53062.798780058161</v>
      </c>
      <c r="AD696" s="82">
        <f t="shared" ca="1" si="483"/>
        <v>96262.274759416003</v>
      </c>
      <c r="AE696" s="82">
        <f t="shared" ca="1" si="483"/>
        <v>103220.82089715473</v>
      </c>
      <c r="AF696" s="82">
        <f t="shared" ca="1" si="483"/>
        <v>110305.59971557121</v>
      </c>
      <c r="AG696" s="82">
        <f t="shared" ca="1" si="483"/>
        <v>95501.520036303671</v>
      </c>
      <c r="AH696" s="82">
        <f t="shared" ca="1" si="483"/>
        <v>102841.57929369343</v>
      </c>
      <c r="AI696" s="82">
        <f t="shared" ca="1" si="483"/>
        <v>110306.59253800752</v>
      </c>
      <c r="AJ696" s="82">
        <f t="shared" ca="1" si="483"/>
        <v>117899.01462923936</v>
      </c>
      <c r="AK696" s="82">
        <f t="shared" ca="1" si="483"/>
        <v>312934.93737728038</v>
      </c>
      <c r="AL696" s="82">
        <f t="shared" ca="1" si="483"/>
        <v>128140.71361290182</v>
      </c>
      <c r="AM696" s="82">
        <f t="shared" ca="1" si="483"/>
        <v>135468.74526000576</v>
      </c>
      <c r="AN696" s="82">
        <f t="shared" ca="1" si="483"/>
        <v>142468.82723265357</v>
      </c>
      <c r="AO696" s="82">
        <f t="shared" ca="1" si="483"/>
        <v>4141233.7031427096</v>
      </c>
      <c r="AP696" s="82">
        <f t="shared" ca="1" si="483"/>
        <v>65107.96162438146</v>
      </c>
      <c r="AQ696" s="82">
        <f t="shared" ca="1" si="483"/>
        <v>73474.276579008962</v>
      </c>
      <c r="AR696" s="82">
        <f t="shared" ca="1" si="483"/>
        <v>74601.076264796022</v>
      </c>
      <c r="AT696" s="84">
        <f ca="1">SUM(E696:AS696)</f>
        <v>5862830.441743182</v>
      </c>
    </row>
    <row r="697" spans="1:46" x14ac:dyDescent="0.2"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82"/>
      <c r="AN697" s="82"/>
      <c r="AO697" s="82"/>
      <c r="AP697" s="82"/>
      <c r="AQ697" s="82"/>
      <c r="AR697" s="82"/>
    </row>
    <row r="698" spans="1:46" x14ac:dyDescent="0.2"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82"/>
      <c r="AN698" s="82"/>
      <c r="AO698" s="82"/>
      <c r="AP698" s="82"/>
      <c r="AQ698" s="82"/>
      <c r="AR698" s="82"/>
    </row>
    <row r="699" spans="1:46" x14ac:dyDescent="0.2"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82"/>
      <c r="AN699" s="82"/>
      <c r="AO699" s="82"/>
      <c r="AP699" s="82"/>
      <c r="AQ699" s="82"/>
      <c r="AR699" s="82"/>
    </row>
    <row r="700" spans="1:46" collapsed="1" x14ac:dyDescent="0.2">
      <c r="A700" s="60" t="s">
        <v>312</v>
      </c>
      <c r="C700" s="266" t="str">
        <f>Параметры!$B$64</f>
        <v>тыс. руб.</v>
      </c>
      <c r="D700" s="65"/>
      <c r="E700" s="85">
        <f>E703*IF(Параметры!$B$132,Параметры!E186,Параметры!E183)*Параметры!E41*Параметры!E$39/Параметры!$B$13+0</f>
        <v>1310.6628204915587</v>
      </c>
      <c r="F700" s="85">
        <f>F703*IF(Параметры!$B$132,Параметры!F186,Параметры!F183)*Параметры!F41*Параметры!F$39/Параметры!$B$13+0</f>
        <v>1310.6628204915587</v>
      </c>
      <c r="G700" s="85">
        <f>G703*IF(Параметры!$B$132,Параметры!G186,Параметры!G183)*Параметры!G41*Параметры!G$39/Параметры!$B$13+0</f>
        <v>1310.6628204915587</v>
      </c>
      <c r="H700" s="85">
        <f>H703*IF(Параметры!$B$132,Параметры!H186,Параметры!H183)*Параметры!H41*Параметры!H$39/Параметры!$B$13+0</f>
        <v>1310.6628204915587</v>
      </c>
      <c r="I700" s="85">
        <f>I703*IF(Параметры!$B$132,Параметры!I186,Параметры!I183)*Параметры!I41*Параметры!I$39/Параметры!$B$13+0</f>
        <v>1310.6628204915587</v>
      </c>
      <c r="J700" s="85">
        <f>J703*IF(Параметры!$B$132,Параметры!J186,Параметры!J183)*Параметры!J41*Параметры!J$39/Параметры!$B$13+0</f>
        <v>1310.6628204915587</v>
      </c>
      <c r="K700" s="85">
        <f>K703*IF(Параметры!$B$132,Параметры!K186,Параметры!K183)*Параметры!K41*Параметры!K$39/Параметры!$B$13+0</f>
        <v>1310.6628204915587</v>
      </c>
      <c r="L700" s="85">
        <f>L703*IF(Параметры!$B$132,Параметры!L186,Параметры!L183)*Параметры!L41*Параметры!L$39/Параметры!$B$13+0</f>
        <v>1310.6628204915587</v>
      </c>
      <c r="M700" s="85">
        <f>M703*IF(Параметры!$B$132,Параметры!M186,Параметры!M183)*Параметры!M41*Параметры!M$39/Параметры!$B$13+0</f>
        <v>1310.6628204915587</v>
      </c>
      <c r="N700" s="85">
        <f>N703*IF(Параметры!$B$132,Параметры!N186,Параметры!N183)*Параметры!N41*Параметры!N$39/Параметры!$B$13+0</f>
        <v>1310.6628204915587</v>
      </c>
      <c r="O700" s="85">
        <f>O703*IF(Параметры!$B$132,Параметры!O186,Параметры!O183)*Параметры!O41*Параметры!O$39/Параметры!$B$13+0</f>
        <v>1310.6628204915587</v>
      </c>
      <c r="P700" s="85">
        <f>P703*IF(Параметры!$B$132,Параметры!P186,Параметры!P183)*Параметры!P41*Параметры!P$39/Параметры!$B$13+0</f>
        <v>1310.6628204915587</v>
      </c>
      <c r="Q700" s="85">
        <f>Q703*IF(Параметры!$B$132,Параметры!Q186,Параметры!Q183)*Параметры!Q41*Параметры!Q$39/Параметры!$B$13+0</f>
        <v>1310.6628204915587</v>
      </c>
      <c r="R700" s="85">
        <f>R703*IF(Параметры!$B$132,Параметры!R186,Параметры!R183)*Параметры!R41*Параметры!R$39/Параметры!$B$13+0</f>
        <v>1310.6628204915587</v>
      </c>
      <c r="S700" s="85">
        <f>S703*IF(Параметры!$B$132,Параметры!S186,Параметры!S183)*Параметры!S41*Параметры!S$39/Параметры!$B$13+0</f>
        <v>1310.6628204915587</v>
      </c>
      <c r="T700" s="85">
        <f>T703*IF(Параметры!$B$132,Параметры!T186,Параметры!T183)*Параметры!T41*Параметры!T$39/Параметры!$B$13+0</f>
        <v>1310.6628204915587</v>
      </c>
      <c r="U700" s="85">
        <f>U703*IF(Параметры!$B$132,Параметры!U186,Параметры!U183)*Параметры!U41*Параметры!U$39/Параметры!$B$13+0</f>
        <v>1310.6628204915587</v>
      </c>
      <c r="V700" s="85">
        <f>V703*IF(Параметры!$B$132,Параметры!V186,Параметры!V183)*Параметры!V41*Параметры!V$39/Параметры!$B$13+0</f>
        <v>1310.6628204915587</v>
      </c>
      <c r="W700" s="85">
        <f>W703*IF(Параметры!$B$132,Параметры!W186,Параметры!W183)*Параметры!W41*Параметры!W$39/Параметры!$B$13+0</f>
        <v>1310.6628204915587</v>
      </c>
      <c r="X700" s="85">
        <f>X703*IF(Параметры!$B$132,Параметры!X186,Параметры!X183)*Параметры!X41*Параметры!X$39/Параметры!$B$13+0</f>
        <v>1310.6628204915587</v>
      </c>
      <c r="Y700" s="85">
        <f>Y703*IF(Параметры!$B$132,Параметры!Y186,Параметры!Y183)*Параметры!Y41*Параметры!Y$39/Параметры!$B$13+0</f>
        <v>1310.6628204915587</v>
      </c>
      <c r="Z700" s="85">
        <f>Z703*IF(Параметры!$B$132,Параметры!Z186,Параметры!Z183)*Параметры!Z41*Параметры!Z$39/Параметры!$B$13+0</f>
        <v>1310.6628204915587</v>
      </c>
      <c r="AA700" s="85">
        <f>AA703*IF(Параметры!$B$132,Параметры!AA186,Параметры!AA183)*Параметры!AA41*Параметры!AA$39/Параметры!$B$13+0</f>
        <v>1310.6628204915587</v>
      </c>
      <c r="AB700" s="85">
        <f>AB703*IF(Параметры!$B$132,Параметры!AB186,Параметры!AB183)*Параметры!AB41*Параметры!AB$39/Параметры!$B$13+0</f>
        <v>1310.6628204915587</v>
      </c>
      <c r="AC700" s="85">
        <f>AC703*IF(Параметры!$B$132,Параметры!AC186,Параметры!AC183)*Параметры!AC41*Параметры!AC$39/Параметры!$B$13+0</f>
        <v>1310.6628204915587</v>
      </c>
      <c r="AD700" s="85">
        <f>AD703*IF(Параметры!$B$132,Параметры!AD186,Параметры!AD183)*Параметры!AD41*Параметры!AD$39/Параметры!$B$13+0</f>
        <v>1310.6628204915587</v>
      </c>
      <c r="AE700" s="85">
        <f>AE703*IF(Параметры!$B$132,Параметры!AE186,Параметры!AE183)*Параметры!AE41*Параметры!AE$39/Параметры!$B$13+0</f>
        <v>1310.6628204915587</v>
      </c>
      <c r="AF700" s="85">
        <f>AF703*IF(Параметры!$B$132,Параметры!AF186,Параметры!AF183)*Параметры!AF41*Параметры!AF$39/Параметры!$B$13+0</f>
        <v>1310.6628204915587</v>
      </c>
      <c r="AG700" s="85">
        <f>AG703*IF(Параметры!$B$132,Параметры!AG186,Параметры!AG183)*Параметры!AG41*Параметры!AG$39/Параметры!$B$13+0</f>
        <v>1310.6628204915587</v>
      </c>
      <c r="AH700" s="85">
        <f>AH703*IF(Параметры!$B$132,Параметры!AH186,Параметры!AH183)*Параметры!AH41*Параметры!AH$39/Параметры!$B$13+0</f>
        <v>1310.6628204915587</v>
      </c>
      <c r="AI700" s="85">
        <f>AI703*IF(Параметры!$B$132,Параметры!AI186,Параметры!AI183)*Параметры!AI41*Параметры!AI$39/Параметры!$B$13+0</f>
        <v>1310.6628204915587</v>
      </c>
      <c r="AJ700" s="85">
        <f>AJ703*IF(Параметры!$B$132,Параметры!AJ186,Параметры!AJ183)*Параметры!AJ41*Параметры!AJ$39/Параметры!$B$13+0</f>
        <v>1310.6628204915587</v>
      </c>
      <c r="AK700" s="85">
        <f>AK703*IF(Параметры!$B$132,Параметры!AK186,Параметры!AK183)*Параметры!AK41*Параметры!AK$39/Параметры!$B$13+0</f>
        <v>1310.6628204915587</v>
      </c>
      <c r="AL700" s="85">
        <f>AL703*IF(Параметры!$B$132,Параметры!AL186,Параметры!AL183)*Параметры!AL41*Параметры!AL$39/Параметры!$B$13+0</f>
        <v>1310.6628204915587</v>
      </c>
      <c r="AM700" s="85">
        <f>AM703*IF(Параметры!$B$132,Параметры!AM186,Параметры!AM183)*Параметры!AM41*Параметры!AM$39/Параметры!$B$13+0</f>
        <v>1310.6628204915587</v>
      </c>
      <c r="AN700" s="85">
        <f>AN703*IF(Параметры!$B$132,Параметры!AN186,Параметры!AN183)*Параметры!AN41*Параметры!AN$39/Параметры!$B$13+0</f>
        <v>1310.6628204915587</v>
      </c>
      <c r="AO700" s="85">
        <f>AO703*IF(Параметры!$B$132,Параметры!AO186,Параметры!AO183)*Параметры!AO41*Параметры!AO$39/Параметры!$B$13+0</f>
        <v>1310.6628204915587</v>
      </c>
      <c r="AP700" s="85">
        <f>AP703*IF(Параметры!$B$132,Параметры!AP186,Параметры!AP183)*Параметры!AP41*Параметры!AP$39/Параметры!$B$13+0</f>
        <v>1310.6628204915587</v>
      </c>
      <c r="AQ700" s="85">
        <f>AQ703*IF(Параметры!$B$132,Параметры!AQ186,Параметры!AQ183)*Параметры!AQ41*Параметры!AQ$39/Параметры!$B$13+0</f>
        <v>1310.6628204915587</v>
      </c>
      <c r="AR700" s="85">
        <f>AR703*IF(Параметры!$B$132,Параметры!AR186,Параметры!AR183)*Параметры!AR41*Параметры!AR$39/Параметры!$B$13+0</f>
        <v>1310.6628204915587</v>
      </c>
      <c r="AT700" s="137">
        <f>SUM(E700:AS700)</f>
        <v>52426.51281966237</v>
      </c>
    </row>
    <row r="701" spans="1:46" ht="11.25" customHeight="1" outlineLevel="1" x14ac:dyDescent="0.2">
      <c r="A701" s="114" t="s">
        <v>219</v>
      </c>
      <c r="B701" s="9"/>
      <c r="C701" s="2" t="str">
        <f>Параметры!$B$64</f>
        <v>тыс. руб.</v>
      </c>
      <c r="D701" s="65"/>
      <c r="E701" s="353">
        <f>IF(Параметры!$B$184&lt;=Параметры!$B$27,IF(AND(Параметры!$B$184=0,Параметры!E$36&gt;1),D701,E700*Параметры!$B$184/Параметры!E$40),IF(OR(Параметры!E$43=1,Параметры!E$43=4,Параметры!E$43=7,Параметры!E$43=10),0,IF(Параметры!E$36=1,0,D701))+E700)</f>
        <v>1310.6628204915587</v>
      </c>
      <c r="F701" s="353">
        <f>IF(Параметры!$B$184&lt;=Параметры!$B$27,IF(AND(Параметры!$B$184=0,Параметры!F$36&gt;1),E701,F700*Параметры!$B$184/Параметры!F$40),IF(OR(Параметры!F$43=1,Параметры!F$43=4,Параметры!F$43=7,Параметры!F$43=10),0,IF(Параметры!F$36=1,0,E701))+F700)</f>
        <v>1310.6628204915587</v>
      </c>
      <c r="G701" s="353">
        <f>IF(Параметры!$B$184&lt;=Параметры!$B$27,IF(AND(Параметры!$B$184=0,Параметры!G$36&gt;1),F701,G700*Параметры!$B$184/Параметры!G$40),IF(OR(Параметры!G$43=1,Параметры!G$43=4,Параметры!G$43=7,Параметры!G$43=10),0,IF(Параметры!G$36=1,0,F701))+G700)</f>
        <v>1310.6628204915587</v>
      </c>
      <c r="H701" s="353">
        <f>IF(Параметры!$B$184&lt;=Параметры!$B$27,IF(AND(Параметры!$B$184=0,Параметры!H$36&gt;1),G701,H700*Параметры!$B$184/Параметры!H$40),IF(OR(Параметры!H$43=1,Параметры!H$43=4,Параметры!H$43=7,Параметры!H$43=10),0,IF(Параметры!H$36=1,0,G701))+H700)</f>
        <v>1310.6628204915587</v>
      </c>
      <c r="I701" s="353">
        <f>IF(Параметры!$B$184&lt;=Параметры!$B$27,IF(AND(Параметры!$B$184=0,Параметры!I$36&gt;1),H701,I700*Параметры!$B$184/Параметры!I$40),IF(OR(Параметры!I$43=1,Параметры!I$43=4,Параметры!I$43=7,Параметры!I$43=10),0,IF(Параметры!I$36=1,0,H701))+I700)</f>
        <v>1310.6628204915587</v>
      </c>
      <c r="J701" s="353">
        <f>IF(Параметры!$B$184&lt;=Параметры!$B$27,IF(AND(Параметры!$B$184=0,Параметры!J$36&gt;1),I701,J700*Параметры!$B$184/Параметры!J$40),IF(OR(Параметры!J$43=1,Параметры!J$43=4,Параметры!J$43=7,Параметры!J$43=10),0,IF(Параметры!J$36=1,0,I701))+J700)</f>
        <v>1310.6628204915587</v>
      </c>
      <c r="K701" s="353">
        <f>IF(Параметры!$B$184&lt;=Параметры!$B$27,IF(AND(Параметры!$B$184=0,Параметры!K$36&gt;1),J701,K700*Параметры!$B$184/Параметры!K$40),IF(OR(Параметры!K$43=1,Параметры!K$43=4,Параметры!K$43=7,Параметры!K$43=10),0,IF(Параметры!K$36=1,0,J701))+K700)</f>
        <v>1310.6628204915587</v>
      </c>
      <c r="L701" s="353">
        <f>IF(Параметры!$B$184&lt;=Параметры!$B$27,IF(AND(Параметры!$B$184=0,Параметры!L$36&gt;1),K701,L700*Параметры!$B$184/Параметры!L$40),IF(OR(Параметры!L$43=1,Параметры!L$43=4,Параметры!L$43=7,Параметры!L$43=10),0,IF(Параметры!L$36=1,0,K701))+L700)</f>
        <v>1310.6628204915587</v>
      </c>
      <c r="M701" s="353">
        <f>IF(Параметры!$B$184&lt;=Параметры!$B$27,IF(AND(Параметры!$B$184=0,Параметры!M$36&gt;1),L701,M700*Параметры!$B$184/Параметры!M$40),IF(OR(Параметры!M$43=1,Параметры!M$43=4,Параметры!M$43=7,Параметры!M$43=10),0,IF(Параметры!M$36=1,0,L701))+M700)</f>
        <v>1310.6628204915587</v>
      </c>
      <c r="N701" s="353">
        <f>IF(Параметры!$B$184&lt;=Параметры!$B$27,IF(AND(Параметры!$B$184=0,Параметры!N$36&gt;1),M701,N700*Параметры!$B$184/Параметры!N$40),IF(OR(Параметры!N$43=1,Параметры!N$43=4,Параметры!N$43=7,Параметры!N$43=10),0,IF(Параметры!N$36=1,0,M701))+N700)</f>
        <v>1310.6628204915587</v>
      </c>
      <c r="O701" s="353">
        <f>IF(Параметры!$B$184&lt;=Параметры!$B$27,IF(AND(Параметры!$B$184=0,Параметры!O$36&gt;1),N701,O700*Параметры!$B$184/Параметры!O$40),IF(OR(Параметры!O$43=1,Параметры!O$43=4,Параметры!O$43=7,Параметры!O$43=10),0,IF(Параметры!O$36=1,0,N701))+O700)</f>
        <v>1310.6628204915587</v>
      </c>
      <c r="P701" s="353">
        <f>IF(Параметры!$B$184&lt;=Параметры!$B$27,IF(AND(Параметры!$B$184=0,Параметры!P$36&gt;1),O701,P700*Параметры!$B$184/Параметры!P$40),IF(OR(Параметры!P$43=1,Параметры!P$43=4,Параметры!P$43=7,Параметры!P$43=10),0,IF(Параметры!P$36=1,0,O701))+P700)</f>
        <v>1310.6628204915587</v>
      </c>
      <c r="Q701" s="353">
        <f>IF(Параметры!$B$184&lt;=Параметры!$B$27,IF(AND(Параметры!$B$184=0,Параметры!Q$36&gt;1),P701,Q700*Параметры!$B$184/Параметры!Q$40),IF(OR(Параметры!Q$43=1,Параметры!Q$43=4,Параметры!Q$43=7,Параметры!Q$43=10),0,IF(Параметры!Q$36=1,0,P701))+Q700)</f>
        <v>1310.6628204915587</v>
      </c>
      <c r="R701" s="353">
        <f>IF(Параметры!$B$184&lt;=Параметры!$B$27,IF(AND(Параметры!$B$184=0,Параметры!R$36&gt;1),Q701,R700*Параметры!$B$184/Параметры!R$40),IF(OR(Параметры!R$43=1,Параметры!R$43=4,Параметры!R$43=7,Параметры!R$43=10),0,IF(Параметры!R$36=1,0,Q701))+R700)</f>
        <v>1310.6628204915587</v>
      </c>
      <c r="S701" s="353">
        <f>IF(Параметры!$B$184&lt;=Параметры!$B$27,IF(AND(Параметры!$B$184=0,Параметры!S$36&gt;1),R701,S700*Параметры!$B$184/Параметры!S$40),IF(OR(Параметры!S$43=1,Параметры!S$43=4,Параметры!S$43=7,Параметры!S$43=10),0,IF(Параметры!S$36=1,0,R701))+S700)</f>
        <v>1310.6628204915587</v>
      </c>
      <c r="T701" s="353">
        <f>IF(Параметры!$B$184&lt;=Параметры!$B$27,IF(AND(Параметры!$B$184=0,Параметры!T$36&gt;1),S701,T700*Параметры!$B$184/Параметры!T$40),IF(OR(Параметры!T$43=1,Параметры!T$43=4,Параметры!T$43=7,Параметры!T$43=10),0,IF(Параметры!T$36=1,0,S701))+T700)</f>
        <v>1310.6628204915587</v>
      </c>
      <c r="U701" s="353">
        <f>IF(Параметры!$B$184&lt;=Параметры!$B$27,IF(AND(Параметры!$B$184=0,Параметры!U$36&gt;1),T701,U700*Параметры!$B$184/Параметры!U$40),IF(OR(Параметры!U$43=1,Параметры!U$43=4,Параметры!U$43=7,Параметры!U$43=10),0,IF(Параметры!U$36=1,0,T701))+U700)</f>
        <v>1310.6628204915587</v>
      </c>
      <c r="V701" s="353">
        <f>IF(Параметры!$B$184&lt;=Параметры!$B$27,IF(AND(Параметры!$B$184=0,Параметры!V$36&gt;1),U701,V700*Параметры!$B$184/Параметры!V$40),IF(OR(Параметры!V$43=1,Параметры!V$43=4,Параметры!V$43=7,Параметры!V$43=10),0,IF(Параметры!V$36=1,0,U701))+V700)</f>
        <v>1310.6628204915587</v>
      </c>
      <c r="W701" s="353">
        <f>IF(Параметры!$B$184&lt;=Параметры!$B$27,IF(AND(Параметры!$B$184=0,Параметры!W$36&gt;1),V701,W700*Параметры!$B$184/Параметры!W$40),IF(OR(Параметры!W$43=1,Параметры!W$43=4,Параметры!W$43=7,Параметры!W$43=10),0,IF(Параметры!W$36=1,0,V701))+W700)</f>
        <v>1310.6628204915587</v>
      </c>
      <c r="X701" s="353">
        <f>IF(Параметры!$B$184&lt;=Параметры!$B$27,IF(AND(Параметры!$B$184=0,Параметры!X$36&gt;1),W701,X700*Параметры!$B$184/Параметры!X$40),IF(OR(Параметры!X$43=1,Параметры!X$43=4,Параметры!X$43=7,Параметры!X$43=10),0,IF(Параметры!X$36=1,0,W701))+X700)</f>
        <v>1310.6628204915587</v>
      </c>
      <c r="Y701" s="353">
        <f>IF(Параметры!$B$184&lt;=Параметры!$B$27,IF(AND(Параметры!$B$184=0,Параметры!Y$36&gt;1),X701,Y700*Параметры!$B$184/Параметры!Y$40),IF(OR(Параметры!Y$43=1,Параметры!Y$43=4,Параметры!Y$43=7,Параметры!Y$43=10),0,IF(Параметры!Y$36=1,0,X701))+Y700)</f>
        <v>1310.6628204915587</v>
      </c>
      <c r="Z701" s="353">
        <f>IF(Параметры!$B$184&lt;=Параметры!$B$27,IF(AND(Параметры!$B$184=0,Параметры!Z$36&gt;1),Y701,Z700*Параметры!$B$184/Параметры!Z$40),IF(OR(Параметры!Z$43=1,Параметры!Z$43=4,Параметры!Z$43=7,Параметры!Z$43=10),0,IF(Параметры!Z$36=1,0,Y701))+Z700)</f>
        <v>1310.6628204915587</v>
      </c>
      <c r="AA701" s="353">
        <f>IF(Параметры!$B$184&lt;=Параметры!$B$27,IF(AND(Параметры!$B$184=0,Параметры!AA$36&gt;1),Z701,AA700*Параметры!$B$184/Параметры!AA$40),IF(OR(Параметры!AA$43=1,Параметры!AA$43=4,Параметры!AA$43=7,Параметры!AA$43=10),0,IF(Параметры!AA$36=1,0,Z701))+AA700)</f>
        <v>1310.6628204915587</v>
      </c>
      <c r="AB701" s="353">
        <f>IF(Параметры!$B$184&lt;=Параметры!$B$27,IF(AND(Параметры!$B$184=0,Параметры!AB$36&gt;1),AA701,AB700*Параметры!$B$184/Параметры!AB$40),IF(OR(Параметры!AB$43=1,Параметры!AB$43=4,Параметры!AB$43=7,Параметры!AB$43=10),0,IF(Параметры!AB$36=1,0,AA701))+AB700)</f>
        <v>1310.6628204915587</v>
      </c>
      <c r="AC701" s="353">
        <f>IF(Параметры!$B$184&lt;=Параметры!$B$27,IF(AND(Параметры!$B$184=0,Параметры!AC$36&gt;1),AB701,AC700*Параметры!$B$184/Параметры!AC$40),IF(OR(Параметры!AC$43=1,Параметры!AC$43=4,Параметры!AC$43=7,Параметры!AC$43=10),0,IF(Параметры!AC$36=1,0,AB701))+AC700)</f>
        <v>1310.6628204915587</v>
      </c>
      <c r="AD701" s="353">
        <f>IF(Параметры!$B$184&lt;=Параметры!$B$27,IF(AND(Параметры!$B$184=0,Параметры!AD$36&gt;1),AC701,AD700*Параметры!$B$184/Параметры!AD$40),IF(OR(Параметры!AD$43=1,Параметры!AD$43=4,Параметры!AD$43=7,Параметры!AD$43=10),0,IF(Параметры!AD$36=1,0,AC701))+AD700)</f>
        <v>1310.6628204915587</v>
      </c>
      <c r="AE701" s="353">
        <f>IF(Параметры!$B$184&lt;=Параметры!$B$27,IF(AND(Параметры!$B$184=0,Параметры!AE$36&gt;1),AD701,AE700*Параметры!$B$184/Параметры!AE$40),IF(OR(Параметры!AE$43=1,Параметры!AE$43=4,Параметры!AE$43=7,Параметры!AE$43=10),0,IF(Параметры!AE$36=1,0,AD701))+AE700)</f>
        <v>1310.6628204915587</v>
      </c>
      <c r="AF701" s="353">
        <f>IF(Параметры!$B$184&lt;=Параметры!$B$27,IF(AND(Параметры!$B$184=0,Параметры!AF$36&gt;1),AE701,AF700*Параметры!$B$184/Параметры!AF$40),IF(OR(Параметры!AF$43=1,Параметры!AF$43=4,Параметры!AF$43=7,Параметры!AF$43=10),0,IF(Параметры!AF$36=1,0,AE701))+AF700)</f>
        <v>1310.6628204915587</v>
      </c>
      <c r="AG701" s="353">
        <f>IF(Параметры!$B$184&lt;=Параметры!$B$27,IF(AND(Параметры!$B$184=0,Параметры!AG$36&gt;1),AF701,AG700*Параметры!$B$184/Параметры!AG$40),IF(OR(Параметры!AG$43=1,Параметры!AG$43=4,Параметры!AG$43=7,Параметры!AG$43=10),0,IF(Параметры!AG$36=1,0,AF701))+AG700)</f>
        <v>1310.6628204915587</v>
      </c>
      <c r="AH701" s="353">
        <f>IF(Параметры!$B$184&lt;=Параметры!$B$27,IF(AND(Параметры!$B$184=0,Параметры!AH$36&gt;1),AG701,AH700*Параметры!$B$184/Параметры!AH$40),IF(OR(Параметры!AH$43=1,Параметры!AH$43=4,Параметры!AH$43=7,Параметры!AH$43=10),0,IF(Параметры!AH$36=1,0,AG701))+AH700)</f>
        <v>1310.6628204915587</v>
      </c>
      <c r="AI701" s="353">
        <f>IF(Параметры!$B$184&lt;=Параметры!$B$27,IF(AND(Параметры!$B$184=0,Параметры!AI$36&gt;1),AH701,AI700*Параметры!$B$184/Параметры!AI$40),IF(OR(Параметры!AI$43=1,Параметры!AI$43=4,Параметры!AI$43=7,Параметры!AI$43=10),0,IF(Параметры!AI$36=1,0,AH701))+AI700)</f>
        <v>1310.6628204915587</v>
      </c>
      <c r="AJ701" s="353">
        <f>IF(Параметры!$B$184&lt;=Параметры!$B$27,IF(AND(Параметры!$B$184=0,Параметры!AJ$36&gt;1),AI701,AJ700*Параметры!$B$184/Параметры!AJ$40),IF(OR(Параметры!AJ$43=1,Параметры!AJ$43=4,Параметры!AJ$43=7,Параметры!AJ$43=10),0,IF(Параметры!AJ$36=1,0,AI701))+AJ700)</f>
        <v>1310.6628204915587</v>
      </c>
      <c r="AK701" s="353">
        <f>IF(Параметры!$B$184&lt;=Параметры!$B$27,IF(AND(Параметры!$B$184=0,Параметры!AK$36&gt;1),AJ701,AK700*Параметры!$B$184/Параметры!AK$40),IF(OR(Параметры!AK$43=1,Параметры!AK$43=4,Параметры!AK$43=7,Параметры!AK$43=10),0,IF(Параметры!AK$36=1,0,AJ701))+AK700)</f>
        <v>1310.6628204915587</v>
      </c>
      <c r="AL701" s="353">
        <f>IF(Параметры!$B$184&lt;=Параметры!$B$27,IF(AND(Параметры!$B$184=0,Параметры!AL$36&gt;1),AK701,AL700*Параметры!$B$184/Параметры!AL$40),IF(OR(Параметры!AL$43=1,Параметры!AL$43=4,Параметры!AL$43=7,Параметры!AL$43=10),0,IF(Параметры!AL$36=1,0,AK701))+AL700)</f>
        <v>1310.6628204915587</v>
      </c>
      <c r="AM701" s="353">
        <f>IF(Параметры!$B$184&lt;=Параметры!$B$27,IF(AND(Параметры!$B$184=0,Параметры!AM$36&gt;1),AL701,AM700*Параметры!$B$184/Параметры!AM$40),IF(OR(Параметры!AM$43=1,Параметры!AM$43=4,Параметры!AM$43=7,Параметры!AM$43=10),0,IF(Параметры!AM$36=1,0,AL701))+AM700)</f>
        <v>1310.6628204915587</v>
      </c>
      <c r="AN701" s="353">
        <f>IF(Параметры!$B$184&lt;=Параметры!$B$27,IF(AND(Параметры!$B$184=0,Параметры!AN$36&gt;1),AM701,AN700*Параметры!$B$184/Параметры!AN$40),IF(OR(Параметры!AN$43=1,Параметры!AN$43=4,Параметры!AN$43=7,Параметры!AN$43=10),0,IF(Параметры!AN$36=1,0,AM701))+AN700)</f>
        <v>1310.6628204915587</v>
      </c>
      <c r="AO701" s="353">
        <f>IF(Параметры!$B$184&lt;=Параметры!$B$27,IF(AND(Параметры!$B$184=0,Параметры!AO$36&gt;1),AN701,AO700*Параметры!$B$184/Параметры!AO$40),IF(OR(Параметры!AO$43=1,Параметры!AO$43=4,Параметры!AO$43=7,Параметры!AO$43=10),0,IF(Параметры!AO$36=1,0,AN701))+AO700)</f>
        <v>1310.6628204915587</v>
      </c>
      <c r="AP701" s="353">
        <f>IF(Параметры!$B$184&lt;=Параметры!$B$27,IF(AND(Параметры!$B$184=0,Параметры!AP$36&gt;1),AO701,AP700*Параметры!$B$184/Параметры!AP$40),IF(OR(Параметры!AP$43=1,Параметры!AP$43=4,Параметры!AP$43=7,Параметры!AP$43=10),0,IF(Параметры!AP$36=1,0,AO701))+AP700)</f>
        <v>1310.6628204915587</v>
      </c>
      <c r="AQ701" s="353">
        <f>IF(Параметры!$B$184&lt;=Параметры!$B$27,IF(AND(Параметры!$B$184=0,Параметры!AQ$36&gt;1),AP701,AQ700*Параметры!$B$184/Параметры!AQ$40),IF(OR(Параметры!AQ$43=1,Параметры!AQ$43=4,Параметры!AQ$43=7,Параметры!AQ$43=10),0,IF(Параметры!AQ$36=1,0,AP701))+AQ700)</f>
        <v>1310.6628204915587</v>
      </c>
      <c r="AR701" s="353">
        <f>IF(Параметры!$B$184&lt;=Параметры!$B$27,IF(AND(Параметры!$B$184=0,Параметры!AR$36&gt;1),AQ701,AR700*Параметры!$B$184/Параметры!AR$40),IF(OR(Параметры!AR$43=1,Параметры!AR$43=4,Параметры!AR$43=7,Параметры!AR$43=10),0,IF(Параметры!AR$36=1,0,AQ701))+AR700)</f>
        <v>1310.6628204915587</v>
      </c>
      <c r="AS701" s="102"/>
      <c r="AT701" s="84"/>
    </row>
    <row r="702" spans="1:46" ht="11.25" customHeight="1" outlineLevel="1" x14ac:dyDescent="0.2">
      <c r="A702" s="114" t="s">
        <v>313</v>
      </c>
      <c r="B702" s="153"/>
      <c r="C702" s="2" t="str">
        <f>Параметры!$B$64</f>
        <v>тыс. руб.</v>
      </c>
      <c r="D702" s="65"/>
      <c r="E702" s="115">
        <f>E700-IF(Параметры!E$36=1,E701,E701-D701)</f>
        <v>0</v>
      </c>
      <c r="F702" s="115">
        <f>F700-IF(Параметры!F$36=1,F701,F701-E701)</f>
        <v>1310.6628204915587</v>
      </c>
      <c r="G702" s="115">
        <f>G700-IF(Параметры!G$36=1,G701,G701-F701)</f>
        <v>1310.6628204915587</v>
      </c>
      <c r="H702" s="115">
        <f>H700-IF(Параметры!H$36=1,H701,H701-G701)</f>
        <v>1310.6628204915587</v>
      </c>
      <c r="I702" s="115">
        <f>I700-IF(Параметры!I$36=1,I701,I701-H701)</f>
        <v>1310.6628204915587</v>
      </c>
      <c r="J702" s="115">
        <f>J700-IF(Параметры!J$36=1,J701,J701-I701)</f>
        <v>1310.6628204915587</v>
      </c>
      <c r="K702" s="115">
        <f>K700-IF(Параметры!K$36=1,K701,K701-J701)</f>
        <v>1310.6628204915587</v>
      </c>
      <c r="L702" s="115">
        <f>L700-IF(Параметры!L$36=1,L701,L701-K701)</f>
        <v>1310.6628204915587</v>
      </c>
      <c r="M702" s="115">
        <f>M700-IF(Параметры!M$36=1,M701,M701-L701)</f>
        <v>1310.6628204915587</v>
      </c>
      <c r="N702" s="115">
        <f>N700-IF(Параметры!N$36=1,N701,N701-M701)</f>
        <v>1310.6628204915587</v>
      </c>
      <c r="O702" s="115">
        <f>O700-IF(Параметры!O$36=1,O701,O701-N701)</f>
        <v>1310.6628204915587</v>
      </c>
      <c r="P702" s="115">
        <f>P700-IF(Параметры!P$36=1,P701,P701-O701)</f>
        <v>1310.6628204915587</v>
      </c>
      <c r="Q702" s="115">
        <f>Q700-IF(Параметры!Q$36=1,Q701,Q701-P701)</f>
        <v>1310.6628204915587</v>
      </c>
      <c r="R702" s="115">
        <f>R700-IF(Параметры!R$36=1,R701,R701-Q701)</f>
        <v>1310.6628204915587</v>
      </c>
      <c r="S702" s="115">
        <f>S700-IF(Параметры!S$36=1,S701,S701-R701)</f>
        <v>1310.6628204915587</v>
      </c>
      <c r="T702" s="115">
        <f>T700-IF(Параметры!T$36=1,T701,T701-S701)</f>
        <v>1310.6628204915587</v>
      </c>
      <c r="U702" s="115">
        <f>U700-IF(Параметры!U$36=1,U701,U701-T701)</f>
        <v>1310.6628204915587</v>
      </c>
      <c r="V702" s="115">
        <f>V700-IF(Параметры!V$36=1,V701,V701-U701)</f>
        <v>1310.6628204915587</v>
      </c>
      <c r="W702" s="115">
        <f>W700-IF(Параметры!W$36=1,W701,W701-V701)</f>
        <v>1310.6628204915587</v>
      </c>
      <c r="X702" s="115">
        <f>X700-IF(Параметры!X$36=1,X701,X701-W701)</f>
        <v>1310.6628204915587</v>
      </c>
      <c r="Y702" s="115">
        <f>Y700-IF(Параметры!Y$36=1,Y701,Y701-X701)</f>
        <v>1310.6628204915587</v>
      </c>
      <c r="Z702" s="115">
        <f>Z700-IF(Параметры!Z$36=1,Z701,Z701-Y701)</f>
        <v>1310.6628204915587</v>
      </c>
      <c r="AA702" s="115">
        <f>AA700-IF(Параметры!AA$36=1,AA701,AA701-Z701)</f>
        <v>1310.6628204915587</v>
      </c>
      <c r="AB702" s="115">
        <f>AB700-IF(Параметры!AB$36=1,AB701,AB701-AA701)</f>
        <v>1310.6628204915587</v>
      </c>
      <c r="AC702" s="115">
        <f>AC700-IF(Параметры!AC$36=1,AC701,AC701-AB701)</f>
        <v>1310.6628204915587</v>
      </c>
      <c r="AD702" s="115">
        <f>AD700-IF(Параметры!AD$36=1,AD701,AD701-AC701)</f>
        <v>1310.6628204915587</v>
      </c>
      <c r="AE702" s="115">
        <f>AE700-IF(Параметры!AE$36=1,AE701,AE701-AD701)</f>
        <v>1310.6628204915587</v>
      </c>
      <c r="AF702" s="115">
        <f>AF700-IF(Параметры!AF$36=1,AF701,AF701-AE701)</f>
        <v>1310.6628204915587</v>
      </c>
      <c r="AG702" s="115">
        <f>AG700-IF(Параметры!AG$36=1,AG701,AG701-AF701)</f>
        <v>1310.6628204915587</v>
      </c>
      <c r="AH702" s="115">
        <f>AH700-IF(Параметры!AH$36=1,AH701,AH701-AG701)</f>
        <v>1310.6628204915587</v>
      </c>
      <c r="AI702" s="115">
        <f>AI700-IF(Параметры!AI$36=1,AI701,AI701-AH701)</f>
        <v>1310.6628204915587</v>
      </c>
      <c r="AJ702" s="115">
        <f>AJ700-IF(Параметры!AJ$36=1,AJ701,AJ701-AI701)</f>
        <v>1310.6628204915587</v>
      </c>
      <c r="AK702" s="115">
        <f>AK700-IF(Параметры!AK$36=1,AK701,AK701-AJ701)</f>
        <v>1310.6628204915587</v>
      </c>
      <c r="AL702" s="115">
        <f>AL700-IF(Параметры!AL$36=1,AL701,AL701-AK701)</f>
        <v>1310.6628204915587</v>
      </c>
      <c r="AM702" s="115">
        <f>AM700-IF(Параметры!AM$36=1,AM701,AM701-AL701)</f>
        <v>1310.6628204915587</v>
      </c>
      <c r="AN702" s="115">
        <f>AN700-IF(Параметры!AN$36=1,AN701,AN701-AM701)</f>
        <v>1310.6628204915587</v>
      </c>
      <c r="AO702" s="115">
        <f>AO700-IF(Параметры!AO$36=1,AO701,AO701-AN701)</f>
        <v>1310.6628204915587</v>
      </c>
      <c r="AP702" s="115">
        <f>AP700-IF(Параметры!AP$36=1,AP701,AP701-AO701)</f>
        <v>1310.6628204915587</v>
      </c>
      <c r="AQ702" s="115">
        <f>AQ700-IF(Параметры!AQ$36=1,AQ701,AQ701-AP701)</f>
        <v>1310.6628204915587</v>
      </c>
      <c r="AR702" s="115">
        <f>AR700-IF(Параметры!AR$36=1,AR701,AR701-AQ701)</f>
        <v>1310.6628204915587</v>
      </c>
      <c r="AS702" s="41"/>
      <c r="AT702" s="84">
        <f>SUM(E702:AS702)</f>
        <v>51115.849999170809</v>
      </c>
    </row>
    <row r="703" spans="1:46" ht="11.25" customHeight="1" outlineLevel="1" x14ac:dyDescent="0.2">
      <c r="A703" s="63" t="s">
        <v>290</v>
      </c>
      <c r="C703" s="266" t="str">
        <f>Параметры!$B$64</f>
        <v>тыс. руб.</v>
      </c>
      <c r="D703" s="65"/>
      <c r="E703" s="82">
        <f>Деятельность_УК!E69+0</f>
        <v>349510.08546441566</v>
      </c>
      <c r="F703" s="82">
        <f>Деятельность_УК!F69+0</f>
        <v>349510.08546441566</v>
      </c>
      <c r="G703" s="82">
        <f>Деятельность_УК!G69+0</f>
        <v>349510.08546441566</v>
      </c>
      <c r="H703" s="82">
        <f>Деятельность_УК!H69+0</f>
        <v>349510.08546441566</v>
      </c>
      <c r="I703" s="82">
        <f>Деятельность_УК!I69+0</f>
        <v>349510.08546441566</v>
      </c>
      <c r="J703" s="82">
        <f>Деятельность_УК!J69+0</f>
        <v>349510.08546441566</v>
      </c>
      <c r="K703" s="82">
        <f>Деятельность_УК!K69+0</f>
        <v>349510.08546441566</v>
      </c>
      <c r="L703" s="82">
        <f>Деятельность_УК!L69+0</f>
        <v>349510.08546441566</v>
      </c>
      <c r="M703" s="82">
        <f>Деятельность_УК!M69+0</f>
        <v>349510.08546441566</v>
      </c>
      <c r="N703" s="82">
        <f>Деятельность_УК!N69+0</f>
        <v>349510.08546441566</v>
      </c>
      <c r="O703" s="82">
        <f>Деятельность_УК!O69+0</f>
        <v>349510.08546441566</v>
      </c>
      <c r="P703" s="82">
        <f>Деятельность_УК!P69+0</f>
        <v>349510.08546441566</v>
      </c>
      <c r="Q703" s="82">
        <f>Деятельность_УК!Q69+0</f>
        <v>349510.08546441566</v>
      </c>
      <c r="R703" s="82">
        <f>Деятельность_УК!R69+0</f>
        <v>349510.08546441566</v>
      </c>
      <c r="S703" s="82">
        <f>Деятельность_УК!S69+0</f>
        <v>349510.08546441566</v>
      </c>
      <c r="T703" s="82">
        <f>Деятельность_УК!T69+0</f>
        <v>349510.08546441566</v>
      </c>
      <c r="U703" s="82">
        <f>Деятельность_УК!U69+0</f>
        <v>349510.08546441566</v>
      </c>
      <c r="V703" s="82">
        <f>Деятельность_УК!V69+0</f>
        <v>349510.08546441566</v>
      </c>
      <c r="W703" s="82">
        <f>Деятельность_УК!W69+0</f>
        <v>349510.08546441566</v>
      </c>
      <c r="X703" s="82">
        <f>Деятельность_УК!X69+0</f>
        <v>349510.08546441566</v>
      </c>
      <c r="Y703" s="82">
        <f>Деятельность_УК!Y69+0</f>
        <v>349510.08546441566</v>
      </c>
      <c r="Z703" s="82">
        <f>Деятельность_УК!Z69+0</f>
        <v>349510.08546441566</v>
      </c>
      <c r="AA703" s="82">
        <f>Деятельность_УК!AA69+0</f>
        <v>349510.08546441566</v>
      </c>
      <c r="AB703" s="82">
        <f>Деятельность_УК!AB69+0</f>
        <v>349510.08546441566</v>
      </c>
      <c r="AC703" s="82">
        <f>Деятельность_УК!AC69+0</f>
        <v>349510.08546441566</v>
      </c>
      <c r="AD703" s="82">
        <f>Деятельность_УК!AD69+0</f>
        <v>349510.08546441566</v>
      </c>
      <c r="AE703" s="82">
        <f>Деятельность_УК!AE69+0</f>
        <v>349510.08546441566</v>
      </c>
      <c r="AF703" s="82">
        <f>Деятельность_УК!AF69+0</f>
        <v>349510.08546441566</v>
      </c>
      <c r="AG703" s="82">
        <f>Деятельность_УК!AG69+0</f>
        <v>349510.08546441566</v>
      </c>
      <c r="AH703" s="82">
        <f>Деятельность_УК!AH69+0</f>
        <v>349510.08546441566</v>
      </c>
      <c r="AI703" s="82">
        <f>Деятельность_УК!AI69+0</f>
        <v>349510.08546441566</v>
      </c>
      <c r="AJ703" s="82">
        <f>Деятельность_УК!AJ69+0</f>
        <v>349510.08546441566</v>
      </c>
      <c r="AK703" s="82">
        <f>Деятельность_УК!AK69+0</f>
        <v>349510.08546441566</v>
      </c>
      <c r="AL703" s="82">
        <f>Деятельность_УК!AL69+0</f>
        <v>349510.08546441566</v>
      </c>
      <c r="AM703" s="82">
        <f>Деятельность_УК!AM69+0</f>
        <v>349510.08546441566</v>
      </c>
      <c r="AN703" s="82">
        <f>Деятельность_УК!AN69+0</f>
        <v>349510.08546441566</v>
      </c>
      <c r="AO703" s="82">
        <f>Деятельность_УК!AO69+0</f>
        <v>349510.08546441566</v>
      </c>
      <c r="AP703" s="82">
        <f>Деятельность_УК!AP69+0</f>
        <v>349510.08546441566</v>
      </c>
      <c r="AQ703" s="82">
        <f>Деятельность_УК!AQ69+0</f>
        <v>349510.08546441566</v>
      </c>
      <c r="AR703" s="82">
        <f>Деятельность_УК!AR69+0</f>
        <v>349510.08546441566</v>
      </c>
      <c r="AT703" s="84">
        <f>SUM(E703:AS703)</f>
        <v>13980403.418576637</v>
      </c>
    </row>
    <row r="704" spans="1:46" x14ac:dyDescent="0.2"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82"/>
      <c r="AN704" s="82"/>
      <c r="AO704" s="82"/>
      <c r="AP704" s="82"/>
      <c r="AQ704" s="82"/>
      <c r="AR704" s="82"/>
    </row>
    <row r="705" spans="1:46" x14ac:dyDescent="0.2"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82"/>
      <c r="AN705" s="82"/>
      <c r="AO705" s="82"/>
      <c r="AP705" s="82"/>
      <c r="AQ705" s="82"/>
      <c r="AR705" s="82"/>
    </row>
    <row r="706" spans="1:46" x14ac:dyDescent="0.2"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82"/>
      <c r="AN706" s="82"/>
      <c r="AO706" s="82"/>
      <c r="AP706" s="82"/>
      <c r="AQ706" s="82"/>
      <c r="AR706" s="82"/>
    </row>
    <row r="707" spans="1:46" x14ac:dyDescent="0.2">
      <c r="D707" s="65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82"/>
      <c r="AN707" s="82"/>
      <c r="AO707" s="82"/>
      <c r="AP707" s="82"/>
      <c r="AQ707" s="82"/>
      <c r="AR707" s="82"/>
    </row>
    <row r="708" spans="1:46" x14ac:dyDescent="0.2"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82"/>
      <c r="AN708" s="82"/>
      <c r="AO708" s="82"/>
      <c r="AP708" s="82"/>
      <c r="AQ708" s="82"/>
      <c r="AR708" s="82"/>
    </row>
    <row r="709" spans="1:46" x14ac:dyDescent="0.2">
      <c r="A709" s="29" t="s">
        <v>314</v>
      </c>
      <c r="C709" s="266" t="str">
        <f>Параметры!$B$64</f>
        <v>тыс. руб.</v>
      </c>
      <c r="D709" s="65"/>
      <c r="E709" s="82">
        <f t="shared" ref="E709:AR709" ca="1" si="484">E663+E677+E682+E686+E700+0</f>
        <v>1629.2840964915588</v>
      </c>
      <c r="F709" s="82">
        <f t="shared" ca="1" si="484"/>
        <v>1629.2840964915588</v>
      </c>
      <c r="G709" s="82">
        <f t="shared" ca="1" si="484"/>
        <v>4239.3052293040582</v>
      </c>
      <c r="H709" s="82">
        <f t="shared" ca="1" si="484"/>
        <v>7188.0129419290588</v>
      </c>
      <c r="I709" s="82">
        <f t="shared" ca="1" si="484"/>
        <v>2001.0089184915587</v>
      </c>
      <c r="J709" s="82">
        <f t="shared" ca="1" si="484"/>
        <v>2012.068359585302</v>
      </c>
      <c r="K709" s="82">
        <f t="shared" ca="1" si="484"/>
        <v>2902.5105805774856</v>
      </c>
      <c r="L709" s="82">
        <f t="shared" ca="1" si="484"/>
        <v>2928.0122044497443</v>
      </c>
      <c r="M709" s="82">
        <f t="shared" ca="1" si="484"/>
        <v>2953.9223679050137</v>
      </c>
      <c r="N709" s="82">
        <f t="shared" ca="1" si="484"/>
        <v>2981.6275088274369</v>
      </c>
      <c r="O709" s="82">
        <f t="shared" ca="1" si="484"/>
        <v>3009.7997548001485</v>
      </c>
      <c r="P709" s="82">
        <f t="shared" ca="1" si="484"/>
        <v>3277.5902876282298</v>
      </c>
      <c r="Q709" s="82">
        <f t="shared" ca="1" si="484"/>
        <v>3310.7524273200279</v>
      </c>
      <c r="R709" s="82">
        <f t="shared" ca="1" si="484"/>
        <v>3344.0485812513066</v>
      </c>
      <c r="S709" s="82">
        <f t="shared" ca="1" si="484"/>
        <v>3377.8990272817146</v>
      </c>
      <c r="T709" s="82">
        <f t="shared" ca="1" si="484"/>
        <v>3412.3129928953558</v>
      </c>
      <c r="U709" s="82">
        <f t="shared" ca="1" si="484"/>
        <v>3447.2998591893202</v>
      </c>
      <c r="V709" s="82">
        <f t="shared" ca="1" si="484"/>
        <v>3483.5415638439727</v>
      </c>
      <c r="W709" s="82">
        <f t="shared" ca="1" si="484"/>
        <v>3520.3980014328986</v>
      </c>
      <c r="X709" s="82">
        <f t="shared" ca="1" si="484"/>
        <v>3557.8795990754638</v>
      </c>
      <c r="Y709" s="82">
        <f t="shared" ca="1" si="484"/>
        <v>3595.996960756162</v>
      </c>
      <c r="Z709" s="82">
        <f t="shared" ca="1" si="484"/>
        <v>3634.2846230411865</v>
      </c>
      <c r="AA709" s="82">
        <f t="shared" ca="1" si="484"/>
        <v>3673.2137429832883</v>
      </c>
      <c r="AB709" s="82">
        <f t="shared" ca="1" si="484"/>
        <v>3712.7950673322362</v>
      </c>
      <c r="AC709" s="82">
        <f t="shared" ca="1" si="484"/>
        <v>11977.773333793975</v>
      </c>
      <c r="AD709" s="82">
        <f t="shared" ca="1" si="484"/>
        <v>18714.210440620274</v>
      </c>
      <c r="AE709" s="82">
        <f t="shared" ca="1" si="484"/>
        <v>19833.975609486784</v>
      </c>
      <c r="AF709" s="82">
        <f t="shared" ca="1" si="484"/>
        <v>20973.990182747493</v>
      </c>
      <c r="AG709" s="82">
        <f t="shared" ca="1" si="484"/>
        <v>47994.188513434987</v>
      </c>
      <c r="AH709" s="82">
        <f t="shared" ca="1" si="484"/>
        <v>49112.824390785536</v>
      </c>
      <c r="AI709" s="82">
        <f t="shared" ca="1" si="484"/>
        <v>50257.163264501185</v>
      </c>
      <c r="AJ709" s="82">
        <f t="shared" ca="1" si="484"/>
        <v>51427.707874624386</v>
      </c>
      <c r="AK709" s="82">
        <f t="shared" ca="1" si="484"/>
        <v>89502.666871167428</v>
      </c>
      <c r="AL709" s="82">
        <f t="shared" ca="1" si="484"/>
        <v>51621.803266097777</v>
      </c>
      <c r="AM709" s="82">
        <f t="shared" ca="1" si="484"/>
        <v>52761.000909607908</v>
      </c>
      <c r="AN709" s="82">
        <f t="shared" ca="1" si="484"/>
        <v>53835.368752380979</v>
      </c>
      <c r="AO709" s="82">
        <f t="shared" ca="1" si="484"/>
        <v>2122856.9806333813</v>
      </c>
      <c r="AP709" s="82">
        <f t="shared" ca="1" si="484"/>
        <v>47891.630331466447</v>
      </c>
      <c r="AQ709" s="82">
        <f t="shared" ca="1" si="484"/>
        <v>51165.723026168736</v>
      </c>
      <c r="AR709" s="82">
        <f t="shared" ca="1" si="484"/>
        <v>51545.48908652614</v>
      </c>
      <c r="AT709" s="84">
        <f ca="1">SUM(E709:AS709)</f>
        <v>2870295.345279675</v>
      </c>
    </row>
    <row r="710" spans="1:46" x14ac:dyDescent="0.2">
      <c r="A710" s="29" t="s">
        <v>315</v>
      </c>
      <c r="C710" s="266" t="str">
        <f>Параметры!$B$64</f>
        <v>тыс. руб.</v>
      </c>
      <c r="D710" s="65"/>
      <c r="E710" s="82">
        <f t="shared" ref="E710:AR710" ca="1" si="485">E665+E679+E684+E688+E702+0</f>
        <v>212.41418400000001</v>
      </c>
      <c r="F710" s="82">
        <f t="shared" ca="1" si="485"/>
        <v>1629.2840964915588</v>
      </c>
      <c r="G710" s="82">
        <f t="shared" ca="1" si="485"/>
        <v>1629.2840964915588</v>
      </c>
      <c r="H710" s="82">
        <f t="shared" ca="1" si="485"/>
        <v>4487.1217773040589</v>
      </c>
      <c r="I710" s="82">
        <f t="shared" ca="1" si="485"/>
        <v>7188.0129419290588</v>
      </c>
      <c r="J710" s="82">
        <f t="shared" ca="1" si="485"/>
        <v>2008.3818792207207</v>
      </c>
      <c r="K710" s="82">
        <f t="shared" ca="1" si="485"/>
        <v>2605.6965069134244</v>
      </c>
      <c r="L710" s="82">
        <f t="shared" ca="1" si="485"/>
        <v>2919.5116631589917</v>
      </c>
      <c r="M710" s="82">
        <f t="shared" ca="1" si="485"/>
        <v>2945.2856467532574</v>
      </c>
      <c r="N710" s="82">
        <f t="shared" ca="1" si="485"/>
        <v>2972.392461853296</v>
      </c>
      <c r="O710" s="82">
        <f t="shared" ca="1" si="485"/>
        <v>3000.4090061425782</v>
      </c>
      <c r="P710" s="82">
        <f t="shared" ca="1" si="485"/>
        <v>3188.3267766855361</v>
      </c>
      <c r="Q710" s="82">
        <f t="shared" ca="1" si="485"/>
        <v>3299.6983807560955</v>
      </c>
      <c r="R710" s="82">
        <f t="shared" ca="1" si="485"/>
        <v>3332.9498632742138</v>
      </c>
      <c r="S710" s="82">
        <f t="shared" ca="1" si="485"/>
        <v>3366.6155452715784</v>
      </c>
      <c r="T710" s="82">
        <f t="shared" ca="1" si="485"/>
        <v>3400.8416710241418</v>
      </c>
      <c r="U710" s="82">
        <f t="shared" ca="1" si="485"/>
        <v>3435.6375704246657</v>
      </c>
      <c r="V710" s="82">
        <f t="shared" ca="1" si="485"/>
        <v>3471.460995625755</v>
      </c>
      <c r="W710" s="82">
        <f t="shared" ca="1" si="485"/>
        <v>3508.1125222365899</v>
      </c>
      <c r="X710" s="82">
        <f t="shared" ca="1" si="485"/>
        <v>3545.3857331946087</v>
      </c>
      <c r="Y710" s="82">
        <f t="shared" ca="1" si="485"/>
        <v>3583.2911735292628</v>
      </c>
      <c r="Z710" s="82">
        <f t="shared" ca="1" si="485"/>
        <v>3621.5220689461785</v>
      </c>
      <c r="AA710" s="82">
        <f t="shared" ca="1" si="485"/>
        <v>3660.2373696692543</v>
      </c>
      <c r="AB710" s="82">
        <f t="shared" ca="1" si="485"/>
        <v>3699.6012925492537</v>
      </c>
      <c r="AC710" s="82">
        <f t="shared" ca="1" si="485"/>
        <v>3739.6247043673857</v>
      </c>
      <c r="AD710" s="82">
        <f t="shared" ca="1" si="485"/>
        <v>12004.785553811198</v>
      </c>
      <c r="AE710" s="82">
        <f t="shared" ca="1" si="485"/>
        <v>18741.670785631613</v>
      </c>
      <c r="AF710" s="82">
        <f t="shared" ca="1" si="485"/>
        <v>19861.891513757557</v>
      </c>
      <c r="AG710" s="82">
        <f t="shared" ca="1" si="485"/>
        <v>21002.369203875343</v>
      </c>
      <c r="AH710" s="82">
        <f t="shared" ca="1" si="485"/>
        <v>48022.923246095204</v>
      </c>
      <c r="AI710" s="82">
        <f t="shared" ca="1" si="485"/>
        <v>49142.033922765913</v>
      </c>
      <c r="AJ710" s="82">
        <f t="shared" ca="1" si="485"/>
        <v>50286.855441164233</v>
      </c>
      <c r="AK710" s="82">
        <f t="shared" ca="1" si="485"/>
        <v>51457.890670965724</v>
      </c>
      <c r="AL710" s="82">
        <f t="shared" ca="1" si="485"/>
        <v>89533.09372628764</v>
      </c>
      <c r="AM710" s="82">
        <f t="shared" ca="1" si="485"/>
        <v>51652.728707298622</v>
      </c>
      <c r="AN710" s="82">
        <f t="shared" ca="1" si="485"/>
        <v>52792.433106911543</v>
      </c>
      <c r="AO710" s="82">
        <f t="shared" ca="1" si="485"/>
        <v>53867.316009686576</v>
      </c>
      <c r="AP710" s="82">
        <f t="shared" ca="1" si="485"/>
        <v>2122889.19160181</v>
      </c>
      <c r="AQ710" s="82">
        <f t="shared" ca="1" si="485"/>
        <v>47924.364898198437</v>
      </c>
      <c r="AR710" s="82">
        <f t="shared" ca="1" si="485"/>
        <v>51198.989702440624</v>
      </c>
      <c r="AT710" s="84">
        <f ca="1">SUM(E710:AS710)</f>
        <v>2820829.6380185131</v>
      </c>
    </row>
    <row r="711" spans="1:46" s="60" customFormat="1" x14ac:dyDescent="0.2">
      <c r="A711" s="29" t="s">
        <v>285</v>
      </c>
      <c r="B711" s="29"/>
      <c r="C711" s="266" t="str">
        <f>Параметры!$B$64</f>
        <v>тыс. руб.</v>
      </c>
      <c r="D711" s="65"/>
      <c r="E711" s="82">
        <f t="shared" ref="E711:AR711" ca="1" si="486">E664+E678+E687+E683+E701+0</f>
        <v>1416.8699124915588</v>
      </c>
      <c r="F711" s="82">
        <f t="shared" ca="1" si="486"/>
        <v>1416.8699124915588</v>
      </c>
      <c r="G711" s="82">
        <f t="shared" ca="1" si="486"/>
        <v>4026.8910453040585</v>
      </c>
      <c r="H711" s="82">
        <f t="shared" ca="1" si="486"/>
        <v>6727.7822099290588</v>
      </c>
      <c r="I711" s="82">
        <f t="shared" ca="1" si="486"/>
        <v>1540.7781864915587</v>
      </c>
      <c r="J711" s="82">
        <f t="shared" ca="1" si="486"/>
        <v>1544.4646668561397</v>
      </c>
      <c r="K711" s="82">
        <f t="shared" ca="1" si="486"/>
        <v>1841.2787405202012</v>
      </c>
      <c r="L711" s="82">
        <f t="shared" ca="1" si="486"/>
        <v>1849.7792818109538</v>
      </c>
      <c r="M711" s="82">
        <f t="shared" ca="1" si="486"/>
        <v>1858.4160029627105</v>
      </c>
      <c r="N711" s="82">
        <f t="shared" ca="1" si="486"/>
        <v>1867.6510499368515</v>
      </c>
      <c r="O711" s="82">
        <f t="shared" ca="1" si="486"/>
        <v>1877.0417985944218</v>
      </c>
      <c r="P711" s="82">
        <f t="shared" ca="1" si="486"/>
        <v>1966.3053095371158</v>
      </c>
      <c r="Q711" s="82">
        <f t="shared" ca="1" si="486"/>
        <v>1977.3593561010484</v>
      </c>
      <c r="R711" s="82">
        <f t="shared" ca="1" si="486"/>
        <v>1988.4580740781412</v>
      </c>
      <c r="S711" s="82">
        <f t="shared" ca="1" si="486"/>
        <v>1999.7415560882773</v>
      </c>
      <c r="T711" s="82">
        <f t="shared" ca="1" si="486"/>
        <v>2011.2128779594912</v>
      </c>
      <c r="U711" s="82">
        <f t="shared" ca="1" si="486"/>
        <v>2022.8751667241459</v>
      </c>
      <c r="V711" s="82">
        <f t="shared" ca="1" si="486"/>
        <v>2034.9557349423635</v>
      </c>
      <c r="W711" s="82">
        <f t="shared" ca="1" si="486"/>
        <v>2047.2412141386721</v>
      </c>
      <c r="X711" s="82">
        <f t="shared" ca="1" si="486"/>
        <v>2059.7350800195272</v>
      </c>
      <c r="Y711" s="82">
        <f t="shared" ca="1" si="486"/>
        <v>2072.4408672464265</v>
      </c>
      <c r="Z711" s="82">
        <f t="shared" ca="1" si="486"/>
        <v>2085.2034213414345</v>
      </c>
      <c r="AA711" s="82">
        <f t="shared" ca="1" si="486"/>
        <v>2098.1797946554684</v>
      </c>
      <c r="AB711" s="82">
        <f t="shared" ca="1" si="486"/>
        <v>2111.3735694384513</v>
      </c>
      <c r="AC711" s="82">
        <f t="shared" ca="1" si="486"/>
        <v>10349.522198865041</v>
      </c>
      <c r="AD711" s="82">
        <f t="shared" ca="1" si="486"/>
        <v>17058.947085674117</v>
      </c>
      <c r="AE711" s="82">
        <f t="shared" ca="1" si="486"/>
        <v>18151.251909529292</v>
      </c>
      <c r="AF711" s="82">
        <f t="shared" ca="1" si="486"/>
        <v>19263.350578519228</v>
      </c>
      <c r="AG711" s="82">
        <f t="shared" ca="1" si="486"/>
        <v>46255.169888078875</v>
      </c>
      <c r="AH711" s="82">
        <f t="shared" ca="1" si="486"/>
        <v>47345.0710327692</v>
      </c>
      <c r="AI711" s="82">
        <f t="shared" ca="1" si="486"/>
        <v>48460.200374504471</v>
      </c>
      <c r="AJ711" s="82">
        <f t="shared" ca="1" si="486"/>
        <v>49601.052807964632</v>
      </c>
      <c r="AK711" s="82">
        <f t="shared" ca="1" si="486"/>
        <v>87645.829008166344</v>
      </c>
      <c r="AL711" s="82">
        <f t="shared" ca="1" si="486"/>
        <v>49734.538547976481</v>
      </c>
      <c r="AM711" s="82">
        <f t="shared" ca="1" si="486"/>
        <v>50842.81075028576</v>
      </c>
      <c r="AN711" s="82">
        <f t="shared" ca="1" si="486"/>
        <v>51885.746395755203</v>
      </c>
      <c r="AO711" s="82">
        <f t="shared" ca="1" si="486"/>
        <v>2120875.4110194501</v>
      </c>
      <c r="AP711" s="82">
        <f t="shared" ca="1" si="486"/>
        <v>45877.849749106033</v>
      </c>
      <c r="AQ711" s="82">
        <f t="shared" ca="1" si="486"/>
        <v>49119.20787707634</v>
      </c>
      <c r="AR711" s="82">
        <f t="shared" ca="1" si="486"/>
        <v>49465.707261161857</v>
      </c>
      <c r="AS711" s="1"/>
      <c r="AT711" s="30"/>
    </row>
    <row r="712" spans="1:46" s="60" customFormat="1" x14ac:dyDescent="0.2">
      <c r="A712" s="29"/>
      <c r="B712" s="29"/>
      <c r="C712" s="266"/>
      <c r="D712" s="65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82"/>
      <c r="AN712" s="82"/>
      <c r="AO712" s="82"/>
      <c r="AP712" s="82"/>
      <c r="AQ712" s="82"/>
      <c r="AR712" s="82"/>
      <c r="AS712" s="1"/>
      <c r="AT712" s="30"/>
    </row>
    <row r="713" spans="1:46" s="60" customFormat="1" x14ac:dyDescent="0.2">
      <c r="A713" s="29"/>
      <c r="B713" s="29"/>
      <c r="C713" s="266"/>
      <c r="D713" s="65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82"/>
      <c r="AN713" s="82"/>
      <c r="AO713" s="82"/>
      <c r="AP713" s="82"/>
      <c r="AQ713" s="82"/>
      <c r="AR713" s="82"/>
      <c r="AS713" s="1"/>
      <c r="AT713" s="30"/>
    </row>
    <row r="714" spans="1:46" x14ac:dyDescent="0.2">
      <c r="A714" s="46"/>
      <c r="B714" s="46"/>
      <c r="C714" s="46"/>
      <c r="D714" s="47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73"/>
      <c r="AT714" s="91"/>
    </row>
  </sheetData>
  <sheetProtection formatCells="0"/>
  <mergeCells count="1">
    <mergeCell ref="A1:C2"/>
  </mergeCells>
  <conditionalFormatting sqref="E653:AB653">
    <cfRule type="cellIs" dxfId="602" priority="862" operator="lessThan">
      <formula>0</formula>
    </cfRule>
  </conditionalFormatting>
  <conditionalFormatting sqref="E550:AB550">
    <cfRule type="cellIs" dxfId="601" priority="861" operator="lessThan">
      <formula>0</formula>
    </cfRule>
  </conditionalFormatting>
  <conditionalFormatting sqref="Q653">
    <cfRule type="cellIs" dxfId="600" priority="860" operator="lessThan">
      <formula>0</formula>
    </cfRule>
  </conditionalFormatting>
  <conditionalFormatting sqref="Q550">
    <cfRule type="cellIs" dxfId="599" priority="859" operator="lessThan">
      <formula>0</formula>
    </cfRule>
  </conditionalFormatting>
  <conditionalFormatting sqref="R653">
    <cfRule type="cellIs" dxfId="598" priority="858" operator="lessThan">
      <formula>0</formula>
    </cfRule>
  </conditionalFormatting>
  <conditionalFormatting sqref="R550">
    <cfRule type="cellIs" dxfId="597" priority="857" operator="lessThan">
      <formula>0</formula>
    </cfRule>
  </conditionalFormatting>
  <conditionalFormatting sqref="S653">
    <cfRule type="cellIs" dxfId="596" priority="856" operator="lessThan">
      <formula>0</formula>
    </cfRule>
  </conditionalFormatting>
  <conditionalFormatting sqref="S550">
    <cfRule type="cellIs" dxfId="595" priority="855" operator="lessThan">
      <formula>0</formula>
    </cfRule>
  </conditionalFormatting>
  <conditionalFormatting sqref="T653">
    <cfRule type="cellIs" dxfId="594" priority="854" operator="lessThan">
      <formula>0</formula>
    </cfRule>
  </conditionalFormatting>
  <conditionalFormatting sqref="T550">
    <cfRule type="cellIs" dxfId="593" priority="853" operator="lessThan">
      <formula>0</formula>
    </cfRule>
  </conditionalFormatting>
  <conditionalFormatting sqref="U653">
    <cfRule type="cellIs" dxfId="592" priority="852" operator="lessThan">
      <formula>0</formula>
    </cfRule>
  </conditionalFormatting>
  <conditionalFormatting sqref="U550">
    <cfRule type="cellIs" dxfId="591" priority="851" operator="lessThan">
      <formula>0</formula>
    </cfRule>
  </conditionalFormatting>
  <conditionalFormatting sqref="V653">
    <cfRule type="cellIs" dxfId="590" priority="850" operator="lessThan">
      <formula>0</formula>
    </cfRule>
  </conditionalFormatting>
  <conditionalFormatting sqref="V550">
    <cfRule type="cellIs" dxfId="589" priority="849" operator="lessThan">
      <formula>0</formula>
    </cfRule>
  </conditionalFormatting>
  <conditionalFormatting sqref="W653">
    <cfRule type="cellIs" dxfId="588" priority="848" operator="lessThan">
      <formula>0</formula>
    </cfRule>
  </conditionalFormatting>
  <conditionalFormatting sqref="W550">
    <cfRule type="cellIs" dxfId="587" priority="847" operator="lessThan">
      <formula>0</formula>
    </cfRule>
  </conditionalFormatting>
  <conditionalFormatting sqref="X653">
    <cfRule type="cellIs" dxfId="586" priority="846" operator="lessThan">
      <formula>0</formula>
    </cfRule>
  </conditionalFormatting>
  <conditionalFormatting sqref="X550">
    <cfRule type="cellIs" dxfId="585" priority="845" operator="lessThan">
      <formula>0</formula>
    </cfRule>
  </conditionalFormatting>
  <conditionalFormatting sqref="Y653">
    <cfRule type="cellIs" dxfId="584" priority="844" operator="lessThan">
      <formula>0</formula>
    </cfRule>
  </conditionalFormatting>
  <conditionalFormatting sqref="Y550">
    <cfRule type="cellIs" dxfId="583" priority="843" operator="lessThan">
      <formula>0</formula>
    </cfRule>
  </conditionalFormatting>
  <conditionalFormatting sqref="Z653">
    <cfRule type="cellIs" dxfId="582" priority="842" operator="lessThan">
      <formula>0</formula>
    </cfRule>
  </conditionalFormatting>
  <conditionalFormatting sqref="Z550">
    <cfRule type="cellIs" dxfId="581" priority="841" operator="lessThan">
      <formula>0</formula>
    </cfRule>
  </conditionalFormatting>
  <conditionalFormatting sqref="AA653">
    <cfRule type="cellIs" dxfId="580" priority="840" operator="lessThan">
      <formula>0</formula>
    </cfRule>
  </conditionalFormatting>
  <conditionalFormatting sqref="AA550">
    <cfRule type="cellIs" dxfId="579" priority="839" operator="lessThan">
      <formula>0</formula>
    </cfRule>
  </conditionalFormatting>
  <conditionalFormatting sqref="AB653">
    <cfRule type="cellIs" dxfId="578" priority="838" operator="lessThan">
      <formula>0</formula>
    </cfRule>
  </conditionalFormatting>
  <conditionalFormatting sqref="AB550">
    <cfRule type="cellIs" dxfId="577" priority="837" operator="lessThan">
      <formula>0</formula>
    </cfRule>
  </conditionalFormatting>
  <conditionalFormatting sqref="E107:AB107 E169:AR169 E237:AR237 E328:AR328 E387:AR387 E509:AR509 E554:AR554 E658:AR658 E77:AR77">
    <cfRule type="expression" dxfId="576" priority="863">
      <formula>E$2&lt;=$D$1</formula>
    </cfRule>
  </conditionalFormatting>
  <conditionalFormatting sqref="AC653">
    <cfRule type="cellIs" dxfId="575" priority="769" operator="lessThan">
      <formula>0</formula>
    </cfRule>
  </conditionalFormatting>
  <conditionalFormatting sqref="AC550">
    <cfRule type="cellIs" dxfId="574" priority="768" operator="lessThan">
      <formula>0</formula>
    </cfRule>
  </conditionalFormatting>
  <conditionalFormatting sqref="AC653">
    <cfRule type="cellIs" dxfId="573" priority="767" operator="lessThan">
      <formula>0</formula>
    </cfRule>
  </conditionalFormatting>
  <conditionalFormatting sqref="AC550">
    <cfRule type="cellIs" dxfId="572" priority="766" operator="lessThan">
      <formula>0</formula>
    </cfRule>
  </conditionalFormatting>
  <conditionalFormatting sqref="AC107">
    <cfRule type="expression" dxfId="571" priority="770">
      <formula>AC$2&lt;=$D$1</formula>
    </cfRule>
  </conditionalFormatting>
  <conditionalFormatting sqref="AD653">
    <cfRule type="cellIs" dxfId="570" priority="733" operator="lessThan">
      <formula>0</formula>
    </cfRule>
  </conditionalFormatting>
  <conditionalFormatting sqref="AD550">
    <cfRule type="cellIs" dxfId="569" priority="732" operator="lessThan">
      <formula>0</formula>
    </cfRule>
  </conditionalFormatting>
  <conditionalFormatting sqref="AD653">
    <cfRule type="cellIs" dxfId="568" priority="731" operator="lessThan">
      <formula>0</formula>
    </cfRule>
  </conditionalFormatting>
  <conditionalFormatting sqref="AD550">
    <cfRule type="cellIs" dxfId="567" priority="730" operator="lessThan">
      <formula>0</formula>
    </cfRule>
  </conditionalFormatting>
  <conditionalFormatting sqref="AD107">
    <cfRule type="expression" dxfId="566" priority="734">
      <formula>AD$2&lt;=$D$1</formula>
    </cfRule>
  </conditionalFormatting>
  <conditionalFormatting sqref="AE653">
    <cfRule type="cellIs" dxfId="565" priority="697" operator="lessThan">
      <formula>0</formula>
    </cfRule>
  </conditionalFormatting>
  <conditionalFormatting sqref="AE550">
    <cfRule type="cellIs" dxfId="564" priority="696" operator="lessThan">
      <formula>0</formula>
    </cfRule>
  </conditionalFormatting>
  <conditionalFormatting sqref="AE653">
    <cfRule type="cellIs" dxfId="563" priority="695" operator="lessThan">
      <formula>0</formula>
    </cfRule>
  </conditionalFormatting>
  <conditionalFormatting sqref="AE550">
    <cfRule type="cellIs" dxfId="562" priority="694" operator="lessThan">
      <formula>0</formula>
    </cfRule>
  </conditionalFormatting>
  <conditionalFormatting sqref="AE107">
    <cfRule type="expression" dxfId="561" priority="698">
      <formula>AE$2&lt;=$D$1</formula>
    </cfRule>
  </conditionalFormatting>
  <conditionalFormatting sqref="AF653">
    <cfRule type="cellIs" dxfId="560" priority="661" operator="lessThan">
      <formula>0</formula>
    </cfRule>
  </conditionalFormatting>
  <conditionalFormatting sqref="AF550">
    <cfRule type="cellIs" dxfId="559" priority="660" operator="lessThan">
      <formula>0</formula>
    </cfRule>
  </conditionalFormatting>
  <conditionalFormatting sqref="AF653">
    <cfRule type="cellIs" dxfId="558" priority="659" operator="lessThan">
      <formula>0</formula>
    </cfRule>
  </conditionalFormatting>
  <conditionalFormatting sqref="AF550">
    <cfRule type="cellIs" dxfId="557" priority="658" operator="lessThan">
      <formula>0</formula>
    </cfRule>
  </conditionalFormatting>
  <conditionalFormatting sqref="AF107">
    <cfRule type="expression" dxfId="556" priority="662">
      <formula>AF$2&lt;=$D$1</formula>
    </cfRule>
  </conditionalFormatting>
  <conditionalFormatting sqref="AG653">
    <cfRule type="cellIs" dxfId="555" priority="625" operator="lessThan">
      <formula>0</formula>
    </cfRule>
  </conditionalFormatting>
  <conditionalFormatting sqref="AG550">
    <cfRule type="cellIs" dxfId="554" priority="624" operator="lessThan">
      <formula>0</formula>
    </cfRule>
  </conditionalFormatting>
  <conditionalFormatting sqref="AG653">
    <cfRule type="cellIs" dxfId="553" priority="623" operator="lessThan">
      <formula>0</formula>
    </cfRule>
  </conditionalFormatting>
  <conditionalFormatting sqref="AG550">
    <cfRule type="cellIs" dxfId="552" priority="622" operator="lessThan">
      <formula>0</formula>
    </cfRule>
  </conditionalFormatting>
  <conditionalFormatting sqref="AG107">
    <cfRule type="expression" dxfId="551" priority="626">
      <formula>AG$2&lt;=$D$1</formula>
    </cfRule>
  </conditionalFormatting>
  <conditionalFormatting sqref="AH653">
    <cfRule type="cellIs" dxfId="550" priority="589" operator="lessThan">
      <formula>0</formula>
    </cfRule>
  </conditionalFormatting>
  <conditionalFormatting sqref="AH550">
    <cfRule type="cellIs" dxfId="549" priority="588" operator="lessThan">
      <formula>0</formula>
    </cfRule>
  </conditionalFormatting>
  <conditionalFormatting sqref="AH653">
    <cfRule type="cellIs" dxfId="548" priority="587" operator="lessThan">
      <formula>0</formula>
    </cfRule>
  </conditionalFormatting>
  <conditionalFormatting sqref="AH550">
    <cfRule type="cellIs" dxfId="547" priority="586" operator="lessThan">
      <formula>0</formula>
    </cfRule>
  </conditionalFormatting>
  <conditionalFormatting sqref="AH107">
    <cfRule type="expression" dxfId="546" priority="590">
      <formula>AH$2&lt;=$D$1</formula>
    </cfRule>
  </conditionalFormatting>
  <conditionalFormatting sqref="AI653">
    <cfRule type="cellIs" dxfId="545" priority="553" operator="lessThan">
      <formula>0</formula>
    </cfRule>
  </conditionalFormatting>
  <conditionalFormatting sqref="AI550">
    <cfRule type="cellIs" dxfId="544" priority="552" operator="lessThan">
      <formula>0</formula>
    </cfRule>
  </conditionalFormatting>
  <conditionalFormatting sqref="AI653">
    <cfRule type="cellIs" dxfId="543" priority="551" operator="lessThan">
      <formula>0</formula>
    </cfRule>
  </conditionalFormatting>
  <conditionalFormatting sqref="AI550">
    <cfRule type="cellIs" dxfId="542" priority="550" operator="lessThan">
      <formula>0</formula>
    </cfRule>
  </conditionalFormatting>
  <conditionalFormatting sqref="AI107">
    <cfRule type="expression" dxfId="541" priority="554">
      <formula>AI$2&lt;=$D$1</formula>
    </cfRule>
  </conditionalFormatting>
  <conditionalFormatting sqref="AJ653">
    <cfRule type="cellIs" dxfId="540" priority="517" operator="lessThan">
      <formula>0</formula>
    </cfRule>
  </conditionalFormatting>
  <conditionalFormatting sqref="AJ550">
    <cfRule type="cellIs" dxfId="539" priority="516" operator="lessThan">
      <formula>0</formula>
    </cfRule>
  </conditionalFormatting>
  <conditionalFormatting sqref="AJ653">
    <cfRule type="cellIs" dxfId="538" priority="515" operator="lessThan">
      <formula>0</formula>
    </cfRule>
  </conditionalFormatting>
  <conditionalFormatting sqref="AJ550">
    <cfRule type="cellIs" dxfId="537" priority="514" operator="lessThan">
      <formula>0</formula>
    </cfRule>
  </conditionalFormatting>
  <conditionalFormatting sqref="AJ107">
    <cfRule type="expression" dxfId="536" priority="518">
      <formula>AJ$2&lt;=$D$1</formula>
    </cfRule>
  </conditionalFormatting>
  <conditionalFormatting sqref="AK653">
    <cfRule type="cellIs" dxfId="535" priority="481" operator="lessThan">
      <formula>0</formula>
    </cfRule>
  </conditionalFormatting>
  <conditionalFormatting sqref="AK550">
    <cfRule type="cellIs" dxfId="534" priority="480" operator="lessThan">
      <formula>0</formula>
    </cfRule>
  </conditionalFormatting>
  <conditionalFormatting sqref="AK653">
    <cfRule type="cellIs" dxfId="533" priority="479" operator="lessThan">
      <formula>0</formula>
    </cfRule>
  </conditionalFormatting>
  <conditionalFormatting sqref="AK550">
    <cfRule type="cellIs" dxfId="532" priority="478" operator="lessThan">
      <formula>0</formula>
    </cfRule>
  </conditionalFormatting>
  <conditionalFormatting sqref="AK107">
    <cfRule type="expression" dxfId="531" priority="482">
      <formula>AK$2&lt;=$D$1</formula>
    </cfRule>
  </conditionalFormatting>
  <conditionalFormatting sqref="AL653">
    <cfRule type="cellIs" dxfId="530" priority="445" operator="lessThan">
      <formula>0</formula>
    </cfRule>
  </conditionalFormatting>
  <conditionalFormatting sqref="AL550">
    <cfRule type="cellIs" dxfId="529" priority="444" operator="lessThan">
      <formula>0</formula>
    </cfRule>
  </conditionalFormatting>
  <conditionalFormatting sqref="AL653">
    <cfRule type="cellIs" dxfId="528" priority="443" operator="lessThan">
      <formula>0</formula>
    </cfRule>
  </conditionalFormatting>
  <conditionalFormatting sqref="AL550">
    <cfRule type="cellIs" dxfId="527" priority="442" operator="lessThan">
      <formula>0</formula>
    </cfRule>
  </conditionalFormatting>
  <conditionalFormatting sqref="AL107">
    <cfRule type="expression" dxfId="526" priority="446">
      <formula>AL$2&lt;=$D$1</formula>
    </cfRule>
  </conditionalFormatting>
  <conditionalFormatting sqref="AM653">
    <cfRule type="cellIs" dxfId="525" priority="409" operator="lessThan">
      <formula>0</formula>
    </cfRule>
  </conditionalFormatting>
  <conditionalFormatting sqref="AM550">
    <cfRule type="cellIs" dxfId="524" priority="408" operator="lessThan">
      <formula>0</formula>
    </cfRule>
  </conditionalFormatting>
  <conditionalFormatting sqref="AM653">
    <cfRule type="cellIs" dxfId="523" priority="407" operator="lessThan">
      <formula>0</formula>
    </cfRule>
  </conditionalFormatting>
  <conditionalFormatting sqref="AM550">
    <cfRule type="cellIs" dxfId="522" priority="406" operator="lessThan">
      <formula>0</formula>
    </cfRule>
  </conditionalFormatting>
  <conditionalFormatting sqref="AM107">
    <cfRule type="expression" dxfId="521" priority="410">
      <formula>AM$2&lt;=$D$1</formula>
    </cfRule>
  </conditionalFormatting>
  <conditionalFormatting sqref="AN653">
    <cfRule type="cellIs" dxfId="520" priority="373" operator="lessThan">
      <formula>0</formula>
    </cfRule>
  </conditionalFormatting>
  <conditionalFormatting sqref="AN550">
    <cfRule type="cellIs" dxfId="519" priority="372" operator="lessThan">
      <formula>0</formula>
    </cfRule>
  </conditionalFormatting>
  <conditionalFormatting sqref="AN653">
    <cfRule type="cellIs" dxfId="518" priority="371" operator="lessThan">
      <formula>0</formula>
    </cfRule>
  </conditionalFormatting>
  <conditionalFormatting sqref="AN550">
    <cfRule type="cellIs" dxfId="517" priority="370" operator="lessThan">
      <formula>0</formula>
    </cfRule>
  </conditionalFormatting>
  <conditionalFormatting sqref="AN107">
    <cfRule type="expression" dxfId="516" priority="374">
      <formula>AN$2&lt;=$D$1</formula>
    </cfRule>
  </conditionalFormatting>
  <conditionalFormatting sqref="AO653">
    <cfRule type="cellIs" dxfId="515" priority="337" operator="lessThan">
      <formula>0</formula>
    </cfRule>
  </conditionalFormatting>
  <conditionalFormatting sqref="AO550">
    <cfRule type="cellIs" dxfId="514" priority="336" operator="lessThan">
      <formula>0</formula>
    </cfRule>
  </conditionalFormatting>
  <conditionalFormatting sqref="AO653">
    <cfRule type="cellIs" dxfId="513" priority="335" operator="lessThan">
      <formula>0</formula>
    </cfRule>
  </conditionalFormatting>
  <conditionalFormatting sqref="AO550">
    <cfRule type="cellIs" dxfId="512" priority="334" operator="lessThan">
      <formula>0</formula>
    </cfRule>
  </conditionalFormatting>
  <conditionalFormatting sqref="AO107">
    <cfRule type="expression" dxfId="511" priority="338">
      <formula>AO$2&lt;=$D$1</formula>
    </cfRule>
  </conditionalFormatting>
  <conditionalFormatting sqref="AP653">
    <cfRule type="cellIs" dxfId="510" priority="301" operator="lessThan">
      <formula>0</formula>
    </cfRule>
  </conditionalFormatting>
  <conditionalFormatting sqref="AP550">
    <cfRule type="cellIs" dxfId="509" priority="300" operator="lessThan">
      <formula>0</formula>
    </cfRule>
  </conditionalFormatting>
  <conditionalFormatting sqref="AP653">
    <cfRule type="cellIs" dxfId="508" priority="299" operator="lessThan">
      <formula>0</formula>
    </cfRule>
  </conditionalFormatting>
  <conditionalFormatting sqref="AP550">
    <cfRule type="cellIs" dxfId="507" priority="298" operator="lessThan">
      <formula>0</formula>
    </cfRule>
  </conditionalFormatting>
  <conditionalFormatting sqref="AP107">
    <cfRule type="expression" dxfId="506" priority="302">
      <formula>AP$2&lt;=$D$1</formula>
    </cfRule>
  </conditionalFormatting>
  <conditionalFormatting sqref="AQ653">
    <cfRule type="cellIs" dxfId="505" priority="265" operator="lessThan">
      <formula>0</formula>
    </cfRule>
  </conditionalFormatting>
  <conditionalFormatting sqref="AQ550">
    <cfRule type="cellIs" dxfId="504" priority="264" operator="lessThan">
      <formula>0</formula>
    </cfRule>
  </conditionalFormatting>
  <conditionalFormatting sqref="AQ653">
    <cfRule type="cellIs" dxfId="503" priority="263" operator="lessThan">
      <formula>0</formula>
    </cfRule>
  </conditionalFormatting>
  <conditionalFormatting sqref="AQ550">
    <cfRule type="cellIs" dxfId="502" priority="262" operator="lessThan">
      <formula>0</formula>
    </cfRule>
  </conditionalFormatting>
  <conditionalFormatting sqref="AQ107">
    <cfRule type="expression" dxfId="501" priority="266">
      <formula>AQ$2&lt;=$D$1</formula>
    </cfRule>
  </conditionalFormatting>
  <conditionalFormatting sqref="AR653">
    <cfRule type="cellIs" dxfId="500" priority="229" operator="lessThan">
      <formula>0</formula>
    </cfRule>
  </conditionalFormatting>
  <conditionalFormatting sqref="AR550">
    <cfRule type="cellIs" dxfId="499" priority="228" operator="lessThan">
      <formula>0</formula>
    </cfRule>
  </conditionalFormatting>
  <conditionalFormatting sqref="AR653">
    <cfRule type="cellIs" dxfId="498" priority="227" operator="lessThan">
      <formula>0</formula>
    </cfRule>
  </conditionalFormatting>
  <conditionalFormatting sqref="AR550">
    <cfRule type="cellIs" dxfId="497" priority="226" operator="lessThan">
      <formula>0</formula>
    </cfRule>
  </conditionalFormatting>
  <conditionalFormatting sqref="AR107">
    <cfRule type="expression" dxfId="496" priority="230">
      <formula>AR$2&lt;=$D$1</formula>
    </cfRule>
  </conditionalFormatting>
  <conditionalFormatting sqref="B56">
    <cfRule type="expression" dxfId="495" priority="192">
      <formula>$B$47&lt;&gt;0</formula>
    </cfRule>
  </conditionalFormatting>
  <conditionalFormatting sqref="E64:AB64">
    <cfRule type="expression" dxfId="494" priority="194">
      <formula>E$2&lt;=$D$1</formula>
    </cfRule>
  </conditionalFormatting>
  <conditionalFormatting sqref="AC64">
    <cfRule type="expression" dxfId="493" priority="168">
      <formula>AC$2&lt;=$D$1</formula>
    </cfRule>
  </conditionalFormatting>
  <conditionalFormatting sqref="AD64">
    <cfRule type="expression" dxfId="492" priority="166">
      <formula>AD$2&lt;=$D$1</formula>
    </cfRule>
  </conditionalFormatting>
  <conditionalFormatting sqref="AE64">
    <cfRule type="expression" dxfId="491" priority="164">
      <formula>AE$2&lt;=$D$1</formula>
    </cfRule>
  </conditionalFormatting>
  <conditionalFormatting sqref="AF64">
    <cfRule type="expression" dxfId="490" priority="162">
      <formula>AF$2&lt;=$D$1</formula>
    </cfRule>
  </conditionalFormatting>
  <conditionalFormatting sqref="AG64">
    <cfRule type="expression" dxfId="489" priority="160">
      <formula>AG$2&lt;=$D$1</formula>
    </cfRule>
  </conditionalFormatting>
  <conditionalFormatting sqref="AH64">
    <cfRule type="expression" dxfId="488" priority="158">
      <formula>AH$2&lt;=$D$1</formula>
    </cfRule>
  </conditionalFormatting>
  <conditionalFormatting sqref="AI64">
    <cfRule type="expression" dxfId="487" priority="156">
      <formula>AI$2&lt;=$D$1</formula>
    </cfRule>
  </conditionalFormatting>
  <conditionalFormatting sqref="AJ64">
    <cfRule type="expression" dxfId="486" priority="154">
      <formula>AJ$2&lt;=$D$1</formula>
    </cfRule>
  </conditionalFormatting>
  <conditionalFormatting sqref="AK64">
    <cfRule type="expression" dxfId="485" priority="152">
      <formula>AK$2&lt;=$D$1</formula>
    </cfRule>
  </conditionalFormatting>
  <conditionalFormatting sqref="AL64">
    <cfRule type="expression" dxfId="484" priority="150">
      <formula>AL$2&lt;=$D$1</formula>
    </cfRule>
  </conditionalFormatting>
  <conditionalFormatting sqref="AM64">
    <cfRule type="expression" dxfId="483" priority="148">
      <formula>AM$2&lt;=$D$1</formula>
    </cfRule>
  </conditionalFormatting>
  <conditionalFormatting sqref="AN64">
    <cfRule type="expression" dxfId="482" priority="146">
      <formula>AN$2&lt;=$D$1</formula>
    </cfRule>
  </conditionalFormatting>
  <conditionalFormatting sqref="AO64">
    <cfRule type="expression" dxfId="481" priority="144">
      <formula>AO$2&lt;=$D$1</formula>
    </cfRule>
  </conditionalFormatting>
  <conditionalFormatting sqref="AP64">
    <cfRule type="expression" dxfId="480" priority="142">
      <formula>AP$2&lt;=$D$1</formula>
    </cfRule>
  </conditionalFormatting>
  <conditionalFormatting sqref="AQ64">
    <cfRule type="expression" dxfId="479" priority="140">
      <formula>AQ$2&lt;=$D$1</formula>
    </cfRule>
  </conditionalFormatting>
  <conditionalFormatting sqref="AR64">
    <cfRule type="expression" dxfId="478" priority="138">
      <formula>AR$2&lt;=$D$1</formula>
    </cfRule>
  </conditionalFormatting>
  <conditionalFormatting sqref="E434:AR434">
    <cfRule type="cellIs" dxfId="477" priority="102" operator="equal">
      <formula>0</formula>
    </cfRule>
  </conditionalFormatting>
  <conditionalFormatting sqref="E435:AR435">
    <cfRule type="cellIs" dxfId="476" priority="101" operator="equal">
      <formula>0</formula>
    </cfRule>
  </conditionalFormatting>
  <conditionalFormatting sqref="E474:AB474">
    <cfRule type="cellIs" dxfId="475" priority="49" operator="equal">
      <formula>0</formula>
    </cfRule>
  </conditionalFormatting>
  <conditionalFormatting sqref="AC474">
    <cfRule type="cellIs" dxfId="474" priority="46" operator="equal">
      <formula>0</formula>
    </cfRule>
  </conditionalFormatting>
  <conditionalFormatting sqref="AD474">
    <cfRule type="cellIs" dxfId="473" priority="43" operator="equal">
      <formula>0</formula>
    </cfRule>
  </conditionalFormatting>
  <conditionalFormatting sqref="AE474">
    <cfRule type="cellIs" dxfId="472" priority="40" operator="equal">
      <formula>0</formula>
    </cfRule>
  </conditionalFormatting>
  <conditionalFormatting sqref="AF474">
    <cfRule type="cellIs" dxfId="471" priority="37" operator="equal">
      <formula>0</formula>
    </cfRule>
  </conditionalFormatting>
  <conditionalFormatting sqref="AG474">
    <cfRule type="cellIs" dxfId="470" priority="34" operator="equal">
      <formula>0</formula>
    </cfRule>
  </conditionalFormatting>
  <conditionalFormatting sqref="AH474">
    <cfRule type="cellIs" dxfId="469" priority="31" operator="equal">
      <formula>0</formula>
    </cfRule>
  </conditionalFormatting>
  <conditionalFormatting sqref="AI474">
    <cfRule type="cellIs" dxfId="468" priority="28" operator="equal">
      <formula>0</formula>
    </cfRule>
  </conditionalFormatting>
  <conditionalFormatting sqref="AJ474">
    <cfRule type="cellIs" dxfId="467" priority="25" operator="equal">
      <formula>0</formula>
    </cfRule>
  </conditionalFormatting>
  <conditionalFormatting sqref="AK474">
    <cfRule type="cellIs" dxfId="466" priority="22" operator="equal">
      <formula>0</formula>
    </cfRule>
  </conditionalFormatting>
  <conditionalFormatting sqref="AL474">
    <cfRule type="cellIs" dxfId="465" priority="19" operator="equal">
      <formula>0</formula>
    </cfRule>
  </conditionalFormatting>
  <conditionalFormatting sqref="AM474">
    <cfRule type="cellIs" dxfId="464" priority="16" operator="equal">
      <formula>0</formula>
    </cfRule>
  </conditionalFormatting>
  <conditionalFormatting sqref="AN474">
    <cfRule type="cellIs" dxfId="463" priority="13" operator="equal">
      <formula>0</formula>
    </cfRule>
  </conditionalFormatting>
  <conditionalFormatting sqref="AO474">
    <cfRule type="cellIs" dxfId="462" priority="10" operator="equal">
      <formula>0</formula>
    </cfRule>
  </conditionalFormatting>
  <conditionalFormatting sqref="AP474">
    <cfRule type="cellIs" dxfId="461" priority="7" operator="equal">
      <formula>0</formula>
    </cfRule>
  </conditionalFormatting>
  <conditionalFormatting sqref="AQ474">
    <cfRule type="cellIs" dxfId="460" priority="4" operator="equal">
      <formula>0</formula>
    </cfRule>
  </conditionalFormatting>
  <conditionalFormatting sqref="AR474">
    <cfRule type="cellIs" dxfId="459" priority="1" operator="equal">
      <formula>0</formula>
    </cfRule>
  </conditionalFormatting>
  <conditionalFormatting sqref="B107">
    <cfRule type="cellIs" dxfId="458" priority="835" operator="equal">
      <formula>#REF!</formula>
    </cfRule>
  </conditionalFormatting>
  <conditionalFormatting sqref="B169">
    <cfRule type="cellIs" dxfId="457" priority="833" operator="equal">
      <formula>#REF!</formula>
    </cfRule>
  </conditionalFormatting>
  <conditionalFormatting sqref="B237">
    <cfRule type="cellIs" dxfId="456" priority="832" operator="equal">
      <formula>#REF!</formula>
    </cfRule>
  </conditionalFormatting>
  <conditionalFormatting sqref="B328">
    <cfRule type="cellIs" dxfId="455" priority="831" operator="equal">
      <formula>#REF!</formula>
    </cfRule>
  </conditionalFormatting>
  <conditionalFormatting sqref="B387">
    <cfRule type="cellIs" dxfId="454" priority="830" operator="equal">
      <formula>#REF!</formula>
    </cfRule>
  </conditionalFormatting>
  <conditionalFormatting sqref="B509">
    <cfRule type="cellIs" dxfId="453" priority="826" operator="equal">
      <formula>#REF!</formula>
    </cfRule>
  </conditionalFormatting>
  <conditionalFormatting sqref="B554">
    <cfRule type="cellIs" dxfId="452" priority="825" operator="equal">
      <formula>#REF!</formula>
    </cfRule>
  </conditionalFormatting>
  <conditionalFormatting sqref="B658">
    <cfRule type="cellIs" dxfId="451" priority="824" operator="equal">
      <formula>#REF!</formula>
    </cfRule>
  </conditionalFormatting>
  <conditionalFormatting sqref="B4">
    <cfRule type="cellIs" dxfId="450" priority="821" operator="equal">
      <formula>#REF!</formula>
    </cfRule>
  </conditionalFormatting>
  <conditionalFormatting sqref="B13">
    <cfRule type="cellIs" dxfId="449" priority="172" operator="equal">
      <formula>#REF!</formula>
    </cfRule>
  </conditionalFormatting>
  <conditionalFormatting sqref="B64">
    <cfRule type="cellIs" dxfId="448" priority="171" operator="equal">
      <formula>#REF!</formula>
    </cfRule>
  </conditionalFormatting>
  <conditionalFormatting sqref="B77">
    <cfRule type="cellIs" dxfId="447" priority="169" operator="equal">
      <formula>#REF!</formula>
    </cfRule>
  </conditionalFormatting>
  <dataValidations count="4">
    <dataValidation type="list" allowBlank="1" showInputMessage="1" showErrorMessage="1" sqref="B8" xr:uid="{00000000-0002-0000-0300-000000000000}">
      <formula1>"1,2,3,4,5"</formula1>
    </dataValidation>
    <dataValidation type="list" allowBlank="1" showInputMessage="1" showErrorMessage="1" sqref="B7" xr:uid="{00000000-0002-0000-0300-000001000000}">
      <formula1>"1,2"</formula1>
    </dataValidation>
    <dataValidation type="list" allowBlank="1" showInputMessage="1" showErrorMessage="1" sqref="B605:B606 B563:B564 B577:B578 B591:B592 B619:B620 B633:B634" xr:uid="{00000000-0002-0000-0300-000002000000}">
      <formula1>"0,1"</formula1>
    </dataValidation>
    <dataValidation type="list" showInputMessage="1" showErrorMessage="1" sqref="B107 B169 B237 B328 B387 B509 B554 B658 B4 B13 B64 B77" xr:uid="{00000000-0002-0000-0300-000003000000}">
      <formula1>#REF!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20">
    <outlinePr summaryBelow="0" summaryRight="0"/>
  </sheetPr>
  <dimension ref="A1:AT373"/>
  <sheetViews>
    <sheetView workbookViewId="0">
      <selection sqref="A1:C2"/>
    </sheetView>
  </sheetViews>
  <sheetFormatPr defaultRowHeight="11.25" outlineLevelRow="1" x14ac:dyDescent="0.2"/>
  <cols>
    <col min="1" max="1" width="50.7109375" style="29" customWidth="1"/>
    <col min="2" max="2" width="10.85546875" style="3" customWidth="1"/>
    <col min="3" max="3" width="9" style="12" customWidth="1"/>
    <col min="4" max="4" width="10.7109375" style="29" customWidth="1"/>
    <col min="5" max="44" width="8.7109375" style="29" customWidth="1"/>
    <col min="45" max="45" width="1.7109375" style="29" customWidth="1"/>
    <col min="46" max="46" width="8.7109375" style="29" customWidth="1"/>
    <col min="47" max="16384" width="9.140625" style="29"/>
  </cols>
  <sheetData>
    <row r="1" spans="1:46" s="1" customFormat="1" x14ac:dyDescent="0.2">
      <c r="A1" s="1028" t="str">
        <f>Деятельность_УК!A1</f>
        <v xml:space="preserve">Проект создания ИП «Бугры» на территории Ленинградской области. Управляющая компания.
</v>
      </c>
      <c r="B1" s="1028"/>
      <c r="C1" s="1028"/>
      <c r="D1" s="102"/>
      <c r="E1" s="16" t="str">
        <f>Параметры!E$53</f>
        <v>1 кв. 2020</v>
      </c>
      <c r="F1" s="16" t="str">
        <f>Параметры!F$53</f>
        <v>2 кв. 2020</v>
      </c>
      <c r="G1" s="16" t="str">
        <f>Параметры!G$53</f>
        <v>3 кв. 2020</v>
      </c>
      <c r="H1" s="16" t="str">
        <f>Параметры!H$53</f>
        <v>4 кв. 2020</v>
      </c>
      <c r="I1" s="16" t="str">
        <f>Параметры!I$53</f>
        <v>1 кв. 2021</v>
      </c>
      <c r="J1" s="16" t="str">
        <f>Параметры!J$53</f>
        <v>2 кв. 2021</v>
      </c>
      <c r="K1" s="16" t="str">
        <f>Параметры!K$53</f>
        <v>3 кв. 2021</v>
      </c>
      <c r="L1" s="16" t="str">
        <f>Параметры!L$53</f>
        <v>4 кв. 2021</v>
      </c>
      <c r="M1" s="16" t="str">
        <f>Параметры!M$53</f>
        <v>1 кв. 2022</v>
      </c>
      <c r="N1" s="16" t="str">
        <f>Параметры!N$53</f>
        <v>2 кв. 2022</v>
      </c>
      <c r="O1" s="16" t="str">
        <f>Параметры!O$53</f>
        <v>3 кв. 2022</v>
      </c>
      <c r="P1" s="16" t="str">
        <f>Параметры!P$53</f>
        <v>4 кв. 2022</v>
      </c>
      <c r="Q1" s="16" t="str">
        <f>Параметры!Q$53</f>
        <v>1 кв. 2023</v>
      </c>
      <c r="R1" s="16" t="str">
        <f>Параметры!R$53</f>
        <v>2 кв. 2023</v>
      </c>
      <c r="S1" s="16" t="str">
        <f>Параметры!S$53</f>
        <v>3 кв. 2023</v>
      </c>
      <c r="T1" s="16" t="str">
        <f>Параметры!T$53</f>
        <v>4 кв. 2023</v>
      </c>
      <c r="U1" s="16" t="str">
        <f>Параметры!U$53</f>
        <v>1 кв. 2024</v>
      </c>
      <c r="V1" s="16" t="str">
        <f>Параметры!V$53</f>
        <v>2 кв. 2024</v>
      </c>
      <c r="W1" s="16" t="str">
        <f>Параметры!W$53</f>
        <v>3 кв. 2024</v>
      </c>
      <c r="X1" s="16" t="str">
        <f>Параметры!X$53</f>
        <v>4 кв. 2024</v>
      </c>
      <c r="Y1" s="16" t="str">
        <f>Параметры!Y$53</f>
        <v>1 кв. 2025</v>
      </c>
      <c r="Z1" s="16" t="str">
        <f>Параметры!Z$53</f>
        <v>2 кв. 2025</v>
      </c>
      <c r="AA1" s="16" t="str">
        <f>Параметры!AA$53</f>
        <v>3 кв. 2025</v>
      </c>
      <c r="AB1" s="16" t="str">
        <f>Параметры!AB$53</f>
        <v>4 кв. 2025</v>
      </c>
      <c r="AC1" s="16" t="str">
        <f>Параметры!AC$53</f>
        <v>1 кв. 2026</v>
      </c>
      <c r="AD1" s="16" t="str">
        <f>Параметры!AD$53</f>
        <v>2 кв. 2026</v>
      </c>
      <c r="AE1" s="16" t="str">
        <f>Параметры!AE$53</f>
        <v>3 кв. 2026</v>
      </c>
      <c r="AF1" s="16" t="str">
        <f>Параметры!AF$53</f>
        <v>4 кв. 2026</v>
      </c>
      <c r="AG1" s="16" t="str">
        <f>Параметры!AG$53</f>
        <v>1 кв. 2027</v>
      </c>
      <c r="AH1" s="16" t="str">
        <f>Параметры!AH$53</f>
        <v>2 кв. 2027</v>
      </c>
      <c r="AI1" s="16" t="str">
        <f>Параметры!AI$53</f>
        <v>3 кв. 2027</v>
      </c>
      <c r="AJ1" s="16" t="str">
        <f>Параметры!AJ$53</f>
        <v>4 кв. 2027</v>
      </c>
      <c r="AK1" s="16" t="str">
        <f>Параметры!AK$53</f>
        <v>1 кв. 2028</v>
      </c>
      <c r="AL1" s="16" t="str">
        <f>Параметры!AL$53</f>
        <v>2 кв. 2028</v>
      </c>
      <c r="AM1" s="16" t="str">
        <f>Параметры!AM$53</f>
        <v>3 кв. 2028</v>
      </c>
      <c r="AN1" s="16" t="str">
        <f>Параметры!AN$53</f>
        <v>4 кв. 2028</v>
      </c>
      <c r="AO1" s="16" t="str">
        <f>Параметры!AO$53</f>
        <v>1 кв. 2029</v>
      </c>
      <c r="AP1" s="16" t="str">
        <f>Параметры!AP$53</f>
        <v>2 кв. 2029</v>
      </c>
      <c r="AQ1" s="16" t="str">
        <f>Параметры!AQ$53</f>
        <v>3 кв. 2029</v>
      </c>
      <c r="AR1" s="16" t="str">
        <f>Параметры!AR$53</f>
        <v>4 кв. 2029</v>
      </c>
      <c r="AS1" s="15"/>
      <c r="AT1" s="17" t="s">
        <v>0</v>
      </c>
    </row>
    <row r="2" spans="1:46" s="1" customFormat="1" x14ac:dyDescent="0.2">
      <c r="A2" s="1028"/>
      <c r="B2" s="1028"/>
      <c r="C2" s="1028"/>
      <c r="D2" s="102">
        <f>Деятельность_УК!$D$2</f>
        <v>1</v>
      </c>
      <c r="E2" s="16">
        <f>Параметры!E36</f>
        <v>1</v>
      </c>
      <c r="F2" s="16">
        <f>Параметры!F36</f>
        <v>2</v>
      </c>
      <c r="G2" s="16">
        <f>Параметры!G36</f>
        <v>3</v>
      </c>
      <c r="H2" s="16">
        <f>Параметры!H36</f>
        <v>4</v>
      </c>
      <c r="I2" s="16">
        <f>Параметры!I36</f>
        <v>5</v>
      </c>
      <c r="J2" s="16">
        <f>Параметры!J36</f>
        <v>6</v>
      </c>
      <c r="K2" s="16">
        <f>Параметры!K36</f>
        <v>7</v>
      </c>
      <c r="L2" s="16">
        <f>Параметры!L36</f>
        <v>8</v>
      </c>
      <c r="M2" s="16">
        <f>Параметры!M36</f>
        <v>9</v>
      </c>
      <c r="N2" s="16">
        <f>Параметры!N36</f>
        <v>10</v>
      </c>
      <c r="O2" s="16">
        <f>Параметры!O36</f>
        <v>11</v>
      </c>
      <c r="P2" s="16">
        <f>Параметры!P36</f>
        <v>12</v>
      </c>
      <c r="Q2" s="16">
        <f>Параметры!Q36</f>
        <v>13</v>
      </c>
      <c r="R2" s="16">
        <f>Параметры!R36</f>
        <v>14</v>
      </c>
      <c r="S2" s="16">
        <f>Параметры!S36</f>
        <v>15</v>
      </c>
      <c r="T2" s="16">
        <f>Параметры!T36</f>
        <v>16</v>
      </c>
      <c r="U2" s="16">
        <f>Параметры!U36</f>
        <v>17</v>
      </c>
      <c r="V2" s="16">
        <f>Параметры!V36</f>
        <v>18</v>
      </c>
      <c r="W2" s="16">
        <f>Параметры!W36</f>
        <v>19</v>
      </c>
      <c r="X2" s="16">
        <f>Параметры!X36</f>
        <v>20</v>
      </c>
      <c r="Y2" s="16">
        <f>Параметры!Y36</f>
        <v>21</v>
      </c>
      <c r="Z2" s="16">
        <f>Параметры!Z36</f>
        <v>22</v>
      </c>
      <c r="AA2" s="16">
        <f>Параметры!AA36</f>
        <v>23</v>
      </c>
      <c r="AB2" s="16">
        <f>Параметры!AB36</f>
        <v>24</v>
      </c>
      <c r="AC2" s="16">
        <f>Параметры!AC36</f>
        <v>25</v>
      </c>
      <c r="AD2" s="16">
        <f>Параметры!AD36</f>
        <v>26</v>
      </c>
      <c r="AE2" s="16">
        <f>Параметры!AE36</f>
        <v>27</v>
      </c>
      <c r="AF2" s="16">
        <f>Параметры!AF36</f>
        <v>28</v>
      </c>
      <c r="AG2" s="16">
        <f>Параметры!AG36</f>
        <v>29</v>
      </c>
      <c r="AH2" s="16">
        <f>Параметры!AH36</f>
        <v>30</v>
      </c>
      <c r="AI2" s="16">
        <f>Параметры!AI36</f>
        <v>31</v>
      </c>
      <c r="AJ2" s="16">
        <f>Параметры!AJ36</f>
        <v>32</v>
      </c>
      <c r="AK2" s="16">
        <f>Параметры!AK36</f>
        <v>33</v>
      </c>
      <c r="AL2" s="16">
        <f>Параметры!AL36</f>
        <v>34</v>
      </c>
      <c r="AM2" s="16">
        <f>Параметры!AM36</f>
        <v>35</v>
      </c>
      <c r="AN2" s="16">
        <f>Параметры!AN36</f>
        <v>36</v>
      </c>
      <c r="AO2" s="16">
        <f>Параметры!AO36</f>
        <v>37</v>
      </c>
      <c r="AP2" s="16">
        <f>Параметры!AP36</f>
        <v>38</v>
      </c>
      <c r="AQ2" s="16">
        <f>Параметры!AQ36</f>
        <v>39</v>
      </c>
      <c r="AR2" s="16">
        <f>Параметры!AR36</f>
        <v>40</v>
      </c>
      <c r="AS2" s="15"/>
      <c r="AT2" s="15"/>
    </row>
    <row r="3" spans="1:46" ht="12" thickBot="1" x14ac:dyDescent="0.25">
      <c r="D3" s="40"/>
    </row>
    <row r="4" spans="1:46" s="43" customFormat="1" ht="25.5" customHeight="1" thickBot="1" x14ac:dyDescent="0.25">
      <c r="A4" s="481" t="s">
        <v>100</v>
      </c>
      <c r="B4" s="479"/>
      <c r="C4" s="485"/>
      <c r="D4" s="486"/>
      <c r="E4" s="479" t="str">
        <f>CHOOSE($D$2,Параметры!E$53,Параметры!E$54)</f>
        <v>1 кв. 2020</v>
      </c>
      <c r="F4" s="479" t="str">
        <f>CHOOSE($D$2,Параметры!F$53,Параметры!F$54)</f>
        <v>2 кв. 2020</v>
      </c>
      <c r="G4" s="479" t="str">
        <f>CHOOSE($D$2,Параметры!G$53,Параметры!G$54)</f>
        <v>3 кв. 2020</v>
      </c>
      <c r="H4" s="479" t="str">
        <f>CHOOSE($D$2,Параметры!H$53,Параметры!H$54)</f>
        <v>4 кв. 2020</v>
      </c>
      <c r="I4" s="479" t="str">
        <f>CHOOSE($D$2,Параметры!I$53,Параметры!I$54)</f>
        <v>1 кв. 2021</v>
      </c>
      <c r="J4" s="479" t="str">
        <f>CHOOSE($D$2,Параметры!J$53,Параметры!J$54)</f>
        <v>2 кв. 2021</v>
      </c>
      <c r="K4" s="479" t="str">
        <f>CHOOSE($D$2,Параметры!K$53,Параметры!K$54)</f>
        <v>3 кв. 2021</v>
      </c>
      <c r="L4" s="479" t="str">
        <f>CHOOSE($D$2,Параметры!L$53,Параметры!L$54)</f>
        <v>4 кв. 2021</v>
      </c>
      <c r="M4" s="479" t="str">
        <f>CHOOSE($D$2,Параметры!M$53,Параметры!M$54)</f>
        <v>1 кв. 2022</v>
      </c>
      <c r="N4" s="479" t="str">
        <f>CHOOSE($D$2,Параметры!N$53,Параметры!N$54)</f>
        <v>2 кв. 2022</v>
      </c>
      <c r="O4" s="479" t="str">
        <f>CHOOSE($D$2,Параметры!O$53,Параметры!O$54)</f>
        <v>3 кв. 2022</v>
      </c>
      <c r="P4" s="479" t="str">
        <f>CHOOSE($D$2,Параметры!P$53,Параметры!P$54)</f>
        <v>4 кв. 2022</v>
      </c>
      <c r="Q4" s="479" t="str">
        <f>CHOOSE($D$2,Параметры!Q$53,Параметры!Q$54)</f>
        <v>1 кв. 2023</v>
      </c>
      <c r="R4" s="479" t="str">
        <f>CHOOSE($D$2,Параметры!R$53,Параметры!R$54)</f>
        <v>2 кв. 2023</v>
      </c>
      <c r="S4" s="479" t="str">
        <f>CHOOSE($D$2,Параметры!S$53,Параметры!S$54)</f>
        <v>3 кв. 2023</v>
      </c>
      <c r="T4" s="479" t="str">
        <f>CHOOSE($D$2,Параметры!T$53,Параметры!T$54)</f>
        <v>4 кв. 2023</v>
      </c>
      <c r="U4" s="479" t="str">
        <f>CHOOSE($D$2,Параметры!U$53,Параметры!U$54)</f>
        <v>1 кв. 2024</v>
      </c>
      <c r="V4" s="479" t="str">
        <f>CHOOSE($D$2,Параметры!V$53,Параметры!V$54)</f>
        <v>2 кв. 2024</v>
      </c>
      <c r="W4" s="479" t="str">
        <f>CHOOSE($D$2,Параметры!W$53,Параметры!W$54)</f>
        <v>3 кв. 2024</v>
      </c>
      <c r="X4" s="479" t="str">
        <f>CHOOSE($D$2,Параметры!X$53,Параметры!X$54)</f>
        <v>4 кв. 2024</v>
      </c>
      <c r="Y4" s="479" t="str">
        <f>CHOOSE($D$2,Параметры!Y$53,Параметры!Y$54)</f>
        <v>1 кв. 2025</v>
      </c>
      <c r="Z4" s="479" t="str">
        <f>CHOOSE($D$2,Параметры!Z$53,Параметры!Z$54)</f>
        <v>2 кв. 2025</v>
      </c>
      <c r="AA4" s="479" t="str">
        <f>CHOOSE($D$2,Параметры!AA$53,Параметры!AA$54)</f>
        <v>3 кв. 2025</v>
      </c>
      <c r="AB4" s="479" t="str">
        <f>CHOOSE($D$2,Параметры!AB$53,Параметры!AB$54)</f>
        <v>4 кв. 2025</v>
      </c>
      <c r="AC4" s="479" t="str">
        <f>CHOOSE($D$2,Параметры!AC$53,Параметры!AC$54)</f>
        <v>1 кв. 2026</v>
      </c>
      <c r="AD4" s="479" t="str">
        <f>CHOOSE($D$2,Параметры!AD$53,Параметры!AD$54)</f>
        <v>2 кв. 2026</v>
      </c>
      <c r="AE4" s="479" t="str">
        <f>CHOOSE($D$2,Параметры!AE$53,Параметры!AE$54)</f>
        <v>3 кв. 2026</v>
      </c>
      <c r="AF4" s="479" t="str">
        <f>CHOOSE($D$2,Параметры!AF$53,Параметры!AF$54)</f>
        <v>4 кв. 2026</v>
      </c>
      <c r="AG4" s="479" t="str">
        <f>CHOOSE($D$2,Параметры!AG$53,Параметры!AG$54)</f>
        <v>1 кв. 2027</v>
      </c>
      <c r="AH4" s="479" t="str">
        <f>CHOOSE($D$2,Параметры!AH$53,Параметры!AH$54)</f>
        <v>2 кв. 2027</v>
      </c>
      <c r="AI4" s="479" t="str">
        <f>CHOOSE($D$2,Параметры!AI$53,Параметры!AI$54)</f>
        <v>3 кв. 2027</v>
      </c>
      <c r="AJ4" s="479" t="str">
        <f>CHOOSE($D$2,Параметры!AJ$53,Параметры!AJ$54)</f>
        <v>4 кв. 2027</v>
      </c>
      <c r="AK4" s="479" t="str">
        <f>CHOOSE($D$2,Параметры!AK$53,Параметры!AK$54)</f>
        <v>1 кв. 2028</v>
      </c>
      <c r="AL4" s="479" t="str">
        <f>CHOOSE($D$2,Параметры!AL$53,Параметры!AL$54)</f>
        <v>2 кв. 2028</v>
      </c>
      <c r="AM4" s="479" t="str">
        <f>CHOOSE($D$2,Параметры!AM$53,Параметры!AM$54)</f>
        <v>3 кв. 2028</v>
      </c>
      <c r="AN4" s="479" t="str">
        <f>CHOOSE($D$2,Параметры!AN$53,Параметры!AN$54)</f>
        <v>4 кв. 2028</v>
      </c>
      <c r="AO4" s="479" t="str">
        <f>CHOOSE($D$2,Параметры!AO$53,Параметры!AO$54)</f>
        <v>1 кв. 2029</v>
      </c>
      <c r="AP4" s="479" t="str">
        <f>CHOOSE($D$2,Параметры!AP$53,Параметры!AP$54)</f>
        <v>2 кв. 2029</v>
      </c>
      <c r="AQ4" s="479" t="str">
        <f>CHOOSE($D$2,Параметры!AQ$53,Параметры!AQ$54)</f>
        <v>3 кв. 2029</v>
      </c>
      <c r="AR4" s="479" t="str">
        <f>CHOOSE($D$2,Параметры!AR$53,Параметры!AR$54)</f>
        <v>4 кв. 2029</v>
      </c>
      <c r="AS4" s="485"/>
      <c r="AT4" s="485" t="s">
        <v>0</v>
      </c>
    </row>
    <row r="5" spans="1:46" x14ac:dyDescent="0.2">
      <c r="A5" s="44"/>
      <c r="D5" s="40"/>
    </row>
    <row r="6" spans="1:46" ht="20.25" customHeight="1" x14ac:dyDescent="0.2">
      <c r="A6" s="44"/>
      <c r="B6" s="436" t="s">
        <v>1097</v>
      </c>
      <c r="D6" s="40"/>
    </row>
    <row r="7" spans="1:46" x14ac:dyDescent="0.2">
      <c r="A7" s="44" t="s">
        <v>101</v>
      </c>
      <c r="B7" s="443">
        <f ca="1">IFERROR(AVERAGEIF(Параметры!$E$46:OFFSET(Параметры!$E$46,0,Параметры!$B$24-1),"&gt;=" &amp; Деятельность_УК!$B$9,E7:OFFSET(E7,0,Параметры!$B$24-1))*Параметры!$B$13/Параметры!$B$12,0)</f>
        <v>2056579.4878551103</v>
      </c>
      <c r="C7" s="12" t="str">
        <f>Параметры!$C$126</f>
        <v>тыс. руб.</v>
      </c>
      <c r="D7" s="40"/>
      <c r="E7" s="82">
        <f ca="1">E8+E9</f>
        <v>0</v>
      </c>
      <c r="F7" s="82">
        <f t="shared" ref="F7:AR7" ca="1" si="0">F8+F9</f>
        <v>0</v>
      </c>
      <c r="G7" s="82">
        <f t="shared" ca="1" si="0"/>
        <v>25071.324149913133</v>
      </c>
      <c r="H7" s="82">
        <f t="shared" ca="1" si="0"/>
        <v>34916.785420218221</v>
      </c>
      <c r="I7" s="82">
        <f t="shared" ca="1" si="0"/>
        <v>34916.785420218221</v>
      </c>
      <c r="J7" s="82">
        <f t="shared" ca="1" si="0"/>
        <v>35261.234120059606</v>
      </c>
      <c r="K7" s="82">
        <f t="shared" ca="1" si="0"/>
        <v>35609.081004013933</v>
      </c>
      <c r="L7" s="82">
        <f t="shared" ca="1" si="0"/>
        <v>35960.359599481919</v>
      </c>
      <c r="M7" s="82">
        <f t="shared" ca="1" si="0"/>
        <v>56271.066424927863</v>
      </c>
      <c r="N7" s="82">
        <f t="shared" ca="1" si="0"/>
        <v>57463.726036515502</v>
      </c>
      <c r="O7" s="82">
        <f t="shared" ca="1" si="0"/>
        <v>58031.699590888995</v>
      </c>
      <c r="P7" s="82">
        <f t="shared" ca="1" si="0"/>
        <v>58605.290101810824</v>
      </c>
      <c r="Q7" s="82">
        <f t="shared" ca="1" si="0"/>
        <v>69734.162679297035</v>
      </c>
      <c r="R7" s="82">
        <f t="shared" ca="1" si="0"/>
        <v>70787.829728361176</v>
      </c>
      <c r="S7" s="82">
        <f t="shared" ca="1" si="0"/>
        <v>71505.087956921081</v>
      </c>
      <c r="T7" s="82">
        <f t="shared" ca="1" si="0"/>
        <v>72229.656731606927</v>
      </c>
      <c r="U7" s="82">
        <f t="shared" ca="1" si="0"/>
        <v>223097.12975466804</v>
      </c>
      <c r="V7" s="82">
        <f t="shared" ca="1" si="0"/>
        <v>231329.69391086538</v>
      </c>
      <c r="W7" s="82">
        <f t="shared" ca="1" si="0"/>
        <v>233845.53134516915</v>
      </c>
      <c r="X7" s="82">
        <f t="shared" ca="1" si="0"/>
        <v>236388.90952232145</v>
      </c>
      <c r="Y7" s="82">
        <f t="shared" ca="1" si="0"/>
        <v>238960.13181472587</v>
      </c>
      <c r="Z7" s="82">
        <f t="shared" ca="1" si="0"/>
        <v>241512.59612897201</v>
      </c>
      <c r="AA7" s="82">
        <f t="shared" ca="1" si="0"/>
        <v>244092.44579944079</v>
      </c>
      <c r="AB7" s="82">
        <f t="shared" ca="1" si="0"/>
        <v>246699.9759013413</v>
      </c>
      <c r="AC7" s="82">
        <f t="shared" ca="1" si="0"/>
        <v>249335.48470231105</v>
      </c>
      <c r="AD7" s="82">
        <f t="shared" ca="1" si="0"/>
        <v>252001.81765699279</v>
      </c>
      <c r="AE7" s="82">
        <f t="shared" ca="1" si="0"/>
        <v>254696.79743400466</v>
      </c>
      <c r="AF7" s="82">
        <f t="shared" ca="1" si="0"/>
        <v>257420.73320236267</v>
      </c>
      <c r="AG7" s="82">
        <f t="shared" ca="1" si="0"/>
        <v>260173.93748216136</v>
      </c>
      <c r="AH7" s="82">
        <f t="shared" ca="1" si="0"/>
        <v>262952.87737606553</v>
      </c>
      <c r="AI7" s="82">
        <f t="shared" ca="1" si="0"/>
        <v>265761.64292801742</v>
      </c>
      <c r="AJ7" s="82">
        <f t="shared" ca="1" si="0"/>
        <v>268600.5557381899</v>
      </c>
      <c r="AK7" s="82">
        <f t="shared" ca="1" si="0"/>
        <v>670246.07616941992</v>
      </c>
      <c r="AL7" s="82">
        <f t="shared" ca="1" si="0"/>
        <v>263599.43148178671</v>
      </c>
      <c r="AM7" s="82">
        <f t="shared" ca="1" si="0"/>
        <v>266862.26578875439</v>
      </c>
      <c r="AN7" s="82">
        <f t="shared" ca="1" si="0"/>
        <v>269710.392526699</v>
      </c>
      <c r="AO7" s="82">
        <f t="shared" ca="1" si="0"/>
        <v>6502511.2832786227</v>
      </c>
      <c r="AP7" s="82">
        <f t="shared" ca="1" si="0"/>
        <v>127052.70843140391</v>
      </c>
      <c r="AQ7" s="82">
        <f t="shared" ca="1" si="0"/>
        <v>135637.30462868631</v>
      </c>
      <c r="AR7" s="82">
        <f t="shared" ca="1" si="0"/>
        <v>136987.20412767932</v>
      </c>
      <c r="AS7" s="82"/>
      <c r="AT7" s="30">
        <f t="shared" ref="AT7:AT15" ca="1" si="1">SUM(E7:AS7)</f>
        <v>13055841.016094897</v>
      </c>
    </row>
    <row r="8" spans="1:46" x14ac:dyDescent="0.2">
      <c r="A8" s="63" t="s">
        <v>788</v>
      </c>
      <c r="B8" s="443">
        <f ca="1">IFERROR(AVERAGEIF(Параметры!$E$46:OFFSET(Параметры!$E$46,0,Параметры!$B$24-1),"&gt;=" &amp; Деятельность_УК!$B$9,E8:OFFSET(E8,0,Параметры!$B$24-1))*Параметры!$B$13/Параметры!$B$12,0)</f>
        <v>925557.71790985949</v>
      </c>
      <c r="C8" s="12" t="str">
        <f>Параметры!$C$126</f>
        <v>тыс. руб.</v>
      </c>
      <c r="D8" s="40"/>
      <c r="E8" s="82">
        <f ca="1">(Деятельность_УК!E$158)/Параметры!E$126</f>
        <v>0</v>
      </c>
      <c r="F8" s="82">
        <f ca="1">(Деятельность_УК!F$158)/Параметры!F$126</f>
        <v>0</v>
      </c>
      <c r="G8" s="82">
        <f ca="1">(Деятельность_УК!G$158)/Параметры!G$126</f>
        <v>25071.324149913133</v>
      </c>
      <c r="H8" s="82">
        <f ca="1">(Деятельность_УК!H$158)/Параметры!H$126</f>
        <v>34916.785420218221</v>
      </c>
      <c r="I8" s="82">
        <f ca="1">(Деятельность_УК!I$158)/Параметры!I$126</f>
        <v>34916.785420218221</v>
      </c>
      <c r="J8" s="82">
        <f ca="1">(Деятельность_УК!J$158)/Параметры!J$126</f>
        <v>35261.234120059606</v>
      </c>
      <c r="K8" s="82">
        <f ca="1">(Деятельность_УК!K$158)/Параметры!K$126</f>
        <v>35609.081004013933</v>
      </c>
      <c r="L8" s="82">
        <f ca="1">(Деятельность_УК!L$158)/Параметры!L$126</f>
        <v>35960.359599481919</v>
      </c>
      <c r="M8" s="82">
        <f ca="1">(Деятельность_УК!M$158)/Параметры!M$126</f>
        <v>56271.066424927863</v>
      </c>
      <c r="N8" s="82">
        <f ca="1">(Деятельность_УК!N$158)/Параметры!N$126</f>
        <v>57463.726036515502</v>
      </c>
      <c r="O8" s="82">
        <f ca="1">(Деятельность_УК!O$158)/Параметры!O$126</f>
        <v>58031.699590888995</v>
      </c>
      <c r="P8" s="82">
        <f ca="1">(Деятельность_УК!P$158)/Параметры!P$126</f>
        <v>58605.290101810824</v>
      </c>
      <c r="Q8" s="82">
        <f ca="1">(Деятельность_УК!Q$158)/Параметры!Q$126</f>
        <v>69734.162679297035</v>
      </c>
      <c r="R8" s="82">
        <f ca="1">(Деятельность_УК!R$158)/Параметры!R$126</f>
        <v>70787.829728361176</v>
      </c>
      <c r="S8" s="82">
        <f ca="1">(Деятельность_УК!S$158)/Параметры!S$126</f>
        <v>71505.087956921081</v>
      </c>
      <c r="T8" s="82">
        <f ca="1">(Деятельность_УК!T$158)/Параметры!T$126</f>
        <v>72229.656731606927</v>
      </c>
      <c r="U8" s="82">
        <f ca="1">(Деятельность_УК!U$158)/Параметры!U$126</f>
        <v>223097.12975466804</v>
      </c>
      <c r="V8" s="82">
        <f ca="1">(Деятельность_УК!V$158)/Параметры!V$126</f>
        <v>231329.69391086538</v>
      </c>
      <c r="W8" s="82">
        <f ca="1">(Деятельность_УК!W$158)/Параметры!W$126</f>
        <v>233845.53134516915</v>
      </c>
      <c r="X8" s="82">
        <f ca="1">(Деятельность_УК!X$158)/Параметры!X$126</f>
        <v>236388.90952232145</v>
      </c>
      <c r="Y8" s="82">
        <f ca="1">(Деятельность_УК!Y$158)/Параметры!Y$126</f>
        <v>238960.13181472587</v>
      </c>
      <c r="Z8" s="82">
        <f ca="1">(Деятельность_УК!Z$158)/Параметры!Z$126</f>
        <v>241512.59612897201</v>
      </c>
      <c r="AA8" s="82">
        <f ca="1">(Деятельность_УК!AA$158)/Параметры!AA$126</f>
        <v>244092.44579944079</v>
      </c>
      <c r="AB8" s="82">
        <f ca="1">(Деятельность_УК!AB$158)/Параметры!AB$126</f>
        <v>246699.9759013413</v>
      </c>
      <c r="AC8" s="82">
        <f ca="1">(Деятельность_УК!AC$158)/Параметры!AC$126</f>
        <v>249335.48470231105</v>
      </c>
      <c r="AD8" s="82">
        <f ca="1">(Деятельность_УК!AD$158)/Параметры!AD$126</f>
        <v>252001.81765699279</v>
      </c>
      <c r="AE8" s="82">
        <f ca="1">(Деятельность_УК!AE$158)/Параметры!AE$126</f>
        <v>254696.79743400466</v>
      </c>
      <c r="AF8" s="82">
        <f ca="1">(Деятельность_УК!AF$158)/Параметры!AF$126</f>
        <v>257420.73320236267</v>
      </c>
      <c r="AG8" s="82">
        <f ca="1">(Деятельность_УК!AG$158)/Параметры!AG$126</f>
        <v>260173.93748216136</v>
      </c>
      <c r="AH8" s="82">
        <f ca="1">(Деятельность_УК!AH$158)/Параметры!AH$126</f>
        <v>262952.87737606553</v>
      </c>
      <c r="AI8" s="82">
        <f ca="1">(Деятельность_УК!AI$158)/Параметры!AI$126</f>
        <v>265761.64292801742</v>
      </c>
      <c r="AJ8" s="82">
        <f ca="1">(Деятельность_УК!AJ$158)/Параметры!AJ$126</f>
        <v>268600.5557381899</v>
      </c>
      <c r="AK8" s="82">
        <f ca="1">(Деятельность_УК!AK$158)/Параметры!AK$126</f>
        <v>260816.41396512967</v>
      </c>
      <c r="AL8" s="82">
        <f ca="1">(Деятельность_УК!AL$158)/Параметры!AL$126</f>
        <v>263599.43148178671</v>
      </c>
      <c r="AM8" s="82">
        <f ca="1">(Деятельность_УК!AM$158)/Параметры!AM$126</f>
        <v>266862.26578875439</v>
      </c>
      <c r="AN8" s="82">
        <f ca="1">(Деятельность_УК!AN$158)/Параметры!AN$126</f>
        <v>269710.392526699</v>
      </c>
      <c r="AO8" s="82">
        <f ca="1">(Деятельность_УК!AO$158)/Параметры!AO$126</f>
        <v>125810.32581140756</v>
      </c>
      <c r="AP8" s="82">
        <f ca="1">(Деятельность_УК!AP$158)/Параметры!AP$126</f>
        <v>127052.70843140391</v>
      </c>
      <c r="AQ8" s="82">
        <f ca="1">(Деятельность_УК!AQ$158)/Параметры!AQ$126</f>
        <v>135637.30462868631</v>
      </c>
      <c r="AR8" s="82">
        <f ca="1">(Деятельность_УК!AR$158)/Параметры!AR$126</f>
        <v>136987.20412767932</v>
      </c>
      <c r="AS8" s="82"/>
      <c r="AT8" s="30">
        <f t="shared" ref="AT8:AT9" ca="1" si="2">SUM(E8:AS8)</f>
        <v>6269710.3964233911</v>
      </c>
    </row>
    <row r="9" spans="1:46" x14ac:dyDescent="0.2">
      <c r="A9" s="63" t="s">
        <v>789</v>
      </c>
      <c r="B9" s="443">
        <f ca="1">IFERROR(AVERAGEIF(Параметры!$E$46:OFFSET(Параметры!$E$46,0,Параметры!$B$24-1),"&gt;=" &amp; Деятельность_УК!$B$9,E9:OFFSET(E9,0,Параметры!$B$24-1))*Параметры!$B$13/Параметры!$B$12,0)</f>
        <v>1131021.7699452508</v>
      </c>
      <c r="C9" s="12" t="str">
        <f>Параметры!$C$126</f>
        <v>тыс. руб.</v>
      </c>
      <c r="D9" s="40"/>
      <c r="E9" s="82">
        <f>Деятельность_УК!E435/Параметры!E$126</f>
        <v>0</v>
      </c>
      <c r="F9" s="82">
        <f ca="1">Деятельность_УК!F435/Параметры!F$126</f>
        <v>0</v>
      </c>
      <c r="G9" s="82">
        <f ca="1">Деятельность_УК!G435/Параметры!G$126</f>
        <v>0</v>
      </c>
      <c r="H9" s="82">
        <f ca="1">Деятельность_УК!H435/Параметры!H$126</f>
        <v>0</v>
      </c>
      <c r="I9" s="82">
        <f ca="1">Деятельность_УК!I435/Параметры!I$126</f>
        <v>0</v>
      </c>
      <c r="J9" s="82">
        <f ca="1">Деятельность_УК!J435/Параметры!J$126</f>
        <v>0</v>
      </c>
      <c r="K9" s="82">
        <f ca="1">Деятельность_УК!K435/Параметры!K$126</f>
        <v>0</v>
      </c>
      <c r="L9" s="82">
        <f ca="1">Деятельность_УК!L435/Параметры!L$126</f>
        <v>0</v>
      </c>
      <c r="M9" s="82">
        <f ca="1">Деятельность_УК!M435/Параметры!M$126</f>
        <v>0</v>
      </c>
      <c r="N9" s="82">
        <f ca="1">Деятельность_УК!N435/Параметры!N$126</f>
        <v>0</v>
      </c>
      <c r="O9" s="82">
        <f ca="1">Деятельность_УК!O435/Параметры!O$126</f>
        <v>0</v>
      </c>
      <c r="P9" s="82">
        <f ca="1">Деятельность_УК!P435/Параметры!P$126</f>
        <v>0</v>
      </c>
      <c r="Q9" s="82">
        <f ca="1">Деятельность_УК!Q435/Параметры!Q$126</f>
        <v>0</v>
      </c>
      <c r="R9" s="82">
        <f ca="1">Деятельность_УК!R435/Параметры!R$126</f>
        <v>0</v>
      </c>
      <c r="S9" s="82">
        <f ca="1">Деятельность_УК!S435/Параметры!S$126</f>
        <v>0</v>
      </c>
      <c r="T9" s="82">
        <f ca="1">Деятельность_УК!T435/Параметры!T$126</f>
        <v>0</v>
      </c>
      <c r="U9" s="82">
        <f ca="1">Деятельность_УК!U435/Параметры!U$126</f>
        <v>0</v>
      </c>
      <c r="V9" s="82">
        <f ca="1">Деятельность_УК!V435/Параметры!V$126</f>
        <v>0</v>
      </c>
      <c r="W9" s="82">
        <f ca="1">Деятельность_УК!W435/Параметры!W$126</f>
        <v>0</v>
      </c>
      <c r="X9" s="82">
        <f ca="1">Деятельность_УК!X435/Параметры!X$126</f>
        <v>0</v>
      </c>
      <c r="Y9" s="82">
        <f ca="1">Деятельность_УК!Y435/Параметры!Y$126</f>
        <v>0</v>
      </c>
      <c r="Z9" s="82">
        <f ca="1">Деятельность_УК!Z435/Параметры!Z$126</f>
        <v>0</v>
      </c>
      <c r="AA9" s="82">
        <f ca="1">Деятельность_УК!AA435/Параметры!AA$126</f>
        <v>0</v>
      </c>
      <c r="AB9" s="82">
        <f ca="1">Деятельность_УК!AB435/Параметры!AB$126</f>
        <v>0</v>
      </c>
      <c r="AC9" s="82">
        <f ca="1">Деятельность_УК!AC435/Параметры!AC$126</f>
        <v>0</v>
      </c>
      <c r="AD9" s="82">
        <f ca="1">Деятельность_УК!AD435/Параметры!AD$126</f>
        <v>0</v>
      </c>
      <c r="AE9" s="82">
        <f ca="1">Деятельность_УК!AE435/Параметры!AE$126</f>
        <v>0</v>
      </c>
      <c r="AF9" s="82">
        <f ca="1">Деятельность_УК!AF435/Параметры!AF$126</f>
        <v>0</v>
      </c>
      <c r="AG9" s="82">
        <f ca="1">Деятельность_УК!AG435/Параметры!AG$126</f>
        <v>0</v>
      </c>
      <c r="AH9" s="82">
        <f ca="1">Деятельность_УК!AH435/Параметры!AH$126</f>
        <v>0</v>
      </c>
      <c r="AI9" s="82">
        <f ca="1">Деятельность_УК!AI435/Параметры!AI$126</f>
        <v>0</v>
      </c>
      <c r="AJ9" s="82">
        <f ca="1">Деятельность_УК!AJ435/Параметры!AJ$126</f>
        <v>0</v>
      </c>
      <c r="AK9" s="82">
        <f ca="1">Деятельность_УК!AK435/Параметры!AK$126</f>
        <v>409429.66220429027</v>
      </c>
      <c r="AL9" s="82">
        <f ca="1">Деятельность_УК!AL435/Параметры!AL$126</f>
        <v>0</v>
      </c>
      <c r="AM9" s="82">
        <f ca="1">Деятельность_УК!AM435/Параметры!AM$126</f>
        <v>0</v>
      </c>
      <c r="AN9" s="82">
        <f ca="1">Деятельность_УК!AN435/Параметры!AN$126</f>
        <v>0</v>
      </c>
      <c r="AO9" s="82">
        <f ca="1">Деятельность_УК!AO435/Параметры!AO$126</f>
        <v>6376700.9574672151</v>
      </c>
      <c r="AP9" s="82">
        <f ca="1">Деятельность_УК!AP435/Параметры!AP$126</f>
        <v>0</v>
      </c>
      <c r="AQ9" s="82">
        <f ca="1">Деятельность_УК!AQ435/Параметры!AQ$126</f>
        <v>0</v>
      </c>
      <c r="AR9" s="82">
        <f ca="1">Деятельность_УК!AR435/Параметры!AR$126</f>
        <v>0</v>
      </c>
      <c r="AS9" s="82"/>
      <c r="AT9" s="30">
        <f t="shared" ca="1" si="2"/>
        <v>6786130.6196715049</v>
      </c>
    </row>
    <row r="10" spans="1:46" x14ac:dyDescent="0.2">
      <c r="A10" s="44" t="s">
        <v>102</v>
      </c>
      <c r="B10" s="443">
        <f ca="1">IFERROR(AVERAGEIF(Параметры!$E$46:OFFSET(Параметры!$E$46,0,Параметры!$B$24-1),"&gt;=" &amp; Деятельность_УК!$B$9,E10:OFFSET(E10,0,Параметры!$B$24-1))*Параметры!$B$13/Параметры!$B$12,0)</f>
        <v>-518969.72222342307</v>
      </c>
      <c r="C10" s="12" t="str">
        <f>Параметры!$C$126</f>
        <v>тыс. руб.</v>
      </c>
      <c r="D10" s="40"/>
      <c r="E10" s="82">
        <f ca="1">SUM(E11:E14)</f>
        <v>-1100</v>
      </c>
      <c r="F10" s="82">
        <f t="shared" ref="F10:AR10" ca="1" si="3">SUM(F11:F14)</f>
        <v>-1100</v>
      </c>
      <c r="G10" s="82">
        <f t="shared" ca="1" si="3"/>
        <v>-4318.1129114410114</v>
      </c>
      <c r="H10" s="82">
        <f t="shared" ca="1" si="3"/>
        <v>-4318.1129114410114</v>
      </c>
      <c r="I10" s="82">
        <f t="shared" ca="1" si="3"/>
        <v>-4318.1129114410114</v>
      </c>
      <c r="J10" s="82">
        <f t="shared" ca="1" si="3"/>
        <v>-4360.924457543123</v>
      </c>
      <c r="K10" s="82">
        <f t="shared" ca="1" si="3"/>
        <v>-6284.8712597813837</v>
      </c>
      <c r="L10" s="82">
        <f t="shared" ca="1" si="3"/>
        <v>-6518.5786176617949</v>
      </c>
      <c r="M10" s="82">
        <f t="shared" ca="1" si="3"/>
        <v>-8143.1043181583755</v>
      </c>
      <c r="N10" s="82">
        <f t="shared" ca="1" si="3"/>
        <v>-8237.194665870722</v>
      </c>
      <c r="O10" s="82">
        <f t="shared" ca="1" si="3"/>
        <v>-8332.4439619368641</v>
      </c>
      <c r="P10" s="82">
        <f t="shared" ca="1" si="3"/>
        <v>-9658.3669577609908</v>
      </c>
      <c r="Q10" s="82">
        <f t="shared" ca="1" si="3"/>
        <v>-10618.632368818555</v>
      </c>
      <c r="R10" s="82">
        <f t="shared" ca="1" si="3"/>
        <v>-10744.031564338209</v>
      </c>
      <c r="S10" s="82">
        <f t="shared" ca="1" si="3"/>
        <v>-10871.01475605401</v>
      </c>
      <c r="T10" s="82">
        <f t="shared" ca="1" si="3"/>
        <v>-10999.60337720978</v>
      </c>
      <c r="U10" s="82">
        <f t="shared" ca="1" si="3"/>
        <v>-23890.536423729936</v>
      </c>
      <c r="V10" s="82">
        <f t="shared" ca="1" si="3"/>
        <v>-24150.418252621101</v>
      </c>
      <c r="W10" s="82">
        <f t="shared" ca="1" si="3"/>
        <v>-24413.270218257767</v>
      </c>
      <c r="X10" s="82">
        <f t="shared" ca="1" si="3"/>
        <v>-24679.128473082754</v>
      </c>
      <c r="Y10" s="82">
        <f t="shared" ca="1" si="3"/>
        <v>-24948.02964199075</v>
      </c>
      <c r="Z10" s="82">
        <f t="shared" ca="1" si="3"/>
        <v>-25217.983744426147</v>
      </c>
      <c r="AA10" s="82">
        <f t="shared" ca="1" si="3"/>
        <v>-25491.004987411878</v>
      </c>
      <c r="AB10" s="82">
        <f t="shared" ca="1" si="3"/>
        <v>-25767.13044277751</v>
      </c>
      <c r="AC10" s="82">
        <f t="shared" ca="1" si="3"/>
        <v>-26046.397662678988</v>
      </c>
      <c r="AD10" s="82">
        <f t="shared" ca="1" si="3"/>
        <v>-26327.947922287141</v>
      </c>
      <c r="AE10" s="82">
        <f t="shared" ca="1" si="3"/>
        <v>-26612.690360606743</v>
      </c>
      <c r="AF10" s="82">
        <f t="shared" ca="1" si="3"/>
        <v>-26900.663412182705</v>
      </c>
      <c r="AG10" s="82">
        <f t="shared" ca="1" si="3"/>
        <v>-27191.906006541154</v>
      </c>
      <c r="AH10" s="82">
        <f t="shared" ca="1" si="3"/>
        <v>-27485.517899255283</v>
      </c>
      <c r="AI10" s="82">
        <f t="shared" ca="1" si="3"/>
        <v>-27782.456646971528</v>
      </c>
      <c r="AJ10" s="82">
        <f t="shared" ca="1" si="3"/>
        <v>-28082.762290817016</v>
      </c>
      <c r="AK10" s="82">
        <f t="shared" ca="1" si="3"/>
        <v>-244012.45099281851</v>
      </c>
      <c r="AL10" s="82">
        <f t="shared" ca="1" si="3"/>
        <v>-27998.046116704856</v>
      </c>
      <c r="AM10" s="82">
        <f t="shared" ca="1" si="3"/>
        <v>-28300.591551560869</v>
      </c>
      <c r="AN10" s="82">
        <f t="shared" ca="1" si="3"/>
        <v>-28606.569151299351</v>
      </c>
      <c r="AO10" s="82">
        <f t="shared" ca="1" si="3"/>
        <v>-2312084.9764893204</v>
      </c>
      <c r="AP10" s="82">
        <f t="shared" ca="1" si="3"/>
        <v>-19058.766480152171</v>
      </c>
      <c r="AQ10" s="82">
        <f t="shared" ca="1" si="3"/>
        <v>-19275.083084854792</v>
      </c>
      <c r="AR10" s="82">
        <f t="shared" ca="1" si="3"/>
        <v>-19494.005088189533</v>
      </c>
      <c r="AS10" s="82"/>
      <c r="AT10" s="30">
        <f t="shared" ca="1" si="1"/>
        <v>-3223741.4383799955</v>
      </c>
    </row>
    <row r="11" spans="1:46" x14ac:dyDescent="0.2">
      <c r="A11" s="63" t="s">
        <v>412</v>
      </c>
      <c r="B11" s="443">
        <f ca="1">IFERROR(AVERAGEIF(Параметры!$E$46:OFFSET(Параметры!$E$46,0,Параметры!$B$24-1),"&gt;=" &amp; Деятельность_УК!$B$9,E11:OFFSET(E11,0,Параметры!$B$24-1))*Параметры!$B$13/Параметры!$B$12,0)</f>
        <v>0</v>
      </c>
      <c r="C11" s="12" t="str">
        <f>Параметры!$C$126</f>
        <v>тыс. руб.</v>
      </c>
      <c r="D11" s="40"/>
      <c r="E11" s="82">
        <f>(0)/Параметры!E$126</f>
        <v>0</v>
      </c>
      <c r="F11" s="82">
        <f>(0)/Параметры!F$126</f>
        <v>0</v>
      </c>
      <c r="G11" s="82">
        <f>(0)/Параметры!G$126</f>
        <v>0</v>
      </c>
      <c r="H11" s="82">
        <f>(0)/Параметры!H$126</f>
        <v>0</v>
      </c>
      <c r="I11" s="82">
        <f>(0)/Параметры!I$126</f>
        <v>0</v>
      </c>
      <c r="J11" s="82">
        <f>(0)/Параметры!J$126</f>
        <v>0</v>
      </c>
      <c r="K11" s="82">
        <f>(0)/Параметры!K$126</f>
        <v>0</v>
      </c>
      <c r="L11" s="82">
        <f>(0)/Параметры!L$126</f>
        <v>0</v>
      </c>
      <c r="M11" s="82">
        <f>(0)/Параметры!M$126</f>
        <v>0</v>
      </c>
      <c r="N11" s="82">
        <f>(0)/Параметры!N$126</f>
        <v>0</v>
      </c>
      <c r="O11" s="82">
        <f>(0)/Параметры!O$126</f>
        <v>0</v>
      </c>
      <c r="P11" s="82">
        <f>(0)/Параметры!P$126</f>
        <v>0</v>
      </c>
      <c r="Q11" s="82">
        <f>(0)/Параметры!Q$126</f>
        <v>0</v>
      </c>
      <c r="R11" s="82">
        <f>(0)/Параметры!R$126</f>
        <v>0</v>
      </c>
      <c r="S11" s="82">
        <f>(0)/Параметры!S$126</f>
        <v>0</v>
      </c>
      <c r="T11" s="82">
        <f>(0)/Параметры!T$126</f>
        <v>0</v>
      </c>
      <c r="U11" s="82">
        <f>(0)/Параметры!U$126</f>
        <v>0</v>
      </c>
      <c r="V11" s="82">
        <f>(0)/Параметры!V$126</f>
        <v>0</v>
      </c>
      <c r="W11" s="82">
        <f>(0)/Параметры!W$126</f>
        <v>0</v>
      </c>
      <c r="X11" s="82">
        <f>(0)/Параметры!X$126</f>
        <v>0</v>
      </c>
      <c r="Y11" s="82">
        <f>(0)/Параметры!Y$126</f>
        <v>0</v>
      </c>
      <c r="Z11" s="82">
        <f>(0)/Параметры!Z$126</f>
        <v>0</v>
      </c>
      <c r="AA11" s="82">
        <f>(0)/Параметры!AA$126</f>
        <v>0</v>
      </c>
      <c r="AB11" s="82">
        <f>(0)/Параметры!AB$126</f>
        <v>0</v>
      </c>
      <c r="AC11" s="82">
        <f>(0)/Параметры!AC$126</f>
        <v>0</v>
      </c>
      <c r="AD11" s="82">
        <f>(0)/Параметры!AD$126</f>
        <v>0</v>
      </c>
      <c r="AE11" s="82">
        <f>(0)/Параметры!AE$126</f>
        <v>0</v>
      </c>
      <c r="AF11" s="82">
        <f>(0)/Параметры!AF$126</f>
        <v>0</v>
      </c>
      <c r="AG11" s="82">
        <f>(0)/Параметры!AG$126</f>
        <v>0</v>
      </c>
      <c r="AH11" s="82">
        <f>(0)/Параметры!AH$126</f>
        <v>0</v>
      </c>
      <c r="AI11" s="82">
        <f>(0)/Параметры!AI$126</f>
        <v>0</v>
      </c>
      <c r="AJ11" s="82">
        <f>(0)/Параметры!AJ$126</f>
        <v>0</v>
      </c>
      <c r="AK11" s="82">
        <f>(0)/Параметры!AK$126</f>
        <v>0</v>
      </c>
      <c r="AL11" s="82">
        <f>(0)/Параметры!AL$126</f>
        <v>0</v>
      </c>
      <c r="AM11" s="82">
        <f>(0)/Параметры!AM$126</f>
        <v>0</v>
      </c>
      <c r="AN11" s="82">
        <f>(0)/Параметры!AN$126</f>
        <v>0</v>
      </c>
      <c r="AO11" s="82">
        <f>(0)/Параметры!AO$126</f>
        <v>0</v>
      </c>
      <c r="AP11" s="82">
        <f>(0)/Параметры!AP$126</f>
        <v>0</v>
      </c>
      <c r="AQ11" s="82">
        <f>(0)/Параметры!AQ$126</f>
        <v>0</v>
      </c>
      <c r="AR11" s="82">
        <f>(0)/Параметры!AR$126</f>
        <v>0</v>
      </c>
      <c r="AS11" s="82"/>
      <c r="AT11" s="30">
        <f t="shared" si="1"/>
        <v>0</v>
      </c>
    </row>
    <row r="12" spans="1:46" x14ac:dyDescent="0.2">
      <c r="A12" s="63" t="s">
        <v>77</v>
      </c>
      <c r="B12" s="443">
        <f ca="1">IFERROR(AVERAGEIF(Параметры!$E$46:OFFSET(Параметры!$E$46,0,Параметры!$B$24-1),"&gt;=" &amp; Деятельность_УК!$B$9,E12:OFFSET(E12,0,Параметры!$B$24-1))*Параметры!$B$13/Параметры!$B$12,0)</f>
        <v>-16203.300381833755</v>
      </c>
      <c r="C12" s="12" t="str">
        <f>Параметры!$C$126</f>
        <v>тыс. руб.</v>
      </c>
      <c r="D12" s="40"/>
      <c r="E12" s="82">
        <f>(-Деятельность_УК!E$208)/Параметры!E$126</f>
        <v>0</v>
      </c>
      <c r="F12" s="82">
        <f ca="1">(-Деятельность_УК!F$208)/Параметры!F$126</f>
        <v>0</v>
      </c>
      <c r="G12" s="82">
        <f ca="1">(-Деятельность_УК!G$208)/Параметры!G$126</f>
        <v>0</v>
      </c>
      <c r="H12" s="82">
        <f ca="1">(-Деятельность_УК!H$208)/Параметры!H$126</f>
        <v>0</v>
      </c>
      <c r="I12" s="82">
        <f ca="1">(-Деятельность_УК!I$208)/Параметры!I$126</f>
        <v>0</v>
      </c>
      <c r="J12" s="82">
        <f ca="1">(-Деятельность_УК!J$208)/Параметры!J$126</f>
        <v>0</v>
      </c>
      <c r="K12" s="82">
        <f ca="1">(-Деятельность_УК!K$208)/Параметры!K$126</f>
        <v>-1880.7107983018095</v>
      </c>
      <c r="L12" s="82">
        <f ca="1">(-Деятельность_УК!L$208)/Параметры!L$126</f>
        <v>-1910.8400484684203</v>
      </c>
      <c r="M12" s="82">
        <f ca="1">(-Деятельность_УК!M$208)/Параметры!M$126</f>
        <v>-1941.4519734388462</v>
      </c>
      <c r="N12" s="82">
        <f ca="1">(-Деятельность_УК!N$208)/Параметры!N$126</f>
        <v>-1974.1845996407778</v>
      </c>
      <c r="O12" s="82">
        <f ca="1">(-Деятельность_УК!O$208)/Параметры!O$126</f>
        <v>-2007.4690936368825</v>
      </c>
      <c r="P12" s="82">
        <f ca="1">(-Деятельность_УК!P$208)/Параметры!P$126</f>
        <v>-3061.9721397689254</v>
      </c>
      <c r="Q12" s="82">
        <f ca="1">(-Деятельность_УК!Q$208)/Параметры!Q$126</f>
        <v>-3113.5965893370776</v>
      </c>
      <c r="R12" s="82">
        <f ca="1">(-Деятельность_УК!R$208)/Параметры!R$126</f>
        <v>-3165.4296626976566</v>
      </c>
      <c r="S12" s="82">
        <f ca="1">(-Деятельность_УК!S$208)/Параметры!S$126</f>
        <v>-3218.1256183928331</v>
      </c>
      <c r="T12" s="82">
        <f ca="1">(-Деятельность_УК!T$208)/Параметры!T$126</f>
        <v>-3271.6988211105395</v>
      </c>
      <c r="U12" s="82">
        <f ca="1">(-Деятельность_УК!U$208)/Параметры!U$126</f>
        <v>-3326.163874672422</v>
      </c>
      <c r="V12" s="82">
        <f ca="1">(-Деятельность_УК!V$208)/Параметры!V$126</f>
        <v>-3382.5823709334081</v>
      </c>
      <c r="W12" s="82">
        <f ca="1">(-Деятельность_УК!W$208)/Параметры!W$126</f>
        <v>-3439.9578395025201</v>
      </c>
      <c r="X12" s="82">
        <f ca="1">(-Деятельность_УК!X$208)/Параметры!X$126</f>
        <v>-3498.3065125741487</v>
      </c>
      <c r="Y12" s="82">
        <f ca="1">(-Деятельность_УК!Y$208)/Параметры!Y$126</f>
        <v>-3557.644897673676</v>
      </c>
      <c r="Z12" s="82">
        <f ca="1">(-Деятельность_УК!Z$208)/Параметры!Z$126</f>
        <v>-3617.2483945856848</v>
      </c>
      <c r="AA12" s="82">
        <f ca="1">(-Деятельность_УК!AA$208)/Параметры!AA$126</f>
        <v>-3677.8504669447443</v>
      </c>
      <c r="AB12" s="82">
        <f ca="1">(-Деятельность_УК!AB$208)/Параметры!AB$126</f>
        <v>-3739.4678445230174</v>
      </c>
      <c r="AC12" s="82">
        <f ca="1">(-Деятельность_УК!AC$208)/Параметры!AC$126</f>
        <v>-3802.1175373772221</v>
      </c>
      <c r="AD12" s="82">
        <f ca="1">(-Деятельность_УК!AD$208)/Параметры!AD$126</f>
        <v>-3865.1935784422626</v>
      </c>
      <c r="AE12" s="82">
        <f ca="1">(-Деятельность_УК!AE$208)/Параметры!AE$126</f>
        <v>-3929.3160329643633</v>
      </c>
      <c r="AF12" s="82">
        <f ca="1">(-Деятельность_УК!AF$208)/Параметры!AF$126</f>
        <v>-3994.5022606430989</v>
      </c>
      <c r="AG12" s="82">
        <f ca="1">(-Деятельность_УК!AG$208)/Параметры!AG$126</f>
        <v>-4060.769909170484</v>
      </c>
      <c r="AH12" s="82">
        <f ca="1">(-Деятельность_УК!AH$208)/Параметры!AH$126</f>
        <v>-4127.868177143775</v>
      </c>
      <c r="AI12" s="82">
        <f ca="1">(-Деятельность_УК!AI$208)/Параметры!AI$126</f>
        <v>-4196.0751456013877</v>
      </c>
      <c r="AJ12" s="82">
        <f ca="1">(-Деятельность_УК!AJ$208)/Параметры!AJ$126</f>
        <v>-4265.4091341930098</v>
      </c>
      <c r="AK12" s="82">
        <f ca="1">(-Деятельность_УК!AK$208)/Параметры!AK$126</f>
        <v>-4335.8887652736767</v>
      </c>
      <c r="AL12" s="82">
        <f ca="1">(-Деятельность_УК!AL$208)/Параметры!AL$126</f>
        <v>-4406.9382962570071</v>
      </c>
      <c r="AM12" s="82">
        <f ca="1">(-Деятельность_УК!AM$208)/Параметры!AM$126</f>
        <v>-4479.1520720183353</v>
      </c>
      <c r="AN12" s="82">
        <f ca="1">(-Деятельность_УК!AN$208)/Параметры!AN$126</f>
        <v>-4552.5491703177031</v>
      </c>
      <c r="AO12" s="82">
        <f ca="1">(-Деятельность_УК!AO$208)/Параметры!AO$126</f>
        <v>-4627.1489815306177</v>
      </c>
      <c r="AP12" s="82">
        <f ca="1">(-Деятельность_УК!AP$208)/Параметры!AP$126</f>
        <v>-4702.3645826946859</v>
      </c>
      <c r="AQ12" s="82">
        <f ca="1">(-Деятельность_УК!AQ$208)/Параметры!AQ$126</f>
        <v>-4778.8028344976374</v>
      </c>
      <c r="AR12" s="82">
        <f ca="1">(-Деятельность_УК!AR$208)/Параметры!AR$126</f>
        <v>-4856.4836114676473</v>
      </c>
      <c r="AS12" s="82"/>
      <c r="AT12" s="30">
        <f t="shared" ca="1" si="1"/>
        <v>-122765.28163579627</v>
      </c>
    </row>
    <row r="13" spans="1:46" x14ac:dyDescent="0.2">
      <c r="A13" s="63" t="s">
        <v>413</v>
      </c>
      <c r="B13" s="443">
        <f ca="1">IFERROR(AVERAGEIF(Параметры!$E$46:OFFSET(Параметры!$E$46,0,Параметры!$B$24-1),"&gt;=" &amp; Деятельность_УК!$B$9,E13:OFFSET(E13,0,Параметры!$B$24-1))*Параметры!$B$13/Параметры!$B$12,0)</f>
        <v>-84507.502973488125</v>
      </c>
      <c r="C13" s="12" t="str">
        <f>Параметры!$C$126</f>
        <v>тыс. руб.</v>
      </c>
      <c r="D13" s="40"/>
      <c r="E13" s="82">
        <f ca="1">(-Деятельность_УК!E$312)/Параметры!E$126</f>
        <v>-1100</v>
      </c>
      <c r="F13" s="82">
        <f ca="1">(-Деятельность_УК!F$312)/Параметры!F$126</f>
        <v>-1100</v>
      </c>
      <c r="G13" s="82">
        <f ca="1">(-Деятельность_УК!G$312)/Параметры!G$126</f>
        <v>-4318.1129114410114</v>
      </c>
      <c r="H13" s="82">
        <f ca="1">(-Деятельность_УК!H$312)/Параметры!H$126</f>
        <v>-4318.1129114410114</v>
      </c>
      <c r="I13" s="82">
        <f ca="1">(-Деятельность_УК!I$312)/Параметры!I$126</f>
        <v>-4318.1129114410114</v>
      </c>
      <c r="J13" s="82">
        <f ca="1">(-Деятельность_УК!J$312)/Параметры!J$126</f>
        <v>-4360.924457543123</v>
      </c>
      <c r="K13" s="82">
        <f ca="1">(-Деятельность_УК!K$312)/Параметры!K$126</f>
        <v>-4404.1604614795742</v>
      </c>
      <c r="L13" s="82">
        <f ca="1">(-Деятельность_УК!L$312)/Параметры!L$126</f>
        <v>-4607.7385691933741</v>
      </c>
      <c r="M13" s="82">
        <f ca="1">(-Деятельность_УК!M$312)/Параметры!M$126</f>
        <v>-6201.6523447195295</v>
      </c>
      <c r="N13" s="82">
        <f ca="1">(-Деятельность_УК!N$312)/Параметры!N$126</f>
        <v>-6263.0100662299437</v>
      </c>
      <c r="O13" s="82">
        <f ca="1">(-Деятельность_УК!O$312)/Параметры!O$126</f>
        <v>-6324.9748682999816</v>
      </c>
      <c r="P13" s="82">
        <f ca="1">(-Деятельность_УК!P$312)/Параметры!P$126</f>
        <v>-6596.3948179920644</v>
      </c>
      <c r="Q13" s="82">
        <f ca="1">(-Деятельность_УК!Q$312)/Параметры!Q$126</f>
        <v>-7505.0357794814763</v>
      </c>
      <c r="R13" s="82">
        <f ca="1">(-Деятельность_УК!R$312)/Параметры!R$126</f>
        <v>-7578.6019016405526</v>
      </c>
      <c r="S13" s="82">
        <f ca="1">(-Деятельность_УК!S$312)/Параметры!S$126</f>
        <v>-7652.8891376611773</v>
      </c>
      <c r="T13" s="82">
        <f ca="1">(-Деятельность_УК!T$312)/Параметры!T$126</f>
        <v>-7727.9045560992408</v>
      </c>
      <c r="U13" s="82">
        <f ca="1">(-Деятельность_УК!U$312)/Параметры!U$126</f>
        <v>-20564.372549057516</v>
      </c>
      <c r="V13" s="82">
        <f ca="1">(-Деятельность_УК!V$312)/Параметры!V$126</f>
        <v>-20767.835881687693</v>
      </c>
      <c r="W13" s="82">
        <f ca="1">(-Деятельность_УК!W$312)/Параметры!W$126</f>
        <v>-20973.312378755247</v>
      </c>
      <c r="X13" s="82">
        <f ca="1">(-Деятельность_УК!X$312)/Параметры!X$126</f>
        <v>-21180.821960508605</v>
      </c>
      <c r="Y13" s="82">
        <f ca="1">(-Деятельность_УК!Y$312)/Параметры!Y$126</f>
        <v>-21390.384744317074</v>
      </c>
      <c r="Z13" s="82">
        <f ca="1">(-Деятельность_УК!Z$312)/Параметры!Z$126</f>
        <v>-21600.735349840463</v>
      </c>
      <c r="AA13" s="82">
        <f ca="1">(-Деятельность_УК!AA$312)/Параметры!AA$126</f>
        <v>-21813.154520467135</v>
      </c>
      <c r="AB13" s="82">
        <f ca="1">(-Деятельность_УК!AB$312)/Параметры!AB$126</f>
        <v>-22027.662598254494</v>
      </c>
      <c r="AC13" s="82">
        <f ca="1">(-Деятельность_УК!AC$312)/Параметры!AC$126</f>
        <v>-22244.280125301764</v>
      </c>
      <c r="AD13" s="82">
        <f ca="1">(-Деятельность_УК!AD$312)/Параметры!AD$126</f>
        <v>-22462.754343844877</v>
      </c>
      <c r="AE13" s="82">
        <f ca="1">(-Деятельность_УК!AE$312)/Параметры!AE$126</f>
        <v>-22683.374327642377</v>
      </c>
      <c r="AF13" s="82">
        <f ca="1">(-Деятельность_УК!AF$312)/Параметры!AF$126</f>
        <v>-22906.161151539607</v>
      </c>
      <c r="AG13" s="82">
        <f ca="1">(-Деятельность_УК!AG$312)/Параметры!AG$126</f>
        <v>-23131.136097370669</v>
      </c>
      <c r="AH13" s="82">
        <f ca="1">(-Деятельность_УК!AH$312)/Параметры!AH$126</f>
        <v>-23357.64972211151</v>
      </c>
      <c r="AI13" s="82">
        <f ca="1">(-Деятельность_УК!AI$312)/Параметры!AI$126</f>
        <v>-23586.381501370139</v>
      </c>
      <c r="AJ13" s="82">
        <f ca="1">(-Деятельность_УК!AJ$312)/Параметры!AJ$126</f>
        <v>-23817.353156624005</v>
      </c>
      <c r="AK13" s="82">
        <f ca="1">(-Деятельность_УК!AK$312)/Параметры!AK$126</f>
        <v>-23363.003259429708</v>
      </c>
      <c r="AL13" s="82">
        <f ca="1">(-Деятельность_УК!AL$312)/Параметры!AL$126</f>
        <v>-23591.107820447851</v>
      </c>
      <c r="AM13" s="82">
        <f ca="1">(-Деятельность_УК!AM$312)/Параметры!AM$126</f>
        <v>-23821.439479542532</v>
      </c>
      <c r="AN13" s="82">
        <f ca="1">(-Деятельность_УК!AN$312)/Параметры!AN$126</f>
        <v>-24054.019980981648</v>
      </c>
      <c r="AO13" s="82">
        <f ca="1">(-Деятельность_УК!AO$312)/Параметры!AO$126</f>
        <v>-14217.873267297369</v>
      </c>
      <c r="AP13" s="82">
        <f ca="1">(-Деятельность_УК!AP$312)/Параметры!AP$126</f>
        <v>-14356.401897457486</v>
      </c>
      <c r="AQ13" s="82">
        <f ca="1">(-Деятельность_УК!AQ$312)/Параметры!AQ$126</f>
        <v>-14496.280250357155</v>
      </c>
      <c r="AR13" s="82">
        <f ca="1">(-Деятельность_УК!AR$312)/Параметры!AR$126</f>
        <v>-14637.521476721886</v>
      </c>
      <c r="AS13" s="82"/>
      <c r="AT13" s="30">
        <f t="shared" ca="1" si="1"/>
        <v>-591422.64353559178</v>
      </c>
    </row>
    <row r="14" spans="1:46" x14ac:dyDescent="0.2">
      <c r="A14" s="318" t="s">
        <v>456</v>
      </c>
      <c r="B14" s="443">
        <f ca="1">IFERROR(AVERAGEIF(Параметры!$E$46:OFFSET(Параметры!$E$46,0,Параметры!$B$24-1),"&gt;=" &amp; Деятельность_УК!$B$9,E14:OFFSET(E14,0,Параметры!$B$24-1))*Параметры!$B$13/Параметры!$B$12,0)</f>
        <v>-418258.9188681012</v>
      </c>
      <c r="C14" s="12" t="str">
        <f>Параметры!$C$126</f>
        <v>тыс. руб.</v>
      </c>
      <c r="D14" s="40"/>
      <c r="E14" s="82">
        <v>0</v>
      </c>
      <c r="F14" s="82">
        <f ca="1">(Деятельность_УК!F446+Деятельность_УК!F445-Деятельность_УК!E446)*IF(F9&gt;0,1,0)</f>
        <v>0</v>
      </c>
      <c r="G14" s="82">
        <f ca="1">(Деятельность_УК!G446+Деятельность_УК!G445-Деятельность_УК!F446)*IF(G9&gt;0,1,0)</f>
        <v>0</v>
      </c>
      <c r="H14" s="82">
        <f ca="1">(Деятельность_УК!H446+Деятельность_УК!H445-Деятельность_УК!G446)*IF(H9&gt;0,1,0)</f>
        <v>0</v>
      </c>
      <c r="I14" s="82">
        <f ca="1">(Деятельность_УК!I446+Деятельность_УК!I445-Деятельность_УК!H446)*IF(I9&gt;0,1,0)</f>
        <v>0</v>
      </c>
      <c r="J14" s="82">
        <f ca="1">(Деятельность_УК!J446+Деятельность_УК!J445-Деятельность_УК!I446)*IF(J9&gt;0,1,0)</f>
        <v>0</v>
      </c>
      <c r="K14" s="82">
        <f ca="1">(Деятельность_УК!K446+Деятельность_УК!K445-Деятельность_УК!J446)*IF(K9&gt;0,1,0)</f>
        <v>0</v>
      </c>
      <c r="L14" s="82">
        <f ca="1">(Деятельность_УК!L446+Деятельность_УК!L445-Деятельность_УК!K446)*IF(L9&gt;0,1,0)</f>
        <v>0</v>
      </c>
      <c r="M14" s="82">
        <f ca="1">(Деятельность_УК!M446+Деятельность_УК!M445-Деятельность_УК!L446)*IF(M9&gt;0,1,0)</f>
        <v>0</v>
      </c>
      <c r="N14" s="82">
        <f ca="1">(Деятельность_УК!N446+Деятельность_УК!N445-Деятельность_УК!M446)*IF(N9&gt;0,1,0)</f>
        <v>0</v>
      </c>
      <c r="O14" s="82">
        <f ca="1">(Деятельность_УК!O446+Деятельность_УК!O445-Деятельность_УК!N446)*IF(O9&gt;0,1,0)</f>
        <v>0</v>
      </c>
      <c r="P14" s="82">
        <f ca="1">(Деятельность_УК!P446+Деятельность_УК!P445-Деятельность_УК!O446)*IF(P9&gt;0,1,0)</f>
        <v>0</v>
      </c>
      <c r="Q14" s="82">
        <f ca="1">(Деятельность_УК!Q446+Деятельность_УК!Q445-Деятельность_УК!P446)*IF(Q9&gt;0,1,0)</f>
        <v>0</v>
      </c>
      <c r="R14" s="82">
        <f ca="1">(Деятельность_УК!R446+Деятельность_УК!R445-Деятельность_УК!Q446)*IF(R9&gt;0,1,0)</f>
        <v>0</v>
      </c>
      <c r="S14" s="82">
        <f ca="1">(Деятельность_УК!S446+Деятельность_УК!S445-Деятельность_УК!R446)*IF(S9&gt;0,1,0)</f>
        <v>0</v>
      </c>
      <c r="T14" s="82">
        <f ca="1">(Деятельность_УК!T446+Деятельность_УК!T445-Деятельность_УК!S446)*IF(T9&gt;0,1,0)</f>
        <v>0</v>
      </c>
      <c r="U14" s="82">
        <f ca="1">(Деятельность_УК!U446+Деятельность_УК!U445-Деятельность_УК!T446)*IF(U9&gt;0,1,0)</f>
        <v>0</v>
      </c>
      <c r="V14" s="82">
        <f ca="1">(Деятельность_УК!V446+Деятельность_УК!V445-Деятельность_УК!U446)*IF(V9&gt;0,1,0)</f>
        <v>0</v>
      </c>
      <c r="W14" s="82">
        <f ca="1">(Деятельность_УК!W446+Деятельность_УК!W445-Деятельность_УК!V446)*IF(W9&gt;0,1,0)</f>
        <v>0</v>
      </c>
      <c r="X14" s="82">
        <f ca="1">(Деятельность_УК!X446+Деятельность_УК!X445-Деятельность_УК!W446)*IF(X9&gt;0,1,0)</f>
        <v>0</v>
      </c>
      <c r="Y14" s="82">
        <f ca="1">(Деятельность_УК!Y446+Деятельность_УК!Y445-Деятельность_УК!X446)*IF(Y9&gt;0,1,0)</f>
        <v>0</v>
      </c>
      <c r="Z14" s="82">
        <f ca="1">(Деятельность_УК!Z446+Деятельность_УК!Z445-Деятельность_УК!Y446)*IF(Z9&gt;0,1,0)</f>
        <v>0</v>
      </c>
      <c r="AA14" s="82">
        <f ca="1">(Деятельность_УК!AA446+Деятельность_УК!AA445-Деятельность_УК!Z446)*IF(AA9&gt;0,1,0)</f>
        <v>0</v>
      </c>
      <c r="AB14" s="82">
        <f ca="1">(Деятельность_УК!AB446+Деятельность_УК!AB445-Деятельность_УК!AA446)*IF(AB9&gt;0,1,0)</f>
        <v>0</v>
      </c>
      <c r="AC14" s="82">
        <f ca="1">(Деятельность_УК!AC446+Деятельность_УК!AC445-Деятельность_УК!AB446)*IF(AC9&gt;0,1,0)</f>
        <v>0</v>
      </c>
      <c r="AD14" s="82">
        <f ca="1">(Деятельность_УК!AD446+Деятельность_УК!AD445-Деятельность_УК!AC446)*IF(AD9&gt;0,1,0)</f>
        <v>0</v>
      </c>
      <c r="AE14" s="82">
        <f ca="1">(Деятельность_УК!AE446+Деятельность_УК!AE445-Деятельность_УК!AD446)*IF(AE9&gt;0,1,0)</f>
        <v>0</v>
      </c>
      <c r="AF14" s="82">
        <f ca="1">(Деятельность_УК!AF446+Деятельность_УК!AF445-Деятельность_УК!AE446)*IF(AF9&gt;0,1,0)</f>
        <v>0</v>
      </c>
      <c r="AG14" s="82">
        <f ca="1">(Деятельность_УК!AG446+Деятельность_УК!AG445-Деятельность_УК!AF446)*IF(AG9&gt;0,1,0)</f>
        <v>0</v>
      </c>
      <c r="AH14" s="82">
        <f ca="1">(Деятельность_УК!AH446+Деятельность_УК!AH445-Деятельность_УК!AG446)*IF(AH9&gt;0,1,0)</f>
        <v>0</v>
      </c>
      <c r="AI14" s="82">
        <f ca="1">(Деятельность_УК!AI446+Деятельность_УК!AI445-Деятельность_УК!AH446)*IF(AI9&gt;0,1,0)</f>
        <v>0</v>
      </c>
      <c r="AJ14" s="82">
        <f ca="1">(Деятельность_УК!AJ446+Деятельность_УК!AJ445-Деятельность_УК!AI446)*IF(AJ9&gt;0,1,0)</f>
        <v>0</v>
      </c>
      <c r="AK14" s="82">
        <f ca="1">(Деятельность_УК!AK446+Деятельность_УК!AK445-Деятельность_УК!AJ446)*IF(AK9&gt;0,1,0)</f>
        <v>-216313.55896811513</v>
      </c>
      <c r="AL14" s="82">
        <f ca="1">(Деятельность_УК!AL446+Деятельность_УК!AL445-Деятельность_УК!AK446)*IF(AL9&gt;0,1,0)</f>
        <v>0</v>
      </c>
      <c r="AM14" s="82">
        <f ca="1">(Деятельность_УК!AM446+Деятельность_УК!AM445-Деятельность_УК!AL446)*IF(AM9&gt;0,1,0)</f>
        <v>0</v>
      </c>
      <c r="AN14" s="82">
        <f ca="1">(Деятельность_УК!AN446+Деятельность_УК!AN445-Деятельность_УК!AM446)*IF(AN9&gt;0,1,0)</f>
        <v>0</v>
      </c>
      <c r="AO14" s="82">
        <f ca="1">(Деятельность_УК!AO446+Деятельность_УК!AO445-Деятельность_УК!AN446)*IF(AO9&gt;0,1,0)</f>
        <v>-2293239.9542404925</v>
      </c>
      <c r="AP14" s="82">
        <f ca="1">(Деятельность_УК!AP446+Деятельность_УК!AP445-Деятельность_УК!AO446)*IF(AP9&gt;0,1,0)</f>
        <v>0</v>
      </c>
      <c r="AQ14" s="82">
        <f ca="1">(Деятельность_УК!AQ446+Деятельность_УК!AQ445-Деятельность_УК!AP446)*IF(AQ9&gt;0,1,0)</f>
        <v>0</v>
      </c>
      <c r="AR14" s="82">
        <f ca="1">(Деятельность_УК!AR446+Деятельность_УК!AR445-Деятельность_УК!AQ446)*IF(AR9&gt;0,1,0)</f>
        <v>0</v>
      </c>
      <c r="AS14" s="82"/>
      <c r="AT14" s="30">
        <f t="shared" ca="1" si="1"/>
        <v>-2509553.5132086077</v>
      </c>
    </row>
    <row r="15" spans="1:46" x14ac:dyDescent="0.2">
      <c r="A15" s="76" t="s">
        <v>103</v>
      </c>
      <c r="B15" s="444">
        <f ca="1">IFERROR(AVERAGEIF(Параметры!$E$46:OFFSET(Параметры!$E$46,0,Параметры!$B$24-1),"&gt;=" &amp; Деятельность_УК!$B$9,E15:OFFSET(E15,0,Параметры!$B$24-1))*Параметры!$B$13/Параметры!$B$12,0)</f>
        <v>1537609.7656316869</v>
      </c>
      <c r="C15" s="13" t="str">
        <f>Параметры!$C$126</f>
        <v>тыс. руб.</v>
      </c>
      <c r="D15" s="78"/>
      <c r="E15" s="167">
        <f ca="1">E7+E10</f>
        <v>-1100</v>
      </c>
      <c r="F15" s="167">
        <f t="shared" ref="F15:AR15" ca="1" si="4">F7+F10</f>
        <v>-1100</v>
      </c>
      <c r="G15" s="167">
        <f t="shared" ca="1" si="4"/>
        <v>20753.211238472122</v>
      </c>
      <c r="H15" s="167">
        <f t="shared" ca="1" si="4"/>
        <v>30598.67250877721</v>
      </c>
      <c r="I15" s="167">
        <f t="shared" ca="1" si="4"/>
        <v>30598.67250877721</v>
      </c>
      <c r="J15" s="167">
        <f t="shared" ca="1" si="4"/>
        <v>30900.309662516484</v>
      </c>
      <c r="K15" s="167">
        <f t="shared" ca="1" si="4"/>
        <v>29324.20974423255</v>
      </c>
      <c r="L15" s="167">
        <f t="shared" ca="1" si="4"/>
        <v>29441.780981820124</v>
      </c>
      <c r="M15" s="167">
        <f t="shared" ca="1" si="4"/>
        <v>48127.96210676949</v>
      </c>
      <c r="N15" s="167">
        <f t="shared" ca="1" si="4"/>
        <v>49226.531370644778</v>
      </c>
      <c r="O15" s="167">
        <f t="shared" ca="1" si="4"/>
        <v>49699.255628952131</v>
      </c>
      <c r="P15" s="167">
        <f t="shared" ca="1" si="4"/>
        <v>48946.923144049833</v>
      </c>
      <c r="Q15" s="167">
        <f t="shared" ca="1" si="4"/>
        <v>59115.530310478483</v>
      </c>
      <c r="R15" s="167">
        <f t="shared" ca="1" si="4"/>
        <v>60043.79816402297</v>
      </c>
      <c r="S15" s="167">
        <f t="shared" ca="1" si="4"/>
        <v>60634.073200867075</v>
      </c>
      <c r="T15" s="167">
        <f t="shared" ca="1" si="4"/>
        <v>61230.053354397147</v>
      </c>
      <c r="U15" s="167">
        <f t="shared" ca="1" si="4"/>
        <v>199206.59333093811</v>
      </c>
      <c r="V15" s="167">
        <f t="shared" ca="1" si="4"/>
        <v>207179.27565824427</v>
      </c>
      <c r="W15" s="167">
        <f t="shared" ca="1" si="4"/>
        <v>209432.26112691138</v>
      </c>
      <c r="X15" s="167">
        <f t="shared" ca="1" si="4"/>
        <v>211709.78104923869</v>
      </c>
      <c r="Y15" s="167">
        <f t="shared" ca="1" si="4"/>
        <v>214012.10217273512</v>
      </c>
      <c r="Z15" s="167">
        <f t="shared" ca="1" si="4"/>
        <v>216294.61238454588</v>
      </c>
      <c r="AA15" s="167">
        <f t="shared" ca="1" si="4"/>
        <v>218601.44081202892</v>
      </c>
      <c r="AB15" s="167">
        <f t="shared" ca="1" si="4"/>
        <v>220932.8454585638</v>
      </c>
      <c r="AC15" s="167">
        <f t="shared" ca="1" si="4"/>
        <v>223289.08703963205</v>
      </c>
      <c r="AD15" s="167">
        <f t="shared" ca="1" si="4"/>
        <v>225673.86973470566</v>
      </c>
      <c r="AE15" s="167">
        <f t="shared" ca="1" si="4"/>
        <v>228084.10707339793</v>
      </c>
      <c r="AF15" s="167">
        <f t="shared" ca="1" si="4"/>
        <v>230520.06979017996</v>
      </c>
      <c r="AG15" s="167">
        <f t="shared" ca="1" si="4"/>
        <v>232982.0314756202</v>
      </c>
      <c r="AH15" s="167">
        <f t="shared" ca="1" si="4"/>
        <v>235467.35947681026</v>
      </c>
      <c r="AI15" s="167">
        <f t="shared" ca="1" si="4"/>
        <v>237979.1862810459</v>
      </c>
      <c r="AJ15" s="167">
        <f t="shared" ca="1" si="4"/>
        <v>240517.79344737288</v>
      </c>
      <c r="AK15" s="167">
        <f t="shared" ca="1" si="4"/>
        <v>426233.6251766014</v>
      </c>
      <c r="AL15" s="167">
        <f t="shared" ca="1" si="4"/>
        <v>235601.38536508186</v>
      </c>
      <c r="AM15" s="167">
        <f t="shared" ca="1" si="4"/>
        <v>238561.67423719351</v>
      </c>
      <c r="AN15" s="167">
        <f t="shared" ca="1" si="4"/>
        <v>241103.82337539963</v>
      </c>
      <c r="AO15" s="167">
        <f t="shared" ca="1" si="4"/>
        <v>4190426.3067893023</v>
      </c>
      <c r="AP15" s="167">
        <f t="shared" ca="1" si="4"/>
        <v>107993.94195125173</v>
      </c>
      <c r="AQ15" s="167">
        <f t="shared" ca="1" si="4"/>
        <v>116362.22154383152</v>
      </c>
      <c r="AR15" s="167">
        <f t="shared" ca="1" si="4"/>
        <v>117493.19903948979</v>
      </c>
      <c r="AS15" s="167"/>
      <c r="AT15" s="168">
        <f t="shared" ca="1" si="1"/>
        <v>9832099.5777148996</v>
      </c>
    </row>
    <row r="16" spans="1:46" x14ac:dyDescent="0.2">
      <c r="A16" s="44"/>
      <c r="B16" s="443"/>
      <c r="D16" s="40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30"/>
    </row>
    <row r="17" spans="1:46" x14ac:dyDescent="0.2">
      <c r="A17" s="63" t="s">
        <v>174</v>
      </c>
      <c r="B17" s="443">
        <f ca="1">IFERROR(AVERAGEIF(Параметры!$E$46:OFFSET(Параметры!$E$46,0,Параметры!$B$24-1),"&gt;=" &amp; Деятельность_УК!$B$9,E17:OFFSET(E17,0,Параметры!$B$24-1))*Параметры!$B$13/Параметры!$B$12,0)</f>
        <v>-28220.155786303487</v>
      </c>
      <c r="C17" s="12" t="str">
        <f>Параметры!$C$126</f>
        <v>тыс. руб.</v>
      </c>
      <c r="D17" s="40"/>
      <c r="E17" s="82">
        <f>(0-Деятельность_УК!E$216)/Параметры!E$126</f>
        <v>-1359.8672760000002</v>
      </c>
      <c r="F17" s="82">
        <f ca="1">(0-Деятельность_УК!F$216)/Параметры!F$126</f>
        <v>-1359.8672760000002</v>
      </c>
      <c r="G17" s="82">
        <f ca="1">(0-Деятельность_УК!G$216)/Параметры!G$126</f>
        <v>-1359.8672760000002</v>
      </c>
      <c r="H17" s="82">
        <f ca="1">(0-Деятельность_УК!H$216)/Параметры!H$126</f>
        <v>-2946.3790979999999</v>
      </c>
      <c r="I17" s="82">
        <f ca="1">(0-Деятельность_УК!I$216)/Параметры!I$126</f>
        <v>-2946.3790979999999</v>
      </c>
      <c r="J17" s="82">
        <f ca="1">(0-Деятельность_УК!J$216)/Параметры!J$126</f>
        <v>-2993.5805034523814</v>
      </c>
      <c r="K17" s="82">
        <f ca="1">(0-Деятельность_УК!K$216)/Параметры!K$126</f>
        <v>-4913.2538248100227</v>
      </c>
      <c r="L17" s="82">
        <f ca="1">(0-Деятельность_УК!L$216)/Параметры!L$126</f>
        <v>-4991.9648386210902</v>
      </c>
      <c r="M17" s="82">
        <f ca="1">(0-Деятельность_УК!M$216)/Параметры!M$126</f>
        <v>-5071.9368138878599</v>
      </c>
      <c r="N17" s="82">
        <f ca="1">(0-Деятельность_УК!N$216)/Параметры!N$126</f>
        <v>-5157.449004825422</v>
      </c>
      <c r="O17" s="82">
        <f ca="1">(0-Деятельность_УК!O$216)/Параметры!O$126</f>
        <v>-5244.4029201115445</v>
      </c>
      <c r="P17" s="82">
        <f ca="1">(0-Деятельность_УК!P$216)/Параметры!P$126</f>
        <v>-5332.8228670300705</v>
      </c>
      <c r="Q17" s="82">
        <f ca="1">(0-Деятельность_УК!Q$216)/Параметры!Q$126</f>
        <v>-5422.733562682467</v>
      </c>
      <c r="R17" s="82">
        <f ca="1">(0-Деятельность_УК!R$216)/Параметры!R$126</f>
        <v>-5513.0076038129009</v>
      </c>
      <c r="S17" s="82">
        <f ca="1">(0-Деятельность_УК!S$216)/Параметры!S$126</f>
        <v>-5604.7844667965237</v>
      </c>
      <c r="T17" s="82">
        <f ca="1">(0-Деятельность_УК!T$216)/Параметры!T$126</f>
        <v>-5698.0891696063209</v>
      </c>
      <c r="U17" s="82">
        <f ca="1">(0-Деятельность_УК!U$216)/Параметры!U$126</f>
        <v>-5792.947146697762</v>
      </c>
      <c r="V17" s="82">
        <f ca="1">(0-Деятельность_УК!V$216)/Параметры!V$126</f>
        <v>-5891.2072984072865</v>
      </c>
      <c r="W17" s="82">
        <f ca="1">(0-Деятельность_УК!W$216)/Параметры!W$126</f>
        <v>-5991.1341419007149</v>
      </c>
      <c r="X17" s="82">
        <f ca="1">(0-Деятельность_УК!X$216)/Параметры!X$126</f>
        <v>-6092.7559476565048</v>
      </c>
      <c r="Y17" s="82">
        <f ca="1">(0-Деятельность_УК!Y$216)/Параметры!Y$126</f>
        <v>-6196.1014656778661</v>
      </c>
      <c r="Z17" s="82">
        <f ca="1">(0-Деятельность_УК!Z$216)/Параметры!Z$126</f>
        <v>-6299.908710413707</v>
      </c>
      <c r="AA17" s="82">
        <f ca="1">(0-Деятельность_УК!AA$216)/Параметры!AA$126</f>
        <v>-6405.4551042127687</v>
      </c>
      <c r="AB17" s="82">
        <f ca="1">(0-Деятельность_УК!AB$216)/Параметры!AB$126</f>
        <v>-6512.7697841499394</v>
      </c>
      <c r="AC17" s="82">
        <f ca="1">(0-Деятельность_УК!AC$216)/Параметры!AC$126</f>
        <v>-6621.8823754521336</v>
      </c>
      <c r="AD17" s="82">
        <f ca="1">(0-Деятельность_УК!AD$216)/Параметры!AD$126</f>
        <v>-6731.7375076346098</v>
      </c>
      <c r="AE17" s="82">
        <f ca="1">(0-Деятельность_УК!AE$216)/Параметры!AE$126</f>
        <v>-6843.415104998825</v>
      </c>
      <c r="AF17" s="82">
        <f ca="1">(0-Деятельность_УК!AF$216)/Параметры!AF$126</f>
        <v>-6956.9454017202115</v>
      </c>
      <c r="AG17" s="82">
        <f ca="1">(0-Деятельность_УК!AG$216)/Параметры!AG$126</f>
        <v>-7072.3591335505171</v>
      </c>
      <c r="AH17" s="82">
        <f ca="1">(0-Деятельность_УК!AH$216)/Параметры!AH$126</f>
        <v>-7189.2194972157067</v>
      </c>
      <c r="AI17" s="82">
        <f ca="1">(0-Деятельность_УК!AI$216)/Параметры!AI$126</f>
        <v>-7308.0108070246224</v>
      </c>
      <c r="AJ17" s="82">
        <f ca="1">(0-Деятельность_УК!AJ$216)/Параметры!AJ$126</f>
        <v>-7428.7649690307162</v>
      </c>
      <c r="AK17" s="82">
        <f ca="1">(0-Деятельность_УК!AK$216)/Параметры!AK$126</f>
        <v>-7551.5144164881922</v>
      </c>
      <c r="AL17" s="82">
        <f ca="1">(0-Деятельность_УК!AL$216)/Параметры!AL$126</f>
        <v>-7675.2564187744247</v>
      </c>
      <c r="AM17" s="82">
        <f ca="1">(0-Деятельность_УК!AM$216)/Параметры!AM$126</f>
        <v>-7801.0261048185475</v>
      </c>
      <c r="AN17" s="82">
        <f ca="1">(0-Деятельность_УК!AN$216)/Параметры!AN$126</f>
        <v>-7928.8567010218339</v>
      </c>
      <c r="AO17" s="82">
        <f ca="1">(0-Деятельность_УК!AO$216)/Параметры!AO$126</f>
        <v>-8058.781978246072</v>
      </c>
      <c r="AP17" s="82">
        <f ca="1">(0-Деятельность_УК!AP$216)/Параметры!AP$126</f>
        <v>-8189.7797337891479</v>
      </c>
      <c r="AQ17" s="82">
        <f ca="1">(0-Деятельность_УК!AQ$216)/Параметры!AQ$126</f>
        <v>-8322.9068944958872</v>
      </c>
      <c r="AR17" s="82">
        <f ca="1">(0-Деятельность_УК!AR$216)/Параметры!AR$126</f>
        <v>-8458.1980744429402</v>
      </c>
      <c r="AS17" s="82"/>
      <c r="AT17" s="30">
        <f ca="1">SUM(E17:AS17)</f>
        <v>-235237.32031745758</v>
      </c>
    </row>
    <row r="18" spans="1:46" x14ac:dyDescent="0.2">
      <c r="A18" s="63" t="s">
        <v>141</v>
      </c>
      <c r="B18" s="443">
        <f ca="1">IFERROR(AVERAGEIF(Параметры!$E$46:OFFSET(Параметры!$E$46,0,Параметры!$B$24-1),"&gt;=" &amp; Деятельность_УК!$B$9,E18:OFFSET(E18,0,Параметры!$B$24-1))*Параметры!$B$13/Параметры!$B$12,0)</f>
        <v>-1891.9507050510765</v>
      </c>
      <c r="C18" s="12" t="str">
        <f>Параметры!$C$126</f>
        <v>тыс. руб.</v>
      </c>
      <c r="D18" s="40"/>
      <c r="E18" s="82">
        <f>(-Деятельность_УК!E$322)/Параметры!E$126</f>
        <v>-375</v>
      </c>
      <c r="F18" s="82">
        <f ca="1">(-Деятельность_УК!F$322)/Параметры!F$126</f>
        <v>-375</v>
      </c>
      <c r="G18" s="82">
        <f ca="1">(-Деятельность_УК!G$322)/Параметры!G$126</f>
        <v>-375</v>
      </c>
      <c r="H18" s="82">
        <f ca="1">(-Деятельность_УК!H$322)/Параметры!H$126</f>
        <v>-375</v>
      </c>
      <c r="I18" s="82">
        <f ca="1">(-Деятельность_УК!I$322)/Параметры!I$126</f>
        <v>-375</v>
      </c>
      <c r="J18" s="82">
        <f ca="1">(-Деятельность_УК!J$322)/Параметры!J$126</f>
        <v>-378.70523439933226</v>
      </c>
      <c r="K18" s="82">
        <f ca="1">(-Деятельность_УК!K$322)/Параметры!K$126</f>
        <v>-382.44707883054178</v>
      </c>
      <c r="L18" s="82">
        <f ca="1">(-Деятельность_УК!L$322)/Параметры!L$126</f>
        <v>-386.22589502362723</v>
      </c>
      <c r="M18" s="82">
        <f ca="1">(-Деятельность_УК!M$322)/Параметры!M$126</f>
        <v>-390.04204828270571</v>
      </c>
      <c r="N18" s="82">
        <f ca="1">(-Деятельность_УК!N$322)/Параметры!N$126</f>
        <v>-393.88068484364123</v>
      </c>
      <c r="O18" s="82">
        <f ca="1">(-Деятельность_УК!O$322)/Параметры!O$126</f>
        <v>-397.75709971774029</v>
      </c>
      <c r="P18" s="82">
        <f ca="1">(-Деятельность_УК!P$322)/Параметры!P$126</f>
        <v>-401.67166470392738</v>
      </c>
      <c r="Q18" s="82">
        <f ca="1">(-Деятельность_УК!Q$322)/Параметры!Q$126</f>
        <v>-405.62475526022246</v>
      </c>
      <c r="R18" s="82">
        <f ca="1">(-Деятельность_УК!R$322)/Параметры!R$126</f>
        <v>-409.6017746536624</v>
      </c>
      <c r="S18" s="82">
        <f ca="1">(-Деятельность_УК!S$322)/Параметры!S$126</f>
        <v>-413.61778743458842</v>
      </c>
      <c r="T18" s="82">
        <f ca="1">(-Деятельность_УК!T$322)/Параметры!T$126</f>
        <v>-417.67317592053968</v>
      </c>
      <c r="U18" s="82">
        <f ca="1">(-Деятельность_УК!U$322)/Параметры!U$126</f>
        <v>-421.76832617755491</v>
      </c>
      <c r="V18" s="82">
        <f ca="1">(-Деятельность_УК!V$322)/Параметры!V$126</f>
        <v>-425.9128833972884</v>
      </c>
      <c r="W18" s="82">
        <f ca="1">(-Деятельность_УК!W$322)/Параметры!W$126</f>
        <v>-430.09816760736589</v>
      </c>
      <c r="X18" s="82">
        <f ca="1">(-Деятельность_УК!X$322)/Параметры!X$126</f>
        <v>-434.32457901645978</v>
      </c>
      <c r="Y18" s="82">
        <f ca="1">(-Деятельность_УК!Y$322)/Параметры!Y$126</f>
        <v>-438.59252176594106</v>
      </c>
      <c r="Z18" s="82">
        <f ca="1">(-Деятельность_УК!Z$322)/Параметры!Z$126</f>
        <v>-442.90563436667804</v>
      </c>
      <c r="AA18" s="82">
        <f ca="1">(-Деятельность_УК!AA$322)/Параметры!AA$126</f>
        <v>-447.26116205518662</v>
      </c>
      <c r="AB18" s="82">
        <f ca="1">(-Деятельность_УК!AB$322)/Параметры!AB$126</f>
        <v>-451.65952194083462</v>
      </c>
      <c r="AC18" s="82">
        <f ca="1">(-Деятельность_УК!AC$322)/Параметры!AC$126</f>
        <v>-456.10113523483756</v>
      </c>
      <c r="AD18" s="82">
        <f ca="1">(-Деятельность_УК!AD$322)/Параметры!AD$126</f>
        <v>-460.58089087034244</v>
      </c>
      <c r="AE18" s="82">
        <f ca="1">(-Деятельность_УК!AE$322)/Параметры!AE$126</f>
        <v>-465.10464598097144</v>
      </c>
      <c r="AF18" s="82">
        <f ca="1">(-Деятельность_УК!AF$322)/Параметры!AF$126</f>
        <v>-469.67283272284385</v>
      </c>
      <c r="AG18" s="82">
        <f ca="1">(-Деятельность_УК!AG$322)/Параметры!AG$126</f>
        <v>-474.28588749665045</v>
      </c>
      <c r="AH18" s="82">
        <f ca="1">(-Деятельность_УК!AH$322)/Параметры!AH$126</f>
        <v>-478.93043296463242</v>
      </c>
      <c r="AI18" s="82">
        <f ca="1">(-Деятельность_УК!AI$322)/Параметры!AI$126</f>
        <v>-483.62046113233788</v>
      </c>
      <c r="AJ18" s="82">
        <f ca="1">(-Деятельность_УК!AJ$322)/Параметры!AJ$126</f>
        <v>-488.35641739878145</v>
      </c>
      <c r="AK18" s="82">
        <f ca="1">(-Деятельность_УК!AK$322)/Параметры!AK$126</f>
        <v>-493.13875152464226</v>
      </c>
      <c r="AL18" s="82">
        <f ca="1">(-Деятельность_УК!AL$322)/Параметры!AL$126</f>
        <v>-497.95354914010761</v>
      </c>
      <c r="AM18" s="82">
        <f ca="1">(-Деятельность_УК!AM$322)/Параметры!AM$126</f>
        <v>-502.81535639739525</v>
      </c>
      <c r="AN18" s="82">
        <f ca="1">(-Деятельность_УК!AN$322)/Параметры!AN$126</f>
        <v>-507.72463227870998</v>
      </c>
      <c r="AO18" s="82">
        <f ca="1">(-Деятельность_УК!AO$322)/Параметры!AO$126</f>
        <v>-512.68184024756374</v>
      </c>
      <c r="AP18" s="82">
        <f ca="1">(-Деятельность_УК!AP$322)/Параметры!AP$126</f>
        <v>-517.67748893415114</v>
      </c>
      <c r="AQ18" s="82">
        <f ca="1">(-Деятельность_УК!AQ$322)/Параметры!AQ$126</f>
        <v>-522.7218159702345</v>
      </c>
      <c r="AR18" s="82">
        <f ca="1">(-Деятельность_УК!AR$322)/Параметры!AR$126</f>
        <v>-527.81529568494682</v>
      </c>
      <c r="AS18" s="82"/>
      <c r="AT18" s="30">
        <f ca="1">SUM(E18:AS18)</f>
        <v>-17603.95142937699</v>
      </c>
    </row>
    <row r="19" spans="1:46" x14ac:dyDescent="0.2">
      <c r="A19" s="63" t="s">
        <v>142</v>
      </c>
      <c r="B19" s="443">
        <f ca="1">IFERROR(AVERAGEIF(Параметры!$E$46:OFFSET(Параметры!$E$46,0,Параметры!$B$24-1),"&gt;=" &amp; Деятельность_УК!$B$9,E19:OFFSET(E19,0,Параметры!$B$24-1))*Параметры!$B$13/Параметры!$B$12,0)</f>
        <v>0</v>
      </c>
      <c r="C19" s="12" t="str">
        <f>Параметры!$C$126</f>
        <v>тыс. руб.</v>
      </c>
      <c r="D19" s="40"/>
      <c r="E19" s="82">
        <f>(-Деятельность_УК!E$317)/Параметры!E$126</f>
        <v>-270.83333333333337</v>
      </c>
      <c r="F19" s="82">
        <f ca="1">(-Деятельность_УК!F$317)/Параметры!F$126</f>
        <v>-270.83333333333337</v>
      </c>
      <c r="G19" s="82">
        <f ca="1">(-Деятельность_УК!G$317)/Параметры!G$126</f>
        <v>-270.83333333333337</v>
      </c>
      <c r="H19" s="82">
        <f ca="1">(-Деятельность_УК!H$317)/Параметры!H$126</f>
        <v>-270.83333333333337</v>
      </c>
      <c r="I19" s="82">
        <f ca="1">(-Деятельность_УК!I$317)/Параметры!I$126</f>
        <v>-270.83333333333337</v>
      </c>
      <c r="J19" s="82">
        <f ca="1">(-Деятельность_УК!J$317)/Параметры!J$126</f>
        <v>-273.50933595507331</v>
      </c>
      <c r="K19" s="82">
        <f ca="1">(-Деятельность_УК!K$317)/Параметры!K$126</f>
        <v>-276.2117791553913</v>
      </c>
      <c r="L19" s="82">
        <f ca="1">(-Деятельность_УК!L$317)/Параметры!L$126</f>
        <v>-278.94092418373083</v>
      </c>
      <c r="M19" s="82">
        <f ca="1">(-Деятельность_УК!M$317)/Параметры!M$126</f>
        <v>-281.69703487084308</v>
      </c>
      <c r="N19" s="82">
        <f ca="1">(-Деятельность_УК!N$317)/Параметры!N$126</f>
        <v>-284.46938349818538</v>
      </c>
      <c r="O19" s="82">
        <f ca="1">(-Деятельность_УК!O$317)/Параметры!O$126</f>
        <v>-287.26901646281249</v>
      </c>
      <c r="P19" s="82">
        <f ca="1">(-Деятельность_УК!P$317)/Параметры!P$126</f>
        <v>-290.09620228616984</v>
      </c>
      <c r="Q19" s="82">
        <f ca="1">(-Деятельность_УК!Q$317)/Параметры!Q$126</f>
        <v>-292.95121213238292</v>
      </c>
      <c r="R19" s="82">
        <f ca="1">(-Деятельность_УК!R$317)/Параметры!R$126</f>
        <v>-295.82350391653398</v>
      </c>
      <c r="S19" s="82">
        <f ca="1">(-Деятельность_УК!S$317)/Параметры!S$126</f>
        <v>-298.72395759164721</v>
      </c>
      <c r="T19" s="82">
        <f ca="1">(-Деятельность_УК!T$317)/Параметры!T$126</f>
        <v>-301.65284927594536</v>
      </c>
      <c r="U19" s="82">
        <f ca="1">(-Деятельность_УК!U$317)/Параметры!U$126</f>
        <v>0</v>
      </c>
      <c r="V19" s="82">
        <f ca="1">(-Деятельность_УК!V$317)/Параметры!V$126</f>
        <v>0</v>
      </c>
      <c r="W19" s="82">
        <f ca="1">(-Деятельность_УК!W$317)/Параметры!W$126</f>
        <v>0</v>
      </c>
      <c r="X19" s="82">
        <f ca="1">(-Деятельность_УК!X$317)/Параметры!X$126</f>
        <v>0</v>
      </c>
      <c r="Y19" s="82">
        <f ca="1">(-Деятельность_УК!Y$317)/Параметры!Y$126</f>
        <v>0</v>
      </c>
      <c r="Z19" s="82">
        <f ca="1">(-Деятельность_УК!Z$317)/Параметры!Z$126</f>
        <v>0</v>
      </c>
      <c r="AA19" s="82">
        <f ca="1">(-Деятельность_УК!AA$317)/Параметры!AA$126</f>
        <v>0</v>
      </c>
      <c r="AB19" s="82">
        <f ca="1">(-Деятельность_УК!AB$317)/Параметры!AB$126</f>
        <v>0</v>
      </c>
      <c r="AC19" s="82">
        <f ca="1">(-Деятельность_УК!AC$317)/Параметры!AC$126</f>
        <v>0</v>
      </c>
      <c r="AD19" s="82">
        <f ca="1">(-Деятельность_УК!AD$317)/Параметры!AD$126</f>
        <v>0</v>
      </c>
      <c r="AE19" s="82">
        <f ca="1">(-Деятельность_УК!AE$317)/Параметры!AE$126</f>
        <v>0</v>
      </c>
      <c r="AF19" s="82">
        <f ca="1">(-Деятельность_УК!AF$317)/Параметры!AF$126</f>
        <v>0</v>
      </c>
      <c r="AG19" s="82">
        <f ca="1">(-Деятельность_УК!AG$317)/Параметры!AG$126</f>
        <v>0</v>
      </c>
      <c r="AH19" s="82">
        <f ca="1">(-Деятельность_УК!AH$317)/Параметры!AH$126</f>
        <v>0</v>
      </c>
      <c r="AI19" s="82">
        <f ca="1">(-Деятельность_УК!AI$317)/Параметры!AI$126</f>
        <v>0</v>
      </c>
      <c r="AJ19" s="82">
        <f ca="1">(-Деятельность_УК!AJ$317)/Параметры!AJ$126</f>
        <v>0</v>
      </c>
      <c r="AK19" s="82">
        <f ca="1">(-Деятельность_УК!AK$317)/Параметры!AK$126</f>
        <v>0</v>
      </c>
      <c r="AL19" s="82">
        <f ca="1">(-Деятельность_УК!AL$317)/Параметры!AL$126</f>
        <v>0</v>
      </c>
      <c r="AM19" s="82">
        <f ca="1">(-Деятельность_УК!AM$317)/Параметры!AM$126</f>
        <v>0</v>
      </c>
      <c r="AN19" s="82">
        <f ca="1">(-Деятельность_УК!AN$317)/Параметры!AN$126</f>
        <v>0</v>
      </c>
      <c r="AO19" s="82">
        <f ca="1">(-Деятельность_УК!AO$317)/Параметры!AO$126</f>
        <v>0</v>
      </c>
      <c r="AP19" s="82">
        <f ca="1">(-Деятельность_УК!AP$317)/Параметры!AP$126</f>
        <v>0</v>
      </c>
      <c r="AQ19" s="82">
        <f ca="1">(-Деятельность_УК!AQ$317)/Параметры!AQ$126</f>
        <v>0</v>
      </c>
      <c r="AR19" s="82">
        <f ca="1">(-Деятельность_УК!AR$317)/Параметры!AR$126</f>
        <v>0</v>
      </c>
      <c r="AS19" s="82"/>
      <c r="AT19" s="30">
        <f ca="1">SUM(E19:AS19)</f>
        <v>-4515.5118659953823</v>
      </c>
    </row>
    <row r="20" spans="1:46" x14ac:dyDescent="0.2">
      <c r="A20" s="63" t="s">
        <v>143</v>
      </c>
      <c r="B20" s="443">
        <f ca="1">IFERROR(AVERAGEIF(Параметры!$E$46:OFFSET(Параметры!$E$46,0,Параметры!$B$24-1),"&gt;=" &amp; Деятельность_УК!$B$9,E20:OFFSET(E20,0,Параметры!$B$24-1))*Параметры!$B$13/Параметры!$B$12,0)</f>
        <v>-42450.565934600265</v>
      </c>
      <c r="C20" s="12" t="str">
        <f>Параметры!$C$126</f>
        <v>тыс. руб.</v>
      </c>
      <c r="D20" s="40"/>
      <c r="E20" s="82">
        <f ca="1">(-Деятельность_УК!E$677-Деятельность_УК!E$700)/Параметры!E$126</f>
        <v>-1310.6628204915587</v>
      </c>
      <c r="F20" s="82">
        <f ca="1">(-Деятельность_УК!F$677-Деятельность_УК!F$700)/Параметры!F$126</f>
        <v>-1310.6628204915587</v>
      </c>
      <c r="G20" s="82">
        <f ca="1">(-Деятельность_УК!G$677-Деятельность_УК!G$700)/Параметры!G$126</f>
        <v>-3920.6839533040584</v>
      </c>
      <c r="H20" s="82">
        <f ca="1">(-Деятельность_УК!H$677-Деятельность_УК!H$700)/Параметры!H$126</f>
        <v>-6497.6668439290588</v>
      </c>
      <c r="I20" s="82">
        <f ca="1">(-Деятельность_УК!I$677-Деятельность_УК!I$700)/Параметры!I$126</f>
        <v>-1310.6628204915587</v>
      </c>
      <c r="J20" s="82">
        <f ca="1">(-Деятельность_УК!J$677-Деятельность_УК!J$700)/Параметры!J$126</f>
        <v>-1310.6628204915587</v>
      </c>
      <c r="K20" s="82">
        <f ca="1">(-Деятельность_УК!K$677-Деятельность_УК!K$700)/Параметры!K$126</f>
        <v>-1310.6628204915587</v>
      </c>
      <c r="L20" s="82">
        <f ca="1">(-Деятельность_УК!L$677-Деятельность_УК!L$700)/Параметры!L$126</f>
        <v>-1310.6628204915587</v>
      </c>
      <c r="M20" s="82">
        <f ca="1">(-Деятельность_УК!M$677-Деятельность_УК!M$700)/Параметры!M$126</f>
        <v>-1310.6628204915587</v>
      </c>
      <c r="N20" s="82">
        <f ca="1">(-Деятельность_УК!N$677-Деятельность_УК!N$700)/Параметры!N$126</f>
        <v>-1310.6628204915587</v>
      </c>
      <c r="O20" s="82">
        <f ca="1">(-Деятельность_УК!O$677-Деятельность_УК!O$700)/Параметры!O$126</f>
        <v>-1310.6628204915587</v>
      </c>
      <c r="P20" s="82">
        <f ca="1">(-Деятельность_УК!P$677-Деятельность_УК!P$700)/Параметры!P$126</f>
        <v>-1310.6628204915587</v>
      </c>
      <c r="Q20" s="82">
        <f ca="1">(-Деятельность_УК!Q$677-Деятельность_УК!Q$700)/Параметры!Q$126</f>
        <v>-1310.6628204915587</v>
      </c>
      <c r="R20" s="82">
        <f ca="1">(-Деятельность_УК!R$677-Деятельность_УК!R$700)/Параметры!R$126</f>
        <v>-1310.6628204915587</v>
      </c>
      <c r="S20" s="82">
        <f ca="1">(-Деятельность_УК!S$677-Деятельность_УК!S$700)/Параметры!S$126</f>
        <v>-1310.6628204915587</v>
      </c>
      <c r="T20" s="82">
        <f ca="1">(-Деятельность_УК!T$677-Деятельность_УК!T$700)/Параметры!T$126</f>
        <v>-1310.6628204915587</v>
      </c>
      <c r="U20" s="82">
        <f ca="1">(-Деятельность_УК!U$677-Деятельность_УК!U$700)/Параметры!U$126</f>
        <v>-1310.6628204915587</v>
      </c>
      <c r="V20" s="82">
        <f ca="1">(-Деятельность_УК!V$677-Деятельность_УК!V$700)/Параметры!V$126</f>
        <v>-1310.6628204915587</v>
      </c>
      <c r="W20" s="82">
        <f ca="1">(-Деятельность_УК!W$677-Деятельность_УК!W$700)/Параметры!W$126</f>
        <v>-1310.6628204915587</v>
      </c>
      <c r="X20" s="82">
        <f ca="1">(-Деятельность_УК!X$677-Деятельность_УК!X$700)/Параметры!X$126</f>
        <v>-1310.6628204915587</v>
      </c>
      <c r="Y20" s="82">
        <f ca="1">(-Деятельность_УК!Y$677-Деятельность_УК!Y$700)/Параметры!Y$126</f>
        <v>-1310.6628204915587</v>
      </c>
      <c r="Z20" s="82">
        <f ca="1">(-Деятельность_УК!Z$677-Деятельность_УК!Z$700)/Параметры!Z$126</f>
        <v>-1310.6628204915587</v>
      </c>
      <c r="AA20" s="82">
        <f ca="1">(-Деятельность_УК!AA$677-Деятельность_УК!AA$700)/Параметры!AA$126</f>
        <v>-1310.6628204915587</v>
      </c>
      <c r="AB20" s="82">
        <f ca="1">(-Деятельность_УК!AB$677-Деятельность_УК!AB$700)/Параметры!AB$126</f>
        <v>-1310.6628204915587</v>
      </c>
      <c r="AC20" s="82">
        <f ca="1">(-Деятельность_УК!AC$677-Деятельность_УК!AC$700)/Параметры!AC$126</f>
        <v>-1310.6628204915587</v>
      </c>
      <c r="AD20" s="82">
        <f ca="1">(-Деятельность_УК!AD$677-Деятельность_УК!AD$700)/Параметры!AD$126</f>
        <v>-1310.6628204915587</v>
      </c>
      <c r="AE20" s="82">
        <f ca="1">(-Деятельность_УК!AE$677-Деятельность_УК!AE$700)/Параметры!AE$126</f>
        <v>-1310.6628204915587</v>
      </c>
      <c r="AF20" s="82">
        <f ca="1">(-Деятельность_УК!AF$677-Деятельность_УК!AF$700)/Параметры!AF$126</f>
        <v>-1310.6628204915587</v>
      </c>
      <c r="AG20" s="82">
        <f ca="1">(-Деятельность_УК!AG$677-Деятельность_УК!AG$700)/Параметры!AG$126</f>
        <v>-26285.356568140083</v>
      </c>
      <c r="AH20" s="82">
        <f ca="1">(-Деятельность_УК!AH$677-Деятельность_УК!AH$700)/Параметры!AH$126</f>
        <v>-25892.878495022345</v>
      </c>
      <c r="AI20" s="82">
        <f ca="1">(-Деятельность_УК!AI$677-Деятельность_УК!AI$700)/Параметры!AI$126</f>
        <v>-25500.400421904607</v>
      </c>
      <c r="AJ20" s="82">
        <f ca="1">(-Деятельность_УК!AJ$677-Деятельность_УК!AJ$700)/Параметры!AJ$126</f>
        <v>-25107.92234878688</v>
      </c>
      <c r="AK20" s="82">
        <f ca="1">(-Деятельность_УК!AK$677-Деятельность_УК!AK$700)/Параметры!AK$126</f>
        <v>-24130.422601209724</v>
      </c>
      <c r="AL20" s="82">
        <f ca="1">(-Деятельность_УК!AL$677-Деятельность_УК!AL$700)/Параметры!AL$126</f>
        <v>-23162.763466335469</v>
      </c>
      <c r="AM20" s="82">
        <f ca="1">(-Деятельность_УК!AM$677-Деятельность_УК!AM$700)/Параметры!AM$126</f>
        <v>-22789.966618623537</v>
      </c>
      <c r="AN20" s="82">
        <f ca="1">(-Деятельность_УК!AN$677-Деятельность_УК!AN$700)/Параметры!AN$126</f>
        <v>-22417.169770911602</v>
      </c>
      <c r="AO20" s="82">
        <f ca="1">(-Деятельность_УК!AO$677-Деятельность_УК!AO$700)/Параметры!AO$126</f>
        <v>-15856.258047999003</v>
      </c>
      <c r="AP20" s="82">
        <f ca="1">(-Деятельность_УК!AP$677-Деятельность_УК!AP$700)/Параметры!AP$126</f>
        <v>-9413.6413240471011</v>
      </c>
      <c r="AQ20" s="82">
        <f ca="1">(-Деятельность_УК!AQ$677-Деятельность_УК!AQ$700)/Параметры!AQ$126</f>
        <v>-9277.4344742565518</v>
      </c>
      <c r="AR20" s="82">
        <f ca="1">(-Деятельность_УК!AR$677-Деятельность_УК!AR$700)/Параметры!AR$126</f>
        <v>-9141.2276244660025</v>
      </c>
      <c r="AS20" s="82"/>
      <c r="AT20" s="30">
        <f ca="1">SUM(E20:AS20)</f>
        <v>-283471.02589171648</v>
      </c>
    </row>
    <row r="21" spans="1:46" x14ac:dyDescent="0.2">
      <c r="A21" s="76" t="s">
        <v>104</v>
      </c>
      <c r="B21" s="444">
        <f ca="1">IFERROR(AVERAGEIF(Параметры!$E$46:OFFSET(Параметры!$E$46,0,Параметры!$B$24-1),"&gt;=" &amp; Деятельность_УК!$B$9,E21:OFFSET(E21,0,Параметры!$B$24-1))*Параметры!$B$13/Параметры!$B$12,0)</f>
        <v>1465047.0932057323</v>
      </c>
      <c r="C21" s="13" t="str">
        <f>Параметры!$C$126</f>
        <v>тыс. руб.</v>
      </c>
      <c r="D21" s="78"/>
      <c r="E21" s="167">
        <f t="shared" ref="E21:AB21" ca="1" si="5">E15+SUM(E17:E20)</f>
        <v>-4416.3634298248926</v>
      </c>
      <c r="F21" s="167">
        <f t="shared" ca="1" si="5"/>
        <v>-4416.3634298248926</v>
      </c>
      <c r="G21" s="167">
        <f t="shared" ca="1" si="5"/>
        <v>14826.826675834731</v>
      </c>
      <c r="H21" s="167">
        <f t="shared" ca="1" si="5"/>
        <v>20508.793233514818</v>
      </c>
      <c r="I21" s="167">
        <f t="shared" ca="1" si="5"/>
        <v>25695.797256952319</v>
      </c>
      <c r="J21" s="167">
        <f t="shared" ca="1" si="5"/>
        <v>25943.851768218137</v>
      </c>
      <c r="K21" s="167">
        <f t="shared" ca="1" si="5"/>
        <v>22441.634240945037</v>
      </c>
      <c r="L21" s="167">
        <f t="shared" ca="1" si="5"/>
        <v>22473.986503500117</v>
      </c>
      <c r="M21" s="167">
        <f t="shared" ca="1" si="5"/>
        <v>41073.62338923652</v>
      </c>
      <c r="N21" s="167">
        <f t="shared" ca="1" si="5"/>
        <v>42080.069476985969</v>
      </c>
      <c r="O21" s="167">
        <f t="shared" ca="1" si="5"/>
        <v>42459.163772168475</v>
      </c>
      <c r="P21" s="167">
        <f t="shared" ca="1" si="5"/>
        <v>41611.669589538105</v>
      </c>
      <c r="Q21" s="167">
        <f t="shared" ca="1" si="5"/>
        <v>51683.55795991185</v>
      </c>
      <c r="R21" s="167">
        <f t="shared" ca="1" si="5"/>
        <v>52514.702461148314</v>
      </c>
      <c r="S21" s="167">
        <f t="shared" ca="1" si="5"/>
        <v>53006.284168552753</v>
      </c>
      <c r="T21" s="167">
        <f t="shared" ca="1" si="5"/>
        <v>53501.975339102784</v>
      </c>
      <c r="U21" s="167">
        <f t="shared" ca="1" si="5"/>
        <v>191681.21503757124</v>
      </c>
      <c r="V21" s="167">
        <f t="shared" ca="1" si="5"/>
        <v>199551.49265594812</v>
      </c>
      <c r="W21" s="167">
        <f t="shared" ca="1" si="5"/>
        <v>201700.36599691174</v>
      </c>
      <c r="X21" s="167">
        <f t="shared" ca="1" si="5"/>
        <v>203872.03770207416</v>
      </c>
      <c r="Y21" s="167">
        <f t="shared" ca="1" si="5"/>
        <v>206066.74536479975</v>
      </c>
      <c r="Z21" s="167">
        <f t="shared" ca="1" si="5"/>
        <v>208241.13521927394</v>
      </c>
      <c r="AA21" s="167">
        <f t="shared" ca="1" si="5"/>
        <v>210438.06172526939</v>
      </c>
      <c r="AB21" s="167">
        <f t="shared" ca="1" si="5"/>
        <v>212657.75333198145</v>
      </c>
      <c r="AC21" s="167">
        <f t="shared" ref="AC21:AD21" ca="1" si="6">AC15+SUM(AC17:AC20)</f>
        <v>214900.44070845353</v>
      </c>
      <c r="AD21" s="167">
        <f t="shared" ca="1" si="6"/>
        <v>217170.88851570914</v>
      </c>
      <c r="AE21" s="167">
        <f t="shared" ref="AE21:AR21" ca="1" si="7">AE15+SUM(AE17:AE20)</f>
        <v>219464.92450192658</v>
      </c>
      <c r="AF21" s="167">
        <f t="shared" ca="1" si="7"/>
        <v>221782.78873524535</v>
      </c>
      <c r="AG21" s="167">
        <f t="shared" ca="1" si="7"/>
        <v>199150.02988643295</v>
      </c>
      <c r="AH21" s="167">
        <f t="shared" ca="1" si="7"/>
        <v>201906.33105160759</v>
      </c>
      <c r="AI21" s="167">
        <f t="shared" ca="1" si="7"/>
        <v>204687.15459098434</v>
      </c>
      <c r="AJ21" s="167">
        <f t="shared" ca="1" si="7"/>
        <v>207492.74971215651</v>
      </c>
      <c r="AK21" s="167">
        <f t="shared" ca="1" si="7"/>
        <v>394058.54940737883</v>
      </c>
      <c r="AL21" s="167">
        <f t="shared" ca="1" si="7"/>
        <v>204265.41193083185</v>
      </c>
      <c r="AM21" s="167">
        <f t="shared" ca="1" si="7"/>
        <v>207467.86615735403</v>
      </c>
      <c r="AN21" s="167">
        <f t="shared" ca="1" si="7"/>
        <v>210250.0722711875</v>
      </c>
      <c r="AO21" s="167">
        <f t="shared" ca="1" si="7"/>
        <v>4165998.5849228096</v>
      </c>
      <c r="AP21" s="167">
        <f t="shared" ca="1" si="7"/>
        <v>89872.843404481333</v>
      </c>
      <c r="AQ21" s="167">
        <f t="shared" ca="1" si="7"/>
        <v>98239.158359108842</v>
      </c>
      <c r="AR21" s="167">
        <f t="shared" ca="1" si="7"/>
        <v>99365.958044895902</v>
      </c>
      <c r="AS21" s="167"/>
      <c r="AT21" s="168">
        <f ca="1">SUM(E21:AS21)</f>
        <v>9291271.7682103533</v>
      </c>
    </row>
    <row r="22" spans="1:46" x14ac:dyDescent="0.2">
      <c r="A22" s="44"/>
      <c r="B22" s="443"/>
      <c r="D22" s="40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30"/>
    </row>
    <row r="23" spans="1:46" x14ac:dyDescent="0.2">
      <c r="A23" s="63" t="s">
        <v>144</v>
      </c>
      <c r="B23" s="443">
        <f ca="1">IFERROR(AVERAGEIF(Параметры!$E$46:OFFSET(Параметры!$E$46,0,Параметры!$B$24-1),"&gt;=" &amp; Деятельность_УК!$B$9,E23:OFFSET(E23,0,Параметры!$B$24-1))*Параметры!$B$13/Параметры!$B$12,0)</f>
        <v>0</v>
      </c>
      <c r="C23" s="12" t="str">
        <f>Параметры!$C$126</f>
        <v>тыс. руб.</v>
      </c>
      <c r="D23" s="40"/>
      <c r="E23" s="82">
        <f>(0)/Параметры!E$126</f>
        <v>0</v>
      </c>
      <c r="F23" s="82">
        <f>(0)/Параметры!F$126</f>
        <v>0</v>
      </c>
      <c r="G23" s="82">
        <f>(0)/Параметры!G$126</f>
        <v>0</v>
      </c>
      <c r="H23" s="82">
        <f>(0)/Параметры!H$126</f>
        <v>0</v>
      </c>
      <c r="I23" s="82">
        <f>(0)/Параметры!I$126</f>
        <v>0</v>
      </c>
      <c r="J23" s="82">
        <f>(0)/Параметры!J$126</f>
        <v>0</v>
      </c>
      <c r="K23" s="82">
        <f>(0)/Параметры!K$126</f>
        <v>0</v>
      </c>
      <c r="L23" s="82">
        <f>(0)/Параметры!L$126</f>
        <v>0</v>
      </c>
      <c r="M23" s="82">
        <f>(0)/Параметры!M$126</f>
        <v>0</v>
      </c>
      <c r="N23" s="82">
        <f>(0)/Параметры!N$126</f>
        <v>0</v>
      </c>
      <c r="O23" s="82">
        <f>(0)/Параметры!O$126</f>
        <v>0</v>
      </c>
      <c r="P23" s="82">
        <f>(0)/Параметры!P$126</f>
        <v>0</v>
      </c>
      <c r="Q23" s="82">
        <f>(0)/Параметры!Q$126</f>
        <v>0</v>
      </c>
      <c r="R23" s="82">
        <f>(0)/Параметры!R$126</f>
        <v>0</v>
      </c>
      <c r="S23" s="82">
        <f>(0)/Параметры!S$126</f>
        <v>0</v>
      </c>
      <c r="T23" s="82">
        <f>(0)/Параметры!T$126</f>
        <v>0</v>
      </c>
      <c r="U23" s="82">
        <f>(0)/Параметры!U$126</f>
        <v>0</v>
      </c>
      <c r="V23" s="82">
        <f>(0)/Параметры!V$126</f>
        <v>0</v>
      </c>
      <c r="W23" s="82">
        <f>(0)/Параметры!W$126</f>
        <v>0</v>
      </c>
      <c r="X23" s="82">
        <f>(0)/Параметры!X$126</f>
        <v>0</v>
      </c>
      <c r="Y23" s="82">
        <f>(0)/Параметры!Y$126</f>
        <v>0</v>
      </c>
      <c r="Z23" s="82">
        <f>(0)/Параметры!Z$126</f>
        <v>0</v>
      </c>
      <c r="AA23" s="82">
        <f>(0)/Параметры!AA$126</f>
        <v>0</v>
      </c>
      <c r="AB23" s="82">
        <f>(0)/Параметры!AB$126</f>
        <v>0</v>
      </c>
      <c r="AC23" s="82">
        <f>(0)/Параметры!AC$126</f>
        <v>0</v>
      </c>
      <c r="AD23" s="82">
        <f>(0)/Параметры!AD$126</f>
        <v>0</v>
      </c>
      <c r="AE23" s="82">
        <f>(0)/Параметры!AE$126</f>
        <v>0</v>
      </c>
      <c r="AF23" s="82">
        <f>(0)/Параметры!AF$126</f>
        <v>0</v>
      </c>
      <c r="AG23" s="82">
        <f>(0)/Параметры!AG$126</f>
        <v>0</v>
      </c>
      <c r="AH23" s="82">
        <f>(0)/Параметры!AH$126</f>
        <v>0</v>
      </c>
      <c r="AI23" s="82">
        <f>(0)/Параметры!AI$126</f>
        <v>0</v>
      </c>
      <c r="AJ23" s="82">
        <f>(0)/Параметры!AJ$126</f>
        <v>0</v>
      </c>
      <c r="AK23" s="82">
        <f>(0)/Параметры!AK$126</f>
        <v>0</v>
      </c>
      <c r="AL23" s="82">
        <f>(0)/Параметры!AL$126</f>
        <v>0</v>
      </c>
      <c r="AM23" s="82">
        <f>(0)/Параметры!AM$126</f>
        <v>0</v>
      </c>
      <c r="AN23" s="82">
        <f>(0)/Параметры!AN$126</f>
        <v>0</v>
      </c>
      <c r="AO23" s="82">
        <f>(0)/Параметры!AO$126</f>
        <v>0</v>
      </c>
      <c r="AP23" s="82">
        <f>(0)/Параметры!AP$126</f>
        <v>0</v>
      </c>
      <c r="AQ23" s="82">
        <f>(0)/Параметры!AQ$126</f>
        <v>0</v>
      </c>
      <c r="AR23" s="82">
        <f>(0)/Параметры!AR$126</f>
        <v>0</v>
      </c>
      <c r="AS23" s="82"/>
      <c r="AT23" s="30">
        <f>SUM(E23:AS23)</f>
        <v>0</v>
      </c>
    </row>
    <row r="24" spans="1:46" x14ac:dyDescent="0.2">
      <c r="A24" s="63" t="s">
        <v>145</v>
      </c>
      <c r="B24" s="443">
        <f ca="1">IFERROR(AVERAGEIF(Параметры!$E$46:OFFSET(Параметры!$E$46,0,Параметры!$B$24-1),"&gt;=" &amp; Деятельность_УК!$B$9,E24:OFFSET(E24,0,Параметры!$B$24-1))*Параметры!$B$13/Параметры!$B$12,0)</f>
        <v>-251989.81696647455</v>
      </c>
      <c r="C24" s="12" t="str">
        <f>Параметры!$C$126</f>
        <v>тыс. руб.</v>
      </c>
      <c r="D24" s="40"/>
      <c r="E24" s="82">
        <f ca="1">-(Деятельность_УК!E$488)/Параметры!E$126</f>
        <v>0</v>
      </c>
      <c r="F24" s="82">
        <f ca="1">-(Деятельность_УК!F$488)/Параметры!F$126</f>
        <v>0</v>
      </c>
      <c r="G24" s="82">
        <f ca="1">-(Деятельность_УК!G$488)/Параметры!G$126</f>
        <v>-12013.90625</v>
      </c>
      <c r="H24" s="82">
        <f ca="1">-(Деятельность_УК!H$488)/Параметры!H$126</f>
        <v>-12013.90625</v>
      </c>
      <c r="I24" s="82">
        <f ca="1">-(Деятельность_УК!I$488)/Параметры!I$126</f>
        <v>-12013.90625</v>
      </c>
      <c r="J24" s="82">
        <f ca="1">-(Деятельность_УК!J$488)/Параметры!J$126</f>
        <v>-12013.90625</v>
      </c>
      <c r="K24" s="82">
        <f ca="1">-(Деятельность_УК!K$488)/Параметры!K$126</f>
        <v>-12013.90625</v>
      </c>
      <c r="L24" s="82">
        <f ca="1">-(Деятельность_УК!L$488)/Параметры!L$126</f>
        <v>-15119.215337705611</v>
      </c>
      <c r="M24" s="82">
        <f ca="1">-(Деятельность_УК!M$488)/Параметры!M$126</f>
        <v>-20865.389756976489</v>
      </c>
      <c r="N24" s="82">
        <f ca="1">-(Деятельность_УК!N$488)/Параметры!N$126</f>
        <v>-20865.389756976489</v>
      </c>
      <c r="O24" s="82">
        <f ca="1">-(Деятельность_УК!O$488)/Параметры!O$126</f>
        <v>-20865.389756976489</v>
      </c>
      <c r="P24" s="82">
        <f ca="1">-(Деятельность_УК!P$488)/Параметры!P$126</f>
        <v>-24764.881780099891</v>
      </c>
      <c r="Q24" s="82">
        <f ca="1">-(Деятельность_УК!Q$488)/Параметры!Q$126</f>
        <v>-28343.286399335811</v>
      </c>
      <c r="R24" s="82">
        <f ca="1">-(Деятельность_УК!R$488)/Параметры!R$126</f>
        <v>-28343.286399335811</v>
      </c>
      <c r="S24" s="82">
        <f ca="1">-(Деятельность_УК!S$488)/Параметры!S$126</f>
        <v>-28343.286399335811</v>
      </c>
      <c r="T24" s="82">
        <f ca="1">-(Деятельность_УК!T$488)/Параметры!T$126</f>
        <v>-28343.286399335811</v>
      </c>
      <c r="U24" s="82">
        <f ca="1">-(Деятельность_УК!U$488)/Параметры!U$126</f>
        <v>-71359.649657769609</v>
      </c>
      <c r="V24" s="82">
        <f ca="1">-(Деятельность_УК!V$488)/Параметры!V$126</f>
        <v>-71359.649657769609</v>
      </c>
      <c r="W24" s="82">
        <f ca="1">-(Деятельность_УК!W$488)/Параметры!W$126</f>
        <v>-71359.649657769609</v>
      </c>
      <c r="X24" s="82">
        <f ca="1">-(Деятельность_УК!X$488)/Параметры!X$126</f>
        <v>-71359.649657769609</v>
      </c>
      <c r="Y24" s="82">
        <f ca="1">-(Деятельность_УК!Y$488)/Параметры!Y$126</f>
        <v>-71359.649657769609</v>
      </c>
      <c r="Z24" s="82">
        <f ca="1">-(Деятельность_УК!Z$488)/Параметры!Z$126</f>
        <v>-71359.649657769609</v>
      </c>
      <c r="AA24" s="82">
        <f ca="1">-(Деятельность_УК!AA$488)/Параметры!AA$126</f>
        <v>-71359.649657769609</v>
      </c>
      <c r="AB24" s="82">
        <f ca="1">-(Деятельность_УК!AB$488)/Параметры!AB$126</f>
        <v>-71359.649657769609</v>
      </c>
      <c r="AC24" s="82">
        <f ca="1">-(Деятельность_УК!AC$488)/Параметры!AC$126</f>
        <v>-71359.649657769609</v>
      </c>
      <c r="AD24" s="82">
        <f ca="1">-(Деятельность_УК!AD$488)/Параметры!AD$126</f>
        <v>-71359.649657769609</v>
      </c>
      <c r="AE24" s="82">
        <f ca="1">-(Деятельность_УК!AE$488)/Параметры!AE$126</f>
        <v>-71359.649657769609</v>
      </c>
      <c r="AF24" s="82">
        <f ca="1">-(Деятельность_УК!AF$488)/Параметры!AF$126</f>
        <v>-71359.649657769609</v>
      </c>
      <c r="AG24" s="82">
        <f ca="1">-(Деятельность_УК!AG$488)/Параметры!AG$126</f>
        <v>-71359.649657769609</v>
      </c>
      <c r="AH24" s="82">
        <f ca="1">-(Деятельность_УК!AH$488)/Параметры!AH$126</f>
        <v>-71359.649657769609</v>
      </c>
      <c r="AI24" s="82">
        <f ca="1">-(Деятельность_УК!AI$488)/Параметры!AI$126</f>
        <v>-71359.649657769609</v>
      </c>
      <c r="AJ24" s="82">
        <f ca="1">-(Деятельность_УК!AJ$488)/Параметры!AJ$126</f>
        <v>-71359.649657769609</v>
      </c>
      <c r="AK24" s="82">
        <f ca="1">-(Деятельность_УК!AK$488)/Параметры!AK$126</f>
        <v>-67781.245038533685</v>
      </c>
      <c r="AL24" s="82">
        <f ca="1">-(Деятельность_УК!AL$488)/Параметры!AL$126</f>
        <v>-67781.245038533685</v>
      </c>
      <c r="AM24" s="82">
        <f ca="1">-(Деятельность_УК!AM$488)/Параметры!AM$126</f>
        <v>-67781.245038533685</v>
      </c>
      <c r="AN24" s="82">
        <f ca="1">-(Деятельность_УК!AN$488)/Параметры!AN$126</f>
        <v>-67781.245038533685</v>
      </c>
      <c r="AO24" s="82">
        <f ca="1">-(Деятельность_УК!AO$488)/Параметры!AO$126</f>
        <v>-24764.881780099873</v>
      </c>
      <c r="AP24" s="82">
        <f ca="1">-(Деятельность_УК!AP$488)/Параметры!AP$126</f>
        <v>-24764.881780099873</v>
      </c>
      <c r="AQ24" s="82">
        <f ca="1">-(Деятельность_УК!AQ$488)/Параметры!AQ$126</f>
        <v>-24764.881780099873</v>
      </c>
      <c r="AR24" s="82">
        <f ca="1">-(Деятельность_УК!AR$488)/Параметры!AR$126</f>
        <v>-24764.881780099873</v>
      </c>
      <c r="AS24" s="82"/>
      <c r="AT24" s="30">
        <f ca="1">SUM(E24:AS24)</f>
        <v>-1787861.8450349255</v>
      </c>
    </row>
    <row r="25" spans="1:46" x14ac:dyDescent="0.2">
      <c r="A25" s="76" t="s">
        <v>338</v>
      </c>
      <c r="B25" s="443">
        <f ca="1">IFERROR(AVERAGEIF(Параметры!$E$46:OFFSET(Параметры!$E$46,0,Параметры!$B$24-1),"&gt;=" &amp; Деятельность_УК!$B$9,E25:OFFSET(E25,0,Параметры!$B$24-1))*Параметры!$B$13/Параметры!$B$12,0)</f>
        <v>1213057.2762392575</v>
      </c>
      <c r="C25" s="12" t="str">
        <f>Параметры!$C$126</f>
        <v>тыс. руб.</v>
      </c>
      <c r="D25" s="40"/>
      <c r="E25" s="85">
        <f t="shared" ref="E25:AR25" ca="1" si="8">E21+E23+E24</f>
        <v>-4416.3634298248926</v>
      </c>
      <c r="F25" s="85">
        <f t="shared" ca="1" si="8"/>
        <v>-4416.3634298248926</v>
      </c>
      <c r="G25" s="85">
        <f t="shared" ca="1" si="8"/>
        <v>2812.9204258347308</v>
      </c>
      <c r="H25" s="85">
        <f t="shared" ca="1" si="8"/>
        <v>8494.886983514818</v>
      </c>
      <c r="I25" s="85">
        <f t="shared" ca="1" si="8"/>
        <v>13681.891006952319</v>
      </c>
      <c r="J25" s="85">
        <f t="shared" ca="1" si="8"/>
        <v>13929.945518218137</v>
      </c>
      <c r="K25" s="85">
        <f t="shared" ca="1" si="8"/>
        <v>10427.727990945037</v>
      </c>
      <c r="L25" s="85">
        <f t="shared" ca="1" si="8"/>
        <v>7354.7711657945056</v>
      </c>
      <c r="M25" s="85">
        <f t="shared" ca="1" si="8"/>
        <v>20208.233632260031</v>
      </c>
      <c r="N25" s="85">
        <f t="shared" ca="1" si="8"/>
        <v>21214.679720009481</v>
      </c>
      <c r="O25" s="85">
        <f t="shared" ca="1" si="8"/>
        <v>21593.774015191986</v>
      </c>
      <c r="P25" s="85">
        <f t="shared" ca="1" si="8"/>
        <v>16846.787809438214</v>
      </c>
      <c r="Q25" s="85">
        <f t="shared" ca="1" si="8"/>
        <v>23340.271560576039</v>
      </c>
      <c r="R25" s="85">
        <f t="shared" ca="1" si="8"/>
        <v>24171.416061812502</v>
      </c>
      <c r="S25" s="85">
        <f t="shared" ca="1" si="8"/>
        <v>24662.997769216941</v>
      </c>
      <c r="T25" s="85">
        <f t="shared" ca="1" si="8"/>
        <v>25158.688939766973</v>
      </c>
      <c r="U25" s="85">
        <f t="shared" ca="1" si="8"/>
        <v>120321.56537980163</v>
      </c>
      <c r="V25" s="85">
        <f t="shared" ca="1" si="8"/>
        <v>128191.84299817852</v>
      </c>
      <c r="W25" s="85">
        <f t="shared" ca="1" si="8"/>
        <v>130340.71633914213</v>
      </c>
      <c r="X25" s="85">
        <f t="shared" ca="1" si="8"/>
        <v>132512.38804430456</v>
      </c>
      <c r="Y25" s="85">
        <f t="shared" ca="1" si="8"/>
        <v>134707.09570703015</v>
      </c>
      <c r="Z25" s="85">
        <f t="shared" ca="1" si="8"/>
        <v>136881.48556150432</v>
      </c>
      <c r="AA25" s="85">
        <f t="shared" ca="1" si="8"/>
        <v>139078.41206749977</v>
      </c>
      <c r="AB25" s="85">
        <f t="shared" ca="1" si="8"/>
        <v>141298.10367421183</v>
      </c>
      <c r="AC25" s="85">
        <f t="shared" ca="1" si="8"/>
        <v>143540.79105068394</v>
      </c>
      <c r="AD25" s="85">
        <f t="shared" ca="1" si="8"/>
        <v>145811.23885793955</v>
      </c>
      <c r="AE25" s="85">
        <f t="shared" ca="1" si="8"/>
        <v>148105.27484415699</v>
      </c>
      <c r="AF25" s="85">
        <f t="shared" ca="1" si="8"/>
        <v>150423.13907747576</v>
      </c>
      <c r="AG25" s="85">
        <f t="shared" ca="1" si="8"/>
        <v>127790.38022866334</v>
      </c>
      <c r="AH25" s="85">
        <f t="shared" ca="1" si="8"/>
        <v>130546.68139383798</v>
      </c>
      <c r="AI25" s="85">
        <f t="shared" ca="1" si="8"/>
        <v>133327.50493321475</v>
      </c>
      <c r="AJ25" s="85">
        <f t="shared" ca="1" si="8"/>
        <v>136133.10005438689</v>
      </c>
      <c r="AK25" s="85">
        <f t="shared" ca="1" si="8"/>
        <v>326277.30436884513</v>
      </c>
      <c r="AL25" s="85">
        <f t="shared" ca="1" si="8"/>
        <v>136484.16689229815</v>
      </c>
      <c r="AM25" s="85">
        <f t="shared" ca="1" si="8"/>
        <v>139686.62111882033</v>
      </c>
      <c r="AN25" s="85">
        <f t="shared" ca="1" si="8"/>
        <v>142468.8272326538</v>
      </c>
      <c r="AO25" s="85">
        <f t="shared" ca="1" si="8"/>
        <v>4141233.7031427096</v>
      </c>
      <c r="AP25" s="85">
        <f t="shared" ca="1" si="8"/>
        <v>65107.96162438146</v>
      </c>
      <c r="AQ25" s="85">
        <f t="shared" ca="1" si="8"/>
        <v>73474.276579008962</v>
      </c>
      <c r="AR25" s="85">
        <f t="shared" ca="1" si="8"/>
        <v>74601.076264796022</v>
      </c>
      <c r="AS25" s="82"/>
      <c r="AT25" s="143">
        <f ca="1">SUM(E25:AS25)</f>
        <v>7503409.9231754271</v>
      </c>
    </row>
    <row r="26" spans="1:46" x14ac:dyDescent="0.2">
      <c r="A26" s="63"/>
      <c r="B26" s="443"/>
      <c r="D26" s="40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30"/>
    </row>
    <row r="27" spans="1:46" x14ac:dyDescent="0.2">
      <c r="A27" s="63" t="s">
        <v>160</v>
      </c>
      <c r="B27" s="443">
        <f ca="1">IFERROR(AVERAGEIF(Параметры!$E$46:OFFSET(Параметры!$E$46,0,Параметры!$B$24-1),"&gt;=" &amp; Деятельность_УК!$B$9,E27:OFFSET(E27,0,Параметры!$B$24-1))*Параметры!$B$13/Параметры!$B$12,0)</f>
        <v>-151150.96098256807</v>
      </c>
      <c r="C27" s="12" t="str">
        <f>Параметры!$C$126</f>
        <v>тыс. руб.</v>
      </c>
      <c r="D27" s="40"/>
      <c r="E27" s="82">
        <f ca="1">-(Деятельность_УК!E$94+Деятельность_УК!E$646)/Параметры!E$126</f>
        <v>-17556.425000000003</v>
      </c>
      <c r="F27" s="82">
        <f ca="1">-(Деятельность_УК!F$94+Деятельность_УК!F$646)/Параметры!F$126</f>
        <v>-24092.3</v>
      </c>
      <c r="G27" s="82">
        <f ca="1">-(Деятельность_УК!G$94+Деятельность_УК!G$646)/Параметры!G$126</f>
        <v>-24852.747903782285</v>
      </c>
      <c r="H27" s="82">
        <f ca="1">-(Деятельность_УК!H$94+Деятельность_УК!H$646)/Параметры!H$126</f>
        <v>-25756.604765640215</v>
      </c>
      <c r="I27" s="82">
        <f ca="1">-(Деятельность_УК!I$94+Деятельность_УК!I$646)/Параметры!I$126</f>
        <v>-26657.953556173554</v>
      </c>
      <c r="J27" s="82">
        <f ca="1">-(Деятельность_УК!J$94+Деятельность_УК!J$646)/Параметры!J$126</f>
        <v>-29052.254943701617</v>
      </c>
      <c r="K27" s="82">
        <f ca="1">-(Деятельность_УК!K$94+Деятельность_УК!K$646)/Параметры!K$126</f>
        <v>-32376.012552441913</v>
      </c>
      <c r="L27" s="82">
        <f ca="1">-(Деятельность_УК!L$94+Деятельность_УК!L$646)/Параметры!L$126</f>
        <v>-33774.268593279798</v>
      </c>
      <c r="M27" s="82">
        <f ca="1">-(Деятельность_УК!M$94+Деятельность_УК!M$646)/Параметры!M$126</f>
        <v>-37049.3993985657</v>
      </c>
      <c r="N27" s="82">
        <f ca="1">-(Деятельность_УК!N$94+Деятельность_УК!N$646)/Параметры!N$126</f>
        <v>-44590.384747336298</v>
      </c>
      <c r="O27" s="82">
        <f ca="1">-(Деятельность_УК!O$94+Деятельность_УК!O$646)/Параметры!O$126</f>
        <v>-55959.088779191989</v>
      </c>
      <c r="P27" s="82">
        <f ca="1">-(Деятельность_УК!P$94+Деятельность_УК!P$646)/Параметры!P$126</f>
        <v>-61918.948642438714</v>
      </c>
      <c r="Q27" s="82">
        <f ca="1">-(Деятельность_УК!Q$94+Деятельность_УК!Q$646)/Параметры!Q$126</f>
        <v>-64927.472943235611</v>
      </c>
      <c r="R27" s="82">
        <f ca="1">-(Деятельность_УК!R$94+Деятельность_УК!R$646)/Параметры!R$126</f>
        <v>-75649.537228308589</v>
      </c>
      <c r="S27" s="82">
        <f ca="1">-(Деятельность_УК!S$94+Деятельность_УК!S$646)/Параметры!S$126</f>
        <v>-87633.210290224306</v>
      </c>
      <c r="T27" s="82">
        <f ca="1">-(Деятельность_УК!T$94+Деятельность_УК!T$646)/Параметры!T$126</f>
        <v>-91827.106192514708</v>
      </c>
      <c r="U27" s="82">
        <f ca="1">-(Деятельность_УК!U$94+Деятельность_УК!U$646)/Параметры!U$126</f>
        <v>-88040.671888780533</v>
      </c>
      <c r="V27" s="82">
        <f ca="1">-(Деятельность_УК!V$94+Деятельность_УК!V$646)/Параметры!V$126</f>
        <v>-84171.132277109689</v>
      </c>
      <c r="W27" s="82">
        <f ca="1">-(Деятельность_УК!W$94+Деятельность_УК!W$646)/Параметры!W$126</f>
        <v>-80216.659277351486</v>
      </c>
      <c r="X27" s="82">
        <f ca="1">-(Деятельность_УК!X$94+Деятельность_УК!X$646)/Параметры!X$126</f>
        <v>-76175.384513337529</v>
      </c>
      <c r="Y27" s="82">
        <f ca="1">-(Деятельность_УК!Y$94+Деятельность_УК!Y$646)/Параметры!Y$126</f>
        <v>-72045.398422936807</v>
      </c>
      <c r="Z27" s="82">
        <f ca="1">-(Деятельность_УК!Z$94+Деятельность_УК!Z$646)/Параметры!Z$126</f>
        <v>-67824.749348421683</v>
      </c>
      <c r="AA27" s="82">
        <f ca="1">-(Деятельность_УК!AA$94+Деятельность_УК!AA$646)/Параметры!AA$126</f>
        <v>-63511.442606708013</v>
      </c>
      <c r="AB27" s="82">
        <f ca="1">-(Деятельность_УК!AB$94+Деятельность_УК!AB$646)/Параметры!AB$126</f>
        <v>-59103.43953902334</v>
      </c>
      <c r="AC27" s="82">
        <f ca="1">-(Деятельность_УК!AC$94+Деятельность_УК!AC$646)/Параметры!AC$126</f>
        <v>-54113.274371673891</v>
      </c>
      <c r="AD27" s="82">
        <f ca="1">-(Деятельность_УК!AD$94+Деятельность_УК!AD$646)/Параметры!AD$126</f>
        <v>-49548.96409852332</v>
      </c>
      <c r="AE27" s="82">
        <f ca="1">-(Деятельность_УК!AE$94+Деятельность_УК!AE$646)/Параметры!AE$126</f>
        <v>-44884.453947002956</v>
      </c>
      <c r="AF27" s="82">
        <f ca="1">-(Деятельность_УК!AF$94+Деятельность_УК!AF$646)/Параметры!AF$126</f>
        <v>-40117.539361905016</v>
      </c>
      <c r="AG27" s="82">
        <f ca="1">-(Деятельность_УК!AG$94+Деятельность_УК!AG$646)/Параметры!AG$126</f>
        <v>-32288.860192358734</v>
      </c>
      <c r="AH27" s="82">
        <f ca="1">-(Деятельность_УК!AH$94+Деятельность_УК!AH$646)/Параметры!AH$126</f>
        <v>-27705.102100144552</v>
      </c>
      <c r="AI27" s="82">
        <f ca="1">-(Деятельность_УК!AI$94+Деятельность_УК!AI$646)/Параметры!AI$126</f>
        <v>-23020.91239520723</v>
      </c>
      <c r="AJ27" s="82">
        <f ca="1">-(Деятельность_УК!AJ$94+Деятельность_УК!AJ$646)/Параметры!AJ$126</f>
        <v>-18234.085425147525</v>
      </c>
      <c r="AK27" s="82">
        <f ca="1">-(Деятельность_УК!AK$94+Деятельность_УК!AK$646)/Параметры!AK$126</f>
        <v>-13342.366991564959</v>
      </c>
      <c r="AL27" s="82">
        <f ca="1">-(Деятельность_УК!AL$94+Деятельность_УК!AL$646)/Параметры!AL$126</f>
        <v>-8343.4532793963353</v>
      </c>
      <c r="AM27" s="82">
        <f ca="1">-(Деятельность_УК!AM$94+Деятельность_УК!AM$646)/Параметры!AM$126</f>
        <v>-4217.8758588145829</v>
      </c>
      <c r="AN27" s="82">
        <f ca="1">-(Деятельность_УК!AN$94+Деятельность_УК!AN$646)/Параметры!AN$126</f>
        <v>-6.5483618527650831E-13</v>
      </c>
      <c r="AO27" s="82">
        <f ca="1">-(Деятельность_УК!AO$94+Деятельность_УК!AO$646)/Параметры!AO$126</f>
        <v>-6.5483618527650831E-13</v>
      </c>
      <c r="AP27" s="82">
        <f ca="1">-(Деятельность_УК!AP$94+Деятельность_УК!AP$646)/Параметры!AP$126</f>
        <v>-6.5483618527650831E-13</v>
      </c>
      <c r="AQ27" s="82">
        <f ca="1">-(Деятельность_УК!AQ$94+Деятельность_УК!AQ$646)/Параметры!AQ$126</f>
        <v>-6.5483618527650831E-13</v>
      </c>
      <c r="AR27" s="82">
        <f ca="1">-(Деятельность_УК!AR$94+Деятельность_УК!AR$646)/Параметры!AR$126</f>
        <v>-6.5483618527650831E-13</v>
      </c>
      <c r="AS27" s="82"/>
      <c r="AT27" s="30">
        <f ca="1">SUM(E27:AS27)</f>
        <v>-1640579.4814322437</v>
      </c>
    </row>
    <row r="28" spans="1:46" s="60" customFormat="1" x14ac:dyDescent="0.2">
      <c r="A28" s="52" t="s">
        <v>105</v>
      </c>
      <c r="B28" s="445">
        <f ca="1">IFERROR(AVERAGEIF(Параметры!$E$46:OFFSET(Параметры!$E$46,0,Параметры!$B$24-1),"&gt;=" &amp; Деятельность_УК!$B$9,E28:OFFSET(E28,0,Параметры!$B$24-1))*Параметры!$B$13/Параметры!$B$12,0)</f>
        <v>1061906.3152566894</v>
      </c>
      <c r="C28" s="34" t="str">
        <f>Параметры!$C$126</f>
        <v>тыс. руб.</v>
      </c>
      <c r="D28" s="169"/>
      <c r="E28" s="85">
        <f t="shared" ref="E28:AR28" ca="1" si="9">E25+E27</f>
        <v>-21972.788429824897</v>
      </c>
      <c r="F28" s="85">
        <f t="shared" ca="1" si="9"/>
        <v>-28508.66342982489</v>
      </c>
      <c r="G28" s="85">
        <f t="shared" ca="1" si="9"/>
        <v>-22039.827477947554</v>
      </c>
      <c r="H28" s="85">
        <f t="shared" ca="1" si="9"/>
        <v>-17261.717782125397</v>
      </c>
      <c r="I28" s="85">
        <f t="shared" ca="1" si="9"/>
        <v>-12976.062549221235</v>
      </c>
      <c r="J28" s="85">
        <f t="shared" ca="1" si="9"/>
        <v>-15122.30942548348</v>
      </c>
      <c r="K28" s="85">
        <f t="shared" ca="1" si="9"/>
        <v>-21948.284561496876</v>
      </c>
      <c r="L28" s="85">
        <f t="shared" ca="1" si="9"/>
        <v>-26419.497427485294</v>
      </c>
      <c r="M28" s="85">
        <f t="shared" ca="1" si="9"/>
        <v>-16841.165766305669</v>
      </c>
      <c r="N28" s="85">
        <f t="shared" ca="1" si="9"/>
        <v>-23375.705027326818</v>
      </c>
      <c r="O28" s="85">
        <f t="shared" ca="1" si="9"/>
        <v>-34365.314764000002</v>
      </c>
      <c r="P28" s="85">
        <f t="shared" ca="1" si="9"/>
        <v>-45072.160833000496</v>
      </c>
      <c r="Q28" s="85">
        <f t="shared" ca="1" si="9"/>
        <v>-41587.201382659572</v>
      </c>
      <c r="R28" s="85">
        <f t="shared" ca="1" si="9"/>
        <v>-51478.121166496087</v>
      </c>
      <c r="S28" s="85">
        <f t="shared" ca="1" si="9"/>
        <v>-62970.212521007365</v>
      </c>
      <c r="T28" s="85">
        <f t="shared" ca="1" si="9"/>
        <v>-66668.417252747735</v>
      </c>
      <c r="U28" s="85">
        <f t="shared" ca="1" si="9"/>
        <v>32280.893491021096</v>
      </c>
      <c r="V28" s="85">
        <f t="shared" ca="1" si="9"/>
        <v>44020.710721068826</v>
      </c>
      <c r="W28" s="85">
        <f t="shared" ca="1" si="9"/>
        <v>50124.057061790649</v>
      </c>
      <c r="X28" s="85">
        <f t="shared" ca="1" si="9"/>
        <v>56337.003530967035</v>
      </c>
      <c r="Y28" s="85">
        <f t="shared" ca="1" si="9"/>
        <v>62661.697284093345</v>
      </c>
      <c r="Z28" s="85">
        <f t="shared" ca="1" si="9"/>
        <v>69056.736213082637</v>
      </c>
      <c r="AA28" s="85">
        <f t="shared" ca="1" si="9"/>
        <v>75566.969460791763</v>
      </c>
      <c r="AB28" s="85">
        <f t="shared" ca="1" si="9"/>
        <v>82194.66413518849</v>
      </c>
      <c r="AC28" s="85">
        <f t="shared" ca="1" si="9"/>
        <v>89427.516679010048</v>
      </c>
      <c r="AD28" s="85">
        <f t="shared" ca="1" si="9"/>
        <v>96262.274759416236</v>
      </c>
      <c r="AE28" s="85">
        <f t="shared" ca="1" si="9"/>
        <v>103220.82089715403</v>
      </c>
      <c r="AF28" s="85">
        <f t="shared" ca="1" si="9"/>
        <v>110305.59971557074</v>
      </c>
      <c r="AG28" s="85">
        <f t="shared" ca="1" si="9"/>
        <v>95501.520036304602</v>
      </c>
      <c r="AH28" s="85">
        <f t="shared" ca="1" si="9"/>
        <v>102841.57929369343</v>
      </c>
      <c r="AI28" s="85">
        <f t="shared" ca="1" si="9"/>
        <v>110306.59253800752</v>
      </c>
      <c r="AJ28" s="85">
        <f t="shared" ca="1" si="9"/>
        <v>117899.01462923936</v>
      </c>
      <c r="AK28" s="85">
        <f t="shared" ca="1" si="9"/>
        <v>312934.93737728015</v>
      </c>
      <c r="AL28" s="85">
        <f t="shared" ca="1" si="9"/>
        <v>128140.71361290182</v>
      </c>
      <c r="AM28" s="85">
        <f t="shared" ca="1" si="9"/>
        <v>135468.74526000576</v>
      </c>
      <c r="AN28" s="85">
        <f t="shared" ca="1" si="9"/>
        <v>142468.8272326538</v>
      </c>
      <c r="AO28" s="85">
        <f t="shared" ca="1" si="9"/>
        <v>4141233.7031427096</v>
      </c>
      <c r="AP28" s="85">
        <f t="shared" ca="1" si="9"/>
        <v>65107.96162438146</v>
      </c>
      <c r="AQ28" s="85">
        <f t="shared" ca="1" si="9"/>
        <v>73474.276579008962</v>
      </c>
      <c r="AR28" s="85">
        <f t="shared" ca="1" si="9"/>
        <v>74601.076264796022</v>
      </c>
      <c r="AS28" s="85"/>
      <c r="AT28" s="143">
        <f ca="1">SUM(E28:AS28)</f>
        <v>5862830.4417431839</v>
      </c>
    </row>
    <row r="29" spans="1:46" x14ac:dyDescent="0.2">
      <c r="A29" s="44"/>
      <c r="B29" s="443"/>
      <c r="D29" s="40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30"/>
    </row>
    <row r="30" spans="1:46" x14ac:dyDescent="0.2">
      <c r="A30" s="63" t="s">
        <v>146</v>
      </c>
      <c r="B30" s="443">
        <f ca="1">IFERROR(AVERAGEIF(Параметры!$E$46:OFFSET(Параметры!$E$46,0,Параметры!$B$24-1),"&gt;=" &amp; Деятельность_УК!$B$9,E30:OFFSET(E30,0,Параметры!$B$24-1))*Параметры!$B$13/Параметры!$B$12,0)</f>
        <v>0</v>
      </c>
      <c r="C30" s="12" t="str">
        <f>Параметры!$C$126</f>
        <v>тыс. руб.</v>
      </c>
      <c r="D30" s="40"/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0</v>
      </c>
      <c r="AF30" s="82">
        <v>0</v>
      </c>
      <c r="AG30" s="82">
        <v>0</v>
      </c>
      <c r="AH30" s="82">
        <v>0</v>
      </c>
      <c r="AI30" s="82">
        <v>0</v>
      </c>
      <c r="AJ30" s="82">
        <v>0</v>
      </c>
      <c r="AK30" s="82">
        <v>0</v>
      </c>
      <c r="AL30" s="82">
        <v>0</v>
      </c>
      <c r="AM30" s="82">
        <v>0</v>
      </c>
      <c r="AN30" s="82">
        <v>0</v>
      </c>
      <c r="AO30" s="82">
        <v>0</v>
      </c>
      <c r="AP30" s="82">
        <v>0</v>
      </c>
      <c r="AQ30" s="82">
        <v>0</v>
      </c>
      <c r="AR30" s="82">
        <v>0</v>
      </c>
      <c r="AS30" s="82"/>
      <c r="AT30" s="30">
        <f t="shared" ref="AT30:AT33" si="10">SUM(E30:AS30)</f>
        <v>0</v>
      </c>
    </row>
    <row r="31" spans="1:46" x14ac:dyDescent="0.2">
      <c r="A31" s="63" t="s">
        <v>230</v>
      </c>
      <c r="B31" s="443">
        <f ca="1">IFERROR(AVERAGEIF(Параметры!$E$46:OFFSET(Параметры!$E$46,0,Параметры!$B$24-1),"&gt;=" &amp; Деятельность_УК!$B$9,E31:OFFSET(E31,0,Параметры!$B$24-1))*Параметры!$B$13/Параметры!$B$12,0)</f>
        <v>-1.940255363782247E-10</v>
      </c>
      <c r="C31" s="12" t="str">
        <f>Параметры!$C$126</f>
        <v>тыс. руб.</v>
      </c>
      <c r="D31" s="40"/>
      <c r="E31" s="82">
        <f>(Деятельность_УК!E$100+Деятельность_УК!E$165+Деятельность_УК!E$651)/Параметры!E$126</f>
        <v>0</v>
      </c>
      <c r="F31" s="82">
        <f ca="1">(Деятельность_УК!F$100+Деятельность_УК!F$165+Деятельность_УК!F$651)/Параметры!F$126</f>
        <v>0</v>
      </c>
      <c r="G31" s="82">
        <f ca="1">(Деятельность_УК!G$100+Деятельность_УК!G$165+Деятельность_УК!G$651)/Параметры!G$126</f>
        <v>0</v>
      </c>
      <c r="H31" s="82">
        <f ca="1">(Деятельность_УК!H$100+Деятельность_УК!H$165+Деятельность_УК!H$651)/Параметры!H$126</f>
        <v>-1.4551915228366852E-11</v>
      </c>
      <c r="I31" s="82">
        <f ca="1">(Деятельность_УК!I$100+Деятельность_УК!I$165+Деятельность_УК!I$651)/Параметры!I$126</f>
        <v>1.4551915228366852E-11</v>
      </c>
      <c r="J31" s="82">
        <f ca="1">(Деятельность_УК!J$100+Деятельность_УК!J$165+Деятельность_УК!J$651)/Параметры!J$126</f>
        <v>-2.9103830456733704E-11</v>
      </c>
      <c r="K31" s="82">
        <f ca="1">(Деятельность_УК!K$100+Деятельность_УК!K$165+Деятельность_УК!K$651)/Параметры!K$126</f>
        <v>0</v>
      </c>
      <c r="L31" s="82">
        <f ca="1">(Деятельность_УК!L$100+Деятельность_УК!L$165+Деятельность_УК!L$651)/Параметры!L$126</f>
        <v>0</v>
      </c>
      <c r="M31" s="82">
        <f ca="1">(Деятельность_УК!M$100+Деятельность_УК!M$165+Деятельность_УК!M$651)/Параметры!M$126</f>
        <v>2.9103830456733704E-11</v>
      </c>
      <c r="N31" s="82">
        <f ca="1">(Деятельность_УК!N$100+Деятельность_УК!N$165+Деятельность_УК!N$651)/Параметры!N$126</f>
        <v>2.3283064365386963E-10</v>
      </c>
      <c r="O31" s="82">
        <f ca="1">(Деятельность_УК!O$100+Деятельность_УК!O$165+Деятельность_УК!O$651)/Параметры!O$126</f>
        <v>-5.2386894822120667E-10</v>
      </c>
      <c r="P31" s="82">
        <f ca="1">(Деятельность_УК!P$100+Деятельность_УК!P$165+Деятельность_УК!P$651)/Параметры!P$126</f>
        <v>0</v>
      </c>
      <c r="Q31" s="82">
        <f ca="1">(Деятельность_УК!Q$100+Деятельность_УК!Q$165+Деятельность_УК!Q$651)/Параметры!Q$126</f>
        <v>2.9103830456733704E-10</v>
      </c>
      <c r="R31" s="82">
        <f ca="1">(Деятельность_УК!R$100+Деятельность_УК!R$165+Деятельность_УК!R$651)/Параметры!R$126</f>
        <v>-6.9849193096160889E-10</v>
      </c>
      <c r="S31" s="82">
        <f ca="1">(Деятельность_УК!S$100+Деятельность_УК!S$165+Деятельность_УК!S$651)/Параметры!S$126</f>
        <v>-3.4924596548080444E-10</v>
      </c>
      <c r="T31" s="82">
        <f ca="1">(Деятельность_УК!T$100+Деятельность_УК!T$165+Деятельность_УК!T$651)/Параметры!T$126</f>
        <v>-1.1641532182693481E-10</v>
      </c>
      <c r="U31" s="82">
        <f ca="1">(Деятельность_УК!U$100+Деятельность_УК!U$165+Деятельность_УК!U$651)/Параметры!U$126</f>
        <v>4.6566128730773926E-10</v>
      </c>
      <c r="V31" s="82">
        <f ca="1">(Деятельность_УК!V$100+Деятельность_УК!V$165+Деятельность_УК!V$651)/Параметры!V$126</f>
        <v>-4.6566128730773926E-10</v>
      </c>
      <c r="W31" s="82">
        <f ca="1">(Деятельность_УК!W$100+Деятельность_УК!W$165+Деятельность_УК!W$651)/Параметры!W$126</f>
        <v>0</v>
      </c>
      <c r="X31" s="82">
        <f ca="1">(Деятельность_УК!X$100+Деятельность_УК!X$165+Деятельность_УК!X$651)/Параметры!X$126</f>
        <v>2.3283064365386963E-10</v>
      </c>
      <c r="Y31" s="82">
        <f ca="1">(Деятельность_УК!Y$100+Деятельность_УК!Y$165+Деятельность_УК!Y$651)/Параметры!Y$126</f>
        <v>0</v>
      </c>
      <c r="Z31" s="82">
        <f ca="1">(Деятельность_УК!Z$100+Деятельность_УК!Z$165+Деятельность_УК!Z$651)/Параметры!Z$126</f>
        <v>0</v>
      </c>
      <c r="AA31" s="82">
        <f ca="1">(Деятельность_УК!AA$100+Деятельность_УК!AA$165+Деятельность_УК!AA$651)/Параметры!AA$126</f>
        <v>-4.6566128730773926E-10</v>
      </c>
      <c r="AB31" s="82">
        <f ca="1">(Деятельность_УК!AB$100+Деятельность_УК!AB$165+Деятельность_УК!AB$651)/Параметры!AB$126</f>
        <v>0</v>
      </c>
      <c r="AC31" s="82">
        <f ca="1">(Деятельность_УК!AC$100+Деятельность_УК!AC$165+Деятельность_УК!AC$651)/Параметры!AC$126</f>
        <v>-9.3132257461547852E-10</v>
      </c>
      <c r="AD31" s="82">
        <f ca="1">(Деятельность_УК!AD$100+Деятельность_УК!AD$165+Деятельность_УК!AD$651)/Параметры!AD$126</f>
        <v>-2.3283064365386963E-10</v>
      </c>
      <c r="AE31" s="82">
        <f ca="1">(Деятельность_УК!AE$100+Деятельность_УК!AE$165+Деятельность_УК!AE$651)/Параметры!AE$126</f>
        <v>6.9849193096160889E-10</v>
      </c>
      <c r="AF31" s="82">
        <f ca="1">(Деятельность_УК!AF$100+Деятельность_УК!AF$165+Деятельность_УК!AF$651)/Параметры!AF$126</f>
        <v>4.6566128730773926E-10</v>
      </c>
      <c r="AG31" s="82">
        <f ca="1">(Деятельность_УК!AG$100+Деятельность_УК!AG$165+Деятельность_УК!AG$651)/Параметры!AG$126</f>
        <v>-9.3132257461547852E-10</v>
      </c>
      <c r="AH31" s="82">
        <f ca="1">(Деятельность_УК!AH$100+Деятельность_УК!AH$165+Деятельность_УК!AH$651)/Параметры!AH$126</f>
        <v>0</v>
      </c>
      <c r="AI31" s="82">
        <f ca="1">(Деятельность_УК!AI$100+Деятельность_УК!AI$165+Деятельность_УК!AI$651)/Параметры!AI$126</f>
        <v>0</v>
      </c>
      <c r="AJ31" s="82">
        <f ca="1">(Деятельность_УК!AJ$100+Деятельность_УК!AJ$165+Деятельность_УК!AJ$651)/Параметры!AJ$126</f>
        <v>0</v>
      </c>
      <c r="AK31" s="82">
        <f ca="1">(Деятельность_УК!AK$100+Деятельность_УК!AK$165+Деятельность_УК!AK$651)/Параметры!AK$126</f>
        <v>2.3283064365386963E-10</v>
      </c>
      <c r="AL31" s="82">
        <f ca="1">(Деятельность_УК!AL$100+Деятельность_УК!AL$165+Деятельность_УК!AL$651)/Параметры!AL$126</f>
        <v>0</v>
      </c>
      <c r="AM31" s="82">
        <f ca="1">(Деятельность_УК!AM$100+Деятельность_УК!AM$165+Деятельность_УК!AM$651)/Параметры!AM$126</f>
        <v>0</v>
      </c>
      <c r="AN31" s="82">
        <f ca="1">(Деятельность_УК!AN$100+Деятельность_УК!AN$165+Деятельность_УК!AN$651)/Параметры!AN$126</f>
        <v>-2.3283064365386963E-10</v>
      </c>
      <c r="AO31" s="82">
        <f ca="1">(Деятельность_УК!AO$100+Деятельность_УК!AO$165+Деятельность_УК!AO$651)/Параметры!AO$126</f>
        <v>0</v>
      </c>
      <c r="AP31" s="82">
        <f ca="1">(Деятельность_УК!AP$100+Деятельность_УК!AP$165+Деятельность_УК!AP$651)/Параметры!AP$126</f>
        <v>0</v>
      </c>
      <c r="AQ31" s="82">
        <f ca="1">(Деятельность_УК!AQ$100+Деятельность_УК!AQ$165+Деятельность_УК!AQ$651)/Параметры!AQ$126</f>
        <v>0</v>
      </c>
      <c r="AR31" s="82">
        <f ca="1">(Деятельность_УК!AR$100+Деятельность_УК!AR$165+Деятельность_УК!AR$651)/Параметры!AR$126</f>
        <v>0</v>
      </c>
      <c r="AS31" s="82"/>
      <c r="AT31" s="30">
        <f t="shared" ca="1" si="10"/>
        <v>-2.3283064365386963E-9</v>
      </c>
    </row>
    <row r="32" spans="1:46" x14ac:dyDescent="0.2">
      <c r="A32" s="63" t="s">
        <v>147</v>
      </c>
      <c r="B32" s="443">
        <f ca="1">IFERROR(AVERAGEIF(Параметры!$E$46:OFFSET(Параметры!$E$46,0,Параметры!$B$24-1),"&gt;=" &amp; Деятельность_УК!$B$9,E32:OFFSET(E32,0,Параметры!$B$24-1))*Параметры!$B$13/Параметры!$B$12,0)</f>
        <v>0</v>
      </c>
      <c r="C32" s="12" t="str">
        <f>Параметры!$C$126</f>
        <v>тыс. руб.</v>
      </c>
      <c r="D32" s="40"/>
      <c r="E32" s="82">
        <f>(Деятельность_УК!E$545)/Параметры!E$126</f>
        <v>0</v>
      </c>
      <c r="F32" s="82">
        <f>(Деятельность_УК!F$545)/Параметры!F$126</f>
        <v>0</v>
      </c>
      <c r="G32" s="82">
        <f>(Деятельность_УК!G$545)/Параметры!G$126</f>
        <v>0</v>
      </c>
      <c r="H32" s="82">
        <f>(Деятельность_УК!H$545)/Параметры!H$126</f>
        <v>0</v>
      </c>
      <c r="I32" s="82">
        <f>(Деятельность_УК!I$545)/Параметры!I$126</f>
        <v>0</v>
      </c>
      <c r="J32" s="82">
        <f>(Деятельность_УК!J$545)/Параметры!J$126</f>
        <v>0</v>
      </c>
      <c r="K32" s="82">
        <f>(Деятельность_УК!K$545)/Параметры!K$126</f>
        <v>0</v>
      </c>
      <c r="L32" s="82">
        <f>(Деятельность_УК!L$545)/Параметры!L$126</f>
        <v>0</v>
      </c>
      <c r="M32" s="82">
        <f>(Деятельность_УК!M$545)/Параметры!M$126</f>
        <v>0</v>
      </c>
      <c r="N32" s="82">
        <f>(Деятельность_УК!N$545)/Параметры!N$126</f>
        <v>0</v>
      </c>
      <c r="O32" s="82">
        <f>(Деятельность_УК!O$545)/Параметры!O$126</f>
        <v>0</v>
      </c>
      <c r="P32" s="82">
        <f>(Деятельность_УК!P$545)/Параметры!P$126</f>
        <v>0</v>
      </c>
      <c r="Q32" s="82">
        <f>(Деятельность_УК!Q$545)/Параметры!Q$126</f>
        <v>0</v>
      </c>
      <c r="R32" s="82">
        <f>(Деятельность_УК!R$545)/Параметры!R$126</f>
        <v>0</v>
      </c>
      <c r="S32" s="82">
        <f>(Деятельность_УК!S$545)/Параметры!S$126</f>
        <v>0</v>
      </c>
      <c r="T32" s="82">
        <f>(Деятельность_УК!T$545)/Параметры!T$126</f>
        <v>0</v>
      </c>
      <c r="U32" s="82">
        <f>(Деятельность_УК!U$545)/Параметры!U$126</f>
        <v>0</v>
      </c>
      <c r="V32" s="82">
        <f>(Деятельность_УК!V$545)/Параметры!V$126</f>
        <v>0</v>
      </c>
      <c r="W32" s="82">
        <f>(Деятельность_УК!W$545)/Параметры!W$126</f>
        <v>0</v>
      </c>
      <c r="X32" s="82">
        <f>(Деятельность_УК!X$545)/Параметры!X$126</f>
        <v>0</v>
      </c>
      <c r="Y32" s="82">
        <f>(Деятельность_УК!Y$545)/Параметры!Y$126</f>
        <v>0</v>
      </c>
      <c r="Z32" s="82">
        <f>(Деятельность_УК!Z$545)/Параметры!Z$126</f>
        <v>0</v>
      </c>
      <c r="AA32" s="82">
        <f>(Деятельность_УК!AA$545)/Параметры!AA$126</f>
        <v>0</v>
      </c>
      <c r="AB32" s="82">
        <f>(Деятельность_УК!AB$545)/Параметры!AB$126</f>
        <v>0</v>
      </c>
      <c r="AC32" s="82">
        <f>(Деятельность_УК!AC$545)/Параметры!AC$126</f>
        <v>0</v>
      </c>
      <c r="AD32" s="82">
        <f>(Деятельность_УК!AD$545)/Параметры!AD$126</f>
        <v>0</v>
      </c>
      <c r="AE32" s="82">
        <f>(Деятельность_УК!AE$545)/Параметры!AE$126</f>
        <v>0</v>
      </c>
      <c r="AF32" s="82">
        <f>(Деятельность_УК!AF$545)/Параметры!AF$126</f>
        <v>0</v>
      </c>
      <c r="AG32" s="82">
        <f>(Деятельность_УК!AG$545)/Параметры!AG$126</f>
        <v>0</v>
      </c>
      <c r="AH32" s="82">
        <f>(Деятельность_УК!AH$545)/Параметры!AH$126</f>
        <v>0</v>
      </c>
      <c r="AI32" s="82">
        <f>(Деятельность_УК!AI$545)/Параметры!AI$126</f>
        <v>0</v>
      </c>
      <c r="AJ32" s="82">
        <f>(Деятельность_УК!AJ$545)/Параметры!AJ$126</f>
        <v>0</v>
      </c>
      <c r="AK32" s="82">
        <f>(Деятельность_УК!AK$545)/Параметры!AK$126</f>
        <v>0</v>
      </c>
      <c r="AL32" s="82">
        <f>(Деятельность_УК!AL$545)/Параметры!AL$126</f>
        <v>0</v>
      </c>
      <c r="AM32" s="82">
        <f>(Деятельность_УК!AM$545)/Параметры!AM$126</f>
        <v>0</v>
      </c>
      <c r="AN32" s="82">
        <f>(Деятельность_УК!AN$545)/Параметры!AN$126</f>
        <v>0</v>
      </c>
      <c r="AO32" s="82">
        <f>(Деятельность_УК!AO$545)/Параметры!AO$126</f>
        <v>0</v>
      </c>
      <c r="AP32" s="82">
        <f>(Деятельность_УК!AP$545)/Параметры!AP$126</f>
        <v>0</v>
      </c>
      <c r="AQ32" s="82">
        <f>(Деятельность_УК!AQ$545)/Параметры!AQ$126</f>
        <v>0</v>
      </c>
      <c r="AR32" s="82">
        <f>(Деятельность_УК!AR$545)/Параметры!AR$126</f>
        <v>0</v>
      </c>
      <c r="AS32" s="82"/>
      <c r="AT32" s="30">
        <f t="shared" si="10"/>
        <v>0</v>
      </c>
    </row>
    <row r="33" spans="1:46" x14ac:dyDescent="0.2">
      <c r="A33" s="63" t="s">
        <v>148</v>
      </c>
      <c r="B33" s="443">
        <f ca="1">IFERROR(AVERAGEIF(Параметры!$E$46:OFFSET(Параметры!$E$46,0,Параметры!$B$24-1),"&gt;=" &amp; Деятельность_УК!$B$9,E33:OFFSET(E33,0,Параметры!$B$24-1))*Параметры!$B$13/Параметры!$B$12,0)</f>
        <v>0</v>
      </c>
      <c r="C33" s="12" t="str">
        <f>Параметры!$C$126</f>
        <v>тыс. руб.</v>
      </c>
      <c r="D33" s="40"/>
      <c r="E33" s="82">
        <f>(0)/Параметры!E$126</f>
        <v>0</v>
      </c>
      <c r="F33" s="82">
        <f>(0)/Параметры!F$126</f>
        <v>0</v>
      </c>
      <c r="G33" s="82">
        <f>(0)/Параметры!G$126</f>
        <v>0</v>
      </c>
      <c r="H33" s="82">
        <f>(0)/Параметры!H$126</f>
        <v>0</v>
      </c>
      <c r="I33" s="82">
        <f>(0)/Параметры!I$126</f>
        <v>0</v>
      </c>
      <c r="J33" s="82">
        <f>(0)/Параметры!J$126</f>
        <v>0</v>
      </c>
      <c r="K33" s="82">
        <f>(0)/Параметры!K$126</f>
        <v>0</v>
      </c>
      <c r="L33" s="82">
        <f>(0)/Параметры!L$126</f>
        <v>0</v>
      </c>
      <c r="M33" s="82">
        <f>(0)/Параметры!M$126</f>
        <v>0</v>
      </c>
      <c r="N33" s="82">
        <f>(0)/Параметры!N$126</f>
        <v>0</v>
      </c>
      <c r="O33" s="82">
        <f>(0)/Параметры!O$126</f>
        <v>0</v>
      </c>
      <c r="P33" s="82">
        <f>(0)/Параметры!P$126</f>
        <v>0</v>
      </c>
      <c r="Q33" s="82">
        <f>(0)/Параметры!Q$126</f>
        <v>0</v>
      </c>
      <c r="R33" s="82">
        <f>(0)/Параметры!R$126</f>
        <v>0</v>
      </c>
      <c r="S33" s="82">
        <f>(0)/Параметры!S$126</f>
        <v>0</v>
      </c>
      <c r="T33" s="82">
        <f>(0)/Параметры!T$126</f>
        <v>0</v>
      </c>
      <c r="U33" s="82">
        <f>(0)/Параметры!U$126</f>
        <v>0</v>
      </c>
      <c r="V33" s="82">
        <f>(0)/Параметры!V$126</f>
        <v>0</v>
      </c>
      <c r="W33" s="82">
        <f>(0)/Параметры!W$126</f>
        <v>0</v>
      </c>
      <c r="X33" s="82">
        <f>(0)/Параметры!X$126</f>
        <v>0</v>
      </c>
      <c r="Y33" s="82">
        <f>(0)/Параметры!Y$126</f>
        <v>0</v>
      </c>
      <c r="Z33" s="82">
        <f>(0)/Параметры!Z$126</f>
        <v>0</v>
      </c>
      <c r="AA33" s="82">
        <f>(0)/Параметры!AA$126</f>
        <v>0</v>
      </c>
      <c r="AB33" s="82">
        <f>(0)/Параметры!AB$126</f>
        <v>0</v>
      </c>
      <c r="AC33" s="82">
        <f>(0)/Параметры!AC$126</f>
        <v>0</v>
      </c>
      <c r="AD33" s="82">
        <f>(0)/Параметры!AD$126</f>
        <v>0</v>
      </c>
      <c r="AE33" s="82">
        <f>(0)/Параметры!AE$126</f>
        <v>0</v>
      </c>
      <c r="AF33" s="82">
        <f>(0)/Параметры!AF$126</f>
        <v>0</v>
      </c>
      <c r="AG33" s="82">
        <f>(0)/Параметры!AG$126</f>
        <v>0</v>
      </c>
      <c r="AH33" s="82">
        <f>(0)/Параметры!AH$126</f>
        <v>0</v>
      </c>
      <c r="AI33" s="82">
        <f>(0)/Параметры!AI$126</f>
        <v>0</v>
      </c>
      <c r="AJ33" s="82">
        <f>(0)/Параметры!AJ$126</f>
        <v>0</v>
      </c>
      <c r="AK33" s="82">
        <f>(0)/Параметры!AK$126</f>
        <v>0</v>
      </c>
      <c r="AL33" s="82">
        <f>(0)/Параметры!AL$126</f>
        <v>0</v>
      </c>
      <c r="AM33" s="82">
        <f>(0)/Параметры!AM$126</f>
        <v>0</v>
      </c>
      <c r="AN33" s="82">
        <f>(0)/Параметры!AN$126</f>
        <v>0</v>
      </c>
      <c r="AO33" s="82">
        <f>(0)/Параметры!AO$126</f>
        <v>0</v>
      </c>
      <c r="AP33" s="82">
        <f>(0)/Параметры!AP$126</f>
        <v>0</v>
      </c>
      <c r="AQ33" s="82">
        <f>(0)/Параметры!AQ$126</f>
        <v>0</v>
      </c>
      <c r="AR33" s="82">
        <f>(0)/Параметры!AR$126</f>
        <v>0</v>
      </c>
      <c r="AS33" s="82"/>
      <c r="AT33" s="30">
        <f t="shared" si="10"/>
        <v>0</v>
      </c>
    </row>
    <row r="34" spans="1:46" s="60" customFormat="1" x14ac:dyDescent="0.2">
      <c r="A34" s="52" t="s">
        <v>534</v>
      </c>
      <c r="B34" s="445">
        <f ca="1">IFERROR(AVERAGEIF(Параметры!$E$46:OFFSET(Параметры!$E$46,0,Параметры!$B$24-1),"&gt;=" &amp; Деятельность_УК!$B$9,E34:OFFSET(E34,0,Параметры!$B$24-1))*Параметры!$B$13/Параметры!$B$12,0)</f>
        <v>1061906.3152566894</v>
      </c>
      <c r="C34" s="34" t="str">
        <f>Параметры!$C$126</f>
        <v>тыс. руб.</v>
      </c>
      <c r="D34" s="169"/>
      <c r="E34" s="85">
        <f t="shared" ref="E34:AB34" ca="1" si="11">E28+SUM(E30:E33)</f>
        <v>-21972.788429824897</v>
      </c>
      <c r="F34" s="85">
        <f t="shared" ca="1" si="11"/>
        <v>-28508.66342982489</v>
      </c>
      <c r="G34" s="85">
        <f t="shared" ca="1" si="11"/>
        <v>-22039.827477947554</v>
      </c>
      <c r="H34" s="85">
        <f t="shared" ca="1" si="11"/>
        <v>-17261.717782125412</v>
      </c>
      <c r="I34" s="85">
        <f t="shared" ca="1" si="11"/>
        <v>-12976.06254922122</v>
      </c>
      <c r="J34" s="85">
        <f t="shared" ca="1" si="11"/>
        <v>-15122.309425483509</v>
      </c>
      <c r="K34" s="85">
        <f t="shared" ca="1" si="11"/>
        <v>-21948.284561496876</v>
      </c>
      <c r="L34" s="85">
        <f t="shared" ca="1" si="11"/>
        <v>-26419.497427485294</v>
      </c>
      <c r="M34" s="85">
        <f t="shared" ca="1" si="11"/>
        <v>-16841.165766305639</v>
      </c>
      <c r="N34" s="85">
        <f t="shared" ca="1" si="11"/>
        <v>-23375.705027326585</v>
      </c>
      <c r="O34" s="85">
        <f t="shared" ca="1" si="11"/>
        <v>-34365.314764000526</v>
      </c>
      <c r="P34" s="85">
        <f t="shared" ca="1" si="11"/>
        <v>-45072.160833000496</v>
      </c>
      <c r="Q34" s="85">
        <f t="shared" ca="1" si="11"/>
        <v>-41587.201382659281</v>
      </c>
      <c r="R34" s="85">
        <f t="shared" ca="1" si="11"/>
        <v>-51478.121166496785</v>
      </c>
      <c r="S34" s="85">
        <f t="shared" ca="1" si="11"/>
        <v>-62970.212521007714</v>
      </c>
      <c r="T34" s="85">
        <f t="shared" ca="1" si="11"/>
        <v>-66668.417252747851</v>
      </c>
      <c r="U34" s="85">
        <f t="shared" ca="1" si="11"/>
        <v>32280.893491021561</v>
      </c>
      <c r="V34" s="85">
        <f t="shared" ca="1" si="11"/>
        <v>44020.710721068361</v>
      </c>
      <c r="W34" s="85">
        <f t="shared" ca="1" si="11"/>
        <v>50124.057061790649</v>
      </c>
      <c r="X34" s="85">
        <f t="shared" ca="1" si="11"/>
        <v>56337.003530967268</v>
      </c>
      <c r="Y34" s="85">
        <f t="shared" ca="1" si="11"/>
        <v>62661.697284093345</v>
      </c>
      <c r="Z34" s="85">
        <f t="shared" ca="1" si="11"/>
        <v>69056.736213082637</v>
      </c>
      <c r="AA34" s="85">
        <f t="shared" ca="1" si="11"/>
        <v>75566.969460791297</v>
      </c>
      <c r="AB34" s="85">
        <f t="shared" ca="1" si="11"/>
        <v>82194.66413518849</v>
      </c>
      <c r="AC34" s="85">
        <f t="shared" ref="AC34:AD34" ca="1" si="12">AC28+SUM(AC30:AC33)</f>
        <v>89427.516679009117</v>
      </c>
      <c r="AD34" s="85">
        <f t="shared" ca="1" si="12"/>
        <v>96262.274759416003</v>
      </c>
      <c r="AE34" s="85">
        <f t="shared" ref="AE34:AR34" ca="1" si="13">AE28+SUM(AE30:AE33)</f>
        <v>103220.82089715473</v>
      </c>
      <c r="AF34" s="85">
        <f t="shared" ca="1" si="13"/>
        <v>110305.59971557121</v>
      </c>
      <c r="AG34" s="85">
        <f t="shared" ca="1" si="13"/>
        <v>95501.520036303671</v>
      </c>
      <c r="AH34" s="85">
        <f t="shared" ca="1" si="13"/>
        <v>102841.57929369343</v>
      </c>
      <c r="AI34" s="85">
        <f t="shared" ca="1" si="13"/>
        <v>110306.59253800752</v>
      </c>
      <c r="AJ34" s="85">
        <f t="shared" ca="1" si="13"/>
        <v>117899.01462923936</v>
      </c>
      <c r="AK34" s="85">
        <f t="shared" ca="1" si="13"/>
        <v>312934.93737728038</v>
      </c>
      <c r="AL34" s="85">
        <f t="shared" ca="1" si="13"/>
        <v>128140.71361290182</v>
      </c>
      <c r="AM34" s="85">
        <f t="shared" ca="1" si="13"/>
        <v>135468.74526000576</v>
      </c>
      <c r="AN34" s="85">
        <f t="shared" ca="1" si="13"/>
        <v>142468.82723265357</v>
      </c>
      <c r="AO34" s="85">
        <f t="shared" ca="1" si="13"/>
        <v>4141233.7031427096</v>
      </c>
      <c r="AP34" s="85">
        <f t="shared" ca="1" si="13"/>
        <v>65107.96162438146</v>
      </c>
      <c r="AQ34" s="85">
        <f t="shared" ca="1" si="13"/>
        <v>73474.276579008962</v>
      </c>
      <c r="AR34" s="85">
        <f t="shared" ca="1" si="13"/>
        <v>74601.076264796022</v>
      </c>
      <c r="AS34" s="85"/>
      <c r="AT34" s="143">
        <f ca="1">SUM(E34:AS34)</f>
        <v>5862830.441743182</v>
      </c>
    </row>
    <row r="35" spans="1:46" x14ac:dyDescent="0.2">
      <c r="A35" s="63" t="s">
        <v>37</v>
      </c>
      <c r="B35" s="443">
        <f ca="1">IFERROR(AVERAGEIF(Параметры!$E$46:OFFSET(Параметры!$E$46,0,Параметры!$B$24-1),"&gt;=" &amp; Деятельность_УК!$B$9,E35:OFFSET(E35,0,Параметры!$B$24-1))*Параметры!$B$13/Параметры!$B$12,0)</f>
        <v>-192706.29518529784</v>
      </c>
      <c r="C35" s="12" t="str">
        <f>Параметры!$C$126</f>
        <v>тыс. руб.</v>
      </c>
      <c r="D35" s="40"/>
      <c r="E35" s="82">
        <f ca="1">(-Деятельность_УК!E$686)/Параметры!E$126</f>
        <v>0</v>
      </c>
      <c r="F35" s="82">
        <f ca="1">(-Деятельность_УК!F$686)/Параметры!F$126</f>
        <v>0</v>
      </c>
      <c r="G35" s="82">
        <f ca="1">(-Деятельность_УК!G$686)/Параметры!G$126</f>
        <v>0</v>
      </c>
      <c r="H35" s="82">
        <f ca="1">(-Деятельность_УК!H$686)/Параметры!H$126</f>
        <v>0</v>
      </c>
      <c r="I35" s="82">
        <f ca="1">(-Деятельность_УК!I$686)/Параметры!I$126</f>
        <v>0</v>
      </c>
      <c r="J35" s="82">
        <f ca="1">(-Деятельность_УК!J$686)/Параметры!J$126</f>
        <v>0</v>
      </c>
      <c r="K35" s="82">
        <f ca="1">(-Деятельность_УК!K$686)/Параметры!K$126</f>
        <v>0</v>
      </c>
      <c r="L35" s="82">
        <f ca="1">(-Деятельность_УК!L$686)/Параметры!L$126</f>
        <v>0</v>
      </c>
      <c r="M35" s="82">
        <f ca="1">(-Деятельность_УК!M$686)/Параметры!M$126</f>
        <v>0</v>
      </c>
      <c r="N35" s="82">
        <f ca="1">(-Деятельность_УК!N$686)/Параметры!N$126</f>
        <v>0</v>
      </c>
      <c r="O35" s="82">
        <f ca="1">(-Деятельность_УК!O$686)/Параметры!O$126</f>
        <v>0</v>
      </c>
      <c r="P35" s="82">
        <f ca="1">(-Деятельность_УК!P$686)/Параметры!P$126</f>
        <v>0</v>
      </c>
      <c r="Q35" s="82">
        <f ca="1">(-Деятельность_УК!Q$686)/Параметры!Q$126</f>
        <v>0</v>
      </c>
      <c r="R35" s="82">
        <f ca="1">(-Деятельность_УК!R$686)/Параметры!R$126</f>
        <v>0</v>
      </c>
      <c r="S35" s="82">
        <f ca="1">(-Деятельность_УК!S$686)/Параметры!S$126</f>
        <v>0</v>
      </c>
      <c r="T35" s="82">
        <f ca="1">(-Деятельность_УК!T$686)/Параметры!T$126</f>
        <v>0</v>
      </c>
      <c r="U35" s="82">
        <f ca="1">(-Деятельность_УК!U$686)/Параметры!U$126</f>
        <v>0</v>
      </c>
      <c r="V35" s="82">
        <f ca="1">(-Деятельность_УК!V$686)/Параметры!V$126</f>
        <v>0</v>
      </c>
      <c r="W35" s="82">
        <f ca="1">(-Деятельность_УК!W$686)/Параметры!W$126</f>
        <v>0</v>
      </c>
      <c r="X35" s="82">
        <f ca="1">(-Деятельность_УК!X$686)/Параметры!X$126</f>
        <v>0</v>
      </c>
      <c r="Y35" s="82">
        <f ca="1">(-Деятельность_УК!Y$686)/Параметры!Y$126</f>
        <v>0</v>
      </c>
      <c r="Z35" s="82">
        <f ca="1">(-Деятельность_УК!Z$686)/Параметры!Z$126</f>
        <v>0</v>
      </c>
      <c r="AA35" s="82">
        <f ca="1">(-Деятельность_УК!AA$686)/Параметры!AA$126</f>
        <v>0</v>
      </c>
      <c r="AB35" s="82">
        <f ca="1">(-Деятельность_УК!AB$686)/Параметры!AB$126</f>
        <v>0</v>
      </c>
      <c r="AC35" s="82">
        <f ca="1">(-Деятельность_УК!AC$686)/Параметры!AC$126</f>
        <v>-8224.7338109090142</v>
      </c>
      <c r="AD35" s="82">
        <f ca="1">(-Деятельность_УК!AD$686)/Параметры!AD$126</f>
        <v>-14920.652587709481</v>
      </c>
      <c r="AE35" s="82">
        <f ca="1">(-Деятельность_УК!AE$686)/Параметры!AE$126</f>
        <v>-15999.227239058982</v>
      </c>
      <c r="AF35" s="82">
        <f ca="1">(-Деятельность_УК!AF$686)/Параметры!AF$126</f>
        <v>-17097.367955913538</v>
      </c>
      <c r="AG35" s="82">
        <f ca="1">(-Деятельность_УК!AG$686)/Параметры!AG$126</f>
        <v>-19100.304007260733</v>
      </c>
      <c r="AH35" s="82">
        <f ca="1">(-Деятельность_УК!AH$686)/Параметры!AH$126</f>
        <v>-20568.315858738686</v>
      </c>
      <c r="AI35" s="82">
        <f ca="1">(-Деятельность_УК!AI$686)/Параметры!AI$126</f>
        <v>-22061.318507601503</v>
      </c>
      <c r="AJ35" s="82">
        <f ca="1">(-Деятельность_УК!AJ$686)/Параметры!AJ$126</f>
        <v>-23579.802925847871</v>
      </c>
      <c r="AK35" s="82">
        <f ca="1">(-Деятельность_УК!AK$686)/Параметры!AK$126</f>
        <v>-62586.987475456073</v>
      </c>
      <c r="AL35" s="82">
        <f ca="1">(-Деятельность_УК!AL$686)/Параметры!AL$126</f>
        <v>-25628.14272258036</v>
      </c>
      <c r="AM35" s="82">
        <f ca="1">(-Деятельность_УК!AM$686)/Параметры!AM$126</f>
        <v>-27093.749052001149</v>
      </c>
      <c r="AN35" s="82">
        <f ca="1">(-Деятельность_УК!AN$686)/Параметры!AN$126</f>
        <v>-28493.76544653071</v>
      </c>
      <c r="AO35" s="82">
        <f ca="1">(-Деятельность_УК!AO$686)/Параметры!AO$126</f>
        <v>-828246.7406285418</v>
      </c>
      <c r="AP35" s="82">
        <f ca="1">(-Деятельность_УК!AP$686)/Параметры!AP$126</f>
        <v>-13021.59232487629</v>
      </c>
      <c r="AQ35" s="82">
        <f ca="1">(-Деятельность_УК!AQ$686)/Параметры!AQ$126</f>
        <v>-14694.855315801791</v>
      </c>
      <c r="AR35" s="82">
        <f ca="1">(-Деятельность_УК!AR$686)/Параметры!AR$126</f>
        <v>-14920.215252959204</v>
      </c>
      <c r="AS35" s="82"/>
      <c r="AT35" s="30">
        <f ca="1">SUM(E35:AS35)</f>
        <v>-1156237.7711117871</v>
      </c>
    </row>
    <row r="36" spans="1:46" x14ac:dyDescent="0.2">
      <c r="A36" s="76" t="s">
        <v>106</v>
      </c>
      <c r="B36" s="444">
        <f ca="1">IFERROR(AVERAGEIF(Параметры!$E$46:OFFSET(Параметры!$E$46,0,Параметры!$B$24-1),"&gt;=" &amp; Деятельность_УК!$B$9,E36:OFFSET(E36,0,Параметры!$B$24-1))*Параметры!$B$13/Параметры!$B$12,0)</f>
        <v>869200.02007139148</v>
      </c>
      <c r="C36" s="13" t="str">
        <f>Параметры!$C$126</f>
        <v>тыс. руб.</v>
      </c>
      <c r="D36" s="78"/>
      <c r="E36" s="167">
        <f t="shared" ref="E36:AR36" ca="1" si="14">E34+E35</f>
        <v>-21972.788429824897</v>
      </c>
      <c r="F36" s="167">
        <f t="shared" ca="1" si="14"/>
        <v>-28508.66342982489</v>
      </c>
      <c r="G36" s="167">
        <f t="shared" ca="1" si="14"/>
        <v>-22039.827477947554</v>
      </c>
      <c r="H36" s="167">
        <f t="shared" ca="1" si="14"/>
        <v>-17261.717782125412</v>
      </c>
      <c r="I36" s="167">
        <f t="shared" ca="1" si="14"/>
        <v>-12976.06254922122</v>
      </c>
      <c r="J36" s="167">
        <f t="shared" ca="1" si="14"/>
        <v>-15122.309425483509</v>
      </c>
      <c r="K36" s="167">
        <f t="shared" ca="1" si="14"/>
        <v>-21948.284561496876</v>
      </c>
      <c r="L36" s="167">
        <f t="shared" ca="1" si="14"/>
        <v>-26419.497427485294</v>
      </c>
      <c r="M36" s="167">
        <f t="shared" ca="1" si="14"/>
        <v>-16841.165766305639</v>
      </c>
      <c r="N36" s="167">
        <f t="shared" ca="1" si="14"/>
        <v>-23375.705027326585</v>
      </c>
      <c r="O36" s="167">
        <f t="shared" ca="1" si="14"/>
        <v>-34365.314764000526</v>
      </c>
      <c r="P36" s="167">
        <f t="shared" ca="1" si="14"/>
        <v>-45072.160833000496</v>
      </c>
      <c r="Q36" s="167">
        <f t="shared" ca="1" si="14"/>
        <v>-41587.201382659281</v>
      </c>
      <c r="R36" s="167">
        <f t="shared" ca="1" si="14"/>
        <v>-51478.121166496785</v>
      </c>
      <c r="S36" s="167">
        <f t="shared" ca="1" si="14"/>
        <v>-62970.212521007714</v>
      </c>
      <c r="T36" s="167">
        <f t="shared" ca="1" si="14"/>
        <v>-66668.417252747851</v>
      </c>
      <c r="U36" s="167">
        <f t="shared" ca="1" si="14"/>
        <v>32280.893491021561</v>
      </c>
      <c r="V36" s="167">
        <f t="shared" ca="1" si="14"/>
        <v>44020.710721068361</v>
      </c>
      <c r="W36" s="167">
        <f t="shared" ca="1" si="14"/>
        <v>50124.057061790649</v>
      </c>
      <c r="X36" s="167">
        <f t="shared" ca="1" si="14"/>
        <v>56337.003530967268</v>
      </c>
      <c r="Y36" s="167">
        <f t="shared" ca="1" si="14"/>
        <v>62661.697284093345</v>
      </c>
      <c r="Z36" s="167">
        <f t="shared" ca="1" si="14"/>
        <v>69056.736213082637</v>
      </c>
      <c r="AA36" s="167">
        <f t="shared" ca="1" si="14"/>
        <v>75566.969460791297</v>
      </c>
      <c r="AB36" s="167">
        <f t="shared" ca="1" si="14"/>
        <v>82194.66413518849</v>
      </c>
      <c r="AC36" s="167">
        <f t="shared" ca="1" si="14"/>
        <v>81202.782868100097</v>
      </c>
      <c r="AD36" s="167">
        <f t="shared" ca="1" si="14"/>
        <v>81341.62217170652</v>
      </c>
      <c r="AE36" s="167">
        <f t="shared" ca="1" si="14"/>
        <v>87221.59365809575</v>
      </c>
      <c r="AF36" s="167">
        <f t="shared" ca="1" si="14"/>
        <v>93208.231759657676</v>
      </c>
      <c r="AG36" s="167">
        <f t="shared" ca="1" si="14"/>
        <v>76401.216029042931</v>
      </c>
      <c r="AH36" s="167">
        <f t="shared" ca="1" si="14"/>
        <v>82273.263434954744</v>
      </c>
      <c r="AI36" s="167">
        <f t="shared" ca="1" si="14"/>
        <v>88245.274030406013</v>
      </c>
      <c r="AJ36" s="167">
        <f t="shared" ca="1" si="14"/>
        <v>94319.211703391484</v>
      </c>
      <c r="AK36" s="167">
        <f t="shared" ca="1" si="14"/>
        <v>250347.94990182429</v>
      </c>
      <c r="AL36" s="167">
        <f t="shared" ca="1" si="14"/>
        <v>102512.57089032145</v>
      </c>
      <c r="AM36" s="167">
        <f t="shared" ca="1" si="14"/>
        <v>108374.99620800461</v>
      </c>
      <c r="AN36" s="167">
        <f t="shared" ca="1" si="14"/>
        <v>113975.06178612285</v>
      </c>
      <c r="AO36" s="167">
        <f t="shared" ca="1" si="14"/>
        <v>3312986.9625141677</v>
      </c>
      <c r="AP36" s="167">
        <f t="shared" ca="1" si="14"/>
        <v>52086.369299505168</v>
      </c>
      <c r="AQ36" s="167">
        <f t="shared" ca="1" si="14"/>
        <v>58779.421263207172</v>
      </c>
      <c r="AR36" s="167">
        <f t="shared" ca="1" si="14"/>
        <v>59680.861011836816</v>
      </c>
      <c r="AS36" s="167"/>
      <c r="AT36" s="168">
        <f ca="1">SUM(E36:AS36)</f>
        <v>4706592.6706313938</v>
      </c>
    </row>
    <row r="37" spans="1:46" x14ac:dyDescent="0.2">
      <c r="A37" s="49"/>
      <c r="B37" s="443"/>
      <c r="D37" s="40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30"/>
    </row>
    <row r="38" spans="1:46" x14ac:dyDescent="0.2">
      <c r="A38" s="93" t="s">
        <v>286</v>
      </c>
      <c r="B38" s="443">
        <f ca="1">IFERROR(AVERAGEIF(Параметры!$E$46:OFFSET(Параметры!$E$46,0,Параметры!$B$24-1),"&gt;=" &amp; Деятельность_УК!$B$9,E38:OFFSET(E38,0,Параметры!$B$24-1))*Параметры!$B$13/Параметры!$B$12,0)</f>
        <v>869200.02007139148</v>
      </c>
      <c r="C38" s="12" t="str">
        <f>Параметры!$C$126</f>
        <v>тыс. руб.</v>
      </c>
      <c r="D38" s="40"/>
      <c r="E38" s="82">
        <f t="shared" ref="E38:AR38" ca="1" si="15">E36+0</f>
        <v>-21972.788429824897</v>
      </c>
      <c r="F38" s="82">
        <f t="shared" ca="1" si="15"/>
        <v>-28508.66342982489</v>
      </c>
      <c r="G38" s="82">
        <f t="shared" ca="1" si="15"/>
        <v>-22039.827477947554</v>
      </c>
      <c r="H38" s="82">
        <f t="shared" ca="1" si="15"/>
        <v>-17261.717782125412</v>
      </c>
      <c r="I38" s="82">
        <f t="shared" ca="1" si="15"/>
        <v>-12976.06254922122</v>
      </c>
      <c r="J38" s="82">
        <f t="shared" ca="1" si="15"/>
        <v>-15122.309425483509</v>
      </c>
      <c r="K38" s="82">
        <f t="shared" ca="1" si="15"/>
        <v>-21948.284561496876</v>
      </c>
      <c r="L38" s="82">
        <f t="shared" ca="1" si="15"/>
        <v>-26419.497427485294</v>
      </c>
      <c r="M38" s="82">
        <f t="shared" ca="1" si="15"/>
        <v>-16841.165766305639</v>
      </c>
      <c r="N38" s="82">
        <f t="shared" ca="1" si="15"/>
        <v>-23375.705027326585</v>
      </c>
      <c r="O38" s="82">
        <f t="shared" ca="1" si="15"/>
        <v>-34365.314764000526</v>
      </c>
      <c r="P38" s="82">
        <f t="shared" ca="1" si="15"/>
        <v>-45072.160833000496</v>
      </c>
      <c r="Q38" s="82">
        <f t="shared" ca="1" si="15"/>
        <v>-41587.201382659281</v>
      </c>
      <c r="R38" s="82">
        <f t="shared" ca="1" si="15"/>
        <v>-51478.121166496785</v>
      </c>
      <c r="S38" s="82">
        <f t="shared" ca="1" si="15"/>
        <v>-62970.212521007714</v>
      </c>
      <c r="T38" s="82">
        <f t="shared" ca="1" si="15"/>
        <v>-66668.417252747851</v>
      </c>
      <c r="U38" s="82">
        <f t="shared" ca="1" si="15"/>
        <v>32280.893491021561</v>
      </c>
      <c r="V38" s="82">
        <f t="shared" ca="1" si="15"/>
        <v>44020.710721068361</v>
      </c>
      <c r="W38" s="82">
        <f t="shared" ca="1" si="15"/>
        <v>50124.057061790649</v>
      </c>
      <c r="X38" s="82">
        <f t="shared" ca="1" si="15"/>
        <v>56337.003530967268</v>
      </c>
      <c r="Y38" s="82">
        <f t="shared" ca="1" si="15"/>
        <v>62661.697284093345</v>
      </c>
      <c r="Z38" s="82">
        <f t="shared" ca="1" si="15"/>
        <v>69056.736213082637</v>
      </c>
      <c r="AA38" s="82">
        <f t="shared" ca="1" si="15"/>
        <v>75566.969460791297</v>
      </c>
      <c r="AB38" s="82">
        <f t="shared" ca="1" si="15"/>
        <v>82194.66413518849</v>
      </c>
      <c r="AC38" s="82">
        <f t="shared" ca="1" si="15"/>
        <v>81202.782868100097</v>
      </c>
      <c r="AD38" s="82">
        <f t="shared" ca="1" si="15"/>
        <v>81341.62217170652</v>
      </c>
      <c r="AE38" s="82">
        <f t="shared" ca="1" si="15"/>
        <v>87221.59365809575</v>
      </c>
      <c r="AF38" s="82">
        <f t="shared" ca="1" si="15"/>
        <v>93208.231759657676</v>
      </c>
      <c r="AG38" s="82">
        <f t="shared" ca="1" si="15"/>
        <v>76401.216029042931</v>
      </c>
      <c r="AH38" s="82">
        <f t="shared" ca="1" si="15"/>
        <v>82273.263434954744</v>
      </c>
      <c r="AI38" s="82">
        <f t="shared" ca="1" si="15"/>
        <v>88245.274030406013</v>
      </c>
      <c r="AJ38" s="82">
        <f t="shared" ca="1" si="15"/>
        <v>94319.211703391484</v>
      </c>
      <c r="AK38" s="82">
        <f t="shared" ca="1" si="15"/>
        <v>250347.94990182429</v>
      </c>
      <c r="AL38" s="82">
        <f t="shared" ca="1" si="15"/>
        <v>102512.57089032145</v>
      </c>
      <c r="AM38" s="82">
        <f t="shared" ca="1" si="15"/>
        <v>108374.99620800461</v>
      </c>
      <c r="AN38" s="82">
        <f t="shared" ca="1" si="15"/>
        <v>113975.06178612285</v>
      </c>
      <c r="AO38" s="82">
        <f t="shared" ca="1" si="15"/>
        <v>3312986.9625141677</v>
      </c>
      <c r="AP38" s="82">
        <f t="shared" ca="1" si="15"/>
        <v>52086.369299505168</v>
      </c>
      <c r="AQ38" s="82">
        <f t="shared" ca="1" si="15"/>
        <v>58779.421263207172</v>
      </c>
      <c r="AR38" s="82">
        <f t="shared" ca="1" si="15"/>
        <v>59680.861011836816</v>
      </c>
      <c r="AS38" s="82"/>
      <c r="AT38" s="30">
        <f ca="1">SUM(E38:AS38)</f>
        <v>4706592.6706313938</v>
      </c>
    </row>
    <row r="39" spans="1:46" s="40" customFormat="1" x14ac:dyDescent="0.2">
      <c r="A39" s="420" t="s">
        <v>533</v>
      </c>
      <c r="B39" s="443"/>
      <c r="C39" s="322" t="str">
        <f>Параметры!$C$126</f>
        <v>тыс. руб.</v>
      </c>
      <c r="E39" s="121">
        <f ca="1">E38</f>
        <v>-21972.788429824897</v>
      </c>
      <c r="F39" s="121">
        <f ca="1">E39+F38</f>
        <v>-50481.451859649787</v>
      </c>
      <c r="G39" s="121">
        <f t="shared" ref="G39:AR39" ca="1" si="16">F39+G38</f>
        <v>-72521.279337597342</v>
      </c>
      <c r="H39" s="121">
        <f t="shared" ca="1" si="16"/>
        <v>-89782.997119722757</v>
      </c>
      <c r="I39" s="121">
        <f t="shared" ca="1" si="16"/>
        <v>-102759.05966894398</v>
      </c>
      <c r="J39" s="121">
        <f t="shared" ca="1" si="16"/>
        <v>-117881.3690944275</v>
      </c>
      <c r="K39" s="121">
        <f t="shared" ca="1" si="16"/>
        <v>-139829.65365592437</v>
      </c>
      <c r="L39" s="121">
        <f t="shared" ca="1" si="16"/>
        <v>-166249.15108340967</v>
      </c>
      <c r="M39" s="121">
        <f t="shared" ca="1" si="16"/>
        <v>-183090.31684971531</v>
      </c>
      <c r="N39" s="121">
        <f t="shared" ca="1" si="16"/>
        <v>-206466.0218770419</v>
      </c>
      <c r="O39" s="121">
        <f t="shared" ca="1" si="16"/>
        <v>-240831.33664104244</v>
      </c>
      <c r="P39" s="121">
        <f t="shared" ca="1" si="16"/>
        <v>-285903.49747404293</v>
      </c>
      <c r="Q39" s="121">
        <f t="shared" ca="1" si="16"/>
        <v>-327490.69885670219</v>
      </c>
      <c r="R39" s="121">
        <f t="shared" ca="1" si="16"/>
        <v>-378968.82002319896</v>
      </c>
      <c r="S39" s="121">
        <f t="shared" ca="1" si="16"/>
        <v>-441939.03254420665</v>
      </c>
      <c r="T39" s="121">
        <f t="shared" ca="1" si="16"/>
        <v>-508607.44979695452</v>
      </c>
      <c r="U39" s="121">
        <f t="shared" ca="1" si="16"/>
        <v>-476326.55630593293</v>
      </c>
      <c r="V39" s="121">
        <f t="shared" ca="1" si="16"/>
        <v>-432305.84558486455</v>
      </c>
      <c r="W39" s="121">
        <f t="shared" ca="1" si="16"/>
        <v>-382181.78852307389</v>
      </c>
      <c r="X39" s="121">
        <f t="shared" ca="1" si="16"/>
        <v>-325844.78499210661</v>
      </c>
      <c r="Y39" s="121">
        <f t="shared" ca="1" si="16"/>
        <v>-263183.08770801325</v>
      </c>
      <c r="Z39" s="121">
        <f t="shared" ca="1" si="16"/>
        <v>-194126.35149493063</v>
      </c>
      <c r="AA39" s="121">
        <f t="shared" ca="1" si="16"/>
        <v>-118559.38203413933</v>
      </c>
      <c r="AB39" s="121">
        <f t="shared" ca="1" si="16"/>
        <v>-36364.717898950839</v>
      </c>
      <c r="AC39" s="121">
        <f t="shared" ca="1" si="16"/>
        <v>44838.064969149258</v>
      </c>
      <c r="AD39" s="121">
        <f t="shared" ca="1" si="16"/>
        <v>126179.68714085578</v>
      </c>
      <c r="AE39" s="121">
        <f t="shared" ca="1" si="16"/>
        <v>213401.28079895151</v>
      </c>
      <c r="AF39" s="121">
        <f t="shared" ca="1" si="16"/>
        <v>306609.51255860919</v>
      </c>
      <c r="AG39" s="121">
        <f t="shared" ca="1" si="16"/>
        <v>383010.72858765209</v>
      </c>
      <c r="AH39" s="121">
        <f t="shared" ca="1" si="16"/>
        <v>465283.99202260684</v>
      </c>
      <c r="AI39" s="121">
        <f t="shared" ca="1" si="16"/>
        <v>553529.26605301281</v>
      </c>
      <c r="AJ39" s="121">
        <f t="shared" ca="1" si="16"/>
        <v>647848.47775640432</v>
      </c>
      <c r="AK39" s="121">
        <f t="shared" ca="1" si="16"/>
        <v>898196.42765822867</v>
      </c>
      <c r="AL39" s="121">
        <f t="shared" ca="1" si="16"/>
        <v>1000708.9985485501</v>
      </c>
      <c r="AM39" s="121">
        <f t="shared" ca="1" si="16"/>
        <v>1109083.9947565547</v>
      </c>
      <c r="AN39" s="121">
        <f t="shared" ca="1" si="16"/>
        <v>1223059.0565426776</v>
      </c>
      <c r="AO39" s="121">
        <f t="shared" ca="1" si="16"/>
        <v>4536046.0190568455</v>
      </c>
      <c r="AP39" s="121">
        <f t="shared" ca="1" si="16"/>
        <v>4588132.3883563504</v>
      </c>
      <c r="AQ39" s="121">
        <f t="shared" ca="1" si="16"/>
        <v>4646911.8096195571</v>
      </c>
      <c r="AR39" s="121">
        <f t="shared" ca="1" si="16"/>
        <v>4706592.6706313938</v>
      </c>
      <c r="AS39" s="121"/>
      <c r="AT39" s="125"/>
    </row>
    <row r="40" spans="1:46" x14ac:dyDescent="0.2">
      <c r="A40" s="71"/>
      <c r="B40" s="170"/>
      <c r="C40" s="14"/>
      <c r="D40" s="47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</row>
    <row r="41" spans="1:46" x14ac:dyDescent="0.2">
      <c r="D41" s="40"/>
    </row>
    <row r="42" spans="1:46" ht="12" thickBot="1" x14ac:dyDescent="0.25">
      <c r="D42" s="40"/>
    </row>
    <row r="43" spans="1:46" s="43" customFormat="1" ht="25.5" customHeight="1" thickBot="1" x14ac:dyDescent="0.25">
      <c r="A43" s="481" t="s">
        <v>107</v>
      </c>
      <c r="B43" s="479"/>
      <c r="C43" s="485"/>
      <c r="D43" s="486"/>
      <c r="E43" s="479" t="str">
        <f>CHOOSE($D$2,Параметры!E$53,Параметры!E$54)</f>
        <v>1 кв. 2020</v>
      </c>
      <c r="F43" s="479" t="str">
        <f>CHOOSE($D$2,Параметры!F$53,Параметры!F$54)</f>
        <v>2 кв. 2020</v>
      </c>
      <c r="G43" s="479" t="str">
        <f>CHOOSE($D$2,Параметры!G$53,Параметры!G$54)</f>
        <v>3 кв. 2020</v>
      </c>
      <c r="H43" s="479" t="str">
        <f>CHOOSE($D$2,Параметры!H$53,Параметры!H$54)</f>
        <v>4 кв. 2020</v>
      </c>
      <c r="I43" s="479" t="str">
        <f>CHOOSE($D$2,Параметры!I$53,Параметры!I$54)</f>
        <v>1 кв. 2021</v>
      </c>
      <c r="J43" s="479" t="str">
        <f>CHOOSE($D$2,Параметры!J$53,Параметры!J$54)</f>
        <v>2 кв. 2021</v>
      </c>
      <c r="K43" s="479" t="str">
        <f>CHOOSE($D$2,Параметры!K$53,Параметры!K$54)</f>
        <v>3 кв. 2021</v>
      </c>
      <c r="L43" s="479" t="str">
        <f>CHOOSE($D$2,Параметры!L$53,Параметры!L$54)</f>
        <v>4 кв. 2021</v>
      </c>
      <c r="M43" s="479" t="str">
        <f>CHOOSE($D$2,Параметры!M$53,Параметры!M$54)</f>
        <v>1 кв. 2022</v>
      </c>
      <c r="N43" s="479" t="str">
        <f>CHOOSE($D$2,Параметры!N$53,Параметры!N$54)</f>
        <v>2 кв. 2022</v>
      </c>
      <c r="O43" s="479" t="str">
        <f>CHOOSE($D$2,Параметры!O$53,Параметры!O$54)</f>
        <v>3 кв. 2022</v>
      </c>
      <c r="P43" s="479" t="str">
        <f>CHOOSE($D$2,Параметры!P$53,Параметры!P$54)</f>
        <v>4 кв. 2022</v>
      </c>
      <c r="Q43" s="479" t="str">
        <f>CHOOSE($D$2,Параметры!Q$53,Параметры!Q$54)</f>
        <v>1 кв. 2023</v>
      </c>
      <c r="R43" s="479" t="str">
        <f>CHOOSE($D$2,Параметры!R$53,Параметры!R$54)</f>
        <v>2 кв. 2023</v>
      </c>
      <c r="S43" s="479" t="str">
        <f>CHOOSE($D$2,Параметры!S$53,Параметры!S$54)</f>
        <v>3 кв. 2023</v>
      </c>
      <c r="T43" s="479" t="str">
        <f>CHOOSE($D$2,Параметры!T$53,Параметры!T$54)</f>
        <v>4 кв. 2023</v>
      </c>
      <c r="U43" s="479" t="str">
        <f>CHOOSE($D$2,Параметры!U$53,Параметры!U$54)</f>
        <v>1 кв. 2024</v>
      </c>
      <c r="V43" s="479" t="str">
        <f>CHOOSE($D$2,Параметры!V$53,Параметры!V$54)</f>
        <v>2 кв. 2024</v>
      </c>
      <c r="W43" s="479" t="str">
        <f>CHOOSE($D$2,Параметры!W$53,Параметры!W$54)</f>
        <v>3 кв. 2024</v>
      </c>
      <c r="X43" s="479" t="str">
        <f>CHOOSE($D$2,Параметры!X$53,Параметры!X$54)</f>
        <v>4 кв. 2024</v>
      </c>
      <c r="Y43" s="479" t="str">
        <f>CHOOSE($D$2,Параметры!Y$53,Параметры!Y$54)</f>
        <v>1 кв. 2025</v>
      </c>
      <c r="Z43" s="479" t="str">
        <f>CHOOSE($D$2,Параметры!Z$53,Параметры!Z$54)</f>
        <v>2 кв. 2025</v>
      </c>
      <c r="AA43" s="479" t="str">
        <f>CHOOSE($D$2,Параметры!AA$53,Параметры!AA$54)</f>
        <v>3 кв. 2025</v>
      </c>
      <c r="AB43" s="479" t="str">
        <f>CHOOSE($D$2,Параметры!AB$53,Параметры!AB$54)</f>
        <v>4 кв. 2025</v>
      </c>
      <c r="AC43" s="479" t="str">
        <f>CHOOSE($D$2,Параметры!AC$53,Параметры!AC$54)</f>
        <v>1 кв. 2026</v>
      </c>
      <c r="AD43" s="479" t="str">
        <f>CHOOSE($D$2,Параметры!AD$53,Параметры!AD$54)</f>
        <v>2 кв. 2026</v>
      </c>
      <c r="AE43" s="479" t="str">
        <f>CHOOSE($D$2,Параметры!AE$53,Параметры!AE$54)</f>
        <v>3 кв. 2026</v>
      </c>
      <c r="AF43" s="479" t="str">
        <f>CHOOSE($D$2,Параметры!AF$53,Параметры!AF$54)</f>
        <v>4 кв. 2026</v>
      </c>
      <c r="AG43" s="479" t="str">
        <f>CHOOSE($D$2,Параметры!AG$53,Параметры!AG$54)</f>
        <v>1 кв. 2027</v>
      </c>
      <c r="AH43" s="479" t="str">
        <f>CHOOSE($D$2,Параметры!AH$53,Параметры!AH$54)</f>
        <v>2 кв. 2027</v>
      </c>
      <c r="AI43" s="479" t="str">
        <f>CHOOSE($D$2,Параметры!AI$53,Параметры!AI$54)</f>
        <v>3 кв. 2027</v>
      </c>
      <c r="AJ43" s="479" t="str">
        <f>CHOOSE($D$2,Параметры!AJ$53,Параметры!AJ$54)</f>
        <v>4 кв. 2027</v>
      </c>
      <c r="AK43" s="479" t="str">
        <f>CHOOSE($D$2,Параметры!AK$53,Параметры!AK$54)</f>
        <v>1 кв. 2028</v>
      </c>
      <c r="AL43" s="479" t="str">
        <f>CHOOSE($D$2,Параметры!AL$53,Параметры!AL$54)</f>
        <v>2 кв. 2028</v>
      </c>
      <c r="AM43" s="479" t="str">
        <f>CHOOSE($D$2,Параметры!AM$53,Параметры!AM$54)</f>
        <v>3 кв. 2028</v>
      </c>
      <c r="AN43" s="479" t="str">
        <f>CHOOSE($D$2,Параметры!AN$53,Параметры!AN$54)</f>
        <v>4 кв. 2028</v>
      </c>
      <c r="AO43" s="479" t="str">
        <f>CHOOSE($D$2,Параметры!AO$53,Параметры!AO$54)</f>
        <v>1 кв. 2029</v>
      </c>
      <c r="AP43" s="479" t="str">
        <f>CHOOSE($D$2,Параметры!AP$53,Параметры!AP$54)</f>
        <v>2 кв. 2029</v>
      </c>
      <c r="AQ43" s="479" t="str">
        <f>CHOOSE($D$2,Параметры!AQ$53,Параметры!AQ$54)</f>
        <v>3 кв. 2029</v>
      </c>
      <c r="AR43" s="479" t="str">
        <f>CHOOSE($D$2,Параметры!AR$53,Параметры!AR$54)</f>
        <v>4 кв. 2029</v>
      </c>
      <c r="AS43" s="485"/>
      <c r="AT43" s="485" t="s">
        <v>0</v>
      </c>
    </row>
    <row r="44" spans="1:46" x14ac:dyDescent="0.2">
      <c r="A44" s="44"/>
      <c r="D44" s="40"/>
    </row>
    <row r="45" spans="1:46" ht="19.5" x14ac:dyDescent="0.2">
      <c r="A45" s="44"/>
      <c r="B45" s="436" t="s">
        <v>1097</v>
      </c>
      <c r="D45" s="40"/>
    </row>
    <row r="46" spans="1:46" x14ac:dyDescent="0.2">
      <c r="A46" s="63" t="s">
        <v>402</v>
      </c>
      <c r="B46" s="443">
        <f ca="1">IFERROR(AVERAGEIF(Параметры!$E$46:OFFSET(Параметры!$E$46,0,Параметры!$B$24-1),"&gt;=" &amp; Деятельность_УК!$B$9,E46:OFFSET(E46,0,Параметры!$B$24-1))*Параметры!$B$13/Параметры!$B$12,0)</f>
        <v>1110669.2614918312</v>
      </c>
      <c r="C46" s="12" t="str">
        <f>Параметры!$C$126</f>
        <v>тыс. руб.</v>
      </c>
      <c r="D46" s="40"/>
      <c r="E46" s="82">
        <f ca="1">(Деятельность_УК!E$160+MAX(0,Деятельность_УК!E$333)+MIN(0,Деятельность_УК!E$333)+MAX(0,Деятельность_УК!E$338)+MIN(0,Деятельность_УК!E$338))/Параметры!E$126</f>
        <v>0</v>
      </c>
      <c r="F46" s="82">
        <f ca="1">(Деятельность_УК!F$160+MAX(0,Деятельность_УК!F$333)+MIN(0,Деятельность_УК!F$333)+MAX(0,Деятельность_УК!F$338)+MIN(0,Деятельность_УК!F$338))/Параметры!F$126</f>
        <v>0</v>
      </c>
      <c r="G46" s="82">
        <f ca="1">(Деятельность_УК!G$160+MAX(0,Деятельность_УК!G$333)+MIN(0,Деятельность_УК!G$333)+MAX(0,Деятельность_УК!G$338)+MIN(0,Деятельность_УК!G$338))/Параметры!G$126</f>
        <v>30085.588979895758</v>
      </c>
      <c r="H46" s="82">
        <f ca="1">(Деятельность_УК!H$160+MAX(0,Деятельность_УК!H$333)+MIN(0,Деятельность_УК!H$333)+MAX(0,Деятельность_УК!H$338)+MIN(0,Деятельность_УК!H$338))/Параметры!H$126</f>
        <v>41900.142504261865</v>
      </c>
      <c r="I46" s="82">
        <f ca="1">(Деятельность_УК!I$160+MAX(0,Деятельность_УК!I$333)+MIN(0,Деятельность_УК!I$333)+MAX(0,Деятельность_УК!I$338)+MIN(0,Деятельность_УК!I$338))/Параметры!I$126</f>
        <v>41900.142504261865</v>
      </c>
      <c r="J46" s="82">
        <f ca="1">(Деятельность_УК!J$160+MAX(0,Деятельность_УК!J$333)+MIN(0,Деятельность_УК!J$333)+MAX(0,Деятельность_УК!J$338)+MIN(0,Деятельность_УК!J$338))/Параметры!J$126</f>
        <v>42313.480944071518</v>
      </c>
      <c r="K46" s="82">
        <f ca="1">(Деятельность_УК!K$160+MAX(0,Деятельность_УК!K$333)+MIN(0,Деятельность_УК!K$333)+MAX(0,Деятельность_УК!K$338)+MIN(0,Деятельность_УК!K$338))/Параметры!K$126</f>
        <v>42730.89720481672</v>
      </c>
      <c r="L46" s="82">
        <f ca="1">(Деятельность_УК!L$160+MAX(0,Деятельность_УК!L$333)+MIN(0,Деятельность_УК!L$333)+MAX(0,Деятельность_УК!L$338)+MIN(0,Деятельность_УК!L$338))/Параметры!L$126</f>
        <v>43152.431519378304</v>
      </c>
      <c r="M46" s="82">
        <f ca="1">(Деятельность_УК!M$160+MAX(0,Деятельность_УК!M$333)+MIN(0,Деятельность_УК!M$333)+MAX(0,Деятельность_УК!M$338)+MIN(0,Деятельность_УК!M$338))/Параметры!M$126</f>
        <v>67525.279709913433</v>
      </c>
      <c r="N46" s="82">
        <f ca="1">(Деятельность_УК!N$160+MAX(0,Деятельность_УК!N$333)+MIN(0,Деятельность_УК!N$333)+MAX(0,Деятельность_УК!N$338)+MIN(0,Деятельность_УК!N$338))/Параметры!N$126</f>
        <v>68956.471243818596</v>
      </c>
      <c r="O46" s="82">
        <f ca="1">(Деятельность_УК!O$160+MAX(0,Деятельность_УК!O$333)+MIN(0,Деятельность_УК!O$333)+MAX(0,Деятельность_УК!O$338)+MIN(0,Деятельность_УК!O$338))/Параметры!O$126</f>
        <v>69638.039509066803</v>
      </c>
      <c r="P46" s="82">
        <f ca="1">(Деятельность_УК!P$160+MAX(0,Деятельность_УК!P$333)+MIN(0,Деятельность_УК!P$333)+MAX(0,Деятельность_УК!P$338)+MIN(0,Деятельность_УК!P$338))/Параметры!P$126</f>
        <v>70326.348122172989</v>
      </c>
      <c r="Q46" s="82">
        <f ca="1">(Деятельность_УК!Q$160+MAX(0,Деятельность_УК!Q$333)+MIN(0,Деятельность_УК!Q$333)+MAX(0,Деятельность_УК!Q$338)+MIN(0,Деятельность_УК!Q$338))/Параметры!Q$126</f>
        <v>83680.995215156421</v>
      </c>
      <c r="R46" s="82">
        <f ca="1">(Деятельность_УК!R$160+MAX(0,Деятельность_УК!R$333)+MIN(0,Деятельность_УК!R$333)+MAX(0,Деятельность_УК!R$338)+MIN(0,Деятельность_УК!R$338))/Параметры!R$126</f>
        <v>84945.395674033382</v>
      </c>
      <c r="S46" s="82">
        <f ca="1">(Деятельность_УК!S$160+MAX(0,Деятельность_УК!S$333)+MIN(0,Деятельность_УК!S$333)+MAX(0,Деятельность_УК!S$338)+MIN(0,Деятельность_УК!S$338))/Параметры!S$126</f>
        <v>85806.105548305291</v>
      </c>
      <c r="T46" s="82">
        <f ca="1">(Деятельность_УК!T$160+MAX(0,Деятельность_УК!T$333)+MIN(0,Деятельность_УК!T$333)+MAX(0,Деятельность_УК!T$338)+MIN(0,Деятельность_УК!T$338))/Параметры!T$126</f>
        <v>86675.588077928303</v>
      </c>
      <c r="U46" s="82">
        <f ca="1">(Деятельность_УК!U$160+MAX(0,Деятельность_УК!U$333)+MIN(0,Деятельность_УК!U$333)+MAX(0,Деятельность_УК!U$338)+MIN(0,Деятельность_УК!U$338))/Параметры!U$126</f>
        <v>267716.55570560164</v>
      </c>
      <c r="V46" s="82">
        <f ca="1">(Деятельность_УК!V$160+MAX(0,Деятельность_УК!V$333)+MIN(0,Деятельность_УК!V$333)+MAX(0,Деятельность_УК!V$338)+MIN(0,Деятельность_УК!V$338))/Параметры!V$126</f>
        <v>277595.63269303844</v>
      </c>
      <c r="W46" s="82">
        <f ca="1">(Деятельность_УК!W$160+MAX(0,Деятельность_УК!W$333)+MIN(0,Деятельность_УК!W$333)+MAX(0,Деятельность_УК!W$338)+MIN(0,Деятельность_УК!W$338))/Параметры!W$126</f>
        <v>280614.63761420298</v>
      </c>
      <c r="X46" s="82">
        <f ca="1">(Деятельность_УК!X$160+MAX(0,Деятельность_УК!X$333)+MIN(0,Деятельность_УК!X$333)+MAX(0,Деятельность_УК!X$338)+MIN(0,Деятельность_УК!X$338))/Параметры!X$126</f>
        <v>283666.69142678572</v>
      </c>
      <c r="Y46" s="82">
        <f ca="1">(Деятельность_УК!Y$160+MAX(0,Деятельность_УК!Y$333)+MIN(0,Деятельность_УК!Y$333)+MAX(0,Деятельность_УК!Y$338)+MIN(0,Деятельность_УК!Y$338))/Параметры!Y$126</f>
        <v>286752.15817767114</v>
      </c>
      <c r="Z46" s="82">
        <f ca="1">(Деятельность_УК!Z$160+MAX(0,Деятельность_УК!Z$333)+MIN(0,Деятельность_УК!Z$333)+MAX(0,Деятельность_УК!Z$338)+MIN(0,Деятельность_УК!Z$338))/Параметры!Z$126</f>
        <v>289815.11535476637</v>
      </c>
      <c r="AA46" s="82">
        <f ca="1">(Деятельность_УК!AA$160+MAX(0,Деятельность_УК!AA$333)+MIN(0,Деятельность_УК!AA$333)+MAX(0,Деятельность_УК!AA$338)+MIN(0,Деятельность_УК!AA$338))/Параметры!AA$126</f>
        <v>292910.93495932891</v>
      </c>
      <c r="AB46" s="82">
        <f ca="1">(Деятельность_УК!AB$160+MAX(0,Деятельность_УК!AB$333)+MIN(0,Деятельность_УК!AB$333)+MAX(0,Деятельность_УК!AB$338)+MIN(0,Деятельность_УК!AB$338))/Параметры!AB$126</f>
        <v>296039.97108160955</v>
      </c>
      <c r="AC46" s="82">
        <f ca="1">(Деятельность_УК!AC$160+MAX(0,Деятельность_УК!AC$333)+MIN(0,Деятельность_УК!AC$333)+MAX(0,Деятельность_УК!AC$338)+MIN(0,Деятельность_УК!AC$338))/Параметры!AC$126</f>
        <v>299202.58164277318</v>
      </c>
      <c r="AD46" s="82">
        <f ca="1">(Деятельность_УК!AD$160+MAX(0,Деятельность_УК!AD$333)+MIN(0,Деятельность_УК!AD$333)+MAX(0,Деятельность_УК!AD$338)+MIN(0,Деятельность_УК!AD$338))/Параметры!AD$126</f>
        <v>302402.18118839129</v>
      </c>
      <c r="AE46" s="82">
        <f ca="1">(Деятельность_УК!AE$160+MAX(0,Деятельность_УК!AE$333)+MIN(0,Деятельность_УК!AE$333)+MAX(0,Деятельность_УК!AE$338)+MIN(0,Деятельность_УК!AE$338))/Параметры!AE$126</f>
        <v>305636.15692080563</v>
      </c>
      <c r="AF46" s="82">
        <f ca="1">(Деятельность_УК!AF$160+MAX(0,Деятельность_УК!AF$333)+MIN(0,Деятельность_УК!AF$333)+MAX(0,Деятельность_УК!AF$338)+MIN(0,Деятельность_УК!AF$338))/Параметры!AF$126</f>
        <v>308904.87984283519</v>
      </c>
      <c r="AG46" s="82">
        <f ca="1">(Деятельность_УК!AG$160+MAX(0,Деятельность_УК!AG$333)+MIN(0,Деятельность_УК!AG$333)+MAX(0,Деятельность_УК!AG$338)+MIN(0,Деятельность_УК!AG$338))/Параметры!AG$126</f>
        <v>312208.72497859364</v>
      </c>
      <c r="AH46" s="82">
        <f ca="1">(Деятельность_УК!AH$160+MAX(0,Деятельность_УК!AH$333)+MIN(0,Деятельность_УК!AH$333)+MAX(0,Деятельность_УК!AH$338)+MIN(0,Деятельность_УК!AH$338))/Параметры!AH$126</f>
        <v>315543.45285127865</v>
      </c>
      <c r="AI46" s="82">
        <f ca="1">(Деятельность_УК!AI$160+MAX(0,Деятельность_УК!AI$333)+MIN(0,Деятельность_УК!AI$333)+MAX(0,Деятельность_УК!AI$338)+MIN(0,Деятельность_УК!AI$338))/Параметры!AI$126</f>
        <v>318913.97151362093</v>
      </c>
      <c r="AJ46" s="82">
        <f ca="1">(Деятельность_УК!AJ$160+MAX(0,Деятельность_УК!AJ$333)+MIN(0,Деятельность_УК!AJ$333)+MAX(0,Деятельность_УК!AJ$338)+MIN(0,Деятельность_УК!AJ$338))/Параметры!AJ$126</f>
        <v>322320.6668858279</v>
      </c>
      <c r="AK46" s="82">
        <f ca="1">(Деятельность_УК!AK$160+MAX(0,Деятельность_УК!AK$333)+MIN(0,Деятельность_УК!AK$333)+MAX(0,Деятельность_УК!AK$338)+MIN(0,Деятельность_УК!AK$338))/Параметры!AK$126</f>
        <v>312979.69675815559</v>
      </c>
      <c r="AL46" s="82">
        <f ca="1">(Деятельность_УК!AL$160+MAX(0,Деятельность_УК!AL$333)+MIN(0,Деятельность_УК!AL$333)+MAX(0,Деятельность_УК!AL$338)+MIN(0,Деятельность_УК!AL$338))/Параметры!AL$126</f>
        <v>316319.31777814403</v>
      </c>
      <c r="AM46" s="82">
        <f ca="1">(Деятельность_УК!AM$160+MAX(0,Деятельность_УК!AM$333)+MIN(0,Деятельность_УК!AM$333)+MAX(0,Деятельность_УК!AM$338)+MIN(0,Деятельность_УК!AM$338))/Параметры!AM$126</f>
        <v>320234.71894650528</v>
      </c>
      <c r="AN46" s="82">
        <f ca="1">(Деятельность_УК!AN$160+MAX(0,Деятельность_УК!AN$333)+MIN(0,Деятельность_УК!AN$333)+MAX(0,Деятельность_УК!AN$338)+MIN(0,Деятельность_УК!AN$338))/Параметры!AN$126</f>
        <v>323652.4710320388</v>
      </c>
      <c r="AO46" s="82">
        <f ca="1">(Деятельность_УК!AO$160+MAX(0,Деятельность_УК!AO$333)+MIN(0,Деятельность_УК!AO$333)+MAX(0,Деятельность_УК!AO$338)+MIN(0,Деятельность_УК!AO$338))/Параметры!AO$126</f>
        <v>150972.39097368909</v>
      </c>
      <c r="AP46" s="82">
        <f ca="1">(Деятельность_УК!AP$160+MAX(0,Деятельность_УК!AP$333)+MIN(0,Деятельность_УК!AP$333)+MAX(0,Деятельность_УК!AP$338)+MIN(0,Деятельность_УК!AP$338))/Параметры!AP$126</f>
        <v>152463.25011768469</v>
      </c>
      <c r="AQ46" s="82">
        <f ca="1">(Деятельность_УК!AQ$160+MAX(0,Деятельность_УК!AQ$333)+MIN(0,Деятельность_УК!AQ$333)+MAX(0,Деятельность_УК!AQ$338)+MIN(0,Деятельность_УК!AQ$338))/Параметры!AQ$126</f>
        <v>162764.76555442359</v>
      </c>
      <c r="AR46" s="82">
        <f ca="1">(Деятельность_УК!AR$160+MAX(0,Деятельность_УК!AR$333)+MIN(0,Деятельность_УК!AR$333)+MAX(0,Деятельность_УК!AR$338)+MIN(0,Деятельность_УК!AR$338))/Параметры!AR$126</f>
        <v>164384.6449532152</v>
      </c>
      <c r="AS46" s="82"/>
      <c r="AT46" s="30">
        <f t="shared" ref="AT46:AT54" ca="1" si="17">SUM(E46:AS46)</f>
        <v>7523652.4757080674</v>
      </c>
    </row>
    <row r="47" spans="1:46" x14ac:dyDescent="0.2">
      <c r="A47" s="63" t="s">
        <v>258</v>
      </c>
      <c r="B47" s="443">
        <f ca="1">IFERROR(AVERAGEIF(Параметры!$E$46:OFFSET(Параметры!$E$46,0,Параметры!$B$24-1),"&gt;=" &amp; Деятельность_УК!$B$9,E47:OFFSET(E47,0,Параметры!$B$24-1))*Параметры!$B$13/Параметры!$B$12,0)</f>
        <v>0</v>
      </c>
      <c r="C47" s="12" t="str">
        <f>Параметры!$C$126</f>
        <v>тыс. руб.</v>
      </c>
      <c r="D47" s="40"/>
      <c r="E47" s="82">
        <f>(MAX(0,Деятельность_УК!E$343)+MIN(0,Деятельность_УК!E$343)+MAX(0,Деятельность_УК!E$348)+MIN(0,Деятельность_УК!E$348)+MAX(0,Деятельность_УК!E$353)+MIN(0,Деятельность_УК!E$353)+MAX(0,Деятельность_УК!E$358)+MIN(0,Деятельность_УК!E$358)+MAX(0,Деятельность_УК!E$363)+MIN(0,Деятельность_УК!E$363))/Параметры!E$126</f>
        <v>0</v>
      </c>
      <c r="F47" s="82">
        <f>(MAX(0,Деятельность_УК!F$343)+MIN(0,Деятельность_УК!F$343)+MAX(0,Деятельность_УК!F$348)+MIN(0,Деятельность_УК!F$348)+MAX(0,Деятельность_УК!F$353)+MIN(0,Деятельность_УК!F$353)+MAX(0,Деятельность_УК!F$358)+MIN(0,Деятельность_УК!F$358)+MAX(0,Деятельность_УК!F$363)+MIN(0,Деятельность_УК!F$363))/Параметры!F$126</f>
        <v>0</v>
      </c>
      <c r="G47" s="82">
        <f>(MAX(0,Деятельность_УК!G$343)+MIN(0,Деятельность_УК!G$343)+MAX(0,Деятельность_УК!G$348)+MIN(0,Деятельность_УК!G$348)+MAX(0,Деятельность_УК!G$353)+MIN(0,Деятельность_УК!G$353)+MAX(0,Деятельность_УК!G$358)+MIN(0,Деятельность_УК!G$358)+MAX(0,Деятельность_УК!G$363)+MIN(0,Деятельность_УК!G$363))/Параметры!G$126</f>
        <v>0</v>
      </c>
      <c r="H47" s="82">
        <f>(MAX(0,Деятельность_УК!H$343)+MIN(0,Деятельность_УК!H$343)+MAX(0,Деятельность_УК!H$348)+MIN(0,Деятельность_УК!H$348)+MAX(0,Деятельность_УК!H$353)+MIN(0,Деятельность_УК!H$353)+MAX(0,Деятельность_УК!H$358)+MIN(0,Деятельность_УК!H$358)+MAX(0,Деятельность_УК!H$363)+MIN(0,Деятельность_УК!H$363))/Параметры!H$126</f>
        <v>0</v>
      </c>
      <c r="I47" s="82">
        <f>(MAX(0,Деятельность_УК!I$343)+MIN(0,Деятельность_УК!I$343)+MAX(0,Деятельность_УК!I$348)+MIN(0,Деятельность_УК!I$348)+MAX(0,Деятельность_УК!I$353)+MIN(0,Деятельность_УК!I$353)+MAX(0,Деятельность_УК!I$358)+MIN(0,Деятельность_УК!I$358)+MAX(0,Деятельность_УК!I$363)+MIN(0,Деятельность_УК!I$363))/Параметры!I$126</f>
        <v>0</v>
      </c>
      <c r="J47" s="82">
        <f>(MAX(0,Деятельность_УК!J$343)+MIN(0,Деятельность_УК!J$343)+MAX(0,Деятельность_УК!J$348)+MIN(0,Деятельность_УК!J$348)+MAX(0,Деятельность_УК!J$353)+MIN(0,Деятельность_УК!J$353)+MAX(0,Деятельность_УК!J$358)+MIN(0,Деятельность_УК!J$358)+MAX(0,Деятельность_УК!J$363)+MIN(0,Деятельность_УК!J$363))/Параметры!J$126</f>
        <v>0</v>
      </c>
      <c r="K47" s="82">
        <f>(MAX(0,Деятельность_УК!K$343)+MIN(0,Деятельность_УК!K$343)+MAX(0,Деятельность_УК!K$348)+MIN(0,Деятельность_УК!K$348)+MAX(0,Деятельность_УК!K$353)+MIN(0,Деятельность_УК!K$353)+MAX(0,Деятельность_УК!K$358)+MIN(0,Деятельность_УК!K$358)+MAX(0,Деятельность_УК!K$363)+MIN(0,Деятельность_УК!K$363))/Параметры!K$126</f>
        <v>0</v>
      </c>
      <c r="L47" s="82">
        <f>(MAX(0,Деятельность_УК!L$343)+MIN(0,Деятельность_УК!L$343)+MAX(0,Деятельность_УК!L$348)+MIN(0,Деятельность_УК!L$348)+MAX(0,Деятельность_УК!L$353)+MIN(0,Деятельность_УК!L$353)+MAX(0,Деятельность_УК!L$358)+MIN(0,Деятельность_УК!L$358)+MAX(0,Деятельность_УК!L$363)+MIN(0,Деятельность_УК!L$363))/Параметры!L$126</f>
        <v>0</v>
      </c>
      <c r="M47" s="82">
        <f>(MAX(0,Деятельность_УК!M$343)+MIN(0,Деятельность_УК!M$343)+MAX(0,Деятельность_УК!M$348)+MIN(0,Деятельность_УК!M$348)+MAX(0,Деятельность_УК!M$353)+MIN(0,Деятельность_УК!M$353)+MAX(0,Деятельность_УК!M$358)+MIN(0,Деятельность_УК!M$358)+MAX(0,Деятельность_УК!M$363)+MIN(0,Деятельность_УК!M$363))/Параметры!M$126</f>
        <v>0</v>
      </c>
      <c r="N47" s="82">
        <f>(MAX(0,Деятельность_УК!N$343)+MIN(0,Деятельность_УК!N$343)+MAX(0,Деятельность_УК!N$348)+MIN(0,Деятельность_УК!N$348)+MAX(0,Деятельность_УК!N$353)+MIN(0,Деятельность_УК!N$353)+MAX(0,Деятельность_УК!N$358)+MIN(0,Деятельность_УК!N$358)+MAX(0,Деятельность_УК!N$363)+MIN(0,Деятельность_УК!N$363))/Параметры!N$126</f>
        <v>0</v>
      </c>
      <c r="O47" s="82">
        <f>(MAX(0,Деятельность_УК!O$343)+MIN(0,Деятельность_УК!O$343)+MAX(0,Деятельность_УК!O$348)+MIN(0,Деятельность_УК!O$348)+MAX(0,Деятельность_УК!O$353)+MIN(0,Деятельность_УК!O$353)+MAX(0,Деятельность_УК!O$358)+MIN(0,Деятельность_УК!O$358)+MAX(0,Деятельность_УК!O$363)+MIN(0,Деятельность_УК!O$363))/Параметры!O$126</f>
        <v>0</v>
      </c>
      <c r="P47" s="82">
        <f>(MAX(0,Деятельность_УК!P$343)+MIN(0,Деятельность_УК!P$343)+MAX(0,Деятельность_УК!P$348)+MIN(0,Деятельность_УК!P$348)+MAX(0,Деятельность_УК!P$353)+MIN(0,Деятельность_УК!P$353)+MAX(0,Деятельность_УК!P$358)+MIN(0,Деятельность_УК!P$358)+MAX(0,Деятельность_УК!P$363)+MIN(0,Деятельность_УК!P$363))/Параметры!P$126</f>
        <v>0</v>
      </c>
      <c r="Q47" s="82">
        <f>(MAX(0,Деятельность_УК!Q$343)+MIN(0,Деятельность_УК!Q$343)+MAX(0,Деятельность_УК!Q$348)+MIN(0,Деятельность_УК!Q$348)+MAX(0,Деятельность_УК!Q$353)+MIN(0,Деятельность_УК!Q$353)+MAX(0,Деятельность_УК!Q$358)+MIN(0,Деятельность_УК!Q$358)+MAX(0,Деятельность_УК!Q$363)+MIN(0,Деятельность_УК!Q$363))/Параметры!Q$126</f>
        <v>0</v>
      </c>
      <c r="R47" s="82">
        <f>(MAX(0,Деятельность_УК!R$343)+MIN(0,Деятельность_УК!R$343)+MAX(0,Деятельность_УК!R$348)+MIN(0,Деятельность_УК!R$348)+MAX(0,Деятельность_УК!R$353)+MIN(0,Деятельность_УК!R$353)+MAX(0,Деятельность_УК!R$358)+MIN(0,Деятельность_УК!R$358)+MAX(0,Деятельность_УК!R$363)+MIN(0,Деятельность_УК!R$363))/Параметры!R$126</f>
        <v>0</v>
      </c>
      <c r="S47" s="82">
        <f>(MAX(0,Деятельность_УК!S$343)+MIN(0,Деятельность_УК!S$343)+MAX(0,Деятельность_УК!S$348)+MIN(0,Деятельность_УК!S$348)+MAX(0,Деятельность_УК!S$353)+MIN(0,Деятельность_УК!S$353)+MAX(0,Деятельность_УК!S$358)+MIN(0,Деятельность_УК!S$358)+MAX(0,Деятельность_УК!S$363)+MIN(0,Деятельность_УК!S$363))/Параметры!S$126</f>
        <v>0</v>
      </c>
      <c r="T47" s="82">
        <f>(MAX(0,Деятельность_УК!T$343)+MIN(0,Деятельность_УК!T$343)+MAX(0,Деятельность_УК!T$348)+MIN(0,Деятельность_УК!T$348)+MAX(0,Деятельность_УК!T$353)+MIN(0,Деятельность_УК!T$353)+MAX(0,Деятельность_УК!T$358)+MIN(0,Деятельность_УК!T$358)+MAX(0,Деятельность_УК!T$363)+MIN(0,Деятельность_УК!T$363))/Параметры!T$126</f>
        <v>0</v>
      </c>
      <c r="U47" s="82">
        <f>(MAX(0,Деятельность_УК!U$343)+MIN(0,Деятельность_УК!U$343)+MAX(0,Деятельность_УК!U$348)+MIN(0,Деятельность_УК!U$348)+MAX(0,Деятельность_УК!U$353)+MIN(0,Деятельность_УК!U$353)+MAX(0,Деятельность_УК!U$358)+MIN(0,Деятельность_УК!U$358)+MAX(0,Деятельность_УК!U$363)+MIN(0,Деятельность_УК!U$363))/Параметры!U$126</f>
        <v>0</v>
      </c>
      <c r="V47" s="82">
        <f>(MAX(0,Деятельность_УК!V$343)+MIN(0,Деятельность_УК!V$343)+MAX(0,Деятельность_УК!V$348)+MIN(0,Деятельность_УК!V$348)+MAX(0,Деятельность_УК!V$353)+MIN(0,Деятельность_УК!V$353)+MAX(0,Деятельность_УК!V$358)+MIN(0,Деятельность_УК!V$358)+MAX(0,Деятельность_УК!V$363)+MIN(0,Деятельность_УК!V$363))/Параметры!V$126</f>
        <v>0</v>
      </c>
      <c r="W47" s="82">
        <f>(MAX(0,Деятельность_УК!W$343)+MIN(0,Деятельность_УК!W$343)+MAX(0,Деятельность_УК!W$348)+MIN(0,Деятельность_УК!W$348)+MAX(0,Деятельность_УК!W$353)+MIN(0,Деятельность_УК!W$353)+MAX(0,Деятельность_УК!W$358)+MIN(0,Деятельность_УК!W$358)+MAX(0,Деятельность_УК!W$363)+MIN(0,Деятельность_УК!W$363))/Параметры!W$126</f>
        <v>0</v>
      </c>
      <c r="X47" s="82">
        <f>(MAX(0,Деятельность_УК!X$343)+MIN(0,Деятельность_УК!X$343)+MAX(0,Деятельность_УК!X$348)+MIN(0,Деятельность_УК!X$348)+MAX(0,Деятельность_УК!X$353)+MIN(0,Деятельность_УК!X$353)+MAX(0,Деятельность_УК!X$358)+MIN(0,Деятельность_УК!X$358)+MAX(0,Деятельность_УК!X$363)+MIN(0,Деятельность_УК!X$363))/Параметры!X$126</f>
        <v>0</v>
      </c>
      <c r="Y47" s="82">
        <f>(MAX(0,Деятельность_УК!Y$343)+MIN(0,Деятельность_УК!Y$343)+MAX(0,Деятельность_УК!Y$348)+MIN(0,Деятельность_УК!Y$348)+MAX(0,Деятельность_УК!Y$353)+MIN(0,Деятельность_УК!Y$353)+MAX(0,Деятельность_УК!Y$358)+MIN(0,Деятельность_УК!Y$358)+MAX(0,Деятельность_УК!Y$363)+MIN(0,Деятельность_УК!Y$363))/Параметры!Y$126</f>
        <v>0</v>
      </c>
      <c r="Z47" s="82">
        <f>(MAX(0,Деятельность_УК!Z$343)+MIN(0,Деятельность_УК!Z$343)+MAX(0,Деятельность_УК!Z$348)+MIN(0,Деятельность_УК!Z$348)+MAX(0,Деятельность_УК!Z$353)+MIN(0,Деятельность_УК!Z$353)+MAX(0,Деятельность_УК!Z$358)+MIN(0,Деятельность_УК!Z$358)+MAX(0,Деятельность_УК!Z$363)+MIN(0,Деятельность_УК!Z$363))/Параметры!Z$126</f>
        <v>0</v>
      </c>
      <c r="AA47" s="82">
        <f>(MAX(0,Деятельность_УК!AA$343)+MIN(0,Деятельность_УК!AA$343)+MAX(0,Деятельность_УК!AA$348)+MIN(0,Деятельность_УК!AA$348)+MAX(0,Деятельность_УК!AA$353)+MIN(0,Деятельность_УК!AA$353)+MAX(0,Деятельность_УК!AA$358)+MIN(0,Деятельность_УК!AA$358)+MAX(0,Деятельность_УК!AA$363)+MIN(0,Деятельность_УК!AA$363))/Параметры!AA$126</f>
        <v>0</v>
      </c>
      <c r="AB47" s="82">
        <f>(MAX(0,Деятельность_УК!AB$343)+MIN(0,Деятельность_УК!AB$343)+MAX(0,Деятельность_УК!AB$348)+MIN(0,Деятельность_УК!AB$348)+MAX(0,Деятельность_УК!AB$353)+MIN(0,Деятельность_УК!AB$353)+MAX(0,Деятельность_УК!AB$358)+MIN(0,Деятельность_УК!AB$358)+MAX(0,Деятельность_УК!AB$363)+MIN(0,Деятельность_УК!AB$363))/Параметры!AB$126</f>
        <v>0</v>
      </c>
      <c r="AC47" s="82">
        <f>(MAX(0,Деятельность_УК!AC$343)+MIN(0,Деятельность_УК!AC$343)+MAX(0,Деятельность_УК!AC$348)+MIN(0,Деятельность_УК!AC$348)+MAX(0,Деятельность_УК!AC$353)+MIN(0,Деятельность_УК!AC$353)+MAX(0,Деятельность_УК!AC$358)+MIN(0,Деятельность_УК!AC$358)+MAX(0,Деятельность_УК!AC$363)+MIN(0,Деятельность_УК!AC$363))/Параметры!AC$126</f>
        <v>0</v>
      </c>
      <c r="AD47" s="82">
        <f>(MAX(0,Деятельность_УК!AD$343)+MIN(0,Деятельность_УК!AD$343)+MAX(0,Деятельность_УК!AD$348)+MIN(0,Деятельность_УК!AD$348)+MAX(0,Деятельность_УК!AD$353)+MIN(0,Деятельность_УК!AD$353)+MAX(0,Деятельность_УК!AD$358)+MIN(0,Деятельность_УК!AD$358)+MAX(0,Деятельность_УК!AD$363)+MIN(0,Деятельность_УК!AD$363))/Параметры!AD$126</f>
        <v>0</v>
      </c>
      <c r="AE47" s="82">
        <f>(MAX(0,Деятельность_УК!AE$343)+MIN(0,Деятельность_УК!AE$343)+MAX(0,Деятельность_УК!AE$348)+MIN(0,Деятельность_УК!AE$348)+MAX(0,Деятельность_УК!AE$353)+MIN(0,Деятельность_УК!AE$353)+MAX(0,Деятельность_УК!AE$358)+MIN(0,Деятельность_УК!AE$358)+MAX(0,Деятельность_УК!AE$363)+MIN(0,Деятельность_УК!AE$363))/Параметры!AE$126</f>
        <v>0</v>
      </c>
      <c r="AF47" s="82">
        <f>(MAX(0,Деятельность_УК!AF$343)+MIN(0,Деятельность_УК!AF$343)+MAX(0,Деятельность_УК!AF$348)+MIN(0,Деятельность_УК!AF$348)+MAX(0,Деятельность_УК!AF$353)+MIN(0,Деятельность_УК!AF$353)+MAX(0,Деятельность_УК!AF$358)+MIN(0,Деятельность_УК!AF$358)+MAX(0,Деятельность_УК!AF$363)+MIN(0,Деятельность_УК!AF$363))/Параметры!AF$126</f>
        <v>0</v>
      </c>
      <c r="AG47" s="82">
        <f>(MAX(0,Деятельность_УК!AG$343)+MIN(0,Деятельность_УК!AG$343)+MAX(0,Деятельность_УК!AG$348)+MIN(0,Деятельность_УК!AG$348)+MAX(0,Деятельность_УК!AG$353)+MIN(0,Деятельность_УК!AG$353)+MAX(0,Деятельность_УК!AG$358)+MIN(0,Деятельность_УК!AG$358)+MAX(0,Деятельность_УК!AG$363)+MIN(0,Деятельность_УК!AG$363))/Параметры!AG$126</f>
        <v>0</v>
      </c>
      <c r="AH47" s="82">
        <f>(MAX(0,Деятельность_УК!AH$343)+MIN(0,Деятельность_УК!AH$343)+MAX(0,Деятельность_УК!AH$348)+MIN(0,Деятельность_УК!AH$348)+MAX(0,Деятельность_УК!AH$353)+MIN(0,Деятельность_УК!AH$353)+MAX(0,Деятельность_УК!AH$358)+MIN(0,Деятельность_УК!AH$358)+MAX(0,Деятельность_УК!AH$363)+MIN(0,Деятельность_УК!AH$363))/Параметры!AH$126</f>
        <v>0</v>
      </c>
      <c r="AI47" s="82">
        <f>(MAX(0,Деятельность_УК!AI$343)+MIN(0,Деятельность_УК!AI$343)+MAX(0,Деятельность_УК!AI$348)+MIN(0,Деятельность_УК!AI$348)+MAX(0,Деятельность_УК!AI$353)+MIN(0,Деятельность_УК!AI$353)+MAX(0,Деятельность_УК!AI$358)+MIN(0,Деятельность_УК!AI$358)+MAX(0,Деятельность_УК!AI$363)+MIN(0,Деятельность_УК!AI$363))/Параметры!AI$126</f>
        <v>0</v>
      </c>
      <c r="AJ47" s="82">
        <f>(MAX(0,Деятельность_УК!AJ$343)+MIN(0,Деятельность_УК!AJ$343)+MAX(0,Деятельность_УК!AJ$348)+MIN(0,Деятельность_УК!AJ$348)+MAX(0,Деятельность_УК!AJ$353)+MIN(0,Деятельность_УК!AJ$353)+MAX(0,Деятельность_УК!AJ$358)+MIN(0,Деятельность_УК!AJ$358)+MAX(0,Деятельность_УК!AJ$363)+MIN(0,Деятельность_УК!AJ$363))/Параметры!AJ$126</f>
        <v>0</v>
      </c>
      <c r="AK47" s="82">
        <f>(MAX(0,Деятельность_УК!AK$343)+MIN(0,Деятельность_УК!AK$343)+MAX(0,Деятельность_УК!AK$348)+MIN(0,Деятельность_УК!AK$348)+MAX(0,Деятельность_УК!AK$353)+MIN(0,Деятельность_УК!AK$353)+MAX(0,Деятельность_УК!AK$358)+MIN(0,Деятельность_УК!AK$358)+MAX(0,Деятельность_УК!AK$363)+MIN(0,Деятельность_УК!AK$363))/Параметры!AK$126</f>
        <v>0</v>
      </c>
      <c r="AL47" s="82">
        <f>(MAX(0,Деятельность_УК!AL$343)+MIN(0,Деятельность_УК!AL$343)+MAX(0,Деятельность_УК!AL$348)+MIN(0,Деятельность_УК!AL$348)+MAX(0,Деятельность_УК!AL$353)+MIN(0,Деятельность_УК!AL$353)+MAX(0,Деятельность_УК!AL$358)+MIN(0,Деятельность_УК!AL$358)+MAX(0,Деятельность_УК!AL$363)+MIN(0,Деятельность_УК!AL$363))/Параметры!AL$126</f>
        <v>0</v>
      </c>
      <c r="AM47" s="82">
        <f>(MAX(0,Деятельность_УК!AM$343)+MIN(0,Деятельность_УК!AM$343)+MAX(0,Деятельность_УК!AM$348)+MIN(0,Деятельность_УК!AM$348)+MAX(0,Деятельность_УК!AM$353)+MIN(0,Деятельность_УК!AM$353)+MAX(0,Деятельность_УК!AM$358)+MIN(0,Деятельность_УК!AM$358)+MAX(0,Деятельность_УК!AM$363)+MIN(0,Деятельность_УК!AM$363))/Параметры!AM$126</f>
        <v>0</v>
      </c>
      <c r="AN47" s="82">
        <f>(MAX(0,Деятельность_УК!AN$343)+MIN(0,Деятельность_УК!AN$343)+MAX(0,Деятельность_УК!AN$348)+MIN(0,Деятельность_УК!AN$348)+MAX(0,Деятельность_УК!AN$353)+MIN(0,Деятельность_УК!AN$353)+MAX(0,Деятельность_УК!AN$358)+MIN(0,Деятельность_УК!AN$358)+MAX(0,Деятельность_УК!AN$363)+MIN(0,Деятельность_УК!AN$363))/Параметры!AN$126</f>
        <v>0</v>
      </c>
      <c r="AO47" s="82">
        <f>(MAX(0,Деятельность_УК!AO$343)+MIN(0,Деятельность_УК!AO$343)+MAX(0,Деятельность_УК!AO$348)+MIN(0,Деятельность_УК!AO$348)+MAX(0,Деятельность_УК!AO$353)+MIN(0,Деятельность_УК!AO$353)+MAX(0,Деятельность_УК!AO$358)+MIN(0,Деятельность_УК!AO$358)+MAX(0,Деятельность_УК!AO$363)+MIN(0,Деятельность_УК!AO$363))/Параметры!AO$126</f>
        <v>0</v>
      </c>
      <c r="AP47" s="82">
        <f>(MAX(0,Деятельность_УК!AP$343)+MIN(0,Деятельность_УК!AP$343)+MAX(0,Деятельность_УК!AP$348)+MIN(0,Деятельность_УК!AP$348)+MAX(0,Деятельность_УК!AP$353)+MIN(0,Деятельность_УК!AP$353)+MAX(0,Деятельность_УК!AP$358)+MIN(0,Деятельность_УК!AP$358)+MAX(0,Деятельность_УК!AP$363)+MIN(0,Деятельность_УК!AP$363))/Параметры!AP$126</f>
        <v>0</v>
      </c>
      <c r="AQ47" s="82">
        <f>(MAX(0,Деятельность_УК!AQ$343)+MIN(0,Деятельность_УК!AQ$343)+MAX(0,Деятельность_УК!AQ$348)+MIN(0,Деятельность_УК!AQ$348)+MAX(0,Деятельность_УК!AQ$353)+MIN(0,Деятельность_УК!AQ$353)+MAX(0,Деятельность_УК!AQ$358)+MIN(0,Деятельность_УК!AQ$358)+MAX(0,Деятельность_УК!AQ$363)+MIN(0,Деятельность_УК!AQ$363))/Параметры!AQ$126</f>
        <v>0</v>
      </c>
      <c r="AR47" s="82">
        <f>(MAX(0,Деятельность_УК!AR$343)+MIN(0,Деятельность_УК!AR$343)+MAX(0,Деятельность_УК!AR$348)+MIN(0,Деятельность_УК!AR$348)+MAX(0,Деятельность_УК!AR$353)+MIN(0,Деятельность_УК!AR$353)+MAX(0,Деятельность_УК!AR$358)+MIN(0,Деятельность_УК!AR$358)+MAX(0,Деятельность_УК!AR$363)+MIN(0,Деятельность_УК!AR$363))/Параметры!AR$126</f>
        <v>0</v>
      </c>
      <c r="AS47" s="82"/>
      <c r="AT47" s="30">
        <f t="shared" si="17"/>
        <v>0</v>
      </c>
    </row>
    <row r="48" spans="1:46" x14ac:dyDescent="0.2">
      <c r="A48" s="63" t="s">
        <v>259</v>
      </c>
      <c r="B48" s="443">
        <f ca="1">IFERROR(AVERAGEIF(Параметры!$E$46:OFFSET(Параметры!$E$46,0,Параметры!$B$24-1),"&gt;=" &amp; Деятельность_УК!$B$9,E48:OFFSET(E48,0,Параметры!$B$24-1))*Параметры!$B$13/Параметры!$B$12,0)</f>
        <v>-33922.484438441112</v>
      </c>
      <c r="C48" s="12" t="str">
        <f>Параметры!$C$126</f>
        <v>тыс. руб.</v>
      </c>
      <c r="D48" s="40"/>
      <c r="E48" s="82">
        <f>(-Деятельность_УК!E$232+MAX(0,Деятельность_УК!E$369)+MIN(0,Деятельность_УК!E$369))/Параметры!E$126</f>
        <v>-867.70500000000004</v>
      </c>
      <c r="F48" s="82">
        <f ca="1">(-Деятельность_УК!F$232+MAX(0,Деятельность_УК!F$369)+MIN(0,Деятельность_УК!F$369))/Параметры!F$126</f>
        <v>-1041.2460000000001</v>
      </c>
      <c r="G48" s="82">
        <f ca="1">(-Деятельность_УК!G$232+MAX(0,Деятельность_УК!G$369)+MIN(0,Деятельность_УК!G$369))/Параметры!G$126</f>
        <v>-1041.2460000000001</v>
      </c>
      <c r="H48" s="82">
        <f ca="1">(-Деятельность_УК!H$232+MAX(0,Деятельность_УК!H$369)+MIN(0,Деятельность_УК!H$369))/Параметры!H$126</f>
        <v>-2053.5684999999999</v>
      </c>
      <c r="I48" s="82">
        <f ca="1">(-Деятельность_УК!I$232+MAX(0,Деятельность_УК!I$369)+MIN(0,Деятельность_УК!I$369))/Параметры!I$126</f>
        <v>-2256.0329999999999</v>
      </c>
      <c r="J48" s="82">
        <f ca="1">(-Деятельность_УК!J$232+MAX(0,Деятельность_УК!J$369)+MIN(0,Деятельность_УК!J$369))/Параметры!J$126</f>
        <v>-2286.1513036321985</v>
      </c>
      <c r="K48" s="82">
        <f ca="1">(-Деятельность_УК!K$232+MAX(0,Деятельность_УК!K$369)+MIN(0,Деятельность_УК!K$369))/Параметры!K$126</f>
        <v>-4717.1265465813613</v>
      </c>
      <c r="L48" s="82">
        <f ca="1">(-Деятельность_УК!L$232+MAX(0,Деятельность_УК!L$369)+MIN(0,Деятельность_УК!L$369))/Параметры!L$126</f>
        <v>-5271.5657297804219</v>
      </c>
      <c r="M48" s="82">
        <f ca="1">(-Деятельность_УК!M$232+MAX(0,Деятельность_УК!M$369)+MIN(0,Деятельность_УК!M$369))/Параметры!M$126</f>
        <v>-5356.0169504495971</v>
      </c>
      <c r="N48" s="82">
        <f ca="1">(-Деятельность_УК!N$232+MAX(0,Деятельность_УК!N$369)+MIN(0,Деятельность_УК!N$369))/Параметры!N$126</f>
        <v>-5445.5789700941441</v>
      </c>
      <c r="O48" s="82">
        <f ca="1">(-Деятельность_УК!O$232+MAX(0,Деятельность_УК!O$369)+MIN(0,Деятельность_УК!O$369))/Параметры!O$126</f>
        <v>-5537.3907188882504</v>
      </c>
      <c r="P48" s="82">
        <f ca="1">(-Деятельность_УК!P$232+MAX(0,Деятельность_УК!P$369)+MIN(0,Деятельность_УК!P$369))/Параметры!P$126</f>
        <v>-6282.0121296252428</v>
      </c>
      <c r="Q48" s="82">
        <f ca="1">(-Деятельность_УК!Q$232+MAX(0,Деятельность_УК!Q$369)+MIN(0,Деятельность_УК!Q$369))/Параметры!Q$126</f>
        <v>-6518.1783776029506</v>
      </c>
      <c r="R48" s="82">
        <f ca="1">(-Деятельность_УК!R$232+MAX(0,Деятельность_УК!R$369)+MIN(0,Деятельность_УК!R$369))/Параметры!R$126</f>
        <v>-6626.9163456575216</v>
      </c>
      <c r="S48" s="82">
        <f ca="1">(-Деятельность_УК!S$232+MAX(0,Деятельность_УК!S$369)+MIN(0,Деятельность_УК!S$369))/Параметры!S$126</f>
        <v>-6737.2368162911362</v>
      </c>
      <c r="T48" s="82">
        <f ca="1">(-Деятельность_УК!T$232+MAX(0,Деятельность_УК!T$369)+MIN(0,Деятельность_УК!T$369))/Параметры!T$126</f>
        <v>-6849.3938283274192</v>
      </c>
      <c r="U48" s="82">
        <f ca="1">(-Деятельность_УК!U$232+MAX(0,Деятельность_УК!U$369)+MIN(0,Деятельность_УК!U$369))/Параметры!U$126</f>
        <v>-6963.4179552791957</v>
      </c>
      <c r="V48" s="82">
        <f ca="1">(-Деятельность_УК!V$232+MAX(0,Деятельность_УК!V$369)+MIN(0,Деятельность_УК!V$369))/Параметры!V$126</f>
        <v>-7081.1714354356372</v>
      </c>
      <c r="W48" s="82">
        <f ca="1">(-Деятельность_УК!W$232+MAX(0,Деятельность_УК!W$369)+MIN(0,Деятельность_УК!W$369))/Параметры!W$126</f>
        <v>-7201.2824880496264</v>
      </c>
      <c r="X48" s="82">
        <f ca="1">(-Деятельность_УК!X$232+MAX(0,Деятельность_УК!X$369)+MIN(0,Деятельность_УК!X$369))/Параметры!X$126</f>
        <v>-7323.4308681159391</v>
      </c>
      <c r="Y48" s="82">
        <f ca="1">(-Деятельность_УК!Y$232+MAX(0,Деятельность_УК!Y$369)+MIN(0,Деятельность_УК!Y$369))/Параметры!Y$126</f>
        <v>-7447.6511328469069</v>
      </c>
      <c r="Z48" s="82">
        <f ca="1">(-Деятельность_УК!Z$232+MAX(0,Деятельность_УК!Z$369)+MIN(0,Деятельность_УК!Z$369))/Параметры!Z$126</f>
        <v>-7572.6814558892929</v>
      </c>
      <c r="AA48" s="82">
        <f ca="1">(-Деятельность_УК!AA$232+MAX(0,Деятельность_УК!AA$369)+MIN(0,Деятельность_УК!AA$369))/Параметры!AA$126</f>
        <v>-7699.5514242964464</v>
      </c>
      <c r="AB48" s="82">
        <f ca="1">(-Деятельность_УК!AB$232+MAX(0,Деятельность_УК!AB$369)+MIN(0,Деятельность_УК!AB$369))/Параметры!AB$126</f>
        <v>-7828.5469263045297</v>
      </c>
      <c r="AC48" s="82">
        <f ca="1">(-Деятельность_УК!AC$232+MAX(0,Деятельность_УК!AC$369)+MIN(0,Деятельность_УК!AC$369))/Параметры!AC$126</f>
        <v>-7959.7035723353411</v>
      </c>
      <c r="AD48" s="82">
        <f ca="1">(-Деятельность_УК!AD$232+MAX(0,Деятельность_УК!AD$369)+MIN(0,Деятельность_УК!AD$369))/Параметры!AD$126</f>
        <v>-8091.9672464540217</v>
      </c>
      <c r="AE48" s="82">
        <f ca="1">(-Деятельность_УК!AE$232+MAX(0,Деятельность_УК!AE$369)+MIN(0,Деятельность_УК!AE$369))/Параметры!AE$126</f>
        <v>-8226.2106656320593</v>
      </c>
      <c r="AF48" s="82">
        <f ca="1">(-Деятельность_УК!AF$232+MAX(0,Деятельность_УК!AF$369)+MIN(0,Деятельность_УК!AF$369))/Параметры!AF$126</f>
        <v>-8362.681144688584</v>
      </c>
      <c r="AG48" s="82">
        <f ca="1">(-Деятельность_УК!AG$232+MAX(0,Деятельность_УК!AG$369)+MIN(0,Деятельность_УК!AG$369))/Параметры!AG$126</f>
        <v>-8501.4156299091774</v>
      </c>
      <c r="AH48" s="82">
        <f ca="1">(-Деятельность_УК!AH$232+MAX(0,Деятельность_УК!AH$369)+MIN(0,Деятельность_УК!AH$369))/Параметры!AH$126</f>
        <v>-8641.9815485602867</v>
      </c>
      <c r="AI48" s="82">
        <f ca="1">(-Деятельность_УК!AI$232+MAX(0,Деятельность_УК!AI$369)+MIN(0,Деятельность_УК!AI$369))/Параметры!AI$126</f>
        <v>-8784.777620914947</v>
      </c>
      <c r="AJ48" s="82">
        <f ca="1">(-Деятельность_УК!AJ$232+MAX(0,Деятельность_УК!AJ$369)+MIN(0,Деятельность_УК!AJ$369))/Параметры!AJ$126</f>
        <v>-8929.9331889669011</v>
      </c>
      <c r="AK48" s="82">
        <f ca="1">(-Деятельность_УК!AK$232+MAX(0,Деятельность_УК!AK$369)+MIN(0,Деятельность_УК!AK$369))/Параметры!AK$126</f>
        <v>-9077.487239922546</v>
      </c>
      <c r="AL48" s="82">
        <f ca="1">(-Деятельность_УК!AL$232+MAX(0,Деятельность_УК!AL$369)+MIN(0,Деятельность_УК!AL$369))/Параметры!AL$126</f>
        <v>-9226.4390960846122</v>
      </c>
      <c r="AM48" s="82">
        <f ca="1">(-Деятельность_УК!AM$232+MAX(0,Деятельность_УК!AM$369)+MIN(0,Деятельность_УК!AM$369))/Параметры!AM$126</f>
        <v>-9377.627054519633</v>
      </c>
      <c r="AN48" s="82">
        <f ca="1">(-Деятельность_УК!AN$232+MAX(0,Деятельность_УК!AN$369)+MIN(0,Деятельность_УК!AN$369))/Параметры!AN$126</f>
        <v>-9531.2924366430034</v>
      </c>
      <c r="AO48" s="82">
        <f ca="1">(-Деятельность_УК!AO$232+MAX(0,Деятельность_УК!AO$369)+MIN(0,Деятельность_УК!AO$369))/Параметры!AO$126</f>
        <v>-9687.4758384664347</v>
      </c>
      <c r="AP48" s="82">
        <f ca="1">(-Деятельность_УК!AP$232+MAX(0,Деятельность_УК!AP$369)+MIN(0,Деятельность_УК!AP$369))/Параметры!AP$126</f>
        <v>-9845.1572922659325</v>
      </c>
      <c r="AQ48" s="82">
        <f ca="1">(-Деятельность_УК!AQ$232+MAX(0,Деятельность_УК!AQ$369)+MIN(0,Деятельность_УК!AQ$369))/Параметры!AQ$126</f>
        <v>-10005.1930782863</v>
      </c>
      <c r="AR48" s="82">
        <f ca="1">(-Деятельность_УК!AR$232+MAX(0,Деятельность_УК!AR$369)+MIN(0,Деятельность_УК!AR$369))/Параметры!AR$126</f>
        <v>-10167.830290779284</v>
      </c>
      <c r="AS48" s="82"/>
      <c r="AT48" s="30">
        <f t="shared" ca="1" si="17"/>
        <v>-272422.27284757694</v>
      </c>
    </row>
    <row r="49" spans="1:46" x14ac:dyDescent="0.2">
      <c r="A49" s="63" t="s">
        <v>260</v>
      </c>
      <c r="B49" s="443">
        <f ca="1">IFERROR(AVERAGEIF(Параметры!$E$46:OFFSET(Параметры!$E$46,0,Параметры!$B$24-1),"&gt;=" &amp; Деятельность_УК!$B$9,E49:OFFSET(E49,0,Параметры!$B$24-1))*Параметры!$B$13/Параметры!$B$12,0)</f>
        <v>-103679.34441424704</v>
      </c>
      <c r="C49" s="12" t="str">
        <f>Параметры!$C$126</f>
        <v>тыс. руб.</v>
      </c>
      <c r="D49" s="40"/>
      <c r="E49" s="82">
        <f ca="1">-(Деятельность_УК!E$313+Деятельность_УК!E$318+Деятельность_УК!E$323)/Параметры!E$126</f>
        <v>-2095</v>
      </c>
      <c r="F49" s="82">
        <f ca="1">-(Деятельность_УК!F$313+Деятельность_УК!F$318+Деятельность_УК!F$323)/Параметры!F$126</f>
        <v>-2095</v>
      </c>
      <c r="G49" s="82">
        <f ca="1">-(Деятельность_УК!G$313+Деятельность_УК!G$318+Деятельность_УК!G$323)/Параметры!G$126</f>
        <v>-5956.7354937292139</v>
      </c>
      <c r="H49" s="82">
        <f ca="1">-(Деятельность_УК!H$313+Деятельность_УК!H$318+Деятельность_УК!H$323)/Параметры!H$126</f>
        <v>-5956.7354937292139</v>
      </c>
      <c r="I49" s="82">
        <f ca="1">-(Деятельность_УК!I$313+Деятельность_УК!I$318+Деятельность_УК!I$323)/Параметры!I$126</f>
        <v>-5956.7354937292139</v>
      </c>
      <c r="J49" s="82">
        <f ca="1">-(Деятельность_УК!J$313+Деятельность_УК!J$318+Деятельность_УК!J$323)/Параметры!J$126</f>
        <v>-6015.7668334770351</v>
      </c>
      <c r="K49" s="82">
        <f ca="1">-(Деятельность_УК!K$313+Деятельность_УК!K$318+Деятельность_УК!K$323)/Параметры!K$126</f>
        <v>-6075.3831833586082</v>
      </c>
      <c r="L49" s="82">
        <f ca="1">-(Деятельность_УК!L$313+Деятельность_УК!L$318+Деятельность_УК!L$323)/Параметры!L$126</f>
        <v>-6327.4864660808789</v>
      </c>
      <c r="M49" s="82">
        <f ca="1">-(Деятельность_УК!M$313+Деятельность_УК!M$318+Деятельность_УК!M$323)/Параметры!M$126</f>
        <v>-8248.0697134476941</v>
      </c>
      <c r="N49" s="82">
        <f ca="1">-(Деятельность_УК!N$313+Деятельность_УК!N$318+Деятельность_УК!N$323)/Параметры!N$126</f>
        <v>-8329.6321614861245</v>
      </c>
      <c r="O49" s="82">
        <f ca="1">-(Деятельность_УК!O$313+Деятельность_УК!O$318+Деятельность_УК!O$323)/Параметры!O$126</f>
        <v>-8412.0011813766414</v>
      </c>
      <c r="P49" s="82">
        <f ca="1">-(Деятельность_УК!P$313+Деятельность_УК!P$318+Деятельность_УК!P$323)/Параметры!P$126</f>
        <v>-8745.7952219785948</v>
      </c>
      <c r="Q49" s="82">
        <f ca="1">-(Деятельность_УК!Q$313+Деятельность_УК!Q$318+Деятельность_УК!Q$323)/Параметры!Q$126</f>
        <v>-9844.3340962488965</v>
      </c>
      <c r="R49" s="82">
        <f ca="1">-(Деятельность_УК!R$313+Деятельность_УК!R$318+Деятельность_УК!R$323)/Параметры!R$126</f>
        <v>-9940.8326162528992</v>
      </c>
      <c r="S49" s="82">
        <f ca="1">-(Деятельность_УК!S$313+Деятельность_УК!S$318+Деятельность_УК!S$323)/Параметры!S$126</f>
        <v>-10038.277059224894</v>
      </c>
      <c r="T49" s="82">
        <f ca="1">-(Деятельность_УК!T$313+Деятельность_УК!T$318+Деятельность_УК!T$323)/Параметры!T$126</f>
        <v>-10136.676697554871</v>
      </c>
      <c r="U49" s="82">
        <f ca="1">-(Деятельность_УК!U$313+Деятельность_УК!U$318+Деятельность_УК!U$323)/Параметры!U$126</f>
        <v>-25183.369050282086</v>
      </c>
      <c r="V49" s="82">
        <f ca="1">-(Деятельность_УК!V$313+Деятельность_УК!V$318+Деятельность_УК!V$323)/Параметры!V$126</f>
        <v>-25432.49851810198</v>
      </c>
      <c r="W49" s="82">
        <f ca="1">-(Деятельность_УК!W$313+Деятельность_УК!W$318+Деятельность_УК!W$323)/Параметры!W$126</f>
        <v>-25684.092655635137</v>
      </c>
      <c r="X49" s="82">
        <f ca="1">-(Деятельность_УК!X$313+Деятельность_УК!X$318+Деятельность_УК!X$323)/Параметры!X$126</f>
        <v>-25938.17584743008</v>
      </c>
      <c r="Y49" s="82">
        <f ca="1">-(Деятельность_УК!Y$313+Деятельность_УК!Y$318+Деятельность_УК!Y$323)/Параметры!Y$126</f>
        <v>-26194.772719299621</v>
      </c>
      <c r="Z49" s="82">
        <f ca="1">-(Деятельность_УК!Z$313+Деятельность_УК!Z$318+Деятельность_УК!Z$323)/Параметры!Z$126</f>
        <v>-26452.369181048569</v>
      </c>
      <c r="AA49" s="82">
        <f ca="1">-(Деятельность_УК!AA$313+Деятельность_УК!AA$318+Деятельность_УК!AA$323)/Параметры!AA$126</f>
        <v>-26712.498819026787</v>
      </c>
      <c r="AB49" s="82">
        <f ca="1">-(Деятельность_УК!AB$313+Деятельность_УК!AB$318+Деятельность_УК!AB$323)/Параметры!AB$126</f>
        <v>-26975.186544234395</v>
      </c>
      <c r="AC49" s="82">
        <f ca="1">-(Деятельность_УК!AC$313+Деятельность_УК!AC$318+Деятельность_УК!AC$323)/Параметры!AC$126</f>
        <v>-27240.457512643919</v>
      </c>
      <c r="AD49" s="82">
        <f ca="1">-(Деятельность_УК!AD$313+Деятельность_УК!AD$318+Деятельность_УК!AD$323)/Параметры!AD$126</f>
        <v>-27508.002281658264</v>
      </c>
      <c r="AE49" s="82">
        <f ca="1">-(Деятельность_УК!AE$313+Деятельность_УК!AE$318+Деятельность_УК!AE$323)/Параметры!AE$126</f>
        <v>-27778.174768348017</v>
      </c>
      <c r="AF49" s="82">
        <f ca="1">-(Деятельность_УК!AF$313+Деятельность_УК!AF$318+Деятельность_УК!AF$323)/Параметры!AF$126</f>
        <v>-28051.000781114941</v>
      </c>
      <c r="AG49" s="82">
        <f ca="1">-(Деятельность_УК!AG$313+Деятельность_УК!AG$318+Деятельность_УК!AG$323)/Параметры!AG$126</f>
        <v>-28326.506381840783</v>
      </c>
      <c r="AH49" s="82">
        <f ca="1">-(Деятельность_УК!AH$313+Деятельность_УК!AH$318+Деятельность_УК!AH$323)/Параметры!AH$126</f>
        <v>-28603.89618609137</v>
      </c>
      <c r="AI49" s="82">
        <f ca="1">-(Деятельность_УК!AI$313+Деятельность_УК!AI$318+Деятельность_УК!AI$323)/Параметры!AI$126</f>
        <v>-28884.002355002973</v>
      </c>
      <c r="AJ49" s="82">
        <f ca="1">-(Деятельность_УК!AJ$313+Деятельность_УК!AJ$318+Деятельность_УК!AJ$323)/Параметры!AJ$126</f>
        <v>-29166.851488827346</v>
      </c>
      <c r="AK49" s="82">
        <f ca="1">-(Деятельность_УК!AK$313+Деятельность_УК!AK$318+Деятельность_УК!AK$323)/Параметры!AK$126</f>
        <v>-28627.370413145221</v>
      </c>
      <c r="AL49" s="82">
        <f ca="1">-(Деятельность_УК!AL$313+Деятельность_УК!AL$318+Деятельность_УК!AL$323)/Параметры!AL$126</f>
        <v>-28906.873643505551</v>
      </c>
      <c r="AM49" s="82">
        <f ca="1">-(Деятельность_УК!AM$313+Деятельность_УК!AM$318+Деятельность_УК!AM$323)/Параметры!AM$126</f>
        <v>-29189.105803127914</v>
      </c>
      <c r="AN49" s="82">
        <f ca="1">-(Деятельность_УК!AN$313+Деятельность_УК!AN$318+Деятельность_УК!AN$323)/Параметры!AN$126</f>
        <v>-29474.093535912431</v>
      </c>
      <c r="AO49" s="82">
        <f ca="1">-(Деятельность_УК!AO$313+Деятельность_УК!AO$318+Деятельность_УК!AO$323)/Параметры!AO$126</f>
        <v>-17676.66612905392</v>
      </c>
      <c r="AP49" s="82">
        <f ca="1">-(Деятельность_УК!AP$313+Деятельность_УК!AP$318+Деятельность_УК!AP$323)/Параметры!AP$126</f>
        <v>-17848.895263669965</v>
      </c>
      <c r="AQ49" s="82">
        <f ca="1">-(Деятельность_УК!AQ$313+Деятельность_УК!AQ$318+Деятельность_УК!AQ$323)/Параметры!AQ$126</f>
        <v>-18022.802479592869</v>
      </c>
      <c r="AR49" s="82">
        <f ca="1">-(Деятельность_УК!AR$313+Деятельность_УК!AR$318+Деятельность_УК!AR$323)/Параметры!AR$126</f>
        <v>-18198.404126888199</v>
      </c>
      <c r="AS49" s="82"/>
      <c r="AT49" s="30">
        <f t="shared" ca="1" si="17"/>
        <v>-736250.52819715696</v>
      </c>
    </row>
    <row r="50" spans="1:46" x14ac:dyDescent="0.2">
      <c r="A50" s="63" t="s">
        <v>35</v>
      </c>
      <c r="B50" s="443">
        <f ca="1">IFERROR(AVERAGEIF(Параметры!$E$46:OFFSET(Параметры!$E$46,0,Параметры!$B$24-1),"&gt;=" &amp; Деятельность_УК!$B$9,E50:OFFSET(E50,0,Параметры!$B$24-1))*Параметры!$B$13/Параметры!$B$12,0)</f>
        <v>-462107.23525354057</v>
      </c>
      <c r="C50" s="12" t="str">
        <f>Параметры!$C$126</f>
        <v>тыс. руб.</v>
      </c>
      <c r="D50" s="40"/>
      <c r="E50" s="82">
        <f ca="1">-(Деятельность_УК!E$710-MAX(0,Деятельность_УК!E$374)-MIN(0,Деятельность_УК!E$374))/Параметры!E$126</f>
        <v>-212.41418400000001</v>
      </c>
      <c r="F50" s="82">
        <f ca="1">-(Деятельность_УК!F$710-MAX(0,Деятельность_УК!F$374)-MIN(0,Деятельность_УК!F$374))/Параметры!F$126</f>
        <v>-1629.2840964915588</v>
      </c>
      <c r="G50" s="82">
        <f ca="1">-(Деятельность_УК!G$710-MAX(0,Деятельность_УК!G$374)-MIN(0,Деятельность_УК!G$374))/Параметры!G$126</f>
        <v>-1629.2840964915588</v>
      </c>
      <c r="H50" s="82">
        <f ca="1">-(Деятельность_УК!H$710-MAX(0,Деятельность_УК!H$374)-MIN(0,Деятельность_УК!H$374))/Параметры!H$126</f>
        <v>-4487.1217773040589</v>
      </c>
      <c r="I50" s="82">
        <f ca="1">-(Деятельность_УК!I$710-MAX(0,Деятельность_УК!I$374)-MIN(0,Деятельность_УК!I$374))/Параметры!I$126</f>
        <v>-7188.0129419290588</v>
      </c>
      <c r="J50" s="82">
        <f ca="1">-(Деятельность_УК!J$710-MAX(0,Деятельность_УК!J$374)-MIN(0,Деятельность_УК!J$374))/Параметры!J$126</f>
        <v>-2008.3818792207207</v>
      </c>
      <c r="K50" s="82">
        <f ca="1">-(Деятельность_УК!K$710-MAX(0,Деятельность_УК!K$374)-MIN(0,Деятельность_УК!K$374))/Параметры!K$126</f>
        <v>-2605.6965069134244</v>
      </c>
      <c r="L50" s="82">
        <f ca="1">-(Деятельность_УК!L$710-MAX(0,Деятельность_УК!L$374)-MIN(0,Деятельность_УК!L$374))/Параметры!L$126</f>
        <v>-2919.5116631589917</v>
      </c>
      <c r="M50" s="82">
        <f ca="1">-(Деятельность_УК!M$710-MAX(0,Деятельность_УК!M$374)-MIN(0,Деятельность_УК!M$374))/Параметры!M$126</f>
        <v>-2945.2856467532574</v>
      </c>
      <c r="N50" s="82">
        <f ca="1">-(Деятельность_УК!N$710-MAX(0,Деятельность_УК!N$374)-MIN(0,Деятельность_УК!N$374))/Параметры!N$126</f>
        <v>-2972.392461853296</v>
      </c>
      <c r="O50" s="82">
        <f ca="1">-(Деятельность_УК!O$710-MAX(0,Деятельность_УК!O$374)-MIN(0,Деятельность_УК!O$374))/Параметры!O$126</f>
        <v>-3000.4090061425782</v>
      </c>
      <c r="P50" s="82">
        <f ca="1">-(Деятельность_УК!P$710-MAX(0,Деятельность_УК!P$374)-MIN(0,Деятельность_УК!P$374))/Параметры!P$126</f>
        <v>-3188.3267766855361</v>
      </c>
      <c r="Q50" s="82">
        <f ca="1">-(Деятельность_УК!Q$710-MAX(0,Деятельность_УК!Q$374)-MIN(0,Деятельность_УК!Q$374))/Параметры!Q$126</f>
        <v>-3299.6983807560955</v>
      </c>
      <c r="R50" s="82">
        <f ca="1">-(Деятельность_УК!R$710-MAX(0,Деятельность_УК!R$374)-MIN(0,Деятельность_УК!R$374))/Параметры!R$126</f>
        <v>-3332.9498632742138</v>
      </c>
      <c r="S50" s="82">
        <f ca="1">-(Деятельность_УК!S$710-MAX(0,Деятельность_УК!S$374)-MIN(0,Деятельность_УК!S$374))/Параметры!S$126</f>
        <v>-3366.6155452715784</v>
      </c>
      <c r="T50" s="82">
        <f ca="1">-(Деятельность_УК!T$710-MAX(0,Деятельность_УК!T$374)-MIN(0,Деятельность_УК!T$374))/Параметры!T$126</f>
        <v>-3400.8416710241418</v>
      </c>
      <c r="U50" s="82">
        <f ca="1">-(Деятельность_УК!U$710-MAX(0,Деятельность_УК!U$374)-MIN(0,Деятельность_УК!U$374))/Параметры!U$126</f>
        <v>-3435.6375704246657</v>
      </c>
      <c r="V50" s="82">
        <f ca="1">-(Деятельность_УК!V$710-MAX(0,Деятельность_УК!V$374)-MIN(0,Деятельность_УК!V$374))/Параметры!V$126</f>
        <v>-3471.460995625755</v>
      </c>
      <c r="W50" s="82">
        <f ca="1">-(Деятельность_УК!W$710-MAX(0,Деятельность_УК!W$374)-MIN(0,Деятельность_УК!W$374))/Параметры!W$126</f>
        <v>-3508.1125222365899</v>
      </c>
      <c r="X50" s="82">
        <f ca="1">-(Деятельность_УК!X$710-MAX(0,Деятельность_УК!X$374)-MIN(0,Деятельность_УК!X$374))/Параметры!X$126</f>
        <v>-3545.3857331946087</v>
      </c>
      <c r="Y50" s="82">
        <f ca="1">-(Деятельность_УК!Y$710-MAX(0,Деятельность_УК!Y$374)-MIN(0,Деятельность_УК!Y$374))/Параметры!Y$126</f>
        <v>-3583.2911735292628</v>
      </c>
      <c r="Z50" s="82">
        <f ca="1">-(Деятельность_УК!Z$710-MAX(0,Деятельность_УК!Z$374)-MIN(0,Деятельность_УК!Z$374))/Параметры!Z$126</f>
        <v>-3621.5220689461785</v>
      </c>
      <c r="AA50" s="82">
        <f ca="1">-(Деятельность_УК!AA$710-MAX(0,Деятельность_УК!AA$374)-MIN(0,Деятельность_УК!AA$374))/Параметры!AA$126</f>
        <v>-3660.2373696692543</v>
      </c>
      <c r="AB50" s="82">
        <f ca="1">-(Деятельность_УК!AB$710-MAX(0,Деятельность_УК!AB$374)-MIN(0,Деятельность_УК!AB$374))/Параметры!AB$126</f>
        <v>-3699.6012925492537</v>
      </c>
      <c r="AC50" s="82">
        <f ca="1">-(Деятельность_УК!AC$710-MAX(0,Деятельность_УК!AC$374)-MIN(0,Деятельность_УК!AC$374))/Параметры!AC$126</f>
        <v>-3739.6247043673857</v>
      </c>
      <c r="AD50" s="82">
        <f ca="1">-(Деятельность_УК!AD$710-MAX(0,Деятельность_УК!AD$374)-MIN(0,Деятельность_УК!AD$374))/Параметры!AD$126</f>
        <v>-12004.785553811198</v>
      </c>
      <c r="AE50" s="82">
        <f ca="1">-(Деятельность_УК!AE$710-MAX(0,Деятельность_УК!AE$374)-MIN(0,Деятельность_УК!AE$374))/Параметры!AE$126</f>
        <v>-18741.670785631613</v>
      </c>
      <c r="AF50" s="82">
        <f ca="1">-(Деятельность_УК!AF$710-MAX(0,Деятельность_УК!AF$374)-MIN(0,Деятельность_УК!AF$374))/Параметры!AF$126</f>
        <v>-19861.891513757557</v>
      </c>
      <c r="AG50" s="82">
        <f ca="1">-(Деятельность_УК!AG$710-MAX(0,Деятельность_УК!AG$374)-MIN(0,Деятельность_УК!AG$374))/Параметры!AG$126</f>
        <v>-21002.369203875343</v>
      </c>
      <c r="AH50" s="82">
        <f ca="1">-(Деятельность_УК!AH$710-MAX(0,Деятельность_УК!AH$374)-MIN(0,Деятельность_УК!AH$374))/Параметры!AH$126</f>
        <v>-48022.923246095204</v>
      </c>
      <c r="AI50" s="82">
        <f ca="1">-(Деятельность_УК!AI$710-MAX(0,Деятельность_УК!AI$374)-MIN(0,Деятельность_УК!AI$374))/Параметры!AI$126</f>
        <v>-49142.033922765913</v>
      </c>
      <c r="AJ50" s="82">
        <f ca="1">-(Деятельность_УК!AJ$710-MAX(0,Деятельность_УК!AJ$374)-MIN(0,Деятельность_УК!AJ$374))/Параметры!AJ$126</f>
        <v>-50286.855441164233</v>
      </c>
      <c r="AK50" s="82">
        <f ca="1">-(Деятельность_УК!AK$710-MAX(0,Деятельность_УК!AK$374)-MIN(0,Деятельность_УК!AK$374))/Параметры!AK$126</f>
        <v>-51457.890670965724</v>
      </c>
      <c r="AL50" s="82">
        <f ca="1">-(Деятельность_УК!AL$710-MAX(0,Деятельность_УК!AL$374)-MIN(0,Деятельность_УК!AL$374))/Параметры!AL$126</f>
        <v>-89533.09372628764</v>
      </c>
      <c r="AM50" s="82">
        <f ca="1">-(Деятельность_УК!AM$710-MAX(0,Деятельность_УК!AM$374)-MIN(0,Деятельность_УК!AM$374))/Параметры!AM$126</f>
        <v>-51652.728707298622</v>
      </c>
      <c r="AN50" s="82">
        <f ca="1">-(Деятельность_УК!AN$710-MAX(0,Деятельность_УК!AN$374)-MIN(0,Деятельность_УК!AN$374))/Параметры!AN$126</f>
        <v>-52792.433106911543</v>
      </c>
      <c r="AO50" s="82">
        <f ca="1">-(Деятельность_УК!AO$710-MAX(0,Деятельность_УК!AO$374)-MIN(0,Деятельность_УК!AO$374))/Параметры!AO$126</f>
        <v>-53867.316009686576</v>
      </c>
      <c r="AP50" s="82">
        <f ca="1">-(Деятельность_УК!AP$710-MAX(0,Деятельность_УК!AP$374)-MIN(0,Деятельность_УК!AP$374))/Параметры!AP$126</f>
        <v>-2122889.19160181</v>
      </c>
      <c r="AQ50" s="82">
        <f ca="1">-(Деятельность_УК!AQ$710-MAX(0,Деятельность_УК!AQ$374)-MIN(0,Деятельность_УК!AQ$374))/Параметры!AQ$126</f>
        <v>-47924.364898198437</v>
      </c>
      <c r="AR50" s="82">
        <f ca="1">-(Деятельность_УК!AR$710-MAX(0,Деятельность_УК!AR$374)-MIN(0,Деятельность_УК!AR$374))/Параметры!AR$126</f>
        <v>-51198.989702440624</v>
      </c>
      <c r="AS50" s="82"/>
      <c r="AT50" s="30">
        <f ca="1">SUM(E50:AS50)</f>
        <v>-2820829.6380185131</v>
      </c>
    </row>
    <row r="51" spans="1:46" x14ac:dyDescent="0.2">
      <c r="A51" s="63" t="s">
        <v>261</v>
      </c>
      <c r="B51" s="443">
        <f ca="1">IFERROR(AVERAGEIF(Параметры!$E$46:OFFSET(Параметры!$E$46,0,Параметры!$B$24-1),"&gt;=" &amp; Деятельность_УК!$B$9,E51:OFFSET(E51,0,Параметры!$B$24-1))*Параметры!$B$13/Параметры!$B$12,0)</f>
        <v>-151150.96098256807</v>
      </c>
      <c r="C51" s="12" t="str">
        <f>Параметры!$C$126</f>
        <v>тыс. руб.</v>
      </c>
      <c r="D51" s="40"/>
      <c r="E51" s="82">
        <f ca="1">-(Деятельность_УК!E$95+Деятельность_УК!E$648)/Параметры!E$126</f>
        <v>-17556.425000000003</v>
      </c>
      <c r="F51" s="82">
        <f ca="1">-(Деятельность_УК!F$95+Деятельность_УК!F$648)/Параметры!F$126</f>
        <v>-24092.3</v>
      </c>
      <c r="G51" s="82">
        <f ca="1">-(Деятельность_УК!G$95+Деятельность_УК!G$648)/Параметры!G$126</f>
        <v>-24852.747903782285</v>
      </c>
      <c r="H51" s="82">
        <f ca="1">-(Деятельность_УК!H$95+Деятельность_УК!H$648)/Параметры!H$126</f>
        <v>-25756.604765640215</v>
      </c>
      <c r="I51" s="82">
        <f ca="1">-(Деятельность_УК!I$95+Деятельность_УК!I$648)/Параметры!I$126</f>
        <v>-26657.953556173554</v>
      </c>
      <c r="J51" s="82">
        <f ca="1">-(Деятельность_УК!J$95+Деятельность_УК!J$648)/Параметры!J$126</f>
        <v>-29052.254943701617</v>
      </c>
      <c r="K51" s="82">
        <f ca="1">-(Деятельность_УК!K$95+Деятельность_УК!K$648)/Параметры!K$126</f>
        <v>-32376.012552441913</v>
      </c>
      <c r="L51" s="82">
        <f ca="1">-(Деятельность_УК!L$95+Деятельность_УК!L$648)/Параметры!L$126</f>
        <v>-33774.268593279798</v>
      </c>
      <c r="M51" s="82">
        <f ca="1">-(Деятельность_УК!M$95+Деятельность_УК!M$648)/Параметры!M$126</f>
        <v>-37049.3993985657</v>
      </c>
      <c r="N51" s="82">
        <f ca="1">-(Деятельность_УК!N$95+Деятельность_УК!N$648)/Параметры!N$126</f>
        <v>-44590.384747336298</v>
      </c>
      <c r="O51" s="82">
        <f ca="1">-(Деятельность_УК!O$95+Деятельность_УК!O$648)/Параметры!O$126</f>
        <v>-55959.088779191989</v>
      </c>
      <c r="P51" s="82">
        <f ca="1">-(Деятельность_УК!P$95+Деятельность_УК!P$648)/Параметры!P$126</f>
        <v>-61918.948642438714</v>
      </c>
      <c r="Q51" s="82">
        <f ca="1">-(Деятельность_УК!Q$95+Деятельность_УК!Q$648)/Параметры!Q$126</f>
        <v>-64927.472943235611</v>
      </c>
      <c r="R51" s="82">
        <f ca="1">-(Деятельность_УК!R$95+Деятельность_УК!R$648)/Параметры!R$126</f>
        <v>-75649.537228308589</v>
      </c>
      <c r="S51" s="82">
        <f ca="1">-(Деятельность_УК!S$95+Деятельность_УК!S$648)/Параметры!S$126</f>
        <v>-87633.210290224306</v>
      </c>
      <c r="T51" s="82">
        <f ca="1">-(Деятельность_УК!T$95+Деятельность_УК!T$648)/Параметры!T$126</f>
        <v>-91827.106192514708</v>
      </c>
      <c r="U51" s="82">
        <f ca="1">-(Деятельность_УК!U$95+Деятельность_УК!U$648)/Параметры!U$126</f>
        <v>-88040.671888780533</v>
      </c>
      <c r="V51" s="82">
        <f ca="1">-(Деятельность_УК!V$95+Деятельность_УК!V$648)/Параметры!V$126</f>
        <v>-84171.132277109689</v>
      </c>
      <c r="W51" s="82">
        <f ca="1">-(Деятельность_УК!W$95+Деятельность_УК!W$648)/Параметры!W$126</f>
        <v>-80216.659277351486</v>
      </c>
      <c r="X51" s="82">
        <f ca="1">-(Деятельность_УК!X$95+Деятельность_УК!X$648)/Параметры!X$126</f>
        <v>-76175.384513337529</v>
      </c>
      <c r="Y51" s="82">
        <f ca="1">-(Деятельность_УК!Y$95+Деятельность_УК!Y$648)/Параметры!Y$126</f>
        <v>-72045.398422936807</v>
      </c>
      <c r="Z51" s="82">
        <f ca="1">-(Деятельность_УК!Z$95+Деятельность_УК!Z$648)/Параметры!Z$126</f>
        <v>-67824.749348421683</v>
      </c>
      <c r="AA51" s="82">
        <f ca="1">-(Деятельность_УК!AA$95+Деятельность_УК!AA$648)/Параметры!AA$126</f>
        <v>-63511.442606708013</v>
      </c>
      <c r="AB51" s="82">
        <f ca="1">-(Деятельность_УК!AB$95+Деятельность_УК!AB$648)/Параметры!AB$126</f>
        <v>-59103.43953902334</v>
      </c>
      <c r="AC51" s="82">
        <f ca="1">-(Деятельность_УК!AC$95+Деятельность_УК!AC$648)/Параметры!AC$126</f>
        <v>-54113.274371673891</v>
      </c>
      <c r="AD51" s="82">
        <f ca="1">-(Деятельность_УК!AD$95+Деятельность_УК!AD$648)/Параметры!AD$126</f>
        <v>-49548.96409852332</v>
      </c>
      <c r="AE51" s="82">
        <f ca="1">-(Деятельность_УК!AE$95+Деятельность_УК!AE$648)/Параметры!AE$126</f>
        <v>-44884.453947002956</v>
      </c>
      <c r="AF51" s="82">
        <f ca="1">-(Деятельность_УК!AF$95+Деятельность_УК!AF$648)/Параметры!AF$126</f>
        <v>-40117.539361905016</v>
      </c>
      <c r="AG51" s="82">
        <f ca="1">-(Деятельность_УК!AG$95+Деятельность_УК!AG$648)/Параметры!AG$126</f>
        <v>-32288.860192358734</v>
      </c>
      <c r="AH51" s="82">
        <f ca="1">-(Деятельность_УК!AH$95+Деятельность_УК!AH$648)/Параметры!AH$126</f>
        <v>-27705.102100144552</v>
      </c>
      <c r="AI51" s="82">
        <f ca="1">-(Деятельность_УК!AI$95+Деятельность_УК!AI$648)/Параметры!AI$126</f>
        <v>-23020.91239520723</v>
      </c>
      <c r="AJ51" s="82">
        <f ca="1">-(Деятельность_УК!AJ$95+Деятельность_УК!AJ$648)/Параметры!AJ$126</f>
        <v>-18234.085425147525</v>
      </c>
      <c r="AK51" s="82">
        <f ca="1">-(Деятельность_УК!AK$95+Деятельность_УК!AK$648)/Параметры!AK$126</f>
        <v>-13342.366991564959</v>
      </c>
      <c r="AL51" s="82">
        <f ca="1">-(Деятельность_УК!AL$95+Деятельность_УК!AL$648)/Параметры!AL$126</f>
        <v>-8343.4532793963353</v>
      </c>
      <c r="AM51" s="82">
        <f ca="1">-(Деятельность_УК!AM$95+Деятельность_УК!AM$648)/Параметры!AM$126</f>
        <v>-4217.8758588145829</v>
      </c>
      <c r="AN51" s="82">
        <f ca="1">-(Деятельность_УК!AN$95+Деятельность_УК!AN$648)/Параметры!AN$126</f>
        <v>-6.5483618527650831E-13</v>
      </c>
      <c r="AO51" s="82">
        <f ca="1">-(Деятельность_УК!AO$95+Деятельность_УК!AO$648)/Параметры!AO$126</f>
        <v>-6.5483618527650831E-13</v>
      </c>
      <c r="AP51" s="82">
        <f ca="1">-(Деятельность_УК!AP$95+Деятельность_УК!AP$648)/Параметры!AP$126</f>
        <v>-6.5483618527650831E-13</v>
      </c>
      <c r="AQ51" s="82">
        <f ca="1">-(Деятельность_УК!AQ$95+Деятельность_УК!AQ$648)/Параметры!AQ$126</f>
        <v>-6.5483618527650831E-13</v>
      </c>
      <c r="AR51" s="82">
        <f ca="1">-(Деятельность_УК!AR$95+Деятельность_УК!AR$648)/Параметры!AR$126</f>
        <v>-6.5483618527650831E-13</v>
      </c>
      <c r="AS51" s="82"/>
      <c r="AT51" s="30">
        <f t="shared" ca="1" si="17"/>
        <v>-1640579.4814322437</v>
      </c>
    </row>
    <row r="52" spans="1:46" x14ac:dyDescent="0.2">
      <c r="A52" s="63" t="s">
        <v>369</v>
      </c>
      <c r="B52" s="443">
        <f ca="1">IFERROR(AVERAGEIF(Параметры!$E$46:OFFSET(Параметры!$E$46,0,Параметры!$B$24-1),"&gt;=" &amp; Деятельность_УК!$B$9,E52:OFFSET(E52,0,Параметры!$B$24-1))*Параметры!$B$13/Параметры!$B$12,0)</f>
        <v>0</v>
      </c>
      <c r="C52" s="12" t="str">
        <f>Параметры!$C$126</f>
        <v>тыс. руб.</v>
      </c>
      <c r="D52" s="40"/>
      <c r="E52" s="82">
        <f>0/Параметры!E$126</f>
        <v>0</v>
      </c>
      <c r="F52" s="82">
        <f>0/Параметры!F$126</f>
        <v>0</v>
      </c>
      <c r="G52" s="82">
        <f>0/Параметры!G$126</f>
        <v>0</v>
      </c>
      <c r="H52" s="82">
        <f>0/Параметры!H$126</f>
        <v>0</v>
      </c>
      <c r="I52" s="82">
        <f>0/Параметры!I$126</f>
        <v>0</v>
      </c>
      <c r="J52" s="82">
        <f>0/Параметры!J$126</f>
        <v>0</v>
      </c>
      <c r="K52" s="82">
        <f>0/Параметры!K$126</f>
        <v>0</v>
      </c>
      <c r="L52" s="82">
        <f>0/Параметры!L$126</f>
        <v>0</v>
      </c>
      <c r="M52" s="82">
        <f>0/Параметры!M$126</f>
        <v>0</v>
      </c>
      <c r="N52" s="82">
        <f>0/Параметры!N$126</f>
        <v>0</v>
      </c>
      <c r="O52" s="82">
        <f>0/Параметры!O$126</f>
        <v>0</v>
      </c>
      <c r="P52" s="82">
        <f>0/Параметры!P$126</f>
        <v>0</v>
      </c>
      <c r="Q52" s="82">
        <f>0/Параметры!Q$126</f>
        <v>0</v>
      </c>
      <c r="R52" s="82">
        <f>0/Параметры!R$126</f>
        <v>0</v>
      </c>
      <c r="S52" s="82">
        <f>0/Параметры!S$126</f>
        <v>0</v>
      </c>
      <c r="T52" s="82">
        <f>0/Параметры!T$126</f>
        <v>0</v>
      </c>
      <c r="U52" s="82">
        <f>0/Параметры!U$126</f>
        <v>0</v>
      </c>
      <c r="V52" s="82">
        <f>0/Параметры!V$126</f>
        <v>0</v>
      </c>
      <c r="W52" s="82">
        <f>0/Параметры!W$126</f>
        <v>0</v>
      </c>
      <c r="X52" s="82">
        <f>0/Параметры!X$126</f>
        <v>0</v>
      </c>
      <c r="Y52" s="82">
        <f>0/Параметры!Y$126</f>
        <v>0</v>
      </c>
      <c r="Z52" s="82">
        <f>0/Параметры!Z$126</f>
        <v>0</v>
      </c>
      <c r="AA52" s="82">
        <f>0/Параметры!AA$126</f>
        <v>0</v>
      </c>
      <c r="AB52" s="82">
        <f>0/Параметры!AB$126</f>
        <v>0</v>
      </c>
      <c r="AC52" s="82">
        <f>0/Параметры!AC$126</f>
        <v>0</v>
      </c>
      <c r="AD52" s="82">
        <f>0/Параметры!AD$126</f>
        <v>0</v>
      </c>
      <c r="AE52" s="82">
        <f>0/Параметры!AE$126</f>
        <v>0</v>
      </c>
      <c r="AF52" s="82">
        <f>0/Параметры!AF$126</f>
        <v>0</v>
      </c>
      <c r="AG52" s="82">
        <f>0/Параметры!AG$126</f>
        <v>0</v>
      </c>
      <c r="AH52" s="82">
        <f>0/Параметры!AH$126</f>
        <v>0</v>
      </c>
      <c r="AI52" s="82">
        <f>0/Параметры!AI$126</f>
        <v>0</v>
      </c>
      <c r="AJ52" s="82">
        <f>0/Параметры!AJ$126</f>
        <v>0</v>
      </c>
      <c r="AK52" s="82">
        <f>0/Параметры!AK$126</f>
        <v>0</v>
      </c>
      <c r="AL52" s="82">
        <f>0/Параметры!AL$126</f>
        <v>0</v>
      </c>
      <c r="AM52" s="82">
        <f>0/Параметры!AM$126</f>
        <v>0</v>
      </c>
      <c r="AN52" s="82">
        <f>0/Параметры!AN$126</f>
        <v>0</v>
      </c>
      <c r="AO52" s="82">
        <f>0/Параметры!AO$126</f>
        <v>0</v>
      </c>
      <c r="AP52" s="82">
        <f>0/Параметры!AP$126</f>
        <v>0</v>
      </c>
      <c r="AQ52" s="82">
        <f>0/Параметры!AQ$126</f>
        <v>0</v>
      </c>
      <c r="AR52" s="82">
        <f>0/Параметры!AR$126</f>
        <v>0</v>
      </c>
      <c r="AS52" s="82"/>
      <c r="AT52" s="30">
        <f t="shared" si="17"/>
        <v>0</v>
      </c>
    </row>
    <row r="53" spans="1:46" x14ac:dyDescent="0.2">
      <c r="A53" s="63" t="s">
        <v>262</v>
      </c>
      <c r="B53" s="443">
        <f ca="1">IFERROR(AVERAGEIF(Параметры!$E$46:OFFSET(Параметры!$E$46,0,Параметры!$B$24-1),"&gt;=" &amp; Деятельность_УК!$B$9,E53:OFFSET(E53,0,Параметры!$B$24-1))*Параметры!$B$13/Параметры!$B$12,0)</f>
        <v>0</v>
      </c>
      <c r="C53" s="12" t="str">
        <f>Параметры!$C$126</f>
        <v>тыс. руб.</v>
      </c>
      <c r="D53" s="40"/>
      <c r="E53" s="82">
        <f>(0)/Параметры!E$126</f>
        <v>0</v>
      </c>
      <c r="F53" s="82">
        <f>(0)/Параметры!F$126</f>
        <v>0</v>
      </c>
      <c r="G53" s="82">
        <f>(0)/Параметры!G$126</f>
        <v>0</v>
      </c>
      <c r="H53" s="82">
        <f>(0)/Параметры!H$126</f>
        <v>0</v>
      </c>
      <c r="I53" s="82">
        <f>(0)/Параметры!I$126</f>
        <v>0</v>
      </c>
      <c r="J53" s="82">
        <f>(0)/Параметры!J$126</f>
        <v>0</v>
      </c>
      <c r="K53" s="82">
        <f>(0)/Параметры!K$126</f>
        <v>0</v>
      </c>
      <c r="L53" s="82">
        <f>(0)/Параметры!L$126</f>
        <v>0</v>
      </c>
      <c r="M53" s="82">
        <f>(0)/Параметры!M$126</f>
        <v>0</v>
      </c>
      <c r="N53" s="82">
        <f>(0)/Параметры!N$126</f>
        <v>0</v>
      </c>
      <c r="O53" s="82">
        <f>(0)/Параметры!O$126</f>
        <v>0</v>
      </c>
      <c r="P53" s="82">
        <f>(0)/Параметры!P$126</f>
        <v>0</v>
      </c>
      <c r="Q53" s="82">
        <f>(0)/Параметры!Q$126</f>
        <v>0</v>
      </c>
      <c r="R53" s="82">
        <f>(0)/Параметры!R$126</f>
        <v>0</v>
      </c>
      <c r="S53" s="82">
        <f>(0)/Параметры!S$126</f>
        <v>0</v>
      </c>
      <c r="T53" s="82">
        <f>(0)/Параметры!T$126</f>
        <v>0</v>
      </c>
      <c r="U53" s="82">
        <f>(0)/Параметры!U$126</f>
        <v>0</v>
      </c>
      <c r="V53" s="82">
        <f>(0)/Параметры!V$126</f>
        <v>0</v>
      </c>
      <c r="W53" s="82">
        <f>(0)/Параметры!W$126</f>
        <v>0</v>
      </c>
      <c r="X53" s="82">
        <f>(0)/Параметры!X$126</f>
        <v>0</v>
      </c>
      <c r="Y53" s="82">
        <f>(0)/Параметры!Y$126</f>
        <v>0</v>
      </c>
      <c r="Z53" s="82">
        <f>(0)/Параметры!Z$126</f>
        <v>0</v>
      </c>
      <c r="AA53" s="82">
        <f>(0)/Параметры!AA$126</f>
        <v>0</v>
      </c>
      <c r="AB53" s="82">
        <f>(0)/Параметры!AB$126</f>
        <v>0</v>
      </c>
      <c r="AC53" s="82">
        <f>(0)/Параметры!AC$126</f>
        <v>0</v>
      </c>
      <c r="AD53" s="82">
        <f>(0)/Параметры!AD$126</f>
        <v>0</v>
      </c>
      <c r="AE53" s="82">
        <f>(0)/Параметры!AE$126</f>
        <v>0</v>
      </c>
      <c r="AF53" s="82">
        <f>(0)/Параметры!AF$126</f>
        <v>0</v>
      </c>
      <c r="AG53" s="82">
        <f>(0)/Параметры!AG$126</f>
        <v>0</v>
      </c>
      <c r="AH53" s="82">
        <f>(0)/Параметры!AH$126</f>
        <v>0</v>
      </c>
      <c r="AI53" s="82">
        <f>(0)/Параметры!AI$126</f>
        <v>0</v>
      </c>
      <c r="AJ53" s="82">
        <f>(0)/Параметры!AJ$126</f>
        <v>0</v>
      </c>
      <c r="AK53" s="82">
        <f>(0)/Параметры!AK$126</f>
        <v>0</v>
      </c>
      <c r="AL53" s="82">
        <f>(0)/Параметры!AL$126</f>
        <v>0</v>
      </c>
      <c r="AM53" s="82">
        <f>(0)/Параметры!AM$126</f>
        <v>0</v>
      </c>
      <c r="AN53" s="82">
        <f>(0)/Параметры!AN$126</f>
        <v>0</v>
      </c>
      <c r="AO53" s="82">
        <f>(0)/Параметры!AO$126</f>
        <v>0</v>
      </c>
      <c r="AP53" s="82">
        <f>(0)/Параметры!AP$126</f>
        <v>0</v>
      </c>
      <c r="AQ53" s="82">
        <f>(0)/Параметры!AQ$126</f>
        <v>0</v>
      </c>
      <c r="AR53" s="82">
        <f>(0)/Параметры!AR$126</f>
        <v>0</v>
      </c>
      <c r="AS53" s="82"/>
      <c r="AT53" s="30">
        <f t="shared" si="17"/>
        <v>0</v>
      </c>
    </row>
    <row r="54" spans="1:46" x14ac:dyDescent="0.2">
      <c r="A54" s="63" t="s">
        <v>263</v>
      </c>
      <c r="B54" s="443">
        <f ca="1">IFERROR(AVERAGEIF(Параметры!$E$46:OFFSET(Параметры!$E$46,0,Параметры!$B$24-1),"&gt;=" &amp; Деятельность_УК!$B$9,E54:OFFSET(E54,0,Параметры!$B$24-1))*Параметры!$B$13/Параметры!$B$12,0)</f>
        <v>0</v>
      </c>
      <c r="C54" s="12" t="str">
        <f>Параметры!$C$126</f>
        <v>тыс. руб.</v>
      </c>
      <c r="D54" s="40"/>
      <c r="E54" s="82">
        <f>(0)/Параметры!E$126</f>
        <v>0</v>
      </c>
      <c r="F54" s="82">
        <f>(0)/Параметры!F$126</f>
        <v>0</v>
      </c>
      <c r="G54" s="82">
        <f>(0)/Параметры!G$126</f>
        <v>0</v>
      </c>
      <c r="H54" s="82">
        <f>(0)/Параметры!H$126</f>
        <v>0</v>
      </c>
      <c r="I54" s="82">
        <f>(0)/Параметры!I$126</f>
        <v>0</v>
      </c>
      <c r="J54" s="82">
        <f>(0)/Параметры!J$126</f>
        <v>0</v>
      </c>
      <c r="K54" s="82">
        <f>(0)/Параметры!K$126</f>
        <v>0</v>
      </c>
      <c r="L54" s="82">
        <f>(0)/Параметры!L$126</f>
        <v>0</v>
      </c>
      <c r="M54" s="82">
        <f>(0)/Параметры!M$126</f>
        <v>0</v>
      </c>
      <c r="N54" s="82">
        <f>(0)/Параметры!N$126</f>
        <v>0</v>
      </c>
      <c r="O54" s="82">
        <f>(0)/Параметры!O$126</f>
        <v>0</v>
      </c>
      <c r="P54" s="82">
        <f>(0)/Параметры!P$126</f>
        <v>0</v>
      </c>
      <c r="Q54" s="82">
        <f>(0)/Параметры!Q$126</f>
        <v>0</v>
      </c>
      <c r="R54" s="82">
        <f>(0)/Параметры!R$126</f>
        <v>0</v>
      </c>
      <c r="S54" s="82">
        <f>(0)/Параметры!S$126</f>
        <v>0</v>
      </c>
      <c r="T54" s="82">
        <f>(0)/Параметры!T$126</f>
        <v>0</v>
      </c>
      <c r="U54" s="82">
        <f>(0)/Параметры!U$126</f>
        <v>0</v>
      </c>
      <c r="V54" s="82">
        <f>(0)/Параметры!V$126</f>
        <v>0</v>
      </c>
      <c r="W54" s="82">
        <f>(0)/Параметры!W$126</f>
        <v>0</v>
      </c>
      <c r="X54" s="82">
        <f>(0)/Параметры!X$126</f>
        <v>0</v>
      </c>
      <c r="Y54" s="82">
        <f>(0)/Параметры!Y$126</f>
        <v>0</v>
      </c>
      <c r="Z54" s="82">
        <f>(0)/Параметры!Z$126</f>
        <v>0</v>
      </c>
      <c r="AA54" s="82">
        <f>(0)/Параметры!AA$126</f>
        <v>0</v>
      </c>
      <c r="AB54" s="82">
        <f>(0)/Параметры!AB$126</f>
        <v>0</v>
      </c>
      <c r="AC54" s="82">
        <f>(0)/Параметры!AC$126</f>
        <v>0</v>
      </c>
      <c r="AD54" s="82">
        <f>(0)/Параметры!AD$126</f>
        <v>0</v>
      </c>
      <c r="AE54" s="82">
        <f>(0)/Параметры!AE$126</f>
        <v>0</v>
      </c>
      <c r="AF54" s="82">
        <f>(0)/Параметры!AF$126</f>
        <v>0</v>
      </c>
      <c r="AG54" s="82">
        <f>(0)/Параметры!AG$126</f>
        <v>0</v>
      </c>
      <c r="AH54" s="82">
        <f>(0)/Параметры!AH$126</f>
        <v>0</v>
      </c>
      <c r="AI54" s="82">
        <f>(0)/Параметры!AI$126</f>
        <v>0</v>
      </c>
      <c r="AJ54" s="82">
        <f>(0)/Параметры!AJ$126</f>
        <v>0</v>
      </c>
      <c r="AK54" s="82">
        <f>(0)/Параметры!AK$126</f>
        <v>0</v>
      </c>
      <c r="AL54" s="82">
        <f>(0)/Параметры!AL$126</f>
        <v>0</v>
      </c>
      <c r="AM54" s="82">
        <f>(0)/Параметры!AM$126</f>
        <v>0</v>
      </c>
      <c r="AN54" s="82">
        <f>(0)/Параметры!AN$126</f>
        <v>0</v>
      </c>
      <c r="AO54" s="82">
        <f>(0)/Параметры!AO$126</f>
        <v>0</v>
      </c>
      <c r="AP54" s="82">
        <f>(0)/Параметры!AP$126</f>
        <v>0</v>
      </c>
      <c r="AQ54" s="82">
        <f>(0)/Параметры!AQ$126</f>
        <v>0</v>
      </c>
      <c r="AR54" s="82">
        <f>(0)/Параметры!AR$126</f>
        <v>0</v>
      </c>
      <c r="AS54" s="82"/>
      <c r="AT54" s="30">
        <f t="shared" si="17"/>
        <v>0</v>
      </c>
    </row>
    <row r="55" spans="1:46" x14ac:dyDescent="0.2">
      <c r="A55" s="44"/>
      <c r="B55" s="443"/>
      <c r="D55" s="40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30"/>
    </row>
    <row r="56" spans="1:46" x14ac:dyDescent="0.2">
      <c r="A56" s="76" t="s">
        <v>108</v>
      </c>
      <c r="B56" s="444">
        <f ca="1">IFERROR(AVERAGEIF(Параметры!$E$46:OFFSET(Параметры!$E$46,0,Параметры!$B$24-1),"&gt;=" &amp; Деятельность_УК!$B$9,E56:OFFSET(E56,0,Параметры!$B$24-1))*Параметры!$B$13/Параметры!$B$12,0)</f>
        <v>359809.23640303453</v>
      </c>
      <c r="C56" s="13" t="str">
        <f>Параметры!$C$126</f>
        <v>тыс. руб.</v>
      </c>
      <c r="D56" s="78"/>
      <c r="E56" s="167">
        <f t="shared" ref="E56:AB56" ca="1" si="18">SUM(E46:E54)</f>
        <v>-20731.544184000002</v>
      </c>
      <c r="F56" s="167">
        <f t="shared" ca="1" si="18"/>
        <v>-28857.830096491558</v>
      </c>
      <c r="G56" s="167">
        <f t="shared" ca="1" si="18"/>
        <v>-3394.4245141073006</v>
      </c>
      <c r="H56" s="167">
        <f t="shared" ca="1" si="18"/>
        <v>3646.1119675883783</v>
      </c>
      <c r="I56" s="167">
        <f t="shared" ca="1" si="18"/>
        <v>-158.59248756996385</v>
      </c>
      <c r="J56" s="167">
        <f t="shared" ca="1" si="18"/>
        <v>2950.9259840399463</v>
      </c>
      <c r="K56" s="167">
        <f t="shared" ca="1" si="18"/>
        <v>-3043.3215844785882</v>
      </c>
      <c r="L56" s="167">
        <f t="shared" ca="1" si="18"/>
        <v>-5140.4009329217843</v>
      </c>
      <c r="M56" s="167">
        <f t="shared" ca="1" si="18"/>
        <v>13926.508000697184</v>
      </c>
      <c r="N56" s="167">
        <f t="shared" ca="1" si="18"/>
        <v>7618.4829030487308</v>
      </c>
      <c r="O56" s="167">
        <f t="shared" ca="1" si="18"/>
        <v>-3270.8501765326582</v>
      </c>
      <c r="P56" s="167">
        <f t="shared" ca="1" si="18"/>
        <v>-9808.7346485550952</v>
      </c>
      <c r="Q56" s="167">
        <f t="shared" ca="1" si="18"/>
        <v>-908.68858268713666</v>
      </c>
      <c r="R56" s="167">
        <f t="shared" ca="1" si="18"/>
        <v>-10604.840379459834</v>
      </c>
      <c r="S56" s="167">
        <f t="shared" ca="1" si="18"/>
        <v>-21969.23416270662</v>
      </c>
      <c r="T56" s="167">
        <f t="shared" ca="1" si="18"/>
        <v>-25538.430311492833</v>
      </c>
      <c r="U56" s="167">
        <f t="shared" ca="1" si="18"/>
        <v>144093.45924083516</v>
      </c>
      <c r="V56" s="167">
        <f t="shared" ca="1" si="18"/>
        <v>157439.36946676535</v>
      </c>
      <c r="W56" s="167">
        <f t="shared" ca="1" si="18"/>
        <v>164004.4906709301</v>
      </c>
      <c r="X56" s="167">
        <f t="shared" ca="1" si="18"/>
        <v>170684.31446470757</v>
      </c>
      <c r="Y56" s="167">
        <f t="shared" ca="1" si="18"/>
        <v>177481.04472905857</v>
      </c>
      <c r="Z56" s="167">
        <f t="shared" ca="1" si="18"/>
        <v>184343.79330046062</v>
      </c>
      <c r="AA56" s="167">
        <f t="shared" ca="1" si="18"/>
        <v>191327.20473962842</v>
      </c>
      <c r="AB56" s="167">
        <f t="shared" ca="1" si="18"/>
        <v>198433.19677949802</v>
      </c>
      <c r="AC56" s="167">
        <f t="shared" ref="AC56:AR56" ca="1" si="19">SUM(AC46:AC54)</f>
        <v>206149.52148175257</v>
      </c>
      <c r="AD56" s="167">
        <f t="shared" ca="1" si="19"/>
        <v>205248.46200794444</v>
      </c>
      <c r="AE56" s="167">
        <f t="shared" ca="1" si="19"/>
        <v>206005.64675419102</v>
      </c>
      <c r="AF56" s="167">
        <f t="shared" ca="1" si="19"/>
        <v>212511.76704136914</v>
      </c>
      <c r="AG56" s="167">
        <f t="shared" ca="1" si="19"/>
        <v>222089.57357060959</v>
      </c>
      <c r="AH56" s="167">
        <f t="shared" ca="1" si="19"/>
        <v>202569.5497703873</v>
      </c>
      <c r="AI56" s="167">
        <f t="shared" ca="1" si="19"/>
        <v>209082.24521972981</v>
      </c>
      <c r="AJ56" s="167">
        <f t="shared" ca="1" si="19"/>
        <v>215702.94134172195</v>
      </c>
      <c r="AK56" s="167">
        <f t="shared" ca="1" si="19"/>
        <v>210474.58144255713</v>
      </c>
      <c r="AL56" s="167">
        <f t="shared" ca="1" si="19"/>
        <v>180309.45803286985</v>
      </c>
      <c r="AM56" s="167">
        <f t="shared" ca="1" si="19"/>
        <v>225797.38152274449</v>
      </c>
      <c r="AN56" s="167">
        <f t="shared" ca="1" si="19"/>
        <v>231854.65195257182</v>
      </c>
      <c r="AO56" s="167">
        <f t="shared" ca="1" si="19"/>
        <v>69740.932996482166</v>
      </c>
      <c r="AP56" s="167">
        <f t="shared" ca="1" si="19"/>
        <v>-1998119.9940400613</v>
      </c>
      <c r="AQ56" s="167">
        <f t="shared" ca="1" si="19"/>
        <v>86812.405098345975</v>
      </c>
      <c r="AR56" s="167">
        <f t="shared" ca="1" si="19"/>
        <v>84819.420833107084</v>
      </c>
      <c r="AS56" s="167"/>
      <c r="AT56" s="168">
        <f ca="1">SUM(E56:AS56)</f>
        <v>2053570.5552125778</v>
      </c>
    </row>
    <row r="57" spans="1:46" x14ac:dyDescent="0.2">
      <c r="A57" s="44"/>
      <c r="B57" s="443">
        <f ca="1">IFERROR(AVERAGEIF(Параметры!$E$46:OFFSET(Параметры!$E$46,0,Параметры!$B$24-1),"&gt;=" &amp; Деятельность_УК!$B$9,E57:OFFSET(E57,0,Параметры!$B$24-1))*Параметры!$B$13/Параметры!$B$12,0)</f>
        <v>0</v>
      </c>
      <c r="D57" s="40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30"/>
    </row>
    <row r="58" spans="1:46" x14ac:dyDescent="0.2">
      <c r="A58" s="63" t="s">
        <v>264</v>
      </c>
      <c r="B58" s="443">
        <f ca="1">IFERROR(AVERAGEIF(Параметры!$E$46:OFFSET(Параметры!$E$46,0,Параметры!$B$24-1),"&gt;=" &amp; Деятельность_УК!$B$9,E58:OFFSET(E58,0,Параметры!$B$24-1))*Параметры!$B$13/Параметры!$B$12,0)</f>
        <v>0</v>
      </c>
      <c r="C58" s="12" t="str">
        <f>Параметры!$C$126</f>
        <v>тыс. руб.</v>
      </c>
      <c r="D58" s="40"/>
      <c r="E58" s="82">
        <f>-(0)/Параметры!E$126</f>
        <v>0</v>
      </c>
      <c r="F58" s="82">
        <f>-(0)/Параметры!F$126</f>
        <v>0</v>
      </c>
      <c r="G58" s="82">
        <f>-(0)/Параметры!G$126</f>
        <v>0</v>
      </c>
      <c r="H58" s="82">
        <f>-(0)/Параметры!H$126</f>
        <v>0</v>
      </c>
      <c r="I58" s="82">
        <f>-(0)/Параметры!I$126</f>
        <v>0</v>
      </c>
      <c r="J58" s="82">
        <f>-(0)/Параметры!J$126</f>
        <v>0</v>
      </c>
      <c r="K58" s="82">
        <f>-(0)/Параметры!K$126</f>
        <v>0</v>
      </c>
      <c r="L58" s="82">
        <f>-(0)/Параметры!L$126</f>
        <v>0</v>
      </c>
      <c r="M58" s="82">
        <f>-(0)/Параметры!M$126</f>
        <v>0</v>
      </c>
      <c r="N58" s="82">
        <f>-(0)/Параметры!N$126</f>
        <v>0</v>
      </c>
      <c r="O58" s="82">
        <f>-(0)/Параметры!O$126</f>
        <v>0</v>
      </c>
      <c r="P58" s="82">
        <f>-(0)/Параметры!P$126</f>
        <v>0</v>
      </c>
      <c r="Q58" s="82">
        <f>-(0)/Параметры!Q$126</f>
        <v>0</v>
      </c>
      <c r="R58" s="82">
        <f>-(0)/Параметры!R$126</f>
        <v>0</v>
      </c>
      <c r="S58" s="82">
        <f>-(0)/Параметры!S$126</f>
        <v>0</v>
      </c>
      <c r="T58" s="82">
        <f>-(0)/Параметры!T$126</f>
        <v>0</v>
      </c>
      <c r="U58" s="82">
        <f>-(0)/Параметры!U$126</f>
        <v>0</v>
      </c>
      <c r="V58" s="82">
        <f>-(0)/Параметры!V$126</f>
        <v>0</v>
      </c>
      <c r="W58" s="82">
        <f>-(0)/Параметры!W$126</f>
        <v>0</v>
      </c>
      <c r="X58" s="82">
        <f>-(0)/Параметры!X$126</f>
        <v>0</v>
      </c>
      <c r="Y58" s="82">
        <f>-(0)/Параметры!Y$126</f>
        <v>0</v>
      </c>
      <c r="Z58" s="82">
        <f>-(0)/Параметры!Z$126</f>
        <v>0</v>
      </c>
      <c r="AA58" s="82">
        <f>-(0)/Параметры!AA$126</f>
        <v>0</v>
      </c>
      <c r="AB58" s="82">
        <f>-(0)/Параметры!AB$126</f>
        <v>0</v>
      </c>
      <c r="AC58" s="82">
        <f>-(0)/Параметры!AC$126</f>
        <v>0</v>
      </c>
      <c r="AD58" s="82">
        <f>-(0)/Параметры!AD$126</f>
        <v>0</v>
      </c>
      <c r="AE58" s="82">
        <f>-(0)/Параметры!AE$126</f>
        <v>0</v>
      </c>
      <c r="AF58" s="82">
        <f>-(0)/Параметры!AF$126</f>
        <v>0</v>
      </c>
      <c r="AG58" s="82">
        <f>-(0)/Параметры!AG$126</f>
        <v>0</v>
      </c>
      <c r="AH58" s="82">
        <f>-(0)/Параметры!AH$126</f>
        <v>0</v>
      </c>
      <c r="AI58" s="82">
        <f>-(0)/Параметры!AI$126</f>
        <v>0</v>
      </c>
      <c r="AJ58" s="82">
        <f>-(0)/Параметры!AJ$126</f>
        <v>0</v>
      </c>
      <c r="AK58" s="82">
        <f>-(0)/Параметры!AK$126</f>
        <v>0</v>
      </c>
      <c r="AL58" s="82">
        <f>-(0)/Параметры!AL$126</f>
        <v>0</v>
      </c>
      <c r="AM58" s="82">
        <f>-(0)/Параметры!AM$126</f>
        <v>0</v>
      </c>
      <c r="AN58" s="82">
        <f>-(0)/Параметры!AN$126</f>
        <v>0</v>
      </c>
      <c r="AO58" s="82">
        <f>-(0)/Параметры!AO$126</f>
        <v>0</v>
      </c>
      <c r="AP58" s="82">
        <f>-(0)/Параметры!AP$126</f>
        <v>0</v>
      </c>
      <c r="AQ58" s="82">
        <f>-(0)/Параметры!AQ$126</f>
        <v>0</v>
      </c>
      <c r="AR58" s="82">
        <f>-(0)/Параметры!AR$126</f>
        <v>0</v>
      </c>
      <c r="AS58" s="82"/>
      <c r="AT58" s="30">
        <f t="shared" ref="AT58:AT63" si="20">SUM(E58:AS58)</f>
        <v>0</v>
      </c>
    </row>
    <row r="59" spans="1:46" x14ac:dyDescent="0.2">
      <c r="A59" s="63" t="s">
        <v>851</v>
      </c>
      <c r="B59" s="443">
        <f ca="1">IFERROR(AVERAGEIF(Параметры!$E$46:OFFSET(Параметры!$E$46,0,Параметры!$B$24-1),"&gt;=" &amp; Деятельность_УК!$B$9,E59:OFFSET(E59,0,Параметры!$B$24-1))*Параметры!$B$13/Параметры!$B$12,0)</f>
        <v>0</v>
      </c>
      <c r="C59" s="12" t="str">
        <f>Параметры!$C$126</f>
        <v>тыс. руб.</v>
      </c>
      <c r="D59" s="40"/>
      <c r="E59" s="82">
        <f>-(Деятельность_УК!E$482)/Параметры!E$126</f>
        <v>-301153.75</v>
      </c>
      <c r="F59" s="82">
        <f ca="1">-(Деятельность_УК!F$482)/Параметры!F$126</f>
        <v>-326793.75</v>
      </c>
      <c r="G59" s="82">
        <f ca="1">-(Деятельность_УК!G$482)/Параметры!G$126</f>
        <v>-64100.000000000007</v>
      </c>
      <c r="H59" s="82">
        <f ca="1">-(Деятельность_УК!H$482)/Параметры!H$126</f>
        <v>-71792</v>
      </c>
      <c r="I59" s="82">
        <f ca="1">-(Деятельность_УК!I$482)/Параметры!I$126</f>
        <v>-90768</v>
      </c>
      <c r="J59" s="82">
        <f ca="1">-(Деятельность_УК!J$482)/Параметры!J$126</f>
        <v>-191195.07809271439</v>
      </c>
      <c r="K59" s="82">
        <f ca="1">-(Деятельность_УК!K$482)/Параметры!K$126</f>
        <v>-251017.68685945566</v>
      </c>
      <c r="L59" s="82">
        <f ca="1">-(Деятельность_УК!L$482)/Параметры!L$126</f>
        <v>-129589.65171757294</v>
      </c>
      <c r="M59" s="82">
        <f ca="1">-(Деятельность_УК!M$482)/Параметры!M$126</f>
        <v>-268652.41227134393</v>
      </c>
      <c r="N59" s="82">
        <f ca="1">-(Деятельность_УК!N$482)/Параметры!N$126</f>
        <v>-540753.01301084307</v>
      </c>
      <c r="O59" s="82">
        <f ca="1">-(Деятельность_УК!O$482)/Параметры!O$126</f>
        <v>-785061.38492575171</v>
      </c>
      <c r="P59" s="82">
        <f ca="1">-(Деятельность_УК!P$482)/Параметры!P$126</f>
        <v>-442947.78078685631</v>
      </c>
      <c r="Q59" s="82">
        <f ca="1">-(Деятельность_УК!Q$482)/Параметры!Q$126</f>
        <v>-411431.25935957226</v>
      </c>
      <c r="R59" s="82">
        <f ca="1">-(Деятельность_УК!R$482)/Параметры!R$126</f>
        <v>-906016.57989159273</v>
      </c>
      <c r="S59" s="82">
        <f ca="1">-(Деятельность_УК!S$482)/Параметры!S$126</f>
        <v>-991061.85020460747</v>
      </c>
      <c r="T59" s="82">
        <f ca="1">-(Деятельность_УК!T$482)/Параметры!T$126</f>
        <v>-501524.67002557381</v>
      </c>
      <c r="U59" s="82">
        <f ca="1">-(Деятельность_УК!U$482)/Параметры!U$126</f>
        <v>0</v>
      </c>
      <c r="V59" s="82">
        <f ca="1">-(Деятельность_УК!V$482)/Параметры!V$126</f>
        <v>0</v>
      </c>
      <c r="W59" s="82">
        <f ca="1">-(Деятельность_УК!W$482)/Параметры!W$126</f>
        <v>0</v>
      </c>
      <c r="X59" s="82">
        <f ca="1">-(Деятельность_УК!X$482)/Параметры!X$126</f>
        <v>0</v>
      </c>
      <c r="Y59" s="82">
        <f ca="1">-(Деятельность_УК!Y$482)/Параметры!Y$126</f>
        <v>0</v>
      </c>
      <c r="Z59" s="82">
        <f ca="1">-(Деятельность_УК!Z$482)/Параметры!Z$126</f>
        <v>0</v>
      </c>
      <c r="AA59" s="82">
        <f ca="1">-(Деятельность_УК!AA$482)/Параметры!AA$126</f>
        <v>0</v>
      </c>
      <c r="AB59" s="82">
        <f ca="1">-(Деятельность_УК!AB$482)/Параметры!AB$126</f>
        <v>0</v>
      </c>
      <c r="AC59" s="82">
        <f ca="1">-(Деятельность_УК!AC$482)/Параметры!AC$126</f>
        <v>0</v>
      </c>
      <c r="AD59" s="82">
        <f ca="1">-(Деятельность_УК!AD$482)/Параметры!AD$126</f>
        <v>0</v>
      </c>
      <c r="AE59" s="82">
        <f ca="1">-(Деятельность_УК!AE$482)/Параметры!AE$126</f>
        <v>0</v>
      </c>
      <c r="AF59" s="82">
        <f ca="1">-(Деятельность_УК!AF$482)/Параметры!AF$126</f>
        <v>0</v>
      </c>
      <c r="AG59" s="82">
        <f ca="1">-(Деятельность_УК!AG$482)/Параметры!AG$126</f>
        <v>0</v>
      </c>
      <c r="AH59" s="82">
        <f ca="1">-(Деятельность_УК!AH$482)/Параметры!AH$126</f>
        <v>0</v>
      </c>
      <c r="AI59" s="82">
        <f ca="1">-(Деятельность_УК!AI$482)/Параметры!AI$126</f>
        <v>0</v>
      </c>
      <c r="AJ59" s="82">
        <f ca="1">-(Деятельность_УК!AJ$482)/Параметры!AJ$126</f>
        <v>0</v>
      </c>
      <c r="AK59" s="82">
        <f ca="1">-(Деятельность_УК!AK$482)/Параметры!AK$126</f>
        <v>0</v>
      </c>
      <c r="AL59" s="82">
        <f ca="1">-(Деятельность_УК!AL$482)/Параметры!AL$126</f>
        <v>0</v>
      </c>
      <c r="AM59" s="82">
        <f ca="1">-(Деятельность_УК!AM$482)/Параметры!AM$126</f>
        <v>0</v>
      </c>
      <c r="AN59" s="82">
        <f ca="1">-(Деятельность_УК!AN$482)/Параметры!AN$126</f>
        <v>0</v>
      </c>
      <c r="AO59" s="82">
        <f ca="1">-(Деятельность_УК!AO$482)/Параметры!AO$126</f>
        <v>0</v>
      </c>
      <c r="AP59" s="82">
        <f ca="1">-(Деятельность_УК!AP$482)/Параметры!AP$126</f>
        <v>0</v>
      </c>
      <c r="AQ59" s="82">
        <f ca="1">-(Деятельность_УК!AQ$482)/Параметры!AQ$126</f>
        <v>0</v>
      </c>
      <c r="AR59" s="82">
        <f ca="1">-(Деятельность_УК!AR$482)/Параметры!AR$126</f>
        <v>0</v>
      </c>
      <c r="AS59" s="82"/>
      <c r="AT59" s="30">
        <f t="shared" ca="1" si="20"/>
        <v>-6273858.8671458848</v>
      </c>
    </row>
    <row r="60" spans="1:46" x14ac:dyDescent="0.2">
      <c r="A60" s="63" t="s">
        <v>265</v>
      </c>
      <c r="B60" s="443">
        <f ca="1">IFERROR(AVERAGEIF(Параметры!$E$46:OFFSET(Параметры!$E$46,0,Параметры!$B$24-1),"&gt;=" &amp; Деятельность_УК!$B$9,E60:OFFSET(E60,0,Параметры!$B$24-1))*Параметры!$B$13/Параметры!$B$12,0)</f>
        <v>0</v>
      </c>
      <c r="C60" s="12" t="str">
        <f>Параметры!$C$126</f>
        <v>тыс. руб.</v>
      </c>
      <c r="D60" s="40"/>
      <c r="E60" s="82">
        <f>(Деятельность_УК!E$378)/Параметры!E$126</f>
        <v>0</v>
      </c>
      <c r="F60" s="82">
        <f>(Деятельность_УК!F$378)/Параметры!F$126</f>
        <v>0</v>
      </c>
      <c r="G60" s="82">
        <f>(Деятельность_УК!G$378)/Параметры!G$126</f>
        <v>0</v>
      </c>
      <c r="H60" s="82">
        <f>(Деятельность_УК!H$378)/Параметры!H$126</f>
        <v>0</v>
      </c>
      <c r="I60" s="82">
        <f>(Деятельность_УК!I$378)/Параметры!I$126</f>
        <v>0</v>
      </c>
      <c r="J60" s="82">
        <f>(Деятельность_УК!J$378)/Параметры!J$126</f>
        <v>0</v>
      </c>
      <c r="K60" s="82">
        <f>(Деятельность_УК!K$378)/Параметры!K$126</f>
        <v>0</v>
      </c>
      <c r="L60" s="82">
        <f>(Деятельность_УК!L$378)/Параметры!L$126</f>
        <v>0</v>
      </c>
      <c r="M60" s="82">
        <f>(Деятельность_УК!M$378)/Параметры!M$126</f>
        <v>0</v>
      </c>
      <c r="N60" s="82">
        <f>(Деятельность_УК!N$378)/Параметры!N$126</f>
        <v>0</v>
      </c>
      <c r="O60" s="82">
        <f>(Деятельность_УК!O$378)/Параметры!O$126</f>
        <v>0</v>
      </c>
      <c r="P60" s="82">
        <f>(Деятельность_УК!P$378)/Параметры!P$126</f>
        <v>0</v>
      </c>
      <c r="Q60" s="82">
        <f>(Деятельность_УК!Q$378)/Параметры!Q$126</f>
        <v>0</v>
      </c>
      <c r="R60" s="82">
        <f>(Деятельность_УК!R$378)/Параметры!R$126</f>
        <v>0</v>
      </c>
      <c r="S60" s="82">
        <f>(Деятельность_УК!S$378)/Параметры!S$126</f>
        <v>0</v>
      </c>
      <c r="T60" s="82">
        <f>(Деятельность_УК!T$378)/Параметры!T$126</f>
        <v>0</v>
      </c>
      <c r="U60" s="82">
        <f>(Деятельность_УК!U$378)/Параметры!U$126</f>
        <v>0</v>
      </c>
      <c r="V60" s="82">
        <f>(Деятельность_УК!V$378)/Параметры!V$126</f>
        <v>0</v>
      </c>
      <c r="W60" s="82">
        <f>(Деятельность_УК!W$378)/Параметры!W$126</f>
        <v>0</v>
      </c>
      <c r="X60" s="82">
        <f>(Деятельность_УК!X$378)/Параметры!X$126</f>
        <v>0</v>
      </c>
      <c r="Y60" s="82">
        <f>(Деятельность_УК!Y$378)/Параметры!Y$126</f>
        <v>0</v>
      </c>
      <c r="Z60" s="82">
        <f>(Деятельность_УК!Z$378)/Параметры!Z$126</f>
        <v>0</v>
      </c>
      <c r="AA60" s="82">
        <f>(Деятельность_УК!AA$378)/Параметры!AA$126</f>
        <v>0</v>
      </c>
      <c r="AB60" s="82">
        <f>(Деятельность_УК!AB$378)/Параметры!AB$126</f>
        <v>0</v>
      </c>
      <c r="AC60" s="82">
        <f>(Деятельность_УК!AC$378)/Параметры!AC$126</f>
        <v>0</v>
      </c>
      <c r="AD60" s="82">
        <f>(Деятельность_УК!AD$378)/Параметры!AD$126</f>
        <v>0</v>
      </c>
      <c r="AE60" s="82">
        <f>(Деятельность_УК!AE$378)/Параметры!AE$126</f>
        <v>0</v>
      </c>
      <c r="AF60" s="82">
        <f>(Деятельность_УК!AF$378)/Параметры!AF$126</f>
        <v>0</v>
      </c>
      <c r="AG60" s="82">
        <f>(Деятельность_УК!AG$378)/Параметры!AG$126</f>
        <v>0</v>
      </c>
      <c r="AH60" s="82">
        <f>(Деятельность_УК!AH$378)/Параметры!AH$126</f>
        <v>0</v>
      </c>
      <c r="AI60" s="82">
        <f>(Деятельность_УК!AI$378)/Параметры!AI$126</f>
        <v>0</v>
      </c>
      <c r="AJ60" s="82">
        <f>(Деятельность_УК!AJ$378)/Параметры!AJ$126</f>
        <v>0</v>
      </c>
      <c r="AK60" s="82">
        <f>(Деятельность_УК!AK$378)/Параметры!AK$126</f>
        <v>0</v>
      </c>
      <c r="AL60" s="82">
        <f>(Деятельность_УК!AL$378)/Параметры!AL$126</f>
        <v>0</v>
      </c>
      <c r="AM60" s="82">
        <f>(Деятельность_УК!AM$378)/Параметры!AM$126</f>
        <v>0</v>
      </c>
      <c r="AN60" s="82">
        <f>(Деятельность_УК!AN$378)/Параметры!AN$126</f>
        <v>0</v>
      </c>
      <c r="AO60" s="82">
        <f>(Деятельность_УК!AO$378)/Параметры!AO$126</f>
        <v>0</v>
      </c>
      <c r="AP60" s="82">
        <f>(Деятельность_УК!AP$378)/Параметры!AP$126</f>
        <v>0</v>
      </c>
      <c r="AQ60" s="82">
        <f>(Деятельность_УК!AQ$378)/Параметры!AQ$126</f>
        <v>0</v>
      </c>
      <c r="AR60" s="82">
        <f>(Деятельность_УК!AR$378)/Параметры!AR$126</f>
        <v>0</v>
      </c>
      <c r="AS60" s="82"/>
      <c r="AT60" s="30">
        <f t="shared" si="20"/>
        <v>0</v>
      </c>
    </row>
    <row r="61" spans="1:46" x14ac:dyDescent="0.2">
      <c r="A61" s="63" t="s">
        <v>266</v>
      </c>
      <c r="B61" s="443">
        <f ca="1">IFERROR(AVERAGEIF(Параметры!$E$46:OFFSET(Параметры!$E$46,0,Параметры!$B$24-1),"&gt;=" &amp; Деятельность_УК!$B$9,E61:OFFSET(E61,0,Параметры!$B$24-1))*Параметры!$B$13/Параметры!$B$12,0)</f>
        <v>0</v>
      </c>
      <c r="C61" s="12" t="str">
        <f>Параметры!$C$126</f>
        <v>тыс. руб.</v>
      </c>
      <c r="D61" s="40"/>
      <c r="E61" s="82">
        <f>0/Параметры!E$126</f>
        <v>0</v>
      </c>
      <c r="F61" s="82">
        <f>0/Параметры!F$126</f>
        <v>0</v>
      </c>
      <c r="G61" s="82">
        <f>0/Параметры!G$126</f>
        <v>0</v>
      </c>
      <c r="H61" s="82">
        <f>0/Параметры!H$126</f>
        <v>0</v>
      </c>
      <c r="I61" s="82">
        <f>0/Параметры!I$126</f>
        <v>0</v>
      </c>
      <c r="J61" s="82">
        <f>0/Параметры!J$126</f>
        <v>0</v>
      </c>
      <c r="K61" s="82">
        <f>0/Параметры!K$126</f>
        <v>0</v>
      </c>
      <c r="L61" s="82">
        <f>0/Параметры!L$126</f>
        <v>0</v>
      </c>
      <c r="M61" s="82">
        <f>0/Параметры!M$126</f>
        <v>0</v>
      </c>
      <c r="N61" s="82">
        <f>0/Параметры!N$126</f>
        <v>0</v>
      </c>
      <c r="O61" s="82">
        <f>0/Параметры!O$126</f>
        <v>0</v>
      </c>
      <c r="P61" s="82">
        <f>0/Параметры!P$126</f>
        <v>0</v>
      </c>
      <c r="Q61" s="82">
        <f>0/Параметры!Q$126</f>
        <v>0</v>
      </c>
      <c r="R61" s="82">
        <f>0/Параметры!R$126</f>
        <v>0</v>
      </c>
      <c r="S61" s="82">
        <f>0/Параметры!S$126</f>
        <v>0</v>
      </c>
      <c r="T61" s="82">
        <f>0/Параметры!T$126</f>
        <v>0</v>
      </c>
      <c r="U61" s="82">
        <f>0/Параметры!U$126</f>
        <v>0</v>
      </c>
      <c r="V61" s="82">
        <f>0/Параметры!V$126</f>
        <v>0</v>
      </c>
      <c r="W61" s="82">
        <f>0/Параметры!W$126</f>
        <v>0</v>
      </c>
      <c r="X61" s="82">
        <f>0/Параметры!X$126</f>
        <v>0</v>
      </c>
      <c r="Y61" s="82">
        <f>0/Параметры!Y$126</f>
        <v>0</v>
      </c>
      <c r="Z61" s="82">
        <f>0/Параметры!Z$126</f>
        <v>0</v>
      </c>
      <c r="AA61" s="82">
        <f>0/Параметры!AA$126</f>
        <v>0</v>
      </c>
      <c r="AB61" s="82">
        <f>0/Параметры!AB$126</f>
        <v>0</v>
      </c>
      <c r="AC61" s="82">
        <f>0/Параметры!AC$126</f>
        <v>0</v>
      </c>
      <c r="AD61" s="82">
        <f>0/Параметры!AD$126</f>
        <v>0</v>
      </c>
      <c r="AE61" s="82">
        <f>0/Параметры!AE$126</f>
        <v>0</v>
      </c>
      <c r="AF61" s="82">
        <f>0/Параметры!AF$126</f>
        <v>0</v>
      </c>
      <c r="AG61" s="82">
        <f>0/Параметры!AG$126</f>
        <v>0</v>
      </c>
      <c r="AH61" s="82">
        <f>0/Параметры!AH$126</f>
        <v>0</v>
      </c>
      <c r="AI61" s="82">
        <f>0/Параметры!AI$126</f>
        <v>0</v>
      </c>
      <c r="AJ61" s="82">
        <f>0/Параметры!AJ$126</f>
        <v>0</v>
      </c>
      <c r="AK61" s="82">
        <f>0/Параметры!AK$126</f>
        <v>0</v>
      </c>
      <c r="AL61" s="82">
        <f>0/Параметры!AL$126</f>
        <v>0</v>
      </c>
      <c r="AM61" s="82">
        <f>0/Параметры!AM$126</f>
        <v>0</v>
      </c>
      <c r="AN61" s="82">
        <f>0/Параметры!AN$126</f>
        <v>0</v>
      </c>
      <c r="AO61" s="82">
        <f>0/Параметры!AO$126</f>
        <v>0</v>
      </c>
      <c r="AP61" s="82">
        <f>0/Параметры!AP$126</f>
        <v>0</v>
      </c>
      <c r="AQ61" s="82">
        <f>0/Параметры!AQ$126</f>
        <v>0</v>
      </c>
      <c r="AR61" s="82">
        <f>0/Параметры!AR$126</f>
        <v>0</v>
      </c>
      <c r="AS61" s="82"/>
      <c r="AT61" s="30">
        <f t="shared" si="20"/>
        <v>0</v>
      </c>
    </row>
    <row r="62" spans="1:46" x14ac:dyDescent="0.2">
      <c r="A62" s="63" t="s">
        <v>267</v>
      </c>
      <c r="B62" s="443">
        <f ca="1">IFERROR(AVERAGEIF(Параметры!$E$46:OFFSET(Параметры!$E$46,0,Параметры!$B$24-1),"&gt;=" &amp; Деятельность_УК!$B$9,E62:OFFSET(E62,0,Параметры!$B$24-1))*Параметры!$B$13/Параметры!$B$12,0)</f>
        <v>0</v>
      </c>
      <c r="C62" s="12" t="str">
        <f>Параметры!$C$126</f>
        <v>тыс. руб.</v>
      </c>
      <c r="D62" s="40"/>
      <c r="E62" s="82">
        <f>-(0)/Параметры!E$126</f>
        <v>0</v>
      </c>
      <c r="F62" s="82">
        <f>-(0)/Параметры!F$126</f>
        <v>0</v>
      </c>
      <c r="G62" s="82">
        <f>-(0)/Параметры!G$126</f>
        <v>0</v>
      </c>
      <c r="H62" s="82">
        <f>-(0)/Параметры!H$126</f>
        <v>0</v>
      </c>
      <c r="I62" s="82">
        <f>-(0)/Параметры!I$126</f>
        <v>0</v>
      </c>
      <c r="J62" s="82">
        <f>-(0)/Параметры!J$126</f>
        <v>0</v>
      </c>
      <c r="K62" s="82">
        <f>-(0)/Параметры!K$126</f>
        <v>0</v>
      </c>
      <c r="L62" s="82">
        <f>-(0)/Параметры!L$126</f>
        <v>0</v>
      </c>
      <c r="M62" s="82">
        <f>-(0)/Параметры!M$126</f>
        <v>0</v>
      </c>
      <c r="N62" s="82">
        <f>-(0)/Параметры!N$126</f>
        <v>0</v>
      </c>
      <c r="O62" s="82">
        <f>-(0)/Параметры!O$126</f>
        <v>0</v>
      </c>
      <c r="P62" s="82">
        <f>-(0)/Параметры!P$126</f>
        <v>0</v>
      </c>
      <c r="Q62" s="82">
        <f>-(0)/Параметры!Q$126</f>
        <v>0</v>
      </c>
      <c r="R62" s="82">
        <f>-(0)/Параметры!R$126</f>
        <v>0</v>
      </c>
      <c r="S62" s="82">
        <f>-(0)/Параметры!S$126</f>
        <v>0</v>
      </c>
      <c r="T62" s="82">
        <f>-(0)/Параметры!T$126</f>
        <v>0</v>
      </c>
      <c r="U62" s="82">
        <f>-(0)/Параметры!U$126</f>
        <v>0</v>
      </c>
      <c r="V62" s="82">
        <f>-(0)/Параметры!V$126</f>
        <v>0</v>
      </c>
      <c r="W62" s="82">
        <f>-(0)/Параметры!W$126</f>
        <v>0</v>
      </c>
      <c r="X62" s="82">
        <f>-(0)/Параметры!X$126</f>
        <v>0</v>
      </c>
      <c r="Y62" s="82">
        <f>-(0)/Параметры!Y$126</f>
        <v>0</v>
      </c>
      <c r="Z62" s="82">
        <f>-(0)/Параметры!Z$126</f>
        <v>0</v>
      </c>
      <c r="AA62" s="82">
        <f>-(0)/Параметры!AA$126</f>
        <v>0</v>
      </c>
      <c r="AB62" s="82">
        <f>-(0)/Параметры!AB$126</f>
        <v>0</v>
      </c>
      <c r="AC62" s="82">
        <f>-(0)/Параметры!AC$126</f>
        <v>0</v>
      </c>
      <c r="AD62" s="82">
        <f>-(0)/Параметры!AD$126</f>
        <v>0</v>
      </c>
      <c r="AE62" s="82">
        <f>-(0)/Параметры!AE$126</f>
        <v>0</v>
      </c>
      <c r="AF62" s="82">
        <f>-(0)/Параметры!AF$126</f>
        <v>0</v>
      </c>
      <c r="AG62" s="82">
        <f>-(0)/Параметры!AG$126</f>
        <v>0</v>
      </c>
      <c r="AH62" s="82">
        <f>-(0)/Параметры!AH$126</f>
        <v>0</v>
      </c>
      <c r="AI62" s="82">
        <f>-(0)/Параметры!AI$126</f>
        <v>0</v>
      </c>
      <c r="AJ62" s="82">
        <f>-(0)/Параметры!AJ$126</f>
        <v>0</v>
      </c>
      <c r="AK62" s="82">
        <f>-(0)/Параметры!AK$126</f>
        <v>0</v>
      </c>
      <c r="AL62" s="82">
        <f>-(0)/Параметры!AL$126</f>
        <v>0</v>
      </c>
      <c r="AM62" s="82">
        <f>-(0)/Параметры!AM$126</f>
        <v>0</v>
      </c>
      <c r="AN62" s="82">
        <f>-(0)/Параметры!AN$126</f>
        <v>0</v>
      </c>
      <c r="AO62" s="82">
        <f>-(0)/Параметры!AO$126</f>
        <v>0</v>
      </c>
      <c r="AP62" s="82">
        <f>-(0)/Параметры!AP$126</f>
        <v>0</v>
      </c>
      <c r="AQ62" s="82">
        <f>-(0)/Параметры!AQ$126</f>
        <v>0</v>
      </c>
      <c r="AR62" s="82">
        <f>-(0)/Параметры!AR$126</f>
        <v>0</v>
      </c>
      <c r="AS62" s="82"/>
      <c r="AT62" s="30">
        <f t="shared" si="20"/>
        <v>0</v>
      </c>
    </row>
    <row r="63" spans="1:46" x14ac:dyDescent="0.2">
      <c r="A63" s="63" t="s">
        <v>268</v>
      </c>
      <c r="B63" s="443">
        <f ca="1">IFERROR(AVERAGEIF(Параметры!$E$46:OFFSET(Параметры!$E$46,0,Параметры!$B$24-1),"&gt;=" &amp; Деятельность_УК!$B$9,E63:OFFSET(E63,0,Параметры!$B$24-1))*Параметры!$B$13/Параметры!$B$12,0)</f>
        <v>1357226.1239343011</v>
      </c>
      <c r="C63" s="12" t="str">
        <f>Параметры!$C$126</f>
        <v>тыс. руб.</v>
      </c>
      <c r="D63" s="40"/>
      <c r="E63" s="82">
        <f>(Деятельность_УК!E$493+Деятельность_УК!E496)/Параметры!E$126</f>
        <v>0</v>
      </c>
      <c r="F63" s="82">
        <f ca="1">(Деятельность_УК!F$493+Деятельность_УК!F496)/Параметры!F$126</f>
        <v>0</v>
      </c>
      <c r="G63" s="82">
        <f ca="1">(Деятельность_УК!G$493+Деятельность_УК!G496)/Параметры!G$126</f>
        <v>0</v>
      </c>
      <c r="H63" s="82">
        <f ca="1">(Деятельность_УК!H$493+Деятельность_УК!H496)/Параметры!H$126</f>
        <v>0</v>
      </c>
      <c r="I63" s="82">
        <f ca="1">(Деятельность_УК!I$493+Деятельность_УК!I496)/Параметры!I$126</f>
        <v>0</v>
      </c>
      <c r="J63" s="82">
        <f ca="1">(Деятельность_УК!J$493+Деятельность_УК!J496)/Параметры!J$126</f>
        <v>0</v>
      </c>
      <c r="K63" s="82">
        <f ca="1">(Деятельность_УК!K$493+Деятельность_УК!K496)/Параметры!K$126</f>
        <v>0</v>
      </c>
      <c r="L63" s="82">
        <f ca="1">(Деятельность_УК!L$493+Деятельность_УК!L496)/Параметры!L$126</f>
        <v>0</v>
      </c>
      <c r="M63" s="82">
        <f ca="1">(Деятельность_УК!M$493+Деятельность_УК!M496)/Параметры!M$126</f>
        <v>0</v>
      </c>
      <c r="N63" s="82">
        <f ca="1">(Деятельность_УК!N$493+Деятельность_УК!N496)/Параметры!N$126</f>
        <v>0</v>
      </c>
      <c r="O63" s="82">
        <f ca="1">(Деятельность_УК!O$493+Деятельность_УК!O496)/Параметры!O$126</f>
        <v>0</v>
      </c>
      <c r="P63" s="82">
        <f ca="1">(Деятельность_УК!P$493+Деятельность_УК!P496)/Параметры!P$126</f>
        <v>0</v>
      </c>
      <c r="Q63" s="82">
        <f ca="1">(Деятельность_УК!Q$493+Деятельность_УК!Q496)/Параметры!Q$126</f>
        <v>0</v>
      </c>
      <c r="R63" s="82">
        <f ca="1">(Деятельность_УК!R$493+Деятельность_УК!R496)/Параметры!R$126</f>
        <v>0</v>
      </c>
      <c r="S63" s="82">
        <f ca="1">(Деятельность_УК!S$493+Деятельность_УК!S496)/Параметры!S$126</f>
        <v>0</v>
      </c>
      <c r="T63" s="82">
        <f ca="1">(Деятельность_УК!T$493+Деятельность_УК!T496)/Параметры!T$126</f>
        <v>0</v>
      </c>
      <c r="U63" s="82">
        <f ca="1">(Деятельность_УК!U$493+Деятельность_УК!U496)/Параметры!U$126</f>
        <v>0</v>
      </c>
      <c r="V63" s="82">
        <f ca="1">(Деятельность_УК!V$493+Деятельность_УК!V496)/Параметры!V$126</f>
        <v>0</v>
      </c>
      <c r="W63" s="82">
        <f ca="1">(Деятельность_УК!W$493+Деятельность_УК!W496)/Параметры!W$126</f>
        <v>0</v>
      </c>
      <c r="X63" s="82">
        <f ca="1">(Деятельность_УК!X$493+Деятельность_УК!X496)/Параметры!X$126</f>
        <v>0</v>
      </c>
      <c r="Y63" s="82">
        <f ca="1">(Деятельность_УК!Y$493+Деятельность_УК!Y496)/Параметры!Y$126</f>
        <v>0</v>
      </c>
      <c r="Z63" s="82">
        <f ca="1">(Деятельность_УК!Z$493+Деятельность_УК!Z496)/Параметры!Z$126</f>
        <v>0</v>
      </c>
      <c r="AA63" s="82">
        <f ca="1">(Деятельность_УК!AA$493+Деятельность_УК!AA496)/Параметры!AA$126</f>
        <v>0</v>
      </c>
      <c r="AB63" s="82">
        <f ca="1">(Деятельность_УК!AB$493+Деятельность_УК!AB496)/Параметры!AB$126</f>
        <v>0</v>
      </c>
      <c r="AC63" s="82">
        <f ca="1">(Деятельность_УК!AC$493+Деятельность_УК!AC496)/Параметры!AC$126</f>
        <v>0</v>
      </c>
      <c r="AD63" s="82">
        <f ca="1">(Деятельность_УК!AD$493+Деятельность_УК!AD496)/Параметры!AD$126</f>
        <v>0</v>
      </c>
      <c r="AE63" s="82">
        <f ca="1">(Деятельность_УК!AE$493+Деятельность_УК!AE496)/Параметры!AE$126</f>
        <v>0</v>
      </c>
      <c r="AF63" s="82">
        <f ca="1">(Деятельность_УК!AF$493+Деятельность_УК!AF496)/Параметры!AF$126</f>
        <v>0</v>
      </c>
      <c r="AG63" s="82">
        <f ca="1">(Деятельность_УК!AG$493+Деятельность_УК!AG496)/Параметры!AG$126</f>
        <v>0</v>
      </c>
      <c r="AH63" s="82">
        <f ca="1">(Деятельность_УК!AH$493+Деятельность_УК!AH496)/Параметры!AH$126</f>
        <v>0</v>
      </c>
      <c r="AI63" s="82">
        <f ca="1">(Деятельность_УК!AI$493+Деятельность_УК!AI496)/Параметры!AI$126</f>
        <v>0</v>
      </c>
      <c r="AJ63" s="82">
        <f ca="1">(Деятельность_УК!AJ$493+Деятельность_УК!AJ496)/Параметры!AJ$126</f>
        <v>0</v>
      </c>
      <c r="AK63" s="82">
        <f ca="1">(Деятельность_УК!AK$493+Деятельность_УК!AK496)/Параметры!AK$126</f>
        <v>491315.59464514832</v>
      </c>
      <c r="AL63" s="82">
        <f ca="1">(Деятельность_УК!AL$493+Деятельность_УК!AL496)/Параметры!AL$126</f>
        <v>0</v>
      </c>
      <c r="AM63" s="82">
        <f ca="1">(Деятельность_УК!AM$493+Деятельность_УК!AM496)/Параметры!AM$126</f>
        <v>0</v>
      </c>
      <c r="AN63" s="82">
        <f ca="1">(Деятельность_УК!AN$493+Деятельность_УК!AN496)/Параметры!AN$126</f>
        <v>0</v>
      </c>
      <c r="AO63" s="82">
        <f ca="1">(Деятельность_УК!AO$493+Деятельность_УК!AO496)/Параметры!AO$126</f>
        <v>7652041.1489606583</v>
      </c>
      <c r="AP63" s="82">
        <f ca="1">(Деятельность_УК!AP$493+Деятельность_УК!AP496)/Параметры!AP$126</f>
        <v>0</v>
      </c>
      <c r="AQ63" s="82">
        <f ca="1">(Деятельность_УК!AQ$493+Деятельность_УК!AQ496)/Параметры!AQ$126</f>
        <v>0</v>
      </c>
      <c r="AR63" s="82">
        <f ca="1">(Деятельность_УК!AR$493+Деятельность_УК!AR496)/Параметры!AR$126</f>
        <v>0</v>
      </c>
      <c r="AS63" s="82"/>
      <c r="AT63" s="30">
        <f t="shared" ca="1" si="20"/>
        <v>8143356.7436058065</v>
      </c>
    </row>
    <row r="64" spans="1:46" x14ac:dyDescent="0.2">
      <c r="A64" s="44"/>
      <c r="B64" s="443"/>
      <c r="D64" s="40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30"/>
    </row>
    <row r="65" spans="1:46" x14ac:dyDescent="0.2">
      <c r="A65" s="76" t="s">
        <v>109</v>
      </c>
      <c r="B65" s="444">
        <f ca="1">IFERROR(AVERAGEIF(Параметры!$E$46:OFFSET(Параметры!$E$46,0,Параметры!$B$24-1),"&gt;=" &amp; Деятельность_УК!$B$9,E65:OFFSET(E65,0,Параметры!$B$24-1))*Параметры!$B$13/Параметры!$B$12,0)</f>
        <v>1357226.1239343011</v>
      </c>
      <c r="C65" s="13" t="str">
        <f>Параметры!$C$126</f>
        <v>тыс. руб.</v>
      </c>
      <c r="D65" s="78"/>
      <c r="E65" s="167">
        <f t="shared" ref="E65:AR65" si="21">SUM(E58:E63)</f>
        <v>-301153.75</v>
      </c>
      <c r="F65" s="167">
        <f t="shared" ca="1" si="21"/>
        <v>-326793.75</v>
      </c>
      <c r="G65" s="167">
        <f t="shared" ca="1" si="21"/>
        <v>-64100.000000000007</v>
      </c>
      <c r="H65" s="167">
        <f t="shared" ca="1" si="21"/>
        <v>-71792</v>
      </c>
      <c r="I65" s="167">
        <f t="shared" ca="1" si="21"/>
        <v>-90768</v>
      </c>
      <c r="J65" s="167">
        <f t="shared" ca="1" si="21"/>
        <v>-191195.07809271439</v>
      </c>
      <c r="K65" s="167">
        <f t="shared" ca="1" si="21"/>
        <v>-251017.68685945566</v>
      </c>
      <c r="L65" s="167">
        <f t="shared" ca="1" si="21"/>
        <v>-129589.65171757294</v>
      </c>
      <c r="M65" s="167">
        <f t="shared" ca="1" si="21"/>
        <v>-268652.41227134393</v>
      </c>
      <c r="N65" s="167">
        <f t="shared" ca="1" si="21"/>
        <v>-540753.01301084307</v>
      </c>
      <c r="O65" s="167">
        <f t="shared" ca="1" si="21"/>
        <v>-785061.38492575171</v>
      </c>
      <c r="P65" s="167">
        <f t="shared" ca="1" si="21"/>
        <v>-442947.78078685631</v>
      </c>
      <c r="Q65" s="167">
        <f t="shared" ca="1" si="21"/>
        <v>-411431.25935957226</v>
      </c>
      <c r="R65" s="167">
        <f t="shared" ca="1" si="21"/>
        <v>-906016.57989159273</v>
      </c>
      <c r="S65" s="167">
        <f t="shared" ca="1" si="21"/>
        <v>-991061.85020460747</v>
      </c>
      <c r="T65" s="167">
        <f t="shared" ca="1" si="21"/>
        <v>-501524.67002557381</v>
      </c>
      <c r="U65" s="167">
        <f t="shared" ca="1" si="21"/>
        <v>0</v>
      </c>
      <c r="V65" s="167">
        <f t="shared" ca="1" si="21"/>
        <v>0</v>
      </c>
      <c r="W65" s="167">
        <f t="shared" ca="1" si="21"/>
        <v>0</v>
      </c>
      <c r="X65" s="167">
        <f t="shared" ca="1" si="21"/>
        <v>0</v>
      </c>
      <c r="Y65" s="167">
        <f t="shared" ca="1" si="21"/>
        <v>0</v>
      </c>
      <c r="Z65" s="167">
        <f t="shared" ca="1" si="21"/>
        <v>0</v>
      </c>
      <c r="AA65" s="167">
        <f t="shared" ca="1" si="21"/>
        <v>0</v>
      </c>
      <c r="AB65" s="167">
        <f t="shared" ca="1" si="21"/>
        <v>0</v>
      </c>
      <c r="AC65" s="167">
        <f t="shared" ca="1" si="21"/>
        <v>0</v>
      </c>
      <c r="AD65" s="167">
        <f t="shared" ca="1" si="21"/>
        <v>0</v>
      </c>
      <c r="AE65" s="167">
        <f t="shared" ca="1" si="21"/>
        <v>0</v>
      </c>
      <c r="AF65" s="167">
        <f t="shared" ca="1" si="21"/>
        <v>0</v>
      </c>
      <c r="AG65" s="167">
        <f t="shared" ca="1" si="21"/>
        <v>0</v>
      </c>
      <c r="AH65" s="167">
        <f t="shared" ca="1" si="21"/>
        <v>0</v>
      </c>
      <c r="AI65" s="167">
        <f t="shared" ca="1" si="21"/>
        <v>0</v>
      </c>
      <c r="AJ65" s="167">
        <f t="shared" ca="1" si="21"/>
        <v>0</v>
      </c>
      <c r="AK65" s="167">
        <f t="shared" ca="1" si="21"/>
        <v>491315.59464514832</v>
      </c>
      <c r="AL65" s="167">
        <f t="shared" ca="1" si="21"/>
        <v>0</v>
      </c>
      <c r="AM65" s="167">
        <f t="shared" ca="1" si="21"/>
        <v>0</v>
      </c>
      <c r="AN65" s="167">
        <f t="shared" ca="1" si="21"/>
        <v>0</v>
      </c>
      <c r="AO65" s="167">
        <f t="shared" ca="1" si="21"/>
        <v>7652041.1489606583</v>
      </c>
      <c r="AP65" s="167">
        <f t="shared" ca="1" si="21"/>
        <v>0</v>
      </c>
      <c r="AQ65" s="167">
        <f t="shared" ca="1" si="21"/>
        <v>0</v>
      </c>
      <c r="AR65" s="167">
        <f t="shared" ca="1" si="21"/>
        <v>0</v>
      </c>
      <c r="AS65" s="167"/>
      <c r="AT65" s="168">
        <f ca="1">SUM(E65:AS65)</f>
        <v>1869497.8764599217</v>
      </c>
    </row>
    <row r="66" spans="1:46" x14ac:dyDescent="0.2">
      <c r="A66" s="44"/>
      <c r="B66" s="443">
        <f ca="1">IFERROR(AVERAGEIF(Параметры!$E$46:OFFSET(Параметры!$E$46,0,Параметры!$B$24-1),"&gt;=" &amp; Деятельность_УК!$B$9,E66:OFFSET(E66,0,Параметры!$B$24-1))*Параметры!$B$13/Параметры!$B$12,0)</f>
        <v>0</v>
      </c>
      <c r="D66" s="40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30"/>
    </row>
    <row r="67" spans="1:46" x14ac:dyDescent="0.2">
      <c r="A67" s="63" t="s">
        <v>150</v>
      </c>
      <c r="B67" s="443">
        <f ca="1">IFERROR(AVERAGEIF(Параметры!$E$46:OFFSET(Параметры!$E$46,0,Параметры!$B$24-1),"&gt;=" &amp; Деятельность_УК!$B$9,E67:OFFSET(E67,0,Параметры!$B$24-1))*Параметры!$B$13/Параметры!$B$12,0)</f>
        <v>243950.26820987166</v>
      </c>
      <c r="C67" s="12" t="str">
        <f>Параметры!$C$126</f>
        <v>тыс. руб.</v>
      </c>
      <c r="D67" s="40"/>
      <c r="E67" s="82">
        <f ca="1">Деятельность_УК!E$537/Параметры!E$126</f>
        <v>25998.471684000004</v>
      </c>
      <c r="F67" s="82">
        <f ca="1">Деятельность_УК!F$537/Параметры!F$126</f>
        <v>36085.520096491557</v>
      </c>
      <c r="G67" s="82">
        <f ca="1">Деятельность_УК!G$537/Параметры!G$126</f>
        <v>44751.135139393285</v>
      </c>
      <c r="H67" s="82">
        <f ca="1">Деятельность_УК!H$537/Параметры!H$126</f>
        <v>38659.773441337988</v>
      </c>
      <c r="I67" s="82">
        <f ca="1">Деятельность_УК!I$537/Параметры!I$126</f>
        <v>68991.707169755609</v>
      </c>
      <c r="J67" s="82">
        <f ca="1">Деятельность_УК!J$537/Параметры!J$126</f>
        <v>101921.30820085057</v>
      </c>
      <c r="K67" s="82">
        <f ca="1">Деятельность_УК!K$537/Параметры!K$126</f>
        <v>127684.32900629527</v>
      </c>
      <c r="L67" s="82">
        <f ca="1">Деятельность_УК!L$537/Параметры!L$126</f>
        <v>94604.788895157952</v>
      </c>
      <c r="M67" s="82">
        <f ca="1">Деятельность_УК!M$537/Параметры!M$126</f>
        <v>137160.87400907316</v>
      </c>
      <c r="N67" s="82">
        <f ca="1">Деятельность_УК!N$537/Параметры!N$126</f>
        <v>228594.77524424525</v>
      </c>
      <c r="O67" s="82">
        <f ca="1">Деятельность_УК!O$537/Параметры!O$126</f>
        <v>308694.53315702395</v>
      </c>
      <c r="P67" s="82">
        <f ca="1">Деятельность_УК!P$537/Параметры!P$126</f>
        <v>223876.3228870309</v>
      </c>
      <c r="Q67" s="82">
        <f ca="1">Деятельность_УК!Q$537/Параметры!Q$126</f>
        <v>348357.0184022449</v>
      </c>
      <c r="R67" s="82">
        <f ca="1">Деятельность_УК!R$537/Параметры!R$126</f>
        <v>514140.38183783821</v>
      </c>
      <c r="S67" s="82">
        <f ca="1">Деятельность_УК!S$537/Параметры!S$126</f>
        <v>554642.42018156732</v>
      </c>
      <c r="T67" s="82">
        <f ca="1">Деятельность_УК!T$537/Параметры!T$126</f>
        <v>396281.63661328342</v>
      </c>
      <c r="U67" s="82">
        <f ca="1">Деятельность_УК!U$537/Параметры!U$126</f>
        <v>78290.968214641194</v>
      </c>
      <c r="V67" s="82">
        <f ca="1">Деятельность_УК!V$537/Параметры!V$126</f>
        <v>78266.036622260173</v>
      </c>
      <c r="W67" s="82">
        <f ca="1">Деятельность_УК!W$537/Параметры!W$126</f>
        <v>78240.556605833975</v>
      </c>
      <c r="X67" s="82">
        <f ca="1">Деятельность_УК!X$537/Параметры!X$126</f>
        <v>78214.516076557251</v>
      </c>
      <c r="Y67" s="82">
        <f ca="1">Деятельность_УК!Y$537/Параметры!Y$126</f>
        <v>78187.902678641229</v>
      </c>
      <c r="Z67" s="82">
        <f ca="1">Деятельность_УК!Z$537/Параметры!Z$126</f>
        <v>78160.703783406905</v>
      </c>
      <c r="AA67" s="82">
        <f ca="1">Деятельность_УК!AA$537/Параметры!AA$126</f>
        <v>78132.906483247338</v>
      </c>
      <c r="AB67" s="82">
        <f ca="1">Деятельность_УК!AB$537/Параметры!AB$126</f>
        <v>78104.497585456047</v>
      </c>
      <c r="AC67" s="82">
        <f ca="1">Деятельность_УК!AC$537/Параметры!AC$126</f>
        <v>77929.84895555659</v>
      </c>
      <c r="AD67" s="82">
        <f ca="1">Деятельность_УК!AD$537/Параметры!AD$126</f>
        <v>77911.990773454119</v>
      </c>
      <c r="AE67" s="82">
        <f ca="1">Деятельность_УК!AE$537/Параметры!AE$126</f>
        <v>77893.745471094182</v>
      </c>
      <c r="AF67" s="82">
        <f ca="1">Деятельность_УК!AF$537/Параметры!AF$126</f>
        <v>77875.10463204782</v>
      </c>
      <c r="AG67" s="82">
        <f ca="1">Деятельность_УК!AG$537/Параметры!AG$126</f>
        <v>76968.927558788331</v>
      </c>
      <c r="AH67" s="82">
        <f ca="1">Деятельность_УК!AH$537/Параметры!AH$126</f>
        <v>77067.902013256098</v>
      </c>
      <c r="AI67" s="82">
        <f ca="1">Деятельность_УК!AI$537/Параметры!AI$126</f>
        <v>77169.119292622054</v>
      </c>
      <c r="AJ67" s="82">
        <f ca="1">Деятельность_УК!AJ$537/Параметры!AJ$126</f>
        <v>77272.630178439838</v>
      </c>
      <c r="AK67" s="82">
        <f ca="1">Деятельность_УК!AK$537/Параметры!AK$126</f>
        <v>77378.486601207958</v>
      </c>
      <c r="AL67" s="82">
        <f ca="1">Деятельность_УК!AL$537/Параметры!AL$126</f>
        <v>77486.741666348185</v>
      </c>
      <c r="AM67" s="82">
        <f ca="1">Деятельность_УК!AM$537/Параметры!AM$126</f>
        <v>63149.024066370723</v>
      </c>
      <c r="AN67" s="82">
        <f ca="1">Деятельность_УК!AN$537/Параметры!AN$126</f>
        <v>0</v>
      </c>
      <c r="AO67" s="82">
        <f ca="1">Деятельность_УК!AO$537/Параметры!AO$126</f>
        <v>0</v>
      </c>
      <c r="AP67" s="82">
        <f ca="1">Деятельность_УК!AP$537/Параметры!AP$126</f>
        <v>0</v>
      </c>
      <c r="AQ67" s="82">
        <f ca="1">Деятельность_УК!AQ$537/Параметры!AQ$126</f>
        <v>0</v>
      </c>
      <c r="AR67" s="82">
        <f ca="1">Деятельность_УК!AR$537/Параметры!AR$126</f>
        <v>0</v>
      </c>
      <c r="AS67" s="82"/>
      <c r="AT67" s="30">
        <f t="shared" ref="AT67:AT71" ca="1" si="22">SUM(E67:AS67)</f>
        <v>4714146.6052248208</v>
      </c>
    </row>
    <row r="68" spans="1:46" x14ac:dyDescent="0.2">
      <c r="A68" s="63" t="s">
        <v>722</v>
      </c>
      <c r="B68" s="443">
        <f ca="1">IFERROR(AVERAGEIF(Параметры!$E$46:OFFSET(Параметры!$E$46,0,Параметры!$B$24-1),"&gt;=" &amp; Деятельность_УК!$B$9,E68:OFFSET(E68,0,Параметры!$B$24-1))*Параметры!$B$13/Параметры!$B$12,0)</f>
        <v>59016.426884635039</v>
      </c>
      <c r="C68" s="12" t="str">
        <f>Параметры!$C$126</f>
        <v>тыс. руб.</v>
      </c>
      <c r="D68" s="40"/>
      <c r="E68" s="82">
        <f>Деятельность_УК!E$540/Параметры!E$126</f>
        <v>0</v>
      </c>
      <c r="F68" s="82">
        <f ca="1">Деятельность_УК!F$540/Параметры!F$126</f>
        <v>0</v>
      </c>
      <c r="G68" s="82">
        <f ca="1">Деятельность_УК!G$540/Параметры!G$126</f>
        <v>0</v>
      </c>
      <c r="H68" s="82">
        <f ca="1">Деятельность_УК!H$540/Параметры!H$126</f>
        <v>0</v>
      </c>
      <c r="I68" s="82">
        <f ca="1">Деятельность_УК!I$540/Параметры!I$126</f>
        <v>0</v>
      </c>
      <c r="J68" s="82">
        <f ca="1">Деятельность_УК!J$540/Параметры!J$126</f>
        <v>1000.0318861108526</v>
      </c>
      <c r="K68" s="82">
        <f ca="1">Деятельность_УК!K$540/Параметры!K$126</f>
        <v>1000.0318861108526</v>
      </c>
      <c r="L68" s="82">
        <f ca="1">Деятельность_УК!L$540/Параметры!L$126</f>
        <v>1009.441750841768</v>
      </c>
      <c r="M68" s="82">
        <f ca="1">Деятельность_УК!M$540/Параметры!M$126</f>
        <v>1018.9401583036547</v>
      </c>
      <c r="N68" s="82">
        <f ca="1">Деятельность_УК!N$540/Параметры!N$126</f>
        <v>1028.5279416450671</v>
      </c>
      <c r="O68" s="82">
        <f ca="1">Деятельность_УК!O$540/Параметры!O$126</f>
        <v>9789.8628804723394</v>
      </c>
      <c r="P68" s="82">
        <f ca="1">Деятельность_УК!P$540/Параметры!P$126</f>
        <v>1594.6509547354606</v>
      </c>
      <c r="Q68" s="82">
        <f ca="1">Деятельность_УК!Q$540/Параметры!Q$126</f>
        <v>1612.4299840332176</v>
      </c>
      <c r="R68" s="82">
        <f ca="1">Деятельность_УК!R$540/Параметры!R$126</f>
        <v>1630.4072346921009</v>
      </c>
      <c r="S68" s="82">
        <f ca="1">Деятельность_УК!S$540/Параметры!S$126</f>
        <v>6213.4515893743246</v>
      </c>
      <c r="T68" s="82">
        <f ca="1">Деятельность_УК!T$540/Параметры!T$126</f>
        <v>27253.662425870105</v>
      </c>
      <c r="U68" s="82">
        <f ca="1">Деятельность_УК!U$540/Параметры!U$126</f>
        <v>33048.408915747459</v>
      </c>
      <c r="V68" s="82">
        <f ca="1">Деятельность_УК!V$540/Параметры!V$126</f>
        <v>33376.232728754119</v>
      </c>
      <c r="W68" s="82">
        <f ca="1">Деятельность_УК!W$540/Параметры!W$126</f>
        <v>106640.07890610778</v>
      </c>
      <c r="X68" s="82">
        <f ca="1">Деятельность_УК!X$540/Параметры!X$126</f>
        <v>40289.666342360943</v>
      </c>
      <c r="Y68" s="82">
        <f ca="1">Деятельность_УК!Y$540/Параметры!Y$126</f>
        <v>40870.272412639461</v>
      </c>
      <c r="Z68" s="82">
        <f ca="1">Деятельность_УК!Z$540/Параметры!Z$126</f>
        <v>58019.532144945959</v>
      </c>
      <c r="AA68" s="82">
        <f ca="1">Деятельность_УК!AA$540/Параметры!AA$126</f>
        <v>41854.369857254555</v>
      </c>
      <c r="AB68" s="82">
        <f ca="1">Деятельность_УК!AB$540/Параметры!AB$126</f>
        <v>0</v>
      </c>
      <c r="AC68" s="82">
        <f ca="1">Деятельность_УК!AC$540/Параметры!AC$126</f>
        <v>0</v>
      </c>
      <c r="AD68" s="82">
        <f ca="1">Деятельность_УК!AD$540/Параметры!AD$126</f>
        <v>0</v>
      </c>
      <c r="AE68" s="82">
        <f ca="1">Деятельность_УК!AE$540/Параметры!AE$126</f>
        <v>0</v>
      </c>
      <c r="AF68" s="82">
        <f ca="1">Деятельность_УК!AF$540/Параметры!AF$126</f>
        <v>0</v>
      </c>
      <c r="AG68" s="82">
        <f ca="1">Деятельность_УК!AG$540/Параметры!AG$126</f>
        <v>0</v>
      </c>
      <c r="AH68" s="82">
        <f ca="1">Деятельность_УК!AH$540/Параметры!AH$126</f>
        <v>0</v>
      </c>
      <c r="AI68" s="82">
        <f ca="1">Деятельность_УК!AI$540/Параметры!AI$126</f>
        <v>0</v>
      </c>
      <c r="AJ68" s="82">
        <f ca="1">Деятельность_УК!AJ$540/Параметры!AJ$126</f>
        <v>0</v>
      </c>
      <c r="AK68" s="82">
        <f ca="1">Деятельность_УК!AK$540/Параметры!AK$126</f>
        <v>0</v>
      </c>
      <c r="AL68" s="82">
        <f ca="1">Деятельность_УК!AL$540/Параметры!AL$126</f>
        <v>0</v>
      </c>
      <c r="AM68" s="82">
        <f ca="1">Деятельность_УК!AM$540/Параметры!AM$126</f>
        <v>0</v>
      </c>
      <c r="AN68" s="82">
        <f ca="1">Деятельность_УК!AN$540/Параметры!AN$126</f>
        <v>0</v>
      </c>
      <c r="AO68" s="82">
        <f ca="1">Деятельность_УК!AO$540/Параметры!AO$126</f>
        <v>0</v>
      </c>
      <c r="AP68" s="82">
        <f ca="1">Деятельность_УК!AP$540/Параметры!AP$126</f>
        <v>0</v>
      </c>
      <c r="AQ68" s="82">
        <f ca="1">Деятельность_УК!AQ$540/Параметры!AQ$126</f>
        <v>0</v>
      </c>
      <c r="AR68" s="82">
        <f ca="1">Деятельность_УК!AR$540/Параметры!AR$126</f>
        <v>0</v>
      </c>
      <c r="AS68" s="82"/>
      <c r="AT68" s="30">
        <f t="shared" ca="1" si="22"/>
        <v>407250</v>
      </c>
    </row>
    <row r="69" spans="1:46" x14ac:dyDescent="0.2">
      <c r="A69" s="63" t="s">
        <v>149</v>
      </c>
      <c r="B69" s="443">
        <f ca="1">IFERROR(AVERAGEIF(Параметры!$E$46:OFFSET(Параметры!$E$46,0,Параметры!$B$24-1),"&gt;=" &amp; Деятельность_УК!$B$9,E69:OFFSET(E69,0,Параметры!$B$24-1))*Параметры!$B$13/Параметры!$B$12,0)</f>
        <v>0</v>
      </c>
      <c r="C69" s="12" t="str">
        <f>Параметры!$C$126</f>
        <v>тыс. руб.</v>
      </c>
      <c r="D69" s="40"/>
      <c r="E69" s="82">
        <f>(Деятельность_УК!E$644+Деятельность_УК!E92)/Параметры!E$126</f>
        <v>301153.75</v>
      </c>
      <c r="F69" s="82">
        <f ca="1">(Деятельность_УК!F$644+Деятельность_УК!F92)/Параметры!F$126</f>
        <v>326793.75</v>
      </c>
      <c r="G69" s="82">
        <f ca="1">(Деятельность_УК!G$644+Деятельность_УК!G92)/Параметры!G$126</f>
        <v>64100</v>
      </c>
      <c r="H69" s="82">
        <f ca="1">(Деятельность_УК!H$644+Деятельность_УК!H92)/Параметры!H$126</f>
        <v>71792</v>
      </c>
      <c r="I69" s="82">
        <f ca="1">(Деятельность_УК!I$644+Деятельность_УК!I92)/Параметры!I$126</f>
        <v>72768</v>
      </c>
      <c r="J69" s="82">
        <f ca="1">(Деятельность_УК!J$644+Деятельность_УК!J92)/Параметры!J$126</f>
        <v>137730.93169246375</v>
      </c>
      <c r="K69" s="82">
        <f ca="1">(Деятельность_УК!K$644+Деятельность_УК!K92)/Параметры!K$126</f>
        <v>179655.74336865376</v>
      </c>
      <c r="L69" s="82">
        <f ca="1">(Деятельность_УК!L$644+Деятельность_УК!L92)/Параметры!L$126</f>
        <v>94705.720474899892</v>
      </c>
      <c r="M69" s="82">
        <f ca="1">(Деятельность_УК!M$644+Деятельность_УК!M92)/Параметры!M$126</f>
        <v>188056.68858994072</v>
      </c>
      <c r="N69" s="82">
        <f ca="1">(Деятельность_УК!N$644+Деятельность_УК!N92)/Параметры!N$126</f>
        <v>378527.10910759011</v>
      </c>
      <c r="O69" s="82">
        <f ca="1">(Деятельность_УК!O$644+Деятельность_УК!O92)/Параметры!O$126</f>
        <v>549542.96944802604</v>
      </c>
      <c r="P69" s="82">
        <f ca="1">(Деятельность_УК!P$644+Деятельность_УК!P92)/Параметры!P$126</f>
        <v>310063.44655079942</v>
      </c>
      <c r="Q69" s="82">
        <f ca="1">(Деятельность_УК!Q$644+Деятельность_УК!Q92)/Параметры!Q$126</f>
        <v>288001.88155170059</v>
      </c>
      <c r="R69" s="82">
        <f ca="1">(Деятельность_УК!R$644+Деятельность_УК!R92)/Параметры!R$126</f>
        <v>634211.60592411482</v>
      </c>
      <c r="S69" s="82">
        <f ca="1">(Деятельность_УК!S$644+Деятельность_УК!S92)/Параметры!S$126</f>
        <v>693743.29514322511</v>
      </c>
      <c r="T69" s="82">
        <f ca="1">(Деятельность_УК!T$644+Деятельность_УК!T92)/Параметры!T$126</f>
        <v>351067.26901790162</v>
      </c>
      <c r="U69" s="82">
        <f ca="1">(Деятельность_УК!U$644+Деятельность_УК!U92)/Параметры!U$126</f>
        <v>0</v>
      </c>
      <c r="V69" s="82">
        <f ca="1">(Деятельность_УК!V$644+Деятельность_УК!V92)/Параметры!V$126</f>
        <v>0</v>
      </c>
      <c r="W69" s="82">
        <f ca="1">(Деятельность_УК!W$644+Деятельность_УК!W92)/Параметры!W$126</f>
        <v>0</v>
      </c>
      <c r="X69" s="82">
        <f ca="1">(Деятельность_УК!X$644+Деятельность_УК!X92)/Параметры!X$126</f>
        <v>0</v>
      </c>
      <c r="Y69" s="82">
        <f ca="1">(Деятельность_УК!Y$644+Деятельность_УК!Y92)/Параметры!Y$126</f>
        <v>0</v>
      </c>
      <c r="Z69" s="82">
        <f ca="1">(Деятельность_УК!Z$644+Деятельность_УК!Z92)/Параметры!Z$126</f>
        <v>0</v>
      </c>
      <c r="AA69" s="82">
        <f ca="1">(Деятельность_УК!AA$644+Деятельность_УК!AA92)/Параметры!AA$126</f>
        <v>0</v>
      </c>
      <c r="AB69" s="82">
        <f ca="1">(Деятельность_УК!AB$644+Деятельность_УК!AB92)/Параметры!AB$126</f>
        <v>0</v>
      </c>
      <c r="AC69" s="82">
        <f ca="1">(Деятельность_УК!AC$644+Деятельность_УК!AC92)/Параметры!AC$126</f>
        <v>0</v>
      </c>
      <c r="AD69" s="82">
        <f ca="1">(Деятельность_УК!AD$644+Деятельность_УК!AD92)/Параметры!AD$126</f>
        <v>0</v>
      </c>
      <c r="AE69" s="82">
        <f ca="1">(Деятельность_УК!AE$644+Деятельность_УК!AE92)/Параметры!AE$126</f>
        <v>0</v>
      </c>
      <c r="AF69" s="82">
        <f ca="1">(Деятельность_УК!AF$644+Деятельность_УК!AF92)/Параметры!AF$126</f>
        <v>0</v>
      </c>
      <c r="AG69" s="82">
        <f ca="1">(Деятельность_УК!AG$644+Деятельность_УК!AG92)/Параметры!AG$126</f>
        <v>0</v>
      </c>
      <c r="AH69" s="82">
        <f ca="1">(Деятельность_УК!AH$644+Деятельность_УК!AH92)/Параметры!AH$126</f>
        <v>0</v>
      </c>
      <c r="AI69" s="82">
        <f ca="1">(Деятельность_УК!AI$644+Деятельность_УК!AI92)/Параметры!AI$126</f>
        <v>0</v>
      </c>
      <c r="AJ69" s="82">
        <f ca="1">(Деятельность_УК!AJ$644+Деятельность_УК!AJ92)/Параметры!AJ$126</f>
        <v>0</v>
      </c>
      <c r="AK69" s="82">
        <f ca="1">(Деятельность_УК!AK$644+Деятельность_УК!AK92)/Параметры!AK$126</f>
        <v>0</v>
      </c>
      <c r="AL69" s="82">
        <f ca="1">(Деятельность_УК!AL$644+Деятельность_УК!AL92)/Параметры!AL$126</f>
        <v>0</v>
      </c>
      <c r="AM69" s="82">
        <f ca="1">(Деятельность_УК!AM$644+Деятельность_УК!AM92)/Параметры!AM$126</f>
        <v>0</v>
      </c>
      <c r="AN69" s="82">
        <f ca="1">(Деятельность_УК!AN$644+Деятельность_УК!AN92)/Параметры!AN$126</f>
        <v>0</v>
      </c>
      <c r="AO69" s="82">
        <f ca="1">(Деятельность_УК!AO$644+Деятельность_УК!AO92)/Параметры!AO$126</f>
        <v>0</v>
      </c>
      <c r="AP69" s="82">
        <f ca="1">(Деятельность_УК!AP$644+Деятельность_УК!AP92)/Параметры!AP$126</f>
        <v>0</v>
      </c>
      <c r="AQ69" s="82">
        <f ca="1">(Деятельность_УК!AQ$644+Деятельность_УК!AQ92)/Параметры!AQ$126</f>
        <v>0</v>
      </c>
      <c r="AR69" s="82">
        <f ca="1">(Деятельность_УК!AR$644+Деятельность_УК!AR92)/Параметры!AR$126</f>
        <v>0</v>
      </c>
      <c r="AS69" s="82"/>
      <c r="AT69" s="30">
        <f t="shared" ca="1" si="22"/>
        <v>4641914.1608693162</v>
      </c>
    </row>
    <row r="70" spans="1:46" x14ac:dyDescent="0.2">
      <c r="A70" s="63" t="s">
        <v>257</v>
      </c>
      <c r="B70" s="443">
        <f ca="1">IFERROR(AVERAGEIF(Параметры!$E$46:OFFSET(Параметры!$E$46,0,Параметры!$B$24-1),"&gt;=" &amp; Деятельность_УК!$B$9,E70:OFFSET(E70,0,Параметры!$B$24-1))*Параметры!$B$13/Параметры!$B$12,0)</f>
        <v>-697165.56520712562</v>
      </c>
      <c r="C70" s="12" t="str">
        <f>Параметры!$C$126</f>
        <v>тыс. руб.</v>
      </c>
      <c r="D70" s="40"/>
      <c r="E70" s="82">
        <f ca="1">-(Деятельность_УК!E$93+Деятельность_УК!E$645)/Параметры!E$126</f>
        <v>0</v>
      </c>
      <c r="F70" s="82">
        <f ca="1">-(Деятельность_УК!F$93+Деятельность_УК!F$645)/Параметры!F$126</f>
        <v>0</v>
      </c>
      <c r="G70" s="82">
        <f ca="1">-(Деятельность_УК!G$93+Деятельность_УК!G$645)/Параметры!G$126</f>
        <v>-26077.604810885598</v>
      </c>
      <c r="H70" s="82">
        <f ca="1">-(Деятельность_УК!H$93+Деятельность_УК!H$645)/Параметры!H$126</f>
        <v>-26599.156907103305</v>
      </c>
      <c r="I70" s="82">
        <f ca="1">-(Деятельность_УК!I$93+Деятельность_УК!I$645)/Параметры!I$126</f>
        <v>-32950.56047333352</v>
      </c>
      <c r="J70" s="82">
        <f ca="1">-(Деятельность_УК!J$93+Деятельность_УК!J$645)/Параметры!J$126</f>
        <v>-33609.571682800182</v>
      </c>
      <c r="K70" s="82">
        <f ca="1">-(Деятельность_УК!K$93+Деятельность_УК!K$645)/Параметры!K$126</f>
        <v>-34281.76311645619</v>
      </c>
      <c r="L70" s="82">
        <f ca="1">-(Деятельность_УК!L$93+Деятельность_УК!L$645)/Параметры!L$126</f>
        <v>-34967.398378785314</v>
      </c>
      <c r="M70" s="82">
        <f ca="1">-(Деятельность_УК!M$93+Деятельность_УК!M$645)/Параметры!M$126</f>
        <v>-46458.291282385428</v>
      </c>
      <c r="N70" s="82">
        <f ca="1">-(Деятельность_УК!N$93+Деятельность_УК!N$645)/Параметры!N$126</f>
        <v>-47414.435970373204</v>
      </c>
      <c r="O70" s="82">
        <f ca="1">-(Деятельность_УК!O$93+Деятельность_УК!O$645)/Параметры!O$126</f>
        <v>-48390.310576523378</v>
      </c>
      <c r="P70" s="82">
        <f ca="1">-(Деятельность_УК!P$93+Деятельность_УК!P$645)/Параметры!P$126</f>
        <v>-49386.323357248264</v>
      </c>
      <c r="Q70" s="82">
        <f ca="1">-(Деятельность_УК!Q$93+Деятельность_УК!Q$645)/Параметры!Q$126</f>
        <v>-158579.33854826816</v>
      </c>
      <c r="R70" s="82">
        <f ca="1">-(Деятельность_УК!R$93+Деятельность_УК!R$645)/Параметры!R$126</f>
        <v>-162050.85658238453</v>
      </c>
      <c r="S70" s="82">
        <f ca="1">-(Деятельность_УК!S$93+Деятельность_УК!S$645)/Параметры!S$126</f>
        <v>-165598.55343060414</v>
      </c>
      <c r="T70" s="82">
        <f ca="1">-(Деятельность_УК!T$93+Деятельность_УК!T$645)/Параметры!T$126</f>
        <v>-169224.104509411</v>
      </c>
      <c r="U70" s="82">
        <f ca="1">-(Деятельность_УК!U$93+Деятельность_УК!U$645)/Параметры!U$126</f>
        <v>-172929.2221600234</v>
      </c>
      <c r="V70" s="82">
        <f ca="1">-(Деятельность_УК!V$93+Деятельность_УК!V$645)/Параметры!V$126</f>
        <v>-176715.65646375754</v>
      </c>
      <c r="W70" s="82">
        <f ca="1">-(Деятельность_УК!W$93+Деятельность_УК!W$645)/Параметры!W$126</f>
        <v>-180585.19607542839</v>
      </c>
      <c r="X70" s="82">
        <f ca="1">-(Деятельность_УК!X$93+Деятельность_УК!X$645)/Параметры!X$126</f>
        <v>-184539.6690751866</v>
      </c>
      <c r="Y70" s="82">
        <f ca="1">-(Деятельность_УК!Y$93+Деятельность_УК!Y$645)/Параметры!Y$126</f>
        <v>-188580.94383920057</v>
      </c>
      <c r="Z70" s="82">
        <f ca="1">-(Деятельность_УК!Z$93+Деятельность_УК!Z$645)/Параметры!Z$126</f>
        <v>-192710.92992960129</v>
      </c>
      <c r="AA70" s="82">
        <f ca="1">-(Деятельность_УК!AA$93+Деятельность_УК!AA$645)/Параметры!AA$126</f>
        <v>-196931.57900411641</v>
      </c>
      <c r="AB70" s="82">
        <f ca="1">-(Деятельность_УК!AB$93+Деятельность_УК!AB$645)/Параметры!AB$126</f>
        <v>-201244.88574583011</v>
      </c>
      <c r="AC70" s="82">
        <f ca="1">-(Деятельность_УК!AC$93+Деятельность_УК!AC$645)/Параметры!AC$126</f>
        <v>-205652.88881351473</v>
      </c>
      <c r="AD70" s="82">
        <f ca="1">-(Деятельность_УК!AD$93+Деятельность_УК!AD$645)/Параметры!AD$126</f>
        <v>-210157.67181299039</v>
      </c>
      <c r="AE70" s="82">
        <f ca="1">-(Деятельность_УК!AE$93+Деятельность_УК!AE$645)/Параметры!AE$126</f>
        <v>-214761.36428997765</v>
      </c>
      <c r="AF70" s="82">
        <f ca="1">-(Деятельность_УК!AF$93+Деятельность_УК!AF$645)/Параметры!AF$126</f>
        <v>-219466.14274492103</v>
      </c>
      <c r="AG70" s="82">
        <f ca="1">-(Деятельность_УК!AG$93+Деятельность_УК!AG$645)/Параметры!AG$126</f>
        <v>-224274.23167026899</v>
      </c>
      <c r="AH70" s="82">
        <f ca="1">-(Деятельность_УК!AH$93+Деятельность_УК!AH$645)/Параметры!AH$126</f>
        <v>-229187.90461070908</v>
      </c>
      <c r="AI70" s="82">
        <f ca="1">-(Деятельность_УК!AI$93+Деятельность_УК!AI$645)/Параметры!AI$126</f>
        <v>-234209.48524686621</v>
      </c>
      <c r="AJ70" s="82">
        <f ca="1">-(Деятельность_УК!AJ$93+Деятельность_УК!AJ$645)/Параметры!AJ$126</f>
        <v>-239341.34850298523</v>
      </c>
      <c r="AK70" s="82">
        <f ca="1">-(Деятельность_УК!AK$93+Деятельность_УК!AK$645)/Параметры!AK$126</f>
        <v>-244585.92167912822</v>
      </c>
      <c r="AL70" s="82">
        <f ca="1">-(Деятельность_УК!AL$93+Деятельность_УК!AL$645)/Параметры!AL$126</f>
        <v>-249945.68560843088</v>
      </c>
      <c r="AM70" s="82">
        <f ca="1">-(Деятельность_УК!AM$93+Деятельность_УК!AM$645)/Параметры!AM$126</f>
        <v>-206278.87102908781</v>
      </c>
      <c r="AN70" s="82">
        <f ca="1">-(Деятельность_УК!AN$93+Деятельность_УК!AN$645)/Параметры!AN$126</f>
        <v>-210893.79294072927</v>
      </c>
      <c r="AO70" s="82">
        <f ca="1">-(Деятельность_УК!AO$93+Деятельность_УК!AO$645)/Параметры!AO$126</f>
        <v>0</v>
      </c>
      <c r="AP70" s="82">
        <f ca="1">-(Деятельность_УК!AP$93+Деятельность_УК!AP$645)/Параметры!AP$126</f>
        <v>0</v>
      </c>
      <c r="AQ70" s="82">
        <f ca="1">-(Деятельность_УК!AQ$93+Деятельность_УК!AQ$645)/Параметры!AQ$126</f>
        <v>0</v>
      </c>
      <c r="AR70" s="82">
        <f ca="1">-(Деятельность_УК!AR$93+Деятельность_УК!AR$645)/Параметры!AR$126</f>
        <v>0</v>
      </c>
      <c r="AS70" s="82"/>
      <c r="AT70" s="30">
        <f t="shared" ca="1" si="22"/>
        <v>-5218581.6608693162</v>
      </c>
    </row>
    <row r="71" spans="1:46" x14ac:dyDescent="0.2">
      <c r="A71" s="63" t="s">
        <v>370</v>
      </c>
      <c r="B71" s="443">
        <f ca="1">IFERROR(AVERAGEIF(Параметры!$E$46:OFFSET(Параметры!$E$46,0,Параметры!$B$24-1),"&gt;=" &amp; Деятельность_УК!$B$9,E71:OFFSET(E71,0,Параметры!$B$24-1))*Параметры!$B$13/Параметры!$B$12,0)</f>
        <v>0</v>
      </c>
      <c r="C71" s="12" t="str">
        <f>Параметры!$C$126</f>
        <v>тыс. руб.</v>
      </c>
      <c r="D71" s="40"/>
      <c r="E71" s="82">
        <f>0/Параметры!E$126</f>
        <v>0</v>
      </c>
      <c r="F71" s="82">
        <f>0/Параметры!F$126</f>
        <v>0</v>
      </c>
      <c r="G71" s="82">
        <f>0/Параметры!G$126</f>
        <v>0</v>
      </c>
      <c r="H71" s="82">
        <f>0/Параметры!H$126</f>
        <v>0</v>
      </c>
      <c r="I71" s="82">
        <f>0/Параметры!I$126</f>
        <v>0</v>
      </c>
      <c r="J71" s="82">
        <f>0/Параметры!J$126</f>
        <v>0</v>
      </c>
      <c r="K71" s="82">
        <f>0/Параметры!K$126</f>
        <v>0</v>
      </c>
      <c r="L71" s="82">
        <f>0/Параметры!L$126</f>
        <v>0</v>
      </c>
      <c r="M71" s="82">
        <f>0/Параметры!M$126</f>
        <v>0</v>
      </c>
      <c r="N71" s="82">
        <f>0/Параметры!N$126</f>
        <v>0</v>
      </c>
      <c r="O71" s="82">
        <f>0/Параметры!O$126</f>
        <v>0</v>
      </c>
      <c r="P71" s="82">
        <f>0/Параметры!P$126</f>
        <v>0</v>
      </c>
      <c r="Q71" s="82">
        <f>0/Параметры!Q$126</f>
        <v>0</v>
      </c>
      <c r="R71" s="82">
        <f>0/Параметры!R$126</f>
        <v>0</v>
      </c>
      <c r="S71" s="82">
        <f>0/Параметры!S$126</f>
        <v>0</v>
      </c>
      <c r="T71" s="82">
        <f>0/Параметры!T$126</f>
        <v>0</v>
      </c>
      <c r="U71" s="82">
        <f>0/Параметры!U$126</f>
        <v>0</v>
      </c>
      <c r="V71" s="82">
        <f>0/Параметры!V$126</f>
        <v>0</v>
      </c>
      <c r="W71" s="82">
        <f>0/Параметры!W$126</f>
        <v>0</v>
      </c>
      <c r="X71" s="82">
        <f>0/Параметры!X$126</f>
        <v>0</v>
      </c>
      <c r="Y71" s="82">
        <f>0/Параметры!Y$126</f>
        <v>0</v>
      </c>
      <c r="Z71" s="82">
        <f>0/Параметры!Z$126</f>
        <v>0</v>
      </c>
      <c r="AA71" s="82">
        <f>0/Параметры!AA$126</f>
        <v>0</v>
      </c>
      <c r="AB71" s="82">
        <f>0/Параметры!AB$126</f>
        <v>0</v>
      </c>
      <c r="AC71" s="82">
        <f>0/Параметры!AC$126</f>
        <v>0</v>
      </c>
      <c r="AD71" s="82">
        <f>0/Параметры!AD$126</f>
        <v>0</v>
      </c>
      <c r="AE71" s="82">
        <f>0/Параметры!AE$126</f>
        <v>0</v>
      </c>
      <c r="AF71" s="82">
        <f>0/Параметры!AF$126</f>
        <v>0</v>
      </c>
      <c r="AG71" s="82">
        <f>0/Параметры!AG$126</f>
        <v>0</v>
      </c>
      <c r="AH71" s="82">
        <f>0/Параметры!AH$126</f>
        <v>0</v>
      </c>
      <c r="AI71" s="82">
        <f>0/Параметры!AI$126</f>
        <v>0</v>
      </c>
      <c r="AJ71" s="82">
        <f>0/Параметры!AJ$126</f>
        <v>0</v>
      </c>
      <c r="AK71" s="82">
        <f>0/Параметры!AK$126</f>
        <v>0</v>
      </c>
      <c r="AL71" s="82">
        <f>0/Параметры!AL$126</f>
        <v>0</v>
      </c>
      <c r="AM71" s="82">
        <f>0/Параметры!AM$126</f>
        <v>0</v>
      </c>
      <c r="AN71" s="82">
        <f>0/Параметры!AN$126</f>
        <v>0</v>
      </c>
      <c r="AO71" s="82">
        <f>0/Параметры!AO$126</f>
        <v>0</v>
      </c>
      <c r="AP71" s="82">
        <f>0/Параметры!AP$126</f>
        <v>0</v>
      </c>
      <c r="AQ71" s="82">
        <f>0/Параметры!AQ$126</f>
        <v>0</v>
      </c>
      <c r="AR71" s="82">
        <f>0/Параметры!AR$126</f>
        <v>0</v>
      </c>
      <c r="AS71" s="82"/>
      <c r="AT71" s="30">
        <f t="shared" si="22"/>
        <v>0</v>
      </c>
    </row>
    <row r="72" spans="1:46" x14ac:dyDescent="0.2">
      <c r="A72" s="44"/>
      <c r="B72" s="443"/>
      <c r="D72" s="40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30"/>
    </row>
    <row r="73" spans="1:46" x14ac:dyDescent="0.2">
      <c r="A73" s="76" t="s">
        <v>110</v>
      </c>
      <c r="B73" s="444">
        <f ca="1">IFERROR(AVERAGEIF(Параметры!$E$46:OFFSET(Параметры!$E$46,0,Параметры!$B$24-1),"&gt;=" &amp; Деятельность_УК!$B$9,E73:OFFSET(E73,0,Параметры!$B$24-1))*Параметры!$B$13/Параметры!$B$12,0)</f>
        <v>-394198.8701126189</v>
      </c>
      <c r="C73" s="13" t="str">
        <f>Параметры!$C$126</f>
        <v>тыс. руб.</v>
      </c>
      <c r="D73" s="78"/>
      <c r="E73" s="167">
        <f t="shared" ref="E73:AR73" ca="1" si="23">SUM(E67:E71)</f>
        <v>327152.22168399999</v>
      </c>
      <c r="F73" s="167">
        <f t="shared" ca="1" si="23"/>
        <v>362879.27009649156</v>
      </c>
      <c r="G73" s="167">
        <f t="shared" ca="1" si="23"/>
        <v>82773.530328507681</v>
      </c>
      <c r="H73" s="167">
        <f t="shared" ca="1" si="23"/>
        <v>83852.616534234679</v>
      </c>
      <c r="I73" s="167">
        <f t="shared" ca="1" si="23"/>
        <v>108809.14669642207</v>
      </c>
      <c r="J73" s="167">
        <f t="shared" ca="1" si="23"/>
        <v>207042.70009662499</v>
      </c>
      <c r="K73" s="167">
        <f t="shared" ca="1" si="23"/>
        <v>274058.34114460368</v>
      </c>
      <c r="L73" s="167">
        <f t="shared" ca="1" si="23"/>
        <v>155352.55274211429</v>
      </c>
      <c r="M73" s="167">
        <f t="shared" ca="1" si="23"/>
        <v>279778.21147493209</v>
      </c>
      <c r="N73" s="167">
        <f t="shared" ca="1" si="23"/>
        <v>560735.97632310726</v>
      </c>
      <c r="O73" s="167">
        <f t="shared" ca="1" si="23"/>
        <v>819637.05490899889</v>
      </c>
      <c r="P73" s="167">
        <f t="shared" ca="1" si="23"/>
        <v>486148.09703531751</v>
      </c>
      <c r="Q73" s="167">
        <f t="shared" ca="1" si="23"/>
        <v>479391.99138971046</v>
      </c>
      <c r="R73" s="167">
        <f t="shared" ca="1" si="23"/>
        <v>987931.53841426061</v>
      </c>
      <c r="S73" s="167">
        <f t="shared" ca="1" si="23"/>
        <v>1089000.6134835628</v>
      </c>
      <c r="T73" s="167">
        <f t="shared" ca="1" si="23"/>
        <v>605378.46354764409</v>
      </c>
      <c r="U73" s="167">
        <f t="shared" ca="1" si="23"/>
        <v>-61589.845029634744</v>
      </c>
      <c r="V73" s="167">
        <f t="shared" ca="1" si="23"/>
        <v>-65073.38711274325</v>
      </c>
      <c r="W73" s="167">
        <f t="shared" ca="1" si="23"/>
        <v>4295.4394365133485</v>
      </c>
      <c r="X73" s="167">
        <f t="shared" ca="1" si="23"/>
        <v>-66035.486656268404</v>
      </c>
      <c r="Y73" s="167">
        <f t="shared" ca="1" si="23"/>
        <v>-69522.768747919879</v>
      </c>
      <c r="Z73" s="167">
        <f t="shared" ca="1" si="23"/>
        <v>-56530.694001248427</v>
      </c>
      <c r="AA73" s="167">
        <f t="shared" ca="1" si="23"/>
        <v>-76944.302663614522</v>
      </c>
      <c r="AB73" s="167">
        <f t="shared" ca="1" si="23"/>
        <v>-123140.38816037406</v>
      </c>
      <c r="AC73" s="167">
        <f t="shared" ca="1" si="23"/>
        <v>-127723.03985795814</v>
      </c>
      <c r="AD73" s="167">
        <f t="shared" ca="1" si="23"/>
        <v>-132245.68103953626</v>
      </c>
      <c r="AE73" s="167">
        <f t="shared" ca="1" si="23"/>
        <v>-136867.61881888346</v>
      </c>
      <c r="AF73" s="167">
        <f t="shared" ca="1" si="23"/>
        <v>-141591.03811287321</v>
      </c>
      <c r="AG73" s="167">
        <f t="shared" ca="1" si="23"/>
        <v>-147305.30411148065</v>
      </c>
      <c r="AH73" s="167">
        <f t="shared" ca="1" si="23"/>
        <v>-152120.00259745299</v>
      </c>
      <c r="AI73" s="167">
        <f t="shared" ca="1" si="23"/>
        <v>-157040.36595424416</v>
      </c>
      <c r="AJ73" s="167">
        <f t="shared" ca="1" si="23"/>
        <v>-162068.71832454539</v>
      </c>
      <c r="AK73" s="167">
        <f t="shared" ca="1" si="23"/>
        <v>-167207.43507792027</v>
      </c>
      <c r="AL73" s="167">
        <f t="shared" ca="1" si="23"/>
        <v>-172458.9439420827</v>
      </c>
      <c r="AM73" s="167">
        <f t="shared" ca="1" si="23"/>
        <v>-143129.84696271707</v>
      </c>
      <c r="AN73" s="167">
        <f t="shared" ca="1" si="23"/>
        <v>-210893.79294072927</v>
      </c>
      <c r="AO73" s="167">
        <f t="shared" ca="1" si="23"/>
        <v>0</v>
      </c>
      <c r="AP73" s="167">
        <f t="shared" ca="1" si="23"/>
        <v>0</v>
      </c>
      <c r="AQ73" s="167">
        <f t="shared" ca="1" si="23"/>
        <v>0</v>
      </c>
      <c r="AR73" s="167">
        <f t="shared" ca="1" si="23"/>
        <v>0</v>
      </c>
      <c r="AS73" s="167"/>
      <c r="AT73" s="168">
        <f ca="1">SUM(E73:AS73)</f>
        <v>4544729.1052248171</v>
      </c>
    </row>
    <row r="74" spans="1:46" x14ac:dyDescent="0.2">
      <c r="A74" s="44"/>
      <c r="B74" s="443"/>
      <c r="D74" s="40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30"/>
    </row>
    <row r="75" spans="1:46" x14ac:dyDescent="0.2">
      <c r="A75" s="44" t="s">
        <v>111</v>
      </c>
      <c r="B75" s="443">
        <f ca="1">IFERROR(AVERAGEIF(Параметры!$E$46:OFFSET(Параметры!$E$46,0,Параметры!$B$24-1),"&gt;=" &amp; Деятельность_УК!$B$9,E75:OFFSET(E75,0,Параметры!$B$24-1))*Параметры!$B$13/Параметры!$B$12,0)</f>
        <v>1322836.4902247167</v>
      </c>
      <c r="C75" s="12" t="str">
        <f>Параметры!$C$126</f>
        <v>тыс. руб.</v>
      </c>
      <c r="D75" s="40"/>
      <c r="E75" s="82">
        <f t="shared" ref="E75:AR75" ca="1" si="24">E56+E65+E73</f>
        <v>5266.9274999999907</v>
      </c>
      <c r="F75" s="82">
        <f t="shared" ca="1" si="24"/>
        <v>7227.6900000000023</v>
      </c>
      <c r="G75" s="82">
        <f t="shared" ca="1" si="24"/>
        <v>15279.105814400376</v>
      </c>
      <c r="H75" s="82">
        <f t="shared" ca="1" si="24"/>
        <v>15706.728501823061</v>
      </c>
      <c r="I75" s="82">
        <f t="shared" ca="1" si="24"/>
        <v>17882.554208852118</v>
      </c>
      <c r="J75" s="82">
        <f t="shared" ca="1" si="24"/>
        <v>18798.547987950529</v>
      </c>
      <c r="K75" s="82">
        <f t="shared" ca="1" si="24"/>
        <v>19997.332700669416</v>
      </c>
      <c r="L75" s="82">
        <f t="shared" ca="1" si="24"/>
        <v>20622.500091619557</v>
      </c>
      <c r="M75" s="82">
        <f t="shared" ca="1" si="24"/>
        <v>25052.307204285346</v>
      </c>
      <c r="N75" s="82">
        <f t="shared" ca="1" si="24"/>
        <v>27601.446215312928</v>
      </c>
      <c r="O75" s="82">
        <f t="shared" ca="1" si="24"/>
        <v>31304.819806714542</v>
      </c>
      <c r="P75" s="82">
        <f t="shared" ca="1" si="24"/>
        <v>33391.581599906087</v>
      </c>
      <c r="Q75" s="82">
        <f t="shared" ca="1" si="24"/>
        <v>67052.043447451084</v>
      </c>
      <c r="R75" s="82">
        <f t="shared" ca="1" si="24"/>
        <v>71310.118143208092</v>
      </c>
      <c r="S75" s="82">
        <f t="shared" ca="1" si="24"/>
        <v>75969.529116248712</v>
      </c>
      <c r="T75" s="82">
        <f t="shared" ca="1" si="24"/>
        <v>78315.363210577401</v>
      </c>
      <c r="U75" s="82">
        <f t="shared" ca="1" si="24"/>
        <v>82503.614211200416</v>
      </c>
      <c r="V75" s="82">
        <f t="shared" ca="1" si="24"/>
        <v>92365.982354022097</v>
      </c>
      <c r="W75" s="82">
        <f t="shared" ca="1" si="24"/>
        <v>168299.93010744345</v>
      </c>
      <c r="X75" s="82">
        <f t="shared" ca="1" si="24"/>
        <v>104648.82780843916</v>
      </c>
      <c r="Y75" s="82">
        <f t="shared" ca="1" si="24"/>
        <v>107958.27598113869</v>
      </c>
      <c r="Z75" s="82">
        <f t="shared" ca="1" si="24"/>
        <v>127813.09929921219</v>
      </c>
      <c r="AA75" s="82">
        <f t="shared" ca="1" si="24"/>
        <v>114382.9020760139</v>
      </c>
      <c r="AB75" s="82">
        <f t="shared" ca="1" si="24"/>
        <v>75292.808619123956</v>
      </c>
      <c r="AC75" s="82">
        <f t="shared" ca="1" si="24"/>
        <v>78426.481623794432</v>
      </c>
      <c r="AD75" s="82">
        <f t="shared" ca="1" si="24"/>
        <v>73002.780968408188</v>
      </c>
      <c r="AE75" s="82">
        <f t="shared" ca="1" si="24"/>
        <v>69138.02793530756</v>
      </c>
      <c r="AF75" s="82">
        <f t="shared" ca="1" si="24"/>
        <v>70920.728928495926</v>
      </c>
      <c r="AG75" s="82">
        <f t="shared" ca="1" si="24"/>
        <v>74784.269459128933</v>
      </c>
      <c r="AH75" s="82">
        <f t="shared" ca="1" si="24"/>
        <v>50449.547172934312</v>
      </c>
      <c r="AI75" s="82">
        <f t="shared" ca="1" si="24"/>
        <v>52041.879265485652</v>
      </c>
      <c r="AJ75" s="82">
        <f t="shared" ca="1" si="24"/>
        <v>53634.223017176555</v>
      </c>
      <c r="AK75" s="82">
        <f t="shared" ca="1" si="24"/>
        <v>534582.7410097851</v>
      </c>
      <c r="AL75" s="82">
        <f t="shared" ca="1" si="24"/>
        <v>7850.5140907871537</v>
      </c>
      <c r="AM75" s="82">
        <f t="shared" ca="1" si="24"/>
        <v>82667.534560027416</v>
      </c>
      <c r="AN75" s="82">
        <f t="shared" ca="1" si="24"/>
        <v>20960.859011842549</v>
      </c>
      <c r="AO75" s="82">
        <f t="shared" ca="1" si="24"/>
        <v>7721782.0819571409</v>
      </c>
      <c r="AP75" s="82">
        <f t="shared" ca="1" si="24"/>
        <v>-1998119.9940400613</v>
      </c>
      <c r="AQ75" s="82">
        <f t="shared" ca="1" si="24"/>
        <v>86812.405098345975</v>
      </c>
      <c r="AR75" s="82">
        <f t="shared" ca="1" si="24"/>
        <v>84819.420833107084</v>
      </c>
      <c r="AS75" s="82"/>
      <c r="AT75" s="30">
        <f ca="1">SUM(E75:AS75)</f>
        <v>8467797.5368973203</v>
      </c>
    </row>
    <row r="76" spans="1:46" x14ac:dyDescent="0.2">
      <c r="A76" s="44" t="s">
        <v>112</v>
      </c>
      <c r="B76" s="443">
        <f ca="1">IFERROR(AVERAGEIF(Параметры!$E$46:OFFSET(Параметры!$E$46,0,Параметры!$B$24-1),"&gt;=" &amp; Деятельность_УК!$B$9,E76:OFFSET(E76,0,Параметры!$B$24-1))*Параметры!$B$13/Параметры!$B$12,0)</f>
        <v>9918627.9782243036</v>
      </c>
      <c r="C76" s="12" t="str">
        <f>Параметры!$C$126</f>
        <v>тыс. руб.</v>
      </c>
      <c r="D76" s="40"/>
      <c r="E76" s="82">
        <f>IF(E$2=1,Деятельность_УК!$B$15/Параметры!E$126,D77)</f>
        <v>0</v>
      </c>
      <c r="F76" s="82">
        <f ca="1">IF(F$2=1,Деятельность_УК!$B$15/Параметры!F$126,E77)</f>
        <v>5266.9274999999907</v>
      </c>
      <c r="G76" s="82">
        <f ca="1">IF(G$2=1,Деятельность_УК!$B$15/Параметры!G$126,F77)</f>
        <v>12494.617499999993</v>
      </c>
      <c r="H76" s="82">
        <f ca="1">IF(H$2=1,Деятельность_УК!$B$15/Параметры!H$126,G77)</f>
        <v>27773.723314400369</v>
      </c>
      <c r="I76" s="82">
        <f ca="1">IF(I$2=1,Деятельность_УК!$B$15/Параметры!I$126,H77)</f>
        <v>43480.451816223431</v>
      </c>
      <c r="J76" s="82">
        <f ca="1">IF(J$2=1,Деятельность_УК!$B$15/Параметры!J$126,I77)</f>
        <v>61363.006025075549</v>
      </c>
      <c r="K76" s="82">
        <f ca="1">IF(K$2=1,Деятельность_УК!$B$15/Параметры!K$126,J77)</f>
        <v>80161.554013026078</v>
      </c>
      <c r="L76" s="82">
        <f ca="1">IF(L$2=1,Деятельность_УК!$B$15/Параметры!L$126,K77)</f>
        <v>100158.88671369549</v>
      </c>
      <c r="M76" s="82">
        <f ca="1">IF(M$2=1,Деятельность_УК!$B$15/Параметры!M$126,L77)</f>
        <v>120781.38680531505</v>
      </c>
      <c r="N76" s="82">
        <f ca="1">IF(N$2=1,Деятельность_УК!$B$15/Параметры!N$126,M77)</f>
        <v>145833.69400960038</v>
      </c>
      <c r="O76" s="82">
        <f ca="1">IF(O$2=1,Деятельность_УК!$B$15/Параметры!O$126,N77)</f>
        <v>173435.14022491331</v>
      </c>
      <c r="P76" s="82">
        <f ca="1">IF(P$2=1,Деятельность_УК!$B$15/Параметры!P$126,O77)</f>
        <v>204739.96003162785</v>
      </c>
      <c r="Q76" s="82">
        <f ca="1">IF(Q$2=1,Деятельность_УК!$B$15/Параметры!Q$126,P77)</f>
        <v>238131.54163153394</v>
      </c>
      <c r="R76" s="82">
        <f ca="1">IF(R$2=1,Деятельность_УК!$B$15/Параметры!R$126,Q77)</f>
        <v>305183.58507898502</v>
      </c>
      <c r="S76" s="82">
        <f ca="1">IF(S$2=1,Деятельность_УК!$B$15/Параметры!S$126,R77)</f>
        <v>376493.70322219311</v>
      </c>
      <c r="T76" s="82">
        <f ca="1">IF(T$2=1,Деятельность_УК!$B$15/Параметры!T$126,S77)</f>
        <v>452463.23233844183</v>
      </c>
      <c r="U76" s="82">
        <f ca="1">IF(U$2=1,Деятельность_УК!$B$15/Параметры!U$126,T77)</f>
        <v>530778.59554901929</v>
      </c>
      <c r="V76" s="82">
        <f ca="1">IF(V$2=1,Деятельность_УК!$B$15/Параметры!V$126,U77)</f>
        <v>613282.20976021967</v>
      </c>
      <c r="W76" s="82">
        <f ca="1">IF(W$2=1,Деятельность_УК!$B$15/Параметры!W$126,V77)</f>
        <v>705648.19211424177</v>
      </c>
      <c r="X76" s="82">
        <f ca="1">IF(X$2=1,Деятельность_УК!$B$15/Параметры!X$126,W77)</f>
        <v>873948.12222168525</v>
      </c>
      <c r="Y76" s="82">
        <f ca="1">IF(Y$2=1,Деятельность_УК!$B$15/Параметры!Y$126,X77)</f>
        <v>978596.9500301244</v>
      </c>
      <c r="Z76" s="82">
        <f ca="1">IF(Z$2=1,Деятельность_УК!$B$15/Параметры!Z$126,Y77)</f>
        <v>1086555.2260112632</v>
      </c>
      <c r="AA76" s="82">
        <f ca="1">IF(AA$2=1,Деятельность_УК!$B$15/Параметры!AA$126,Z77)</f>
        <v>1214368.3253104754</v>
      </c>
      <c r="AB76" s="82">
        <f ca="1">IF(AB$2=1,Деятельность_УК!$B$15/Параметры!AB$126,AA77)</f>
        <v>1328751.2273864893</v>
      </c>
      <c r="AC76" s="82">
        <f ca="1">IF(AC$2=1,Деятельность_УК!$B$15/Параметры!AC$126,AB77)</f>
        <v>1404044.0360056132</v>
      </c>
      <c r="AD76" s="82">
        <f ca="1">IF(AD$2=1,Деятельность_УК!$B$15/Параметры!AD$126,AC77)</f>
        <v>1482470.5176294076</v>
      </c>
      <c r="AE76" s="82">
        <f ca="1">IF(AE$2=1,Деятельность_УК!$B$15/Параметры!AE$126,AD77)</f>
        <v>1555473.2985978157</v>
      </c>
      <c r="AF76" s="82">
        <f ca="1">IF(AF$2=1,Деятельность_УК!$B$15/Параметры!AF$126,AE77)</f>
        <v>1624611.3265331232</v>
      </c>
      <c r="AG76" s="82">
        <f ca="1">IF(AG$2=1,Деятельность_УК!$B$15/Параметры!AG$126,AF77)</f>
        <v>1695532.055461619</v>
      </c>
      <c r="AH76" s="82">
        <f ca="1">IF(AH$2=1,Деятельность_УК!$B$15/Параметры!AH$126,AG77)</f>
        <v>1770316.3249207479</v>
      </c>
      <c r="AI76" s="82">
        <f ca="1">IF(AI$2=1,Деятельность_УК!$B$15/Параметры!AI$126,AH77)</f>
        <v>1820765.8720936822</v>
      </c>
      <c r="AJ76" s="82">
        <f ca="1">IF(AJ$2=1,Деятельность_УК!$B$15/Параметры!AJ$126,AI77)</f>
        <v>1872807.7513591677</v>
      </c>
      <c r="AK76" s="82">
        <f ca="1">IF(AK$2=1,Деятельность_УК!$B$15/Параметры!AK$126,AJ77)</f>
        <v>1926441.9743763444</v>
      </c>
      <c r="AL76" s="82">
        <f ca="1">IF(AL$2=1,Деятельность_УК!$B$15/Параметры!AL$126,AK77)</f>
        <v>2461024.7153861295</v>
      </c>
      <c r="AM76" s="82">
        <f ca="1">IF(AM$2=1,Деятельность_УК!$B$15/Параметры!AM$126,AL77)</f>
        <v>2468875.2294769166</v>
      </c>
      <c r="AN76" s="82">
        <f ca="1">IF(AN$2=1,Деятельность_УК!$B$15/Параметры!AN$126,AM77)</f>
        <v>2551542.7640369441</v>
      </c>
      <c r="AO76" s="82">
        <f ca="1">IF(AO$2=1,Деятельность_УК!$B$15/Параметры!AO$126,AN77)</f>
        <v>2572503.6230487865</v>
      </c>
      <c r="AP76" s="82">
        <f ca="1">IF(AP$2=1,Деятельность_УК!$B$15/Параметры!AP$126,AO77)</f>
        <v>10294285.705005927</v>
      </c>
      <c r="AQ76" s="82">
        <f ca="1">IF(AQ$2=1,Деятельность_УК!$B$15/Параметры!AQ$126,AP77)</f>
        <v>8296165.7109658662</v>
      </c>
      <c r="AR76" s="82">
        <f ca="1">IF(AR$2=1,Деятельность_УК!$B$15/Параметры!AR$126,AQ77)</f>
        <v>8382978.1160642123</v>
      </c>
      <c r="AS76" s="82"/>
      <c r="AT76" s="82"/>
    </row>
    <row r="77" spans="1:46" x14ac:dyDescent="0.2">
      <c r="A77" s="44" t="s">
        <v>113</v>
      </c>
      <c r="B77" s="443">
        <f ca="1">IFERROR(AVERAGEIF(Параметры!$E$46:OFFSET(Параметры!$E$46,0,Параметры!$B$24-1),"&gt;=" &amp; Деятельность_УК!$B$9,E77:OFFSET(E77,0,Параметры!$B$24-1))*Параметры!$B$13/Параметры!$B$12,0)</f>
        <v>11241464.468449021</v>
      </c>
      <c r="C77" s="12" t="str">
        <f>Параметры!$C$126</f>
        <v>тыс. руб.</v>
      </c>
      <c r="D77" s="40"/>
      <c r="E77" s="82">
        <f ca="1">IF(E$2=1,E75+E76,E75+D77*Параметры!D$126/Параметры!E$126)</f>
        <v>5266.9274999999907</v>
      </c>
      <c r="F77" s="82">
        <f ca="1">IF(F$2=1,F75+F76,F75+E77*Параметры!E$126/Параметры!F$126)</f>
        <v>12494.617499999993</v>
      </c>
      <c r="G77" s="82">
        <f ca="1">IF(G$2=1,G75+G76,G75+F77*Параметры!F$126/Параметры!G$126)</f>
        <v>27773.723314400369</v>
      </c>
      <c r="H77" s="82">
        <f ca="1">IF(H$2=1,H75+H76,H75+G77*Параметры!G$126/Параметры!H$126)</f>
        <v>43480.451816223431</v>
      </c>
      <c r="I77" s="82">
        <f ca="1">IF(I$2=1,I75+I76,I75+H77*Параметры!H$126/Параметры!I$126)</f>
        <v>61363.006025075549</v>
      </c>
      <c r="J77" s="82">
        <f ca="1">IF(J$2=1,J75+J76,J75+I77*Параметры!I$126/Параметры!J$126)</f>
        <v>80161.554013026078</v>
      </c>
      <c r="K77" s="82">
        <f ca="1">IF(K$2=1,K75+K76,K75+J77*Параметры!J$126/Параметры!K$126)</f>
        <v>100158.88671369549</v>
      </c>
      <c r="L77" s="82">
        <f ca="1">IF(L$2=1,L75+L76,L75+K77*Параметры!K$126/Параметры!L$126)</f>
        <v>120781.38680531505</v>
      </c>
      <c r="M77" s="82">
        <f ca="1">IF(M$2=1,M75+M76,M75+L77*Параметры!L$126/Параметры!M$126)</f>
        <v>145833.69400960038</v>
      </c>
      <c r="N77" s="82">
        <f ca="1">IF(N$2=1,N75+N76,N75+M77*Параметры!M$126/Параметры!N$126)</f>
        <v>173435.14022491331</v>
      </c>
      <c r="O77" s="82">
        <f ca="1">IF(O$2=1,O75+O76,O75+N77*Параметры!N$126/Параметры!O$126)</f>
        <v>204739.96003162785</v>
      </c>
      <c r="P77" s="82">
        <f ca="1">IF(P$2=1,P75+P76,P75+O77*Параметры!O$126/Параметры!P$126)</f>
        <v>238131.54163153394</v>
      </c>
      <c r="Q77" s="82">
        <f ca="1">IF(Q$2=1,Q75+Q76,Q75+P77*Параметры!P$126/Параметры!Q$126)</f>
        <v>305183.58507898502</v>
      </c>
      <c r="R77" s="82">
        <f ca="1">IF(R$2=1,R75+R76,R75+Q77*Параметры!Q$126/Параметры!R$126)</f>
        <v>376493.70322219311</v>
      </c>
      <c r="S77" s="82">
        <f ca="1">IF(S$2=1,S75+S76,S75+R77*Параметры!R$126/Параметры!S$126)</f>
        <v>452463.23233844183</v>
      </c>
      <c r="T77" s="82">
        <f ca="1">IF(T$2=1,T75+T76,T75+S77*Параметры!S$126/Параметры!T$126)</f>
        <v>530778.59554901929</v>
      </c>
      <c r="U77" s="82">
        <f ca="1">IF(U$2=1,U75+U76,U75+T77*Параметры!T$126/Параметры!U$126)</f>
        <v>613282.20976021967</v>
      </c>
      <c r="V77" s="82">
        <f ca="1">IF(V$2=1,V75+V76,V75+U77*Параметры!U$126/Параметры!V$126)</f>
        <v>705648.19211424177</v>
      </c>
      <c r="W77" s="82">
        <f ca="1">IF(W$2=1,W75+W76,W75+V77*Параметры!V$126/Параметры!W$126)</f>
        <v>873948.12222168525</v>
      </c>
      <c r="X77" s="82">
        <f ca="1">IF(X$2=1,X75+X76,X75+W77*Параметры!W$126/Параметры!X$126)</f>
        <v>978596.9500301244</v>
      </c>
      <c r="Y77" s="82">
        <f ca="1">IF(Y$2=1,Y75+Y76,Y75+X77*Параметры!X$126/Параметры!Y$126)</f>
        <v>1086555.2260112632</v>
      </c>
      <c r="Z77" s="82">
        <f ca="1">IF(Z$2=1,Z75+Z76,Z75+Y77*Параметры!Y$126/Параметры!Z$126)</f>
        <v>1214368.3253104754</v>
      </c>
      <c r="AA77" s="82">
        <f ca="1">IF(AA$2=1,AA75+AA76,AA75+Z77*Параметры!Z$126/Параметры!AA$126)</f>
        <v>1328751.2273864893</v>
      </c>
      <c r="AB77" s="82">
        <f ca="1">IF(AB$2=1,AB75+AB76,AB75+AA77*Параметры!AA$126/Параметры!AB$126)</f>
        <v>1404044.0360056132</v>
      </c>
      <c r="AC77" s="82">
        <f ca="1">IF(AC$2=1,AC75+AC76,AC75+AB77*Параметры!AB$126/Параметры!AC$126)</f>
        <v>1482470.5176294076</v>
      </c>
      <c r="AD77" s="82">
        <f ca="1">IF(AD$2=1,AD75+AD76,AD75+AC77*Параметры!AC$126/Параметры!AD$126)</f>
        <v>1555473.2985978157</v>
      </c>
      <c r="AE77" s="82">
        <f ca="1">IF(AE$2=1,AE75+AE76,AE75+AD77*Параметры!AD$126/Параметры!AE$126)</f>
        <v>1624611.3265331232</v>
      </c>
      <c r="AF77" s="82">
        <f ca="1">IF(AF$2=1,AF75+AF76,AF75+AE77*Параметры!AE$126/Параметры!AF$126)</f>
        <v>1695532.055461619</v>
      </c>
      <c r="AG77" s="82">
        <f ca="1">IF(AG$2=1,AG75+AG76,AG75+AF77*Параметры!AF$126/Параметры!AG$126)</f>
        <v>1770316.3249207479</v>
      </c>
      <c r="AH77" s="82">
        <f ca="1">IF(AH$2=1,AH75+AH76,AH75+AG77*Параметры!AG$126/Параметры!AH$126)</f>
        <v>1820765.8720936822</v>
      </c>
      <c r="AI77" s="82">
        <f ca="1">IF(AI$2=1,AI75+AI76,AI75+AH77*Параметры!AH$126/Параметры!AI$126)</f>
        <v>1872807.7513591677</v>
      </c>
      <c r="AJ77" s="82">
        <f ca="1">IF(AJ$2=1,AJ75+AJ76,AJ75+AI77*Параметры!AI$126/Параметры!AJ$126)</f>
        <v>1926441.9743763444</v>
      </c>
      <c r="AK77" s="82">
        <f ca="1">IF(AK$2=1,AK75+AK76,AK75+AJ77*Параметры!AJ$126/Параметры!AK$126)</f>
        <v>2461024.7153861295</v>
      </c>
      <c r="AL77" s="82">
        <f ca="1">IF(AL$2=1,AL75+AL76,AL75+AK77*Параметры!AK$126/Параметры!AL$126)</f>
        <v>2468875.2294769166</v>
      </c>
      <c r="AM77" s="82">
        <f ca="1">IF(AM$2=1,AM75+AM76,AM75+AL77*Параметры!AL$126/Параметры!AM$126)</f>
        <v>2551542.7640369441</v>
      </c>
      <c r="AN77" s="82">
        <f ca="1">IF(AN$2=1,AN75+AN76,AN75+AM77*Параметры!AM$126/Параметры!AN$126)</f>
        <v>2572503.6230487865</v>
      </c>
      <c r="AO77" s="82">
        <f ca="1">IF(AO$2=1,AO75+AO76,AO75+AN77*Параметры!AN$126/Параметры!AO$126)</f>
        <v>10294285.705005927</v>
      </c>
      <c r="AP77" s="82">
        <f ca="1">IF(AP$2=1,AP75+AP76,AP75+AO77*Параметры!AO$126/Параметры!AP$126)</f>
        <v>8296165.7109658662</v>
      </c>
      <c r="AQ77" s="82">
        <f ca="1">IF(AQ$2=1,AQ75+AQ76,AQ75+AP77*Параметры!AP$126/Параметры!AQ$126)</f>
        <v>8382978.1160642123</v>
      </c>
      <c r="AR77" s="82">
        <f ca="1">IF(AR$2=1,AR75+AR76,AR75+AQ77*Параметры!AQ$126/Параметры!AR$126)</f>
        <v>8467797.5368973203</v>
      </c>
      <c r="AS77" s="82"/>
      <c r="AT77" s="82"/>
    </row>
    <row r="78" spans="1:46" x14ac:dyDescent="0.2">
      <c r="A78" s="45"/>
      <c r="B78" s="170"/>
      <c r="C78" s="14"/>
      <c r="D78" s="47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</row>
    <row r="79" spans="1:46" s="104" customFormat="1" x14ac:dyDescent="0.2">
      <c r="A79" s="104" t="s">
        <v>407</v>
      </c>
      <c r="B79" s="192"/>
      <c r="C79" s="31" t="str">
        <f ca="1">IF(MIN($E77:OFFSET($E77,0,Параметры!$B$24-1))&lt;0,"No cash detected","Ok")</f>
        <v>Ok</v>
      </c>
      <c r="D79" s="116"/>
    </row>
    <row r="80" spans="1:46" ht="12" thickBot="1" x14ac:dyDescent="0.25">
      <c r="D80" s="40"/>
    </row>
    <row r="81" spans="1:46" s="43" customFormat="1" ht="25.5" customHeight="1" thickBot="1" x14ac:dyDescent="0.25">
      <c r="A81" s="481" t="s">
        <v>114</v>
      </c>
      <c r="B81" s="479"/>
      <c r="C81" s="485"/>
      <c r="D81" s="486"/>
      <c r="E81" s="479" t="str">
        <f>CHOOSE($D$2,Параметры!E$53,Параметры!E$54)</f>
        <v>1 кв. 2020</v>
      </c>
      <c r="F81" s="479" t="str">
        <f>CHOOSE($D$2,Параметры!F$53,Параметры!F$54)</f>
        <v>2 кв. 2020</v>
      </c>
      <c r="G81" s="479" t="str">
        <f>CHOOSE($D$2,Параметры!G$53,Параметры!G$54)</f>
        <v>3 кв. 2020</v>
      </c>
      <c r="H81" s="479" t="str">
        <f>CHOOSE($D$2,Параметры!H$53,Параметры!H$54)</f>
        <v>4 кв. 2020</v>
      </c>
      <c r="I81" s="479" t="str">
        <f>CHOOSE($D$2,Параметры!I$53,Параметры!I$54)</f>
        <v>1 кв. 2021</v>
      </c>
      <c r="J81" s="479" t="str">
        <f>CHOOSE($D$2,Параметры!J$53,Параметры!J$54)</f>
        <v>2 кв. 2021</v>
      </c>
      <c r="K81" s="479" t="str">
        <f>CHOOSE($D$2,Параметры!K$53,Параметры!K$54)</f>
        <v>3 кв. 2021</v>
      </c>
      <c r="L81" s="479" t="str">
        <f>CHOOSE($D$2,Параметры!L$53,Параметры!L$54)</f>
        <v>4 кв. 2021</v>
      </c>
      <c r="M81" s="479" t="str">
        <f>CHOOSE($D$2,Параметры!M$53,Параметры!M$54)</f>
        <v>1 кв. 2022</v>
      </c>
      <c r="N81" s="479" t="str">
        <f>CHOOSE($D$2,Параметры!N$53,Параметры!N$54)</f>
        <v>2 кв. 2022</v>
      </c>
      <c r="O81" s="479" t="str">
        <f>CHOOSE($D$2,Параметры!O$53,Параметры!O$54)</f>
        <v>3 кв. 2022</v>
      </c>
      <c r="P81" s="479" t="str">
        <f>CHOOSE($D$2,Параметры!P$53,Параметры!P$54)</f>
        <v>4 кв. 2022</v>
      </c>
      <c r="Q81" s="479" t="str">
        <f>CHOOSE($D$2,Параметры!Q$53,Параметры!Q$54)</f>
        <v>1 кв. 2023</v>
      </c>
      <c r="R81" s="479" t="str">
        <f>CHOOSE($D$2,Параметры!R$53,Параметры!R$54)</f>
        <v>2 кв. 2023</v>
      </c>
      <c r="S81" s="479" t="str">
        <f>CHOOSE($D$2,Параметры!S$53,Параметры!S$54)</f>
        <v>3 кв. 2023</v>
      </c>
      <c r="T81" s="479" t="str">
        <f>CHOOSE($D$2,Параметры!T$53,Параметры!T$54)</f>
        <v>4 кв. 2023</v>
      </c>
      <c r="U81" s="479" t="str">
        <f>CHOOSE($D$2,Параметры!U$53,Параметры!U$54)</f>
        <v>1 кв. 2024</v>
      </c>
      <c r="V81" s="479" t="str">
        <f>CHOOSE($D$2,Параметры!V$53,Параметры!V$54)</f>
        <v>2 кв. 2024</v>
      </c>
      <c r="W81" s="479" t="str">
        <f>CHOOSE($D$2,Параметры!W$53,Параметры!W$54)</f>
        <v>3 кв. 2024</v>
      </c>
      <c r="X81" s="479" t="str">
        <f>CHOOSE($D$2,Параметры!X$53,Параметры!X$54)</f>
        <v>4 кв. 2024</v>
      </c>
      <c r="Y81" s="479" t="str">
        <f>CHOOSE($D$2,Параметры!Y$53,Параметры!Y$54)</f>
        <v>1 кв. 2025</v>
      </c>
      <c r="Z81" s="479" t="str">
        <f>CHOOSE($D$2,Параметры!Z$53,Параметры!Z$54)</f>
        <v>2 кв. 2025</v>
      </c>
      <c r="AA81" s="479" t="str">
        <f>CHOOSE($D$2,Параметры!AA$53,Параметры!AA$54)</f>
        <v>3 кв. 2025</v>
      </c>
      <c r="AB81" s="479" t="str">
        <f>CHOOSE($D$2,Параметры!AB$53,Параметры!AB$54)</f>
        <v>4 кв. 2025</v>
      </c>
      <c r="AC81" s="479" t="str">
        <f>CHOOSE($D$2,Параметры!AC$53,Параметры!AC$54)</f>
        <v>1 кв. 2026</v>
      </c>
      <c r="AD81" s="479" t="str">
        <f>CHOOSE($D$2,Параметры!AD$53,Параметры!AD$54)</f>
        <v>2 кв. 2026</v>
      </c>
      <c r="AE81" s="479" t="str">
        <f>CHOOSE($D$2,Параметры!AE$53,Параметры!AE$54)</f>
        <v>3 кв. 2026</v>
      </c>
      <c r="AF81" s="479" t="str">
        <f>CHOOSE($D$2,Параметры!AF$53,Параметры!AF$54)</f>
        <v>4 кв. 2026</v>
      </c>
      <c r="AG81" s="479" t="str">
        <f>CHOOSE($D$2,Параметры!AG$53,Параметры!AG$54)</f>
        <v>1 кв. 2027</v>
      </c>
      <c r="AH81" s="479" t="str">
        <f>CHOOSE($D$2,Параметры!AH$53,Параметры!AH$54)</f>
        <v>2 кв. 2027</v>
      </c>
      <c r="AI81" s="479" t="str">
        <f>CHOOSE($D$2,Параметры!AI$53,Параметры!AI$54)</f>
        <v>3 кв. 2027</v>
      </c>
      <c r="AJ81" s="479" t="str">
        <f>CHOOSE($D$2,Параметры!AJ$53,Параметры!AJ$54)</f>
        <v>4 кв. 2027</v>
      </c>
      <c r="AK81" s="479" t="str">
        <f>CHOOSE($D$2,Параметры!AK$53,Параметры!AK$54)</f>
        <v>1 кв. 2028</v>
      </c>
      <c r="AL81" s="479" t="str">
        <f>CHOOSE($D$2,Параметры!AL$53,Параметры!AL$54)</f>
        <v>2 кв. 2028</v>
      </c>
      <c r="AM81" s="479" t="str">
        <f>CHOOSE($D$2,Параметры!AM$53,Параметры!AM$54)</f>
        <v>3 кв. 2028</v>
      </c>
      <c r="AN81" s="479" t="str">
        <f>CHOOSE($D$2,Параметры!AN$53,Параметры!AN$54)</f>
        <v>4 кв. 2028</v>
      </c>
      <c r="AO81" s="479" t="str">
        <f>CHOOSE($D$2,Параметры!AO$53,Параметры!AO$54)</f>
        <v>1 кв. 2029</v>
      </c>
      <c r="AP81" s="479" t="str">
        <f>CHOOSE($D$2,Параметры!AP$53,Параметры!AP$54)</f>
        <v>2 кв. 2029</v>
      </c>
      <c r="AQ81" s="479" t="str">
        <f>CHOOSE($D$2,Параметры!AQ$53,Параметры!AQ$54)</f>
        <v>3 кв. 2029</v>
      </c>
      <c r="AR81" s="479" t="str">
        <f>CHOOSE($D$2,Параметры!AR$53,Параметры!AR$54)</f>
        <v>4 кв. 2029</v>
      </c>
      <c r="AS81" s="483"/>
      <c r="AT81" s="484"/>
    </row>
    <row r="82" spans="1:46" x14ac:dyDescent="0.2">
      <c r="A82" s="44"/>
      <c r="D82" s="40"/>
    </row>
    <row r="83" spans="1:46" x14ac:dyDescent="0.2">
      <c r="A83" s="63" t="s">
        <v>242</v>
      </c>
      <c r="C83" s="12" t="str">
        <f>Параметры!$C$126</f>
        <v>тыс. руб.</v>
      </c>
      <c r="D83" s="40"/>
      <c r="E83" s="82">
        <f t="shared" ref="E83:AR83" ca="1" si="25">E77</f>
        <v>5266.9274999999907</v>
      </c>
      <c r="F83" s="82">
        <f t="shared" ca="1" si="25"/>
        <v>12494.617499999993</v>
      </c>
      <c r="G83" s="82">
        <f t="shared" ca="1" si="25"/>
        <v>27773.723314400369</v>
      </c>
      <c r="H83" s="82">
        <f t="shared" ca="1" si="25"/>
        <v>43480.451816223431</v>
      </c>
      <c r="I83" s="82">
        <f t="shared" ca="1" si="25"/>
        <v>61363.006025075549</v>
      </c>
      <c r="J83" s="82">
        <f t="shared" ca="1" si="25"/>
        <v>80161.554013026078</v>
      </c>
      <c r="K83" s="82">
        <f t="shared" ca="1" si="25"/>
        <v>100158.88671369549</v>
      </c>
      <c r="L83" s="82">
        <f t="shared" ca="1" si="25"/>
        <v>120781.38680531505</v>
      </c>
      <c r="M83" s="82">
        <f t="shared" ca="1" si="25"/>
        <v>145833.69400960038</v>
      </c>
      <c r="N83" s="82">
        <f t="shared" ca="1" si="25"/>
        <v>173435.14022491331</v>
      </c>
      <c r="O83" s="82">
        <f t="shared" ca="1" si="25"/>
        <v>204739.96003162785</v>
      </c>
      <c r="P83" s="82">
        <f t="shared" ca="1" si="25"/>
        <v>238131.54163153394</v>
      </c>
      <c r="Q83" s="82">
        <f t="shared" ca="1" si="25"/>
        <v>305183.58507898502</v>
      </c>
      <c r="R83" s="82">
        <f t="shared" ca="1" si="25"/>
        <v>376493.70322219311</v>
      </c>
      <c r="S83" s="82">
        <f t="shared" ca="1" si="25"/>
        <v>452463.23233844183</v>
      </c>
      <c r="T83" s="82">
        <f t="shared" ca="1" si="25"/>
        <v>530778.59554901929</v>
      </c>
      <c r="U83" s="82">
        <f t="shared" ca="1" si="25"/>
        <v>613282.20976021967</v>
      </c>
      <c r="V83" s="82">
        <f t="shared" ca="1" si="25"/>
        <v>705648.19211424177</v>
      </c>
      <c r="W83" s="82">
        <f t="shared" ca="1" si="25"/>
        <v>873948.12222168525</v>
      </c>
      <c r="X83" s="82">
        <f t="shared" ca="1" si="25"/>
        <v>978596.9500301244</v>
      </c>
      <c r="Y83" s="82">
        <f t="shared" ca="1" si="25"/>
        <v>1086555.2260112632</v>
      </c>
      <c r="Z83" s="82">
        <f t="shared" ca="1" si="25"/>
        <v>1214368.3253104754</v>
      </c>
      <c r="AA83" s="82">
        <f t="shared" ca="1" si="25"/>
        <v>1328751.2273864893</v>
      </c>
      <c r="AB83" s="82">
        <f t="shared" ca="1" si="25"/>
        <v>1404044.0360056132</v>
      </c>
      <c r="AC83" s="82">
        <f t="shared" ca="1" si="25"/>
        <v>1482470.5176294076</v>
      </c>
      <c r="AD83" s="82">
        <f t="shared" ca="1" si="25"/>
        <v>1555473.2985978157</v>
      </c>
      <c r="AE83" s="82">
        <f t="shared" ca="1" si="25"/>
        <v>1624611.3265331232</v>
      </c>
      <c r="AF83" s="82">
        <f t="shared" ca="1" si="25"/>
        <v>1695532.055461619</v>
      </c>
      <c r="AG83" s="82">
        <f t="shared" ca="1" si="25"/>
        <v>1770316.3249207479</v>
      </c>
      <c r="AH83" s="82">
        <f t="shared" ca="1" si="25"/>
        <v>1820765.8720936822</v>
      </c>
      <c r="AI83" s="82">
        <f t="shared" ca="1" si="25"/>
        <v>1872807.7513591677</v>
      </c>
      <c r="AJ83" s="82">
        <f t="shared" ca="1" si="25"/>
        <v>1926441.9743763444</v>
      </c>
      <c r="AK83" s="82">
        <f t="shared" ca="1" si="25"/>
        <v>2461024.7153861295</v>
      </c>
      <c r="AL83" s="82">
        <f t="shared" ca="1" si="25"/>
        <v>2468875.2294769166</v>
      </c>
      <c r="AM83" s="82">
        <f t="shared" ca="1" si="25"/>
        <v>2551542.7640369441</v>
      </c>
      <c r="AN83" s="82">
        <f t="shared" ca="1" si="25"/>
        <v>2572503.6230487865</v>
      </c>
      <c r="AO83" s="82">
        <f t="shared" ca="1" si="25"/>
        <v>10294285.705005927</v>
      </c>
      <c r="AP83" s="82">
        <f t="shared" ca="1" si="25"/>
        <v>8296165.7109658662</v>
      </c>
      <c r="AQ83" s="82">
        <f t="shared" ca="1" si="25"/>
        <v>8382978.1160642123</v>
      </c>
      <c r="AR83" s="82">
        <f t="shared" ca="1" si="25"/>
        <v>8467797.5368973203</v>
      </c>
    </row>
    <row r="84" spans="1:46" x14ac:dyDescent="0.2">
      <c r="A84" s="63" t="s">
        <v>161</v>
      </c>
      <c r="C84" s="12" t="str">
        <f>Параметры!$C$126</f>
        <v>тыс. руб.</v>
      </c>
      <c r="D84" s="40"/>
      <c r="E84" s="82">
        <f>(Деятельность_УК!E$330)/Параметры!E$126</f>
        <v>0</v>
      </c>
      <c r="F84" s="82">
        <f>(Деятельность_УК!F$330)/Параметры!F$126</f>
        <v>0</v>
      </c>
      <c r="G84" s="82">
        <f>(Деятельность_УК!G$330)/Параметры!G$126</f>
        <v>0</v>
      </c>
      <c r="H84" s="82">
        <f>(Деятельность_УК!H$330)/Параметры!H$126</f>
        <v>0</v>
      </c>
      <c r="I84" s="82">
        <f>(Деятельность_УК!I$330)/Параметры!I$126</f>
        <v>0</v>
      </c>
      <c r="J84" s="82">
        <f>(Деятельность_УК!J$330)/Параметры!J$126</f>
        <v>0</v>
      </c>
      <c r="K84" s="82">
        <f>(Деятельность_УК!K$330)/Параметры!K$126</f>
        <v>0</v>
      </c>
      <c r="L84" s="82">
        <f>(Деятельность_УК!L$330)/Параметры!L$126</f>
        <v>0</v>
      </c>
      <c r="M84" s="82">
        <f>(Деятельность_УК!M$330)/Параметры!M$126</f>
        <v>0</v>
      </c>
      <c r="N84" s="82">
        <f>(Деятельность_УК!N$330)/Параметры!N$126</f>
        <v>0</v>
      </c>
      <c r="O84" s="82">
        <f>(Деятельность_УК!O$330)/Параметры!O$126</f>
        <v>0</v>
      </c>
      <c r="P84" s="82">
        <f>(Деятельность_УК!P$330)/Параметры!P$126</f>
        <v>0</v>
      </c>
      <c r="Q84" s="82">
        <f>(Деятельность_УК!Q$330)/Параметры!Q$126</f>
        <v>0</v>
      </c>
      <c r="R84" s="82">
        <f>(Деятельность_УК!R$330)/Параметры!R$126</f>
        <v>0</v>
      </c>
      <c r="S84" s="82">
        <f>(Деятельность_УК!S$330)/Параметры!S$126</f>
        <v>0</v>
      </c>
      <c r="T84" s="82">
        <f>(Деятельность_УК!T$330)/Параметры!T$126</f>
        <v>0</v>
      </c>
      <c r="U84" s="82">
        <f>(Деятельность_УК!U$330)/Параметры!U$126</f>
        <v>0</v>
      </c>
      <c r="V84" s="82">
        <f>(Деятельность_УК!V$330)/Параметры!V$126</f>
        <v>0</v>
      </c>
      <c r="W84" s="82">
        <f>(Деятельность_УК!W$330)/Параметры!W$126</f>
        <v>0</v>
      </c>
      <c r="X84" s="82">
        <f>(Деятельность_УК!X$330)/Параметры!X$126</f>
        <v>0</v>
      </c>
      <c r="Y84" s="82">
        <f>(Деятельность_УК!Y$330)/Параметры!Y$126</f>
        <v>0</v>
      </c>
      <c r="Z84" s="82">
        <f>(Деятельность_УК!Z$330)/Параметры!Z$126</f>
        <v>0</v>
      </c>
      <c r="AA84" s="82">
        <f>(Деятельность_УК!AA$330)/Параметры!AA$126</f>
        <v>0</v>
      </c>
      <c r="AB84" s="82">
        <f>(Деятельность_УК!AB$330)/Параметры!AB$126</f>
        <v>0</v>
      </c>
      <c r="AC84" s="82">
        <f>(Деятельность_УК!AC$330)/Параметры!AC$126</f>
        <v>0</v>
      </c>
      <c r="AD84" s="82">
        <f>(Деятельность_УК!AD$330)/Параметры!AD$126</f>
        <v>0</v>
      </c>
      <c r="AE84" s="82">
        <f>(Деятельность_УК!AE$330)/Параметры!AE$126</f>
        <v>0</v>
      </c>
      <c r="AF84" s="82">
        <f>(Деятельность_УК!AF$330)/Параметры!AF$126</f>
        <v>0</v>
      </c>
      <c r="AG84" s="82">
        <f>(Деятельность_УК!AG$330)/Параметры!AG$126</f>
        <v>0</v>
      </c>
      <c r="AH84" s="82">
        <f>(Деятельность_УК!AH$330)/Параметры!AH$126</f>
        <v>0</v>
      </c>
      <c r="AI84" s="82">
        <f>(Деятельность_УК!AI$330)/Параметры!AI$126</f>
        <v>0</v>
      </c>
      <c r="AJ84" s="82">
        <f>(Деятельность_УК!AJ$330)/Параметры!AJ$126</f>
        <v>0</v>
      </c>
      <c r="AK84" s="82">
        <f>(Деятельность_УК!AK$330)/Параметры!AK$126</f>
        <v>0</v>
      </c>
      <c r="AL84" s="82">
        <f>(Деятельность_УК!AL$330)/Параметры!AL$126</f>
        <v>0</v>
      </c>
      <c r="AM84" s="82">
        <f>(Деятельность_УК!AM$330)/Параметры!AM$126</f>
        <v>0</v>
      </c>
      <c r="AN84" s="82">
        <f>(Деятельность_УК!AN$330)/Параметры!AN$126</f>
        <v>0</v>
      </c>
      <c r="AO84" s="82">
        <f>(Деятельность_УК!AO$330)/Параметры!AO$126</f>
        <v>0</v>
      </c>
      <c r="AP84" s="82">
        <f>(Деятельность_УК!AP$330)/Параметры!AP$126</f>
        <v>0</v>
      </c>
      <c r="AQ84" s="82">
        <f>(Деятельность_УК!AQ$330)/Параметры!AQ$126</f>
        <v>0</v>
      </c>
      <c r="AR84" s="82">
        <f>(Деятельность_УК!AR$330)/Параметры!AR$126</f>
        <v>0</v>
      </c>
    </row>
    <row r="85" spans="1:46" x14ac:dyDescent="0.2">
      <c r="A85" s="63" t="s">
        <v>243</v>
      </c>
      <c r="C85" s="12" t="str">
        <f>Параметры!$C$126</f>
        <v>тыс. руб.</v>
      </c>
      <c r="D85" s="40"/>
      <c r="E85" s="82">
        <f>(Деятельность_УК!E$360)/Параметры!E$126</f>
        <v>0</v>
      </c>
      <c r="F85" s="82">
        <f>(Деятельность_УК!F$360)/Параметры!F$126</f>
        <v>0</v>
      </c>
      <c r="G85" s="82">
        <f>(Деятельность_УК!G$360)/Параметры!G$126</f>
        <v>0</v>
      </c>
      <c r="H85" s="82">
        <f>(Деятельность_УК!H$360)/Параметры!H$126</f>
        <v>0</v>
      </c>
      <c r="I85" s="82">
        <f>(Деятельность_УК!I$360)/Параметры!I$126</f>
        <v>0</v>
      </c>
      <c r="J85" s="82">
        <f>(Деятельность_УК!J$360)/Параметры!J$126</f>
        <v>0</v>
      </c>
      <c r="K85" s="82">
        <f>(Деятельность_УК!K$360)/Параметры!K$126</f>
        <v>0</v>
      </c>
      <c r="L85" s="82">
        <f>(Деятельность_УК!L$360)/Параметры!L$126</f>
        <v>0</v>
      </c>
      <c r="M85" s="82">
        <f>(Деятельность_УК!M$360)/Параметры!M$126</f>
        <v>0</v>
      </c>
      <c r="N85" s="82">
        <f>(Деятельность_УК!N$360)/Параметры!N$126</f>
        <v>0</v>
      </c>
      <c r="O85" s="82">
        <f>(Деятельность_УК!O$360)/Параметры!O$126</f>
        <v>0</v>
      </c>
      <c r="P85" s="82">
        <f>(Деятельность_УК!P$360)/Параметры!P$126</f>
        <v>0</v>
      </c>
      <c r="Q85" s="82">
        <f>(Деятельность_УК!Q$360)/Параметры!Q$126</f>
        <v>0</v>
      </c>
      <c r="R85" s="82">
        <f>(Деятельность_УК!R$360)/Параметры!R$126</f>
        <v>0</v>
      </c>
      <c r="S85" s="82">
        <f>(Деятельность_УК!S$360)/Параметры!S$126</f>
        <v>0</v>
      </c>
      <c r="T85" s="82">
        <f>(Деятельность_УК!T$360)/Параметры!T$126</f>
        <v>0</v>
      </c>
      <c r="U85" s="82">
        <f>(Деятельность_УК!U$360)/Параметры!U$126</f>
        <v>0</v>
      </c>
      <c r="V85" s="82">
        <f>(Деятельность_УК!V$360)/Параметры!V$126</f>
        <v>0</v>
      </c>
      <c r="W85" s="82">
        <f>(Деятельность_УК!W$360)/Параметры!W$126</f>
        <v>0</v>
      </c>
      <c r="X85" s="82">
        <f>(Деятельность_УК!X$360)/Параметры!X$126</f>
        <v>0</v>
      </c>
      <c r="Y85" s="82">
        <f>(Деятельность_УК!Y$360)/Параметры!Y$126</f>
        <v>0</v>
      </c>
      <c r="Z85" s="82">
        <f>(Деятельность_УК!Z$360)/Параметры!Z$126</f>
        <v>0</v>
      </c>
      <c r="AA85" s="82">
        <f>(Деятельность_УК!AA$360)/Параметры!AA$126</f>
        <v>0</v>
      </c>
      <c r="AB85" s="82">
        <f>(Деятельность_УК!AB$360)/Параметры!AB$126</f>
        <v>0</v>
      </c>
      <c r="AC85" s="82">
        <f>(Деятельность_УК!AC$360)/Параметры!AC$126</f>
        <v>0</v>
      </c>
      <c r="AD85" s="82">
        <f>(Деятельность_УК!AD$360)/Параметры!AD$126</f>
        <v>0</v>
      </c>
      <c r="AE85" s="82">
        <f>(Деятельность_УК!AE$360)/Параметры!AE$126</f>
        <v>0</v>
      </c>
      <c r="AF85" s="82">
        <f>(Деятельность_УК!AF$360)/Параметры!AF$126</f>
        <v>0</v>
      </c>
      <c r="AG85" s="82">
        <f>(Деятельность_УК!AG$360)/Параметры!AG$126</f>
        <v>0</v>
      </c>
      <c r="AH85" s="82">
        <f>(Деятельность_УК!AH$360)/Параметры!AH$126</f>
        <v>0</v>
      </c>
      <c r="AI85" s="82">
        <f>(Деятельность_УК!AI$360)/Параметры!AI$126</f>
        <v>0</v>
      </c>
      <c r="AJ85" s="82">
        <f>(Деятельность_УК!AJ$360)/Параметры!AJ$126</f>
        <v>0</v>
      </c>
      <c r="AK85" s="82">
        <f>(Деятельность_УК!AK$360)/Параметры!AK$126</f>
        <v>0</v>
      </c>
      <c r="AL85" s="82">
        <f>(Деятельность_УК!AL$360)/Параметры!AL$126</f>
        <v>0</v>
      </c>
      <c r="AM85" s="82">
        <f>(Деятельность_УК!AM$360)/Параметры!AM$126</f>
        <v>0</v>
      </c>
      <c r="AN85" s="82">
        <f>(Деятельность_УК!AN$360)/Параметры!AN$126</f>
        <v>0</v>
      </c>
      <c r="AO85" s="82">
        <f>(Деятельность_УК!AO$360)/Параметры!AO$126</f>
        <v>0</v>
      </c>
      <c r="AP85" s="82">
        <f>(Деятельность_УК!AP$360)/Параметры!AP$126</f>
        <v>0</v>
      </c>
      <c r="AQ85" s="82">
        <f>(Деятельность_УК!AQ$360)/Параметры!AQ$126</f>
        <v>0</v>
      </c>
      <c r="AR85" s="82">
        <f>(Деятельность_УК!AR$360)/Параметры!AR$126</f>
        <v>0</v>
      </c>
    </row>
    <row r="86" spans="1:46" x14ac:dyDescent="0.2">
      <c r="A86" s="63" t="s">
        <v>244</v>
      </c>
      <c r="C86" s="12" t="str">
        <f>Параметры!$C$126</f>
        <v>тыс. руб.</v>
      </c>
      <c r="D86" s="40"/>
      <c r="E86" s="82">
        <f>(Деятельность_УК!E$350)/Параметры!E$126</f>
        <v>0</v>
      </c>
      <c r="F86" s="82">
        <f>(Деятельность_УК!F$350)/Параметры!F$126</f>
        <v>0</v>
      </c>
      <c r="G86" s="82">
        <f>(Деятельность_УК!G$350)/Параметры!G$126</f>
        <v>0</v>
      </c>
      <c r="H86" s="82">
        <f>(Деятельность_УК!H$350)/Параметры!H$126</f>
        <v>0</v>
      </c>
      <c r="I86" s="82">
        <f>(Деятельность_УК!I$350)/Параметры!I$126</f>
        <v>0</v>
      </c>
      <c r="J86" s="82">
        <f>(Деятельность_УК!J$350)/Параметры!J$126</f>
        <v>0</v>
      </c>
      <c r="K86" s="82">
        <f>(Деятельность_УК!K$350)/Параметры!K$126</f>
        <v>0</v>
      </c>
      <c r="L86" s="82">
        <f>(Деятельность_УК!L$350)/Параметры!L$126</f>
        <v>0</v>
      </c>
      <c r="M86" s="82">
        <f>(Деятельность_УК!M$350)/Параметры!M$126</f>
        <v>0</v>
      </c>
      <c r="N86" s="82">
        <f>(Деятельность_УК!N$350)/Параметры!N$126</f>
        <v>0</v>
      </c>
      <c r="O86" s="82">
        <f>(Деятельность_УК!O$350)/Параметры!O$126</f>
        <v>0</v>
      </c>
      <c r="P86" s="82">
        <f>(Деятельность_УК!P$350)/Параметры!P$126</f>
        <v>0</v>
      </c>
      <c r="Q86" s="82">
        <f>(Деятельность_УК!Q$350)/Параметры!Q$126</f>
        <v>0</v>
      </c>
      <c r="R86" s="82">
        <f>(Деятельность_УК!R$350)/Параметры!R$126</f>
        <v>0</v>
      </c>
      <c r="S86" s="82">
        <f>(Деятельность_УК!S$350)/Параметры!S$126</f>
        <v>0</v>
      </c>
      <c r="T86" s="82">
        <f>(Деятельность_УК!T$350)/Параметры!T$126</f>
        <v>0</v>
      </c>
      <c r="U86" s="82">
        <f>(Деятельность_УК!U$350)/Параметры!U$126</f>
        <v>0</v>
      </c>
      <c r="V86" s="82">
        <f>(Деятельность_УК!V$350)/Параметры!V$126</f>
        <v>0</v>
      </c>
      <c r="W86" s="82">
        <f>(Деятельность_УК!W$350)/Параметры!W$126</f>
        <v>0</v>
      </c>
      <c r="X86" s="82">
        <f>(Деятельность_УК!X$350)/Параметры!X$126</f>
        <v>0</v>
      </c>
      <c r="Y86" s="82">
        <f>(Деятельность_УК!Y$350)/Параметры!Y$126</f>
        <v>0</v>
      </c>
      <c r="Z86" s="82">
        <f>(Деятельность_УК!Z$350)/Параметры!Z$126</f>
        <v>0</v>
      </c>
      <c r="AA86" s="82">
        <f>(Деятельность_УК!AA$350)/Параметры!AA$126</f>
        <v>0</v>
      </c>
      <c r="AB86" s="82">
        <f>(Деятельность_УК!AB$350)/Параметры!AB$126</f>
        <v>0</v>
      </c>
      <c r="AC86" s="82">
        <f>(Деятельность_УК!AC$350)/Параметры!AC$126</f>
        <v>0</v>
      </c>
      <c r="AD86" s="82">
        <f>(Деятельность_УК!AD$350)/Параметры!AD$126</f>
        <v>0</v>
      </c>
      <c r="AE86" s="82">
        <f>(Деятельность_УК!AE$350)/Параметры!AE$126</f>
        <v>0</v>
      </c>
      <c r="AF86" s="82">
        <f>(Деятельность_УК!AF$350)/Параметры!AF$126</f>
        <v>0</v>
      </c>
      <c r="AG86" s="82">
        <f>(Деятельность_УК!AG$350)/Параметры!AG$126</f>
        <v>0</v>
      </c>
      <c r="AH86" s="82">
        <f>(Деятельность_УК!AH$350)/Параметры!AH$126</f>
        <v>0</v>
      </c>
      <c r="AI86" s="82">
        <f>(Деятельность_УК!AI$350)/Параметры!AI$126</f>
        <v>0</v>
      </c>
      <c r="AJ86" s="82">
        <f>(Деятельность_УК!AJ$350)/Параметры!AJ$126</f>
        <v>0</v>
      </c>
      <c r="AK86" s="82">
        <f>(Деятельность_УК!AK$350)/Параметры!AK$126</f>
        <v>0</v>
      </c>
      <c r="AL86" s="82">
        <f>(Деятельность_УК!AL$350)/Параметры!AL$126</f>
        <v>0</v>
      </c>
      <c r="AM86" s="82">
        <f>(Деятельность_УК!AM$350)/Параметры!AM$126</f>
        <v>0</v>
      </c>
      <c r="AN86" s="82">
        <f>(Деятельность_УК!AN$350)/Параметры!AN$126</f>
        <v>0</v>
      </c>
      <c r="AO86" s="82">
        <f>(Деятельность_УК!AO$350)/Параметры!AO$126</f>
        <v>0</v>
      </c>
      <c r="AP86" s="82">
        <f>(Деятельность_УК!AP$350)/Параметры!AP$126</f>
        <v>0</v>
      </c>
      <c r="AQ86" s="82">
        <f>(Деятельность_УК!AQ$350)/Параметры!AQ$126</f>
        <v>0</v>
      </c>
      <c r="AR86" s="82">
        <f>(Деятельность_УК!AR$350)/Параметры!AR$126</f>
        <v>0</v>
      </c>
    </row>
    <row r="87" spans="1:46" x14ac:dyDescent="0.2">
      <c r="A87" s="63" t="s">
        <v>168</v>
      </c>
      <c r="C87" s="12" t="str">
        <f>Параметры!$C$126</f>
        <v>тыс. руб.</v>
      </c>
      <c r="D87" s="40"/>
      <c r="E87" s="82">
        <f>(Деятельность_УК!E$345)/Параметры!E$126</f>
        <v>0</v>
      </c>
      <c r="F87" s="82">
        <f>(Деятельность_УК!F$345)/Параметры!F$126</f>
        <v>0</v>
      </c>
      <c r="G87" s="82">
        <f>(Деятельность_УК!G$345)/Параметры!G$126</f>
        <v>0</v>
      </c>
      <c r="H87" s="82">
        <f>(Деятельность_УК!H$345)/Параметры!H$126</f>
        <v>0</v>
      </c>
      <c r="I87" s="82">
        <f>(Деятельность_УК!I$345)/Параметры!I$126</f>
        <v>0</v>
      </c>
      <c r="J87" s="82">
        <f>(Деятельность_УК!J$345)/Параметры!J$126</f>
        <v>0</v>
      </c>
      <c r="K87" s="82">
        <f>(Деятельность_УК!K$345)/Параметры!K$126</f>
        <v>0</v>
      </c>
      <c r="L87" s="82">
        <f>(Деятельность_УК!L$345)/Параметры!L$126</f>
        <v>0</v>
      </c>
      <c r="M87" s="82">
        <f>(Деятельность_УК!M$345)/Параметры!M$126</f>
        <v>0</v>
      </c>
      <c r="N87" s="82">
        <f>(Деятельность_УК!N$345)/Параметры!N$126</f>
        <v>0</v>
      </c>
      <c r="O87" s="82">
        <f>(Деятельность_УК!O$345)/Параметры!O$126</f>
        <v>0</v>
      </c>
      <c r="P87" s="82">
        <f>(Деятельность_УК!P$345)/Параметры!P$126</f>
        <v>0</v>
      </c>
      <c r="Q87" s="82">
        <f>(Деятельность_УК!Q$345)/Параметры!Q$126</f>
        <v>0</v>
      </c>
      <c r="R87" s="82">
        <f>(Деятельность_УК!R$345)/Параметры!R$126</f>
        <v>0</v>
      </c>
      <c r="S87" s="82">
        <f>(Деятельность_УК!S$345)/Параметры!S$126</f>
        <v>0</v>
      </c>
      <c r="T87" s="82">
        <f>(Деятельность_УК!T$345)/Параметры!T$126</f>
        <v>0</v>
      </c>
      <c r="U87" s="82">
        <f>(Деятельность_УК!U$345)/Параметры!U$126</f>
        <v>0</v>
      </c>
      <c r="V87" s="82">
        <f>(Деятельность_УК!V$345)/Параметры!V$126</f>
        <v>0</v>
      </c>
      <c r="W87" s="82">
        <f>(Деятельность_УК!W$345)/Параметры!W$126</f>
        <v>0</v>
      </c>
      <c r="X87" s="82">
        <f>(Деятельность_УК!X$345)/Параметры!X$126</f>
        <v>0</v>
      </c>
      <c r="Y87" s="82">
        <f>(Деятельность_УК!Y$345)/Параметры!Y$126</f>
        <v>0</v>
      </c>
      <c r="Z87" s="82">
        <f>(Деятельность_УК!Z$345)/Параметры!Z$126</f>
        <v>0</v>
      </c>
      <c r="AA87" s="82">
        <f>(Деятельность_УК!AA$345)/Параметры!AA$126</f>
        <v>0</v>
      </c>
      <c r="AB87" s="82">
        <f>(Деятельность_УК!AB$345)/Параметры!AB$126</f>
        <v>0</v>
      </c>
      <c r="AC87" s="82">
        <f>(Деятельность_УК!AC$345)/Параметры!AC$126</f>
        <v>0</v>
      </c>
      <c r="AD87" s="82">
        <f>(Деятельность_УК!AD$345)/Параметры!AD$126</f>
        <v>0</v>
      </c>
      <c r="AE87" s="82">
        <f>(Деятельность_УК!AE$345)/Параметры!AE$126</f>
        <v>0</v>
      </c>
      <c r="AF87" s="82">
        <f>(Деятельность_УК!AF$345)/Параметры!AF$126</f>
        <v>0</v>
      </c>
      <c r="AG87" s="82">
        <f>(Деятельность_УК!AG$345)/Параметры!AG$126</f>
        <v>0</v>
      </c>
      <c r="AH87" s="82">
        <f>(Деятельность_УК!AH$345)/Параметры!AH$126</f>
        <v>0</v>
      </c>
      <c r="AI87" s="82">
        <f>(Деятельность_УК!AI$345)/Параметры!AI$126</f>
        <v>0</v>
      </c>
      <c r="AJ87" s="82">
        <f>(Деятельность_УК!AJ$345)/Параметры!AJ$126</f>
        <v>0</v>
      </c>
      <c r="AK87" s="82">
        <f>(Деятельность_УК!AK$345)/Параметры!AK$126</f>
        <v>0</v>
      </c>
      <c r="AL87" s="82">
        <f>(Деятельность_УК!AL$345)/Параметры!AL$126</f>
        <v>0</v>
      </c>
      <c r="AM87" s="82">
        <f>(Деятельность_УК!AM$345)/Параметры!AM$126</f>
        <v>0</v>
      </c>
      <c r="AN87" s="82">
        <f>(Деятельность_УК!AN$345)/Параметры!AN$126</f>
        <v>0</v>
      </c>
      <c r="AO87" s="82">
        <f>(Деятельность_УК!AO$345)/Параметры!AO$126</f>
        <v>0</v>
      </c>
      <c r="AP87" s="82">
        <f>(Деятельность_УК!AP$345)/Параметры!AP$126</f>
        <v>0</v>
      </c>
      <c r="AQ87" s="82">
        <f>(Деятельность_УК!AQ$345)/Параметры!AQ$126</f>
        <v>0</v>
      </c>
      <c r="AR87" s="82">
        <f>(Деятельность_УК!AR$345)/Параметры!AR$126</f>
        <v>0</v>
      </c>
    </row>
    <row r="88" spans="1:46" x14ac:dyDescent="0.2">
      <c r="A88" s="63" t="s">
        <v>172</v>
      </c>
      <c r="C88" s="12" t="str">
        <f>Параметры!$C$126</f>
        <v>тыс. руб.</v>
      </c>
      <c r="D88" s="40"/>
      <c r="E88" s="82">
        <f>Деятельность_УК!E$340/Параметры!E$126</f>
        <v>0</v>
      </c>
      <c r="F88" s="82">
        <f>Деятельность_УК!F$340/Параметры!F$126</f>
        <v>0</v>
      </c>
      <c r="G88" s="82">
        <f>Деятельность_УК!G$340/Параметры!G$126</f>
        <v>0</v>
      </c>
      <c r="H88" s="82">
        <f>Деятельность_УК!H$340/Параметры!H$126</f>
        <v>0</v>
      </c>
      <c r="I88" s="82">
        <f>Деятельность_УК!I$340/Параметры!I$126</f>
        <v>0</v>
      </c>
      <c r="J88" s="82">
        <f>Деятельность_УК!J$340/Параметры!J$126</f>
        <v>0</v>
      </c>
      <c r="K88" s="82">
        <f>Деятельность_УК!K$340/Параметры!K$126</f>
        <v>0</v>
      </c>
      <c r="L88" s="82">
        <f>Деятельность_УК!L$340/Параметры!L$126</f>
        <v>0</v>
      </c>
      <c r="M88" s="82">
        <f>Деятельность_УК!M$340/Параметры!M$126</f>
        <v>0</v>
      </c>
      <c r="N88" s="82">
        <f>Деятельность_УК!N$340/Параметры!N$126</f>
        <v>0</v>
      </c>
      <c r="O88" s="82">
        <f>Деятельность_УК!O$340/Параметры!O$126</f>
        <v>0</v>
      </c>
      <c r="P88" s="82">
        <f>Деятельность_УК!P$340/Параметры!P$126</f>
        <v>0</v>
      </c>
      <c r="Q88" s="82">
        <f>Деятельность_УК!Q$340/Параметры!Q$126</f>
        <v>0</v>
      </c>
      <c r="R88" s="82">
        <f>Деятельность_УК!R$340/Параметры!R$126</f>
        <v>0</v>
      </c>
      <c r="S88" s="82">
        <f>Деятельность_УК!S$340/Параметры!S$126</f>
        <v>0</v>
      </c>
      <c r="T88" s="82">
        <f>Деятельность_УК!T$340/Параметры!T$126</f>
        <v>0</v>
      </c>
      <c r="U88" s="82">
        <f>Деятельность_УК!U$340/Параметры!U$126</f>
        <v>0</v>
      </c>
      <c r="V88" s="82">
        <f>Деятельность_УК!V$340/Параметры!V$126</f>
        <v>0</v>
      </c>
      <c r="W88" s="82">
        <f>Деятельность_УК!W$340/Параметры!W$126</f>
        <v>0</v>
      </c>
      <c r="X88" s="82">
        <f>Деятельность_УК!X$340/Параметры!X$126</f>
        <v>0</v>
      </c>
      <c r="Y88" s="82">
        <f>Деятельность_УК!Y$340/Параметры!Y$126</f>
        <v>0</v>
      </c>
      <c r="Z88" s="82">
        <f>Деятельность_УК!Z$340/Параметры!Z$126</f>
        <v>0</v>
      </c>
      <c r="AA88" s="82">
        <f>Деятельность_УК!AA$340/Параметры!AA$126</f>
        <v>0</v>
      </c>
      <c r="AB88" s="82">
        <f>Деятельность_УК!AB$340/Параметры!AB$126</f>
        <v>0</v>
      </c>
      <c r="AC88" s="82">
        <f>Деятельность_УК!AC$340/Параметры!AC$126</f>
        <v>0</v>
      </c>
      <c r="AD88" s="82">
        <f>Деятельность_УК!AD$340/Параметры!AD$126</f>
        <v>0</v>
      </c>
      <c r="AE88" s="82">
        <f>Деятельность_УК!AE$340/Параметры!AE$126</f>
        <v>0</v>
      </c>
      <c r="AF88" s="82">
        <f>Деятельность_УК!AF$340/Параметры!AF$126</f>
        <v>0</v>
      </c>
      <c r="AG88" s="82">
        <f>Деятельность_УК!AG$340/Параметры!AG$126</f>
        <v>0</v>
      </c>
      <c r="AH88" s="82">
        <f>Деятельность_УК!AH$340/Параметры!AH$126</f>
        <v>0</v>
      </c>
      <c r="AI88" s="82">
        <f>Деятельность_УК!AI$340/Параметры!AI$126</f>
        <v>0</v>
      </c>
      <c r="AJ88" s="82">
        <f>Деятельность_УК!AJ$340/Параметры!AJ$126</f>
        <v>0</v>
      </c>
      <c r="AK88" s="82">
        <f>Деятельность_УК!AK$340/Параметры!AK$126</f>
        <v>0</v>
      </c>
      <c r="AL88" s="82">
        <f>Деятельность_УК!AL$340/Параметры!AL$126</f>
        <v>0</v>
      </c>
      <c r="AM88" s="82">
        <f>Деятельность_УК!AM$340/Параметры!AM$126</f>
        <v>0</v>
      </c>
      <c r="AN88" s="82">
        <f>Деятельность_УК!AN$340/Параметры!AN$126</f>
        <v>0</v>
      </c>
      <c r="AO88" s="82">
        <f>Деятельность_УК!AO$340/Параметры!AO$126</f>
        <v>0</v>
      </c>
      <c r="AP88" s="82">
        <f>Деятельность_УК!AP$340/Параметры!AP$126</f>
        <v>0</v>
      </c>
      <c r="AQ88" s="82">
        <f>Деятельность_УК!AQ$340/Параметры!AQ$126</f>
        <v>0</v>
      </c>
      <c r="AR88" s="82">
        <f>Деятельность_УК!AR$340/Параметры!AR$126</f>
        <v>0</v>
      </c>
    </row>
    <row r="89" spans="1:46" x14ac:dyDescent="0.2">
      <c r="A89" s="63" t="s">
        <v>245</v>
      </c>
      <c r="C89" s="12" t="str">
        <f>Параметры!$C$126</f>
        <v>тыс. руб.</v>
      </c>
      <c r="D89" s="40"/>
      <c r="E89" s="82">
        <f ca="1">(Деятельность_УК!E$674+Деятельность_УК!E$675)/Параметры!E$126</f>
        <v>146652.70833333334</v>
      </c>
      <c r="F89" s="82">
        <f ca="1">(Деятельность_УК!F$674+Деятельность_УК!F$675)/Параметры!F$126</f>
        <v>201467.5</v>
      </c>
      <c r="G89" s="82">
        <f ca="1">(Деятельность_УК!G$674+Деятельность_УК!G$675)/Параметры!G$126</f>
        <v>208129.35775230557</v>
      </c>
      <c r="H89" s="82">
        <f ca="1">(Деятельность_УК!H$674+Деятельность_УК!H$675)/Параметры!H$126</f>
        <v>214104.12325055015</v>
      </c>
      <c r="I89" s="82">
        <f ca="1">(Деятельность_УК!I$674+Деятельность_УК!I$675)/Параметры!I$126</f>
        <v>223241.55541546139</v>
      </c>
      <c r="J89" s="82">
        <f ca="1">(Деятельность_УК!J$674+Деятельность_УК!J$675)/Параметры!J$126</f>
        <v>249057.78274581471</v>
      </c>
      <c r="K89" s="82">
        <f ca="1">(Деятельность_УК!K$674+Деятельность_УК!K$675)/Параметры!K$126</f>
        <v>284784.81155214761</v>
      </c>
      <c r="L89" s="82">
        <f ca="1">(Деятельность_УК!L$674+Деятельность_УК!L$675)/Параметры!L$126</f>
        <v>300245.59599619359</v>
      </c>
      <c r="M89" s="82">
        <f ca="1">(Деятельность_УК!M$674+Деятельность_УК!M$675)/Параметры!M$126</f>
        <v>335141.46304200665</v>
      </c>
      <c r="N89" s="82">
        <f ca="1">(Деятельность_УК!N$674+Деятельность_УК!N$675)/Параметры!N$126</f>
        <v>415162.49203009176</v>
      </c>
      <c r="O89" s="82">
        <f ca="1">(Деятельность_УК!O$674+Деятельность_УК!O$675)/Параметры!O$126</f>
        <v>535801.71646310203</v>
      </c>
      <c r="P89" s="82">
        <f ca="1">(Деятельность_УК!P$674+Деятельность_УК!P$675)/Параметры!P$126</f>
        <v>599362.92111087893</v>
      </c>
      <c r="Q89" s="82">
        <f ca="1">(Деятельность_УК!Q$674+Деятельность_УК!Q$675)/Параметры!Q$126</f>
        <v>655628.68748432316</v>
      </c>
      <c r="R89" s="82">
        <f ca="1">(Деятельность_УК!R$674+Деятельность_УК!R$675)/Параметры!R$126</f>
        <v>794130.6902899585</v>
      </c>
      <c r="S89" s="82">
        <f ca="1">(Деятельность_УК!S$674+Деятельность_УК!S$675)/Параметры!S$126</f>
        <v>946679.69390921318</v>
      </c>
      <c r="T89" s="82">
        <f ca="1">(Деятельность_УК!T$674+Деятельность_УК!T$675)/Параметры!T$126</f>
        <v>1017510.6536834132</v>
      </c>
      <c r="U89" s="82">
        <f ca="1">(Деятельность_УК!U$674+Деятельность_УК!U$675)/Параметры!U$126</f>
        <v>977088.45590752654</v>
      </c>
      <c r="V89" s="82">
        <f ca="1">(Деятельность_УК!V$674+Деятельность_УК!V$675)/Параметры!V$126</f>
        <v>935061.26687837043</v>
      </c>
      <c r="W89" s="82">
        <f ca="1">(Деятельность_УК!W$674+Деятельность_УК!W$675)/Параметры!W$126</f>
        <v>892572.84271860914</v>
      </c>
      <c r="X89" s="82">
        <f ca="1">(Деятельность_УК!X$674+Деятельность_УК!X$675)/Параметры!X$126</f>
        <v>849618.09012204991</v>
      </c>
      <c r="Y89" s="82">
        <f ca="1">(Деятельность_УК!Y$674+Деятельность_УК!Y$675)/Параметры!Y$126</f>
        <v>806191.85921232135</v>
      </c>
      <c r="Z89" s="82">
        <f ca="1">(Деятельность_УК!Z$674+Деятельность_УК!Z$675)/Параметры!Z$126</f>
        <v>762298.06818336842</v>
      </c>
      <c r="AA89" s="82">
        <f ca="1">(Деятельность_УК!AA$674+Деятельность_УК!AA$675)/Параметры!AA$126</f>
        <v>717931.6621599847</v>
      </c>
      <c r="AB89" s="82">
        <f ca="1">(Деятельность_УК!AB$674+Деятельность_УК!AB$675)/Параметры!AB$126</f>
        <v>673087.53140375554</v>
      </c>
      <c r="AC89" s="82">
        <f ca="1">(Деятельность_УК!AC$674+Деятельность_УК!AC$675)/Параметры!AC$126</f>
        <v>627760.51071540068</v>
      </c>
      <c r="AD89" s="82">
        <f ca="1">(Деятельность_УК!AD$674+Деятельность_УК!AD$675)/Параметры!AD$126</f>
        <v>581944.81423094519</v>
      </c>
      <c r="AE89" s="82">
        <f ca="1">(Деятельность_УК!AE$674+Деятельность_УК!AE$675)/Параметры!AE$126</f>
        <v>535635.15053886897</v>
      </c>
      <c r="AF89" s="82">
        <f ca="1">(Деятельность_УК!AF$674+Деятельность_УК!AF$675)/Параметры!AF$126</f>
        <v>488826.17069524893</v>
      </c>
      <c r="AG89" s="82">
        <f ca="1">(Деятельность_УК!AG$674+Деятельность_УК!AG$675)/Параметры!AG$126</f>
        <v>441512.46759579011</v>
      </c>
      <c r="AH89" s="82">
        <f ca="1">(Деятельность_УК!AH$674+Деятельность_УК!AH$675)/Параметры!AH$126</f>
        <v>393689.20815159223</v>
      </c>
      <c r="AI89" s="82">
        <f ca="1">(Деятельность_УК!AI$674+Деятельность_УК!AI$675)/Параметры!AI$126</f>
        <v>345350.87995848921</v>
      </c>
      <c r="AJ89" s="82">
        <f ca="1">(Деятельность_УК!AJ$674+Деятельность_УК!AJ$675)/Параметры!AJ$126</f>
        <v>296491.91072565579</v>
      </c>
      <c r="AK89" s="82">
        <f ca="1">(Деятельность_УК!AK$674+Деятельность_УК!AK$675)/Параметры!AK$126</f>
        <v>167213.92389396267</v>
      </c>
      <c r="AL89" s="82">
        <f ca="1">(Деятельность_УК!AL$674+Деятельность_УК!AL$675)/Параметры!AL$126</f>
        <v>119311.84987152291</v>
      </c>
      <c r="AM89" s="82">
        <f ca="1">(Деятельность_УК!AM$674+Деятельность_УК!AM$675)/Параметры!AM$126</f>
        <v>70804.247680960019</v>
      </c>
      <c r="AN89" s="82">
        <f ca="1">(Деятельность_УК!AN$674+Деятельность_УК!AN$675)/Параметры!AN$126</f>
        <v>21774.518098272296</v>
      </c>
      <c r="AO89" s="82">
        <f ca="1">(Деятельность_УК!AO$674+Деятельность_УК!AO$675)/Параметры!AO$126</f>
        <v>-8.7311491370201111E-11</v>
      </c>
      <c r="AP89" s="82">
        <f ca="1">(Деятельность_УК!AP$674+Деятельность_УК!AP$675)/Параметры!AP$126</f>
        <v>-1.1641532182693481E-10</v>
      </c>
      <c r="AQ89" s="82">
        <f ca="1">(Деятельность_УК!AQ$674+Деятельность_УК!AQ$675)/Параметры!AQ$126</f>
        <v>-1.1641532182693481E-10</v>
      </c>
      <c r="AR89" s="82">
        <f ca="1">(Деятельность_УК!AR$674+Деятельность_УК!AR$675)/Параметры!AR$126</f>
        <v>-1.1641532182693481E-10</v>
      </c>
    </row>
    <row r="90" spans="1:46" x14ac:dyDescent="0.2">
      <c r="A90" s="63" t="s">
        <v>239</v>
      </c>
      <c r="C90" s="12" t="str">
        <f>Параметры!$C$126</f>
        <v>тыс. руб.</v>
      </c>
      <c r="D90" s="40"/>
      <c r="E90" s="82">
        <f>(0)/Параметры!E$126</f>
        <v>0</v>
      </c>
      <c r="F90" s="82">
        <f>(0)/Параметры!F$126</f>
        <v>0</v>
      </c>
      <c r="G90" s="82">
        <f>(0)/Параметры!G$126</f>
        <v>0</v>
      </c>
      <c r="H90" s="82">
        <f>(0)/Параметры!H$126</f>
        <v>0</v>
      </c>
      <c r="I90" s="82">
        <f>(0)/Параметры!I$126</f>
        <v>0</v>
      </c>
      <c r="J90" s="82">
        <f>(0)/Параметры!J$126</f>
        <v>0</v>
      </c>
      <c r="K90" s="82">
        <f>(0)/Параметры!K$126</f>
        <v>0</v>
      </c>
      <c r="L90" s="82">
        <f>(0)/Параметры!L$126</f>
        <v>0</v>
      </c>
      <c r="M90" s="82">
        <f>(0)/Параметры!M$126</f>
        <v>0</v>
      </c>
      <c r="N90" s="82">
        <f>(0)/Параметры!N$126</f>
        <v>0</v>
      </c>
      <c r="O90" s="82">
        <f>(0)/Параметры!O$126</f>
        <v>0</v>
      </c>
      <c r="P90" s="82">
        <f>(0)/Параметры!P$126</f>
        <v>0</v>
      </c>
      <c r="Q90" s="82">
        <f>(0)/Параметры!Q$126</f>
        <v>0</v>
      </c>
      <c r="R90" s="82">
        <f>(0)/Параметры!R$126</f>
        <v>0</v>
      </c>
      <c r="S90" s="82">
        <f>(0)/Параметры!S$126</f>
        <v>0</v>
      </c>
      <c r="T90" s="82">
        <f>(0)/Параметры!T$126</f>
        <v>0</v>
      </c>
      <c r="U90" s="82">
        <f>(0)/Параметры!U$126</f>
        <v>0</v>
      </c>
      <c r="V90" s="82">
        <f>(0)/Параметры!V$126</f>
        <v>0</v>
      </c>
      <c r="W90" s="82">
        <f>(0)/Параметры!W$126</f>
        <v>0</v>
      </c>
      <c r="X90" s="82">
        <f>(0)/Параметры!X$126</f>
        <v>0</v>
      </c>
      <c r="Y90" s="82">
        <f>(0)/Параметры!Y$126</f>
        <v>0</v>
      </c>
      <c r="Z90" s="82">
        <f>(0)/Параметры!Z$126</f>
        <v>0</v>
      </c>
      <c r="AA90" s="82">
        <f>(0)/Параметры!AA$126</f>
        <v>0</v>
      </c>
      <c r="AB90" s="82">
        <f>(0)/Параметры!AB$126</f>
        <v>0</v>
      </c>
      <c r="AC90" s="82">
        <f>(0)/Параметры!AC$126</f>
        <v>0</v>
      </c>
      <c r="AD90" s="82">
        <f>(0)/Параметры!AD$126</f>
        <v>0</v>
      </c>
      <c r="AE90" s="82">
        <f>(0)/Параметры!AE$126</f>
        <v>0</v>
      </c>
      <c r="AF90" s="82">
        <f>(0)/Параметры!AF$126</f>
        <v>0</v>
      </c>
      <c r="AG90" s="82">
        <f>(0)/Параметры!AG$126</f>
        <v>0</v>
      </c>
      <c r="AH90" s="82">
        <f>(0)/Параметры!AH$126</f>
        <v>0</v>
      </c>
      <c r="AI90" s="82">
        <f>(0)/Параметры!AI$126</f>
        <v>0</v>
      </c>
      <c r="AJ90" s="82">
        <f>(0)/Параметры!AJ$126</f>
        <v>0</v>
      </c>
      <c r="AK90" s="82">
        <f>(0)/Параметры!AK$126</f>
        <v>0</v>
      </c>
      <c r="AL90" s="82">
        <f>(0)/Параметры!AL$126</f>
        <v>0</v>
      </c>
      <c r="AM90" s="82">
        <f>(0)/Параметры!AM$126</f>
        <v>0</v>
      </c>
      <c r="AN90" s="82">
        <f>(0)/Параметры!AN$126</f>
        <v>0</v>
      </c>
      <c r="AO90" s="82">
        <f>(0)/Параметры!AO$126</f>
        <v>0</v>
      </c>
      <c r="AP90" s="82">
        <f>(0)/Параметры!AP$126</f>
        <v>0</v>
      </c>
      <c r="AQ90" s="82">
        <f>(0)/Параметры!AQ$126</f>
        <v>0</v>
      </c>
      <c r="AR90" s="82">
        <f>(0)/Параметры!AR$126</f>
        <v>0</v>
      </c>
    </row>
    <row r="91" spans="1:46" x14ac:dyDescent="0.2">
      <c r="A91" s="76" t="s">
        <v>115</v>
      </c>
      <c r="B91" s="166"/>
      <c r="C91" s="13" t="str">
        <f>Параметры!$C$126</f>
        <v>тыс. руб.</v>
      </c>
      <c r="D91" s="78"/>
      <c r="E91" s="167">
        <f t="shared" ref="E91:AR91" ca="1" si="26">SUM(E83:E90)</f>
        <v>151919.63583333333</v>
      </c>
      <c r="F91" s="167">
        <f t="shared" ca="1" si="26"/>
        <v>213962.11749999999</v>
      </c>
      <c r="G91" s="167">
        <f t="shared" ca="1" si="26"/>
        <v>235903.08106670593</v>
      </c>
      <c r="H91" s="167">
        <f t="shared" ca="1" si="26"/>
        <v>257584.57506677357</v>
      </c>
      <c r="I91" s="167">
        <f t="shared" ca="1" si="26"/>
        <v>284604.56144053693</v>
      </c>
      <c r="J91" s="167">
        <f t="shared" ca="1" si="26"/>
        <v>329219.33675884077</v>
      </c>
      <c r="K91" s="167">
        <f t="shared" ca="1" si="26"/>
        <v>384943.69826584309</v>
      </c>
      <c r="L91" s="167">
        <f t="shared" ca="1" si="26"/>
        <v>421026.98280150862</v>
      </c>
      <c r="M91" s="167">
        <f t="shared" ca="1" si="26"/>
        <v>480975.15705160704</v>
      </c>
      <c r="N91" s="167">
        <f t="shared" ca="1" si="26"/>
        <v>588597.63225500507</v>
      </c>
      <c r="O91" s="167">
        <f t="shared" ca="1" si="26"/>
        <v>740541.67649472994</v>
      </c>
      <c r="P91" s="167">
        <f t="shared" ca="1" si="26"/>
        <v>837494.46274241293</v>
      </c>
      <c r="Q91" s="167">
        <f t="shared" ca="1" si="26"/>
        <v>960812.27256330824</v>
      </c>
      <c r="R91" s="167">
        <f t="shared" ca="1" si="26"/>
        <v>1170624.3935121517</v>
      </c>
      <c r="S91" s="167">
        <f t="shared" ca="1" si="26"/>
        <v>1399142.9262476549</v>
      </c>
      <c r="T91" s="167">
        <f t="shared" ca="1" si="26"/>
        <v>1548289.2492324323</v>
      </c>
      <c r="U91" s="167">
        <f t="shared" ca="1" si="26"/>
        <v>1590370.6656677462</v>
      </c>
      <c r="V91" s="167">
        <f t="shared" ca="1" si="26"/>
        <v>1640709.4589926121</v>
      </c>
      <c r="W91" s="167">
        <f t="shared" ca="1" si="26"/>
        <v>1766520.9649402944</v>
      </c>
      <c r="X91" s="167">
        <f t="shared" ca="1" si="26"/>
        <v>1828215.0401521744</v>
      </c>
      <c r="Y91" s="167">
        <f t="shared" ca="1" si="26"/>
        <v>1892747.0852235844</v>
      </c>
      <c r="Z91" s="167">
        <f t="shared" ca="1" si="26"/>
        <v>1976666.3934938437</v>
      </c>
      <c r="AA91" s="167">
        <f t="shared" ca="1" si="26"/>
        <v>2046682.889546474</v>
      </c>
      <c r="AB91" s="167">
        <f t="shared" ca="1" si="26"/>
        <v>2077131.5674093687</v>
      </c>
      <c r="AC91" s="167">
        <f t="shared" ca="1" si="26"/>
        <v>2110231.0283448081</v>
      </c>
      <c r="AD91" s="167">
        <f t="shared" ca="1" si="26"/>
        <v>2137418.1128287609</v>
      </c>
      <c r="AE91" s="167">
        <f t="shared" ca="1" si="26"/>
        <v>2160246.4770719921</v>
      </c>
      <c r="AF91" s="167">
        <f t="shared" ca="1" si="26"/>
        <v>2184358.226156868</v>
      </c>
      <c r="AG91" s="167">
        <f t="shared" ca="1" si="26"/>
        <v>2211828.7925165379</v>
      </c>
      <c r="AH91" s="167">
        <f t="shared" ca="1" si="26"/>
        <v>2214455.0802452746</v>
      </c>
      <c r="AI91" s="167">
        <f t="shared" ca="1" si="26"/>
        <v>2218158.631317657</v>
      </c>
      <c r="AJ91" s="167">
        <f t="shared" ca="1" si="26"/>
        <v>2222933.8851020001</v>
      </c>
      <c r="AK91" s="167">
        <f t="shared" ca="1" si="26"/>
        <v>2628238.639280092</v>
      </c>
      <c r="AL91" s="167">
        <f t="shared" ca="1" si="26"/>
        <v>2588187.0793484394</v>
      </c>
      <c r="AM91" s="167">
        <f t="shared" ca="1" si="26"/>
        <v>2622347.0117179044</v>
      </c>
      <c r="AN91" s="167">
        <f t="shared" ca="1" si="26"/>
        <v>2594278.1411470589</v>
      </c>
      <c r="AO91" s="167">
        <f t="shared" ca="1" si="26"/>
        <v>10294285.705005927</v>
      </c>
      <c r="AP91" s="167">
        <f t="shared" ca="1" si="26"/>
        <v>8296165.7109658662</v>
      </c>
      <c r="AQ91" s="167">
        <f t="shared" ca="1" si="26"/>
        <v>8382978.1160642123</v>
      </c>
      <c r="AR91" s="167">
        <f t="shared" ca="1" si="26"/>
        <v>8467797.5368973203</v>
      </c>
    </row>
    <row r="92" spans="1:46" x14ac:dyDescent="0.2">
      <c r="A92" s="44"/>
      <c r="D92" s="40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</row>
    <row r="93" spans="1:46" x14ac:dyDescent="0.2">
      <c r="A93" s="63" t="s">
        <v>157</v>
      </c>
      <c r="C93" s="12" t="str">
        <f>Параметры!$C$126</f>
        <v>тыс. руб.</v>
      </c>
      <c r="D93" s="40"/>
      <c r="E93" s="82">
        <f>(Деятельность_УК!E$68)/Параметры!E$126</f>
        <v>42736.027728946232</v>
      </c>
      <c r="F93" s="82">
        <f>(Деятельность_УК!F$68)/Параметры!F$126</f>
        <v>42736.027728946232</v>
      </c>
      <c r="G93" s="82">
        <f>(Деятельность_УК!G$68)/Параметры!G$126</f>
        <v>42736.027728946232</v>
      </c>
      <c r="H93" s="82">
        <f>(Деятельность_УК!H$68)/Параметры!H$126</f>
        <v>42736.027728946232</v>
      </c>
      <c r="I93" s="82">
        <f>(Деятельность_УК!I$68)/Параметры!I$126</f>
        <v>42736.027728946232</v>
      </c>
      <c r="J93" s="82">
        <f>(Деятельность_УК!J$68)/Параметры!J$126</f>
        <v>42736.027728946232</v>
      </c>
      <c r="K93" s="82">
        <f>(Деятельность_УК!K$68)/Параметры!K$126</f>
        <v>42736.027728946232</v>
      </c>
      <c r="L93" s="82">
        <f>(Деятельность_УК!L$68)/Параметры!L$126</f>
        <v>42736.027728946232</v>
      </c>
      <c r="M93" s="82">
        <f>(Деятельность_УК!M$68)/Параметры!M$126</f>
        <v>42736.027728946232</v>
      </c>
      <c r="N93" s="82">
        <f>(Деятельность_УК!N$68)/Параметры!N$126</f>
        <v>42736.027728946232</v>
      </c>
      <c r="O93" s="82">
        <f>(Деятельность_УК!O$68)/Параметры!O$126</f>
        <v>42736.027728946232</v>
      </c>
      <c r="P93" s="82">
        <f>(Деятельность_УК!P$68)/Параметры!P$126</f>
        <v>42736.027728946232</v>
      </c>
      <c r="Q93" s="82">
        <f>(Деятельность_УК!Q$68)/Параметры!Q$126</f>
        <v>42736.027728946232</v>
      </c>
      <c r="R93" s="82">
        <f>(Деятельность_УК!R$68)/Параметры!R$126</f>
        <v>42736.027728946232</v>
      </c>
      <c r="S93" s="82">
        <f>(Деятельность_УК!S$68)/Параметры!S$126</f>
        <v>42736.027728946232</v>
      </c>
      <c r="T93" s="82">
        <f>(Деятельность_УК!T$68)/Параметры!T$126</f>
        <v>42736.027728946232</v>
      </c>
      <c r="U93" s="82">
        <f>(Деятельность_УК!U$68)/Параметры!U$126</f>
        <v>42736.027728946232</v>
      </c>
      <c r="V93" s="82">
        <f>(Деятельность_УК!V$68)/Параметры!V$126</f>
        <v>42736.027728946232</v>
      </c>
      <c r="W93" s="82">
        <f>(Деятельность_УК!W$68)/Параметры!W$126</f>
        <v>42736.027728946232</v>
      </c>
      <c r="X93" s="82">
        <f>(Деятельность_УК!X$68)/Параметры!X$126</f>
        <v>42736.027728946232</v>
      </c>
      <c r="Y93" s="82">
        <f>(Деятельность_УК!Y$68)/Параметры!Y$126</f>
        <v>42736.027728946232</v>
      </c>
      <c r="Z93" s="82">
        <f>(Деятельность_УК!Z$68)/Параметры!Z$126</f>
        <v>42736.027728946232</v>
      </c>
      <c r="AA93" s="82">
        <f>(Деятельность_УК!AA$68)/Параметры!AA$126</f>
        <v>42736.027728946232</v>
      </c>
      <c r="AB93" s="82">
        <f>(Деятельность_УК!AB$68)/Параметры!AB$126</f>
        <v>42736.027728946232</v>
      </c>
      <c r="AC93" s="82">
        <f>(Деятельность_УК!AC$68)/Параметры!AC$126</f>
        <v>42736.027728946232</v>
      </c>
      <c r="AD93" s="82">
        <f>(Деятельность_УК!AD$68)/Параметры!AD$126</f>
        <v>42736.027728946232</v>
      </c>
      <c r="AE93" s="82">
        <f>(Деятельность_УК!AE$68)/Параметры!AE$126</f>
        <v>42736.027728946232</v>
      </c>
      <c r="AF93" s="82">
        <f>(Деятельность_УК!AF$68)/Параметры!AF$126</f>
        <v>42736.027728946232</v>
      </c>
      <c r="AG93" s="82">
        <f>(Деятельность_УК!AG$68)/Параметры!AG$126</f>
        <v>42736.027728946232</v>
      </c>
      <c r="AH93" s="82">
        <f>(Деятельность_УК!AH$68)/Параметры!AH$126</f>
        <v>42736.027728946232</v>
      </c>
      <c r="AI93" s="82">
        <f>(Деятельность_УК!AI$68)/Параметры!AI$126</f>
        <v>42736.027728946232</v>
      </c>
      <c r="AJ93" s="82">
        <f>(Деятельность_УК!AJ$68)/Параметры!AJ$126</f>
        <v>42736.027728946232</v>
      </c>
      <c r="AK93" s="82">
        <f>(Деятельность_УК!AK$68)/Параметры!AK$126</f>
        <v>42736.027728946232</v>
      </c>
      <c r="AL93" s="82">
        <f>(Деятельность_УК!AL$68)/Параметры!AL$126</f>
        <v>42736.027728946232</v>
      </c>
      <c r="AM93" s="82">
        <f>(Деятельность_УК!AM$68)/Параметры!AM$126</f>
        <v>42736.027728946232</v>
      </c>
      <c r="AN93" s="82">
        <f>(Деятельность_УК!AN$68)/Параметры!AN$126</f>
        <v>42736.027728946232</v>
      </c>
      <c r="AO93" s="82">
        <f>(Деятельность_УК!AO$68)/Параметры!AO$126</f>
        <v>42736.027728946232</v>
      </c>
      <c r="AP93" s="82">
        <f>(Деятельность_УК!AP$68)/Параметры!AP$126</f>
        <v>42736.027728946232</v>
      </c>
      <c r="AQ93" s="82">
        <f>(Деятельность_УК!AQ$68)/Параметры!AQ$126</f>
        <v>42736.027728946232</v>
      </c>
      <c r="AR93" s="82">
        <f>(Деятельность_УК!AR$68)/Параметры!AR$126</f>
        <v>42736.027728946232</v>
      </c>
    </row>
    <row r="94" spans="1:46" x14ac:dyDescent="0.2">
      <c r="A94" s="63" t="s">
        <v>852</v>
      </c>
      <c r="C94" s="12" t="str">
        <f>Параметры!$C$126</f>
        <v>тыс. руб.</v>
      </c>
      <c r="D94" s="40"/>
      <c r="E94" s="82">
        <f ca="1">(Деятельность_УК!E$489)/Параметры!E$126</f>
        <v>0</v>
      </c>
      <c r="F94" s="82">
        <f ca="1">(Деятельность_УК!F$489)/Параметры!F$126</f>
        <v>0</v>
      </c>
      <c r="G94" s="82">
        <f ca="1">(Деятельность_УК!G$489)/Параметры!G$126</f>
        <v>949098.59375</v>
      </c>
      <c r="H94" s="82">
        <f ca="1">(Деятельность_УК!H$489)/Параметры!H$126</f>
        <v>937084.6875</v>
      </c>
      <c r="I94" s="82">
        <f ca="1">(Деятельность_УК!I$489)/Параметры!I$126</f>
        <v>925070.78125</v>
      </c>
      <c r="J94" s="82">
        <f ca="1">(Деятельность_УК!J$489)/Параметры!J$126</f>
        <v>913056.875</v>
      </c>
      <c r="K94" s="82">
        <f ca="1">(Деятельность_УК!K$489)/Параметры!K$126</f>
        <v>901042.96875</v>
      </c>
      <c r="L94" s="82">
        <f ca="1">(Деятельность_УК!L$489)/Параметры!L$126</f>
        <v>1134348.4804287432</v>
      </c>
      <c r="M94" s="82">
        <f ca="1">(Деятельность_УК!M$489)/Параметры!M$126</f>
        <v>1573177.044213437</v>
      </c>
      <c r="N94" s="82">
        <f ca="1">(Деятельность_УК!N$489)/Параметры!N$126</f>
        <v>1552311.6544564606</v>
      </c>
      <c r="O94" s="82">
        <f ca="1">(Деятельность_УК!O$489)/Параметры!O$126</f>
        <v>1531446.2646994842</v>
      </c>
      <c r="P94" s="82">
        <f ca="1">(Деятельность_УК!P$489)/Параметры!P$126</f>
        <v>1818640.7447692563</v>
      </c>
      <c r="Q94" s="82">
        <f ca="1">(Деятельность_УК!Q$489)/Параметры!Q$126</f>
        <v>2076569.8279087942</v>
      </c>
      <c r="R94" s="82">
        <f ca="1">(Деятельность_УК!R$489)/Параметры!R$126</f>
        <v>2048226.5415094583</v>
      </c>
      <c r="S94" s="82">
        <f ca="1">(Деятельность_УК!S$489)/Параметры!S$126</f>
        <v>2019883.2551101225</v>
      </c>
      <c r="T94" s="82">
        <f ca="1">(Деятельность_УК!T$489)/Параметры!T$126</f>
        <v>1991539.9687107867</v>
      </c>
      <c r="U94" s="82">
        <f ca="1">(Деятельность_УК!U$489)/Параметры!U$126</f>
        <v>5361489.3797277212</v>
      </c>
      <c r="V94" s="82">
        <f ca="1">(Деятельность_УК!V$489)/Параметры!V$126</f>
        <v>5290129.7300699512</v>
      </c>
      <c r="W94" s="82">
        <f ca="1">(Деятельность_УК!W$489)/Параметры!W$126</f>
        <v>5218770.0804121811</v>
      </c>
      <c r="X94" s="82">
        <f ca="1">(Деятельность_УК!X$489)/Параметры!X$126</f>
        <v>5147410.430754411</v>
      </c>
      <c r="Y94" s="82">
        <f ca="1">(Деятельность_УК!Y$489)/Параметры!Y$126</f>
        <v>5076050.7810966419</v>
      </c>
      <c r="Z94" s="82">
        <f ca="1">(Деятельность_УК!Z$489)/Параметры!Z$126</f>
        <v>5004691.1314388718</v>
      </c>
      <c r="AA94" s="82">
        <f ca="1">(Деятельность_УК!AA$489)/Параметры!AA$126</f>
        <v>4933331.4817811018</v>
      </c>
      <c r="AB94" s="82">
        <f ca="1">(Деятельность_УК!AB$489)/Параметры!AB$126</f>
        <v>4861971.8321233317</v>
      </c>
      <c r="AC94" s="82">
        <f ca="1">(Деятельность_УК!AC$489)/Параметры!AC$126</f>
        <v>4790612.1824655626</v>
      </c>
      <c r="AD94" s="82">
        <f ca="1">(Деятельность_УК!AD$489)/Параметры!AD$126</f>
        <v>4719252.5328077925</v>
      </c>
      <c r="AE94" s="82">
        <f ca="1">(Деятельность_УК!AE$489)/Параметры!AE$126</f>
        <v>4647892.8831500225</v>
      </c>
      <c r="AF94" s="82">
        <f ca="1">(Деятельность_УК!AF$489)/Параметры!AF$126</f>
        <v>4576533.2334922524</v>
      </c>
      <c r="AG94" s="82">
        <f ca="1">(Деятельность_УК!AG$489)/Параметры!AG$126</f>
        <v>4505173.5838344824</v>
      </c>
      <c r="AH94" s="82">
        <f ca="1">(Деятельность_УК!AH$489)/Параметры!AH$126</f>
        <v>4433813.9341767132</v>
      </c>
      <c r="AI94" s="82">
        <f ca="1">(Деятельность_УК!AI$489)/Параметры!AI$126</f>
        <v>4362454.2845189432</v>
      </c>
      <c r="AJ94" s="82">
        <f ca="1">(Деятельность_УК!AJ$489)/Параметры!AJ$126</f>
        <v>4291094.6348611731</v>
      </c>
      <c r="AK94" s="82">
        <f ca="1">(Деятельность_УК!AK$489)/Параметры!AK$126</f>
        <v>4006999.8308545244</v>
      </c>
      <c r="AL94" s="82">
        <f ca="1">(Деятельность_УК!AL$489)/Параметры!AL$126</f>
        <v>3939218.5858159903</v>
      </c>
      <c r="AM94" s="82">
        <f ca="1">(Деятельность_УК!AM$489)/Параметры!AM$126</f>
        <v>3871437.3407774568</v>
      </c>
      <c r="AN94" s="82">
        <f ca="1">(Деятельность_УК!AN$489)/Параметры!AN$126</f>
        <v>3803656.0957389227</v>
      </c>
      <c r="AO94" s="82">
        <f ca="1">(Деятельность_УК!AO$489)/Параметры!AO$126</f>
        <v>1485651.2597183303</v>
      </c>
      <c r="AP94" s="82">
        <f ca="1">(Деятельность_УК!AP$489)/Параметры!AP$126</f>
        <v>1460886.3779382305</v>
      </c>
      <c r="AQ94" s="82">
        <f ca="1">(Деятельность_УК!AQ$489)/Параметры!AQ$126</f>
        <v>1436121.4961581307</v>
      </c>
      <c r="AR94" s="82">
        <f ca="1">(Деятельность_УК!AR$489)/Параметры!AR$126</f>
        <v>1411356.6143780309</v>
      </c>
    </row>
    <row r="95" spans="1:46" x14ac:dyDescent="0.2">
      <c r="A95" s="63" t="s">
        <v>158</v>
      </c>
      <c r="C95" s="12" t="str">
        <f>Параметры!$C$126</f>
        <v>тыс. руб.</v>
      </c>
      <c r="D95" s="40"/>
      <c r="E95" s="82">
        <f>(0)/Параметры!E$126</f>
        <v>0</v>
      </c>
      <c r="F95" s="82">
        <f>(0)/Параметры!F$126</f>
        <v>0</v>
      </c>
      <c r="G95" s="82">
        <f>(0)/Параметры!G$126</f>
        <v>0</v>
      </c>
      <c r="H95" s="82">
        <f>(0)/Параметры!H$126</f>
        <v>0</v>
      </c>
      <c r="I95" s="82">
        <f>(0)/Параметры!I$126</f>
        <v>0</v>
      </c>
      <c r="J95" s="82">
        <f>(0)/Параметры!J$126</f>
        <v>0</v>
      </c>
      <c r="K95" s="82">
        <f>(0)/Параметры!K$126</f>
        <v>0</v>
      </c>
      <c r="L95" s="82">
        <f>(0)/Параметры!L$126</f>
        <v>0</v>
      </c>
      <c r="M95" s="82">
        <f>(0)/Параметры!M$126</f>
        <v>0</v>
      </c>
      <c r="N95" s="82">
        <f>(0)/Параметры!N$126</f>
        <v>0</v>
      </c>
      <c r="O95" s="82">
        <f>(0)/Параметры!O$126</f>
        <v>0</v>
      </c>
      <c r="P95" s="82">
        <f>(0)/Параметры!P$126</f>
        <v>0</v>
      </c>
      <c r="Q95" s="82">
        <f>(0)/Параметры!Q$126</f>
        <v>0</v>
      </c>
      <c r="R95" s="82">
        <f>(0)/Параметры!R$126</f>
        <v>0</v>
      </c>
      <c r="S95" s="82">
        <f>(0)/Параметры!S$126</f>
        <v>0</v>
      </c>
      <c r="T95" s="82">
        <f>(0)/Параметры!T$126</f>
        <v>0</v>
      </c>
      <c r="U95" s="82">
        <f>(0)/Параметры!U$126</f>
        <v>0</v>
      </c>
      <c r="V95" s="82">
        <f>(0)/Параметры!V$126</f>
        <v>0</v>
      </c>
      <c r="W95" s="82">
        <f>(0)/Параметры!W$126</f>
        <v>0</v>
      </c>
      <c r="X95" s="82">
        <f>(0)/Параметры!X$126</f>
        <v>0</v>
      </c>
      <c r="Y95" s="82">
        <f>(0)/Параметры!Y$126</f>
        <v>0</v>
      </c>
      <c r="Z95" s="82">
        <f>(0)/Параметры!Z$126</f>
        <v>0</v>
      </c>
      <c r="AA95" s="82">
        <f>(0)/Параметры!AA$126</f>
        <v>0</v>
      </c>
      <c r="AB95" s="82">
        <f>(0)/Параметры!AB$126</f>
        <v>0</v>
      </c>
      <c r="AC95" s="82">
        <f>(0)/Параметры!AC$126</f>
        <v>0</v>
      </c>
      <c r="AD95" s="82">
        <f>(0)/Параметры!AD$126</f>
        <v>0</v>
      </c>
      <c r="AE95" s="82">
        <f>(0)/Параметры!AE$126</f>
        <v>0</v>
      </c>
      <c r="AF95" s="82">
        <f>(0)/Параметры!AF$126</f>
        <v>0</v>
      </c>
      <c r="AG95" s="82">
        <f>(0)/Параметры!AG$126</f>
        <v>0</v>
      </c>
      <c r="AH95" s="82">
        <f>(0)/Параметры!AH$126</f>
        <v>0</v>
      </c>
      <c r="AI95" s="82">
        <f>(0)/Параметры!AI$126</f>
        <v>0</v>
      </c>
      <c r="AJ95" s="82">
        <f>(0)/Параметры!AJ$126</f>
        <v>0</v>
      </c>
      <c r="AK95" s="82">
        <f>(0)/Параметры!AK$126</f>
        <v>0</v>
      </c>
      <c r="AL95" s="82">
        <f>(0)/Параметры!AL$126</f>
        <v>0</v>
      </c>
      <c r="AM95" s="82">
        <f>(0)/Параметры!AM$126</f>
        <v>0</v>
      </c>
      <c r="AN95" s="82">
        <f>(0)/Параметры!AN$126</f>
        <v>0</v>
      </c>
      <c r="AO95" s="82">
        <f>(0)/Параметры!AO$126</f>
        <v>0</v>
      </c>
      <c r="AP95" s="82">
        <f>(0)/Параметры!AP$126</f>
        <v>0</v>
      </c>
      <c r="AQ95" s="82">
        <f>(0)/Параметры!AQ$126</f>
        <v>0</v>
      </c>
      <c r="AR95" s="82">
        <f>(0)/Параметры!AR$126</f>
        <v>0</v>
      </c>
    </row>
    <row r="96" spans="1:46" x14ac:dyDescent="0.2">
      <c r="A96" s="63" t="s">
        <v>247</v>
      </c>
      <c r="C96" s="12" t="str">
        <f>Параметры!$C$126</f>
        <v>тыс. руб.</v>
      </c>
      <c r="D96" s="40"/>
      <c r="E96" s="82">
        <f ca="1">(Деятельность_УК!E$484+0*(100%))/Параметры!E$126</f>
        <v>731517.70833333337</v>
      </c>
      <c r="F96" s="82">
        <f ca="1">(Деятельность_УК!F$484+0*(100%))/Параметры!F$126</f>
        <v>1003845.8333333334</v>
      </c>
      <c r="G96" s="82">
        <f ca="1">(Деятельность_УК!G$484+0*(100%))/Параметры!G$126</f>
        <v>96150</v>
      </c>
      <c r="H96" s="82">
        <f ca="1">(Деятельность_УК!H$484+0*(100%))/Параметры!H$126</f>
        <v>155976.66666666669</v>
      </c>
      <c r="I96" s="82">
        <f ca="1">(Деятельность_УК!I$484+0*(100%))/Параметры!I$126</f>
        <v>231616.66666666669</v>
      </c>
      <c r="J96" s="82">
        <f ca="1">(Деятельность_УК!J$484+0*(100%))/Параметры!J$126</f>
        <v>390945.89841059531</v>
      </c>
      <c r="K96" s="82">
        <f ca="1">(Деятельность_УК!K$484+0*(100%))/Параметры!K$126</f>
        <v>600127.3041268083</v>
      </c>
      <c r="L96" s="82">
        <f ca="1">(Деятельность_УК!L$484+0*(100%))/Параметры!L$126</f>
        <v>459693.95354167023</v>
      </c>
      <c r="M96" s="82">
        <f ca="1">(Деятельность_УК!M$484+0*(100%))/Параметры!M$126</f>
        <v>223877.01022611978</v>
      </c>
      <c r="N96" s="82">
        <f ca="1">(Деятельность_УК!N$484+0*(100%))/Параметры!N$126</f>
        <v>674504.52106848895</v>
      </c>
      <c r="O96" s="82">
        <f ca="1">(Деятельность_УК!O$484+0*(100%))/Параметры!O$126</f>
        <v>1328722.3418399487</v>
      </c>
      <c r="P96" s="82">
        <f ca="1">(Деятельность_УК!P$484+0*(100%))/Параметры!P$126</f>
        <v>1385886.1306457904</v>
      </c>
      <c r="Q96" s="82">
        <f ca="1">(Деятельность_УК!Q$484+0*(100%))/Параметры!Q$126</f>
        <v>1442473.1439065603</v>
      </c>
      <c r="R96" s="82">
        <f ca="1">(Деятельность_УК!R$484+0*(100%))/Параметры!R$126</f>
        <v>2197486.9604828875</v>
      </c>
      <c r="S96" s="82">
        <f ca="1">(Деятельность_УК!S$484+0*(100%))/Параметры!S$126</f>
        <v>3023371.835653394</v>
      </c>
      <c r="T96" s="82">
        <f ca="1">(Деятельность_УК!T$484+0*(100%))/Параметры!T$126</f>
        <v>3441309.0606747051</v>
      </c>
      <c r="U96" s="82">
        <f ca="1">(Деятельность_УК!U$484+0*(100%))/Параметры!U$126</f>
        <v>9.3132257461547852E-10</v>
      </c>
      <c r="V96" s="82">
        <f ca="1">(Деятельность_УК!V$484+0*(100%))/Параметры!V$126</f>
        <v>9.3132257461547852E-10</v>
      </c>
      <c r="W96" s="82">
        <f ca="1">(Деятельность_УК!W$484+0*(100%))/Параметры!W$126</f>
        <v>9.3132257461547852E-10</v>
      </c>
      <c r="X96" s="82">
        <f ca="1">(Деятельность_УК!X$484+0*(100%))/Параметры!X$126</f>
        <v>9.3132257461547852E-10</v>
      </c>
      <c r="Y96" s="82">
        <f ca="1">(Деятельность_УК!Y$484+0*(100%))/Параметры!Y$126</f>
        <v>9.3132257461547852E-10</v>
      </c>
      <c r="Z96" s="82">
        <f ca="1">(Деятельность_УК!Z$484+0*(100%))/Параметры!Z$126</f>
        <v>9.3132257461547852E-10</v>
      </c>
      <c r="AA96" s="82">
        <f ca="1">(Деятельность_УК!AA$484+0*(100%))/Параметры!AA$126</f>
        <v>9.3132257461547852E-10</v>
      </c>
      <c r="AB96" s="82">
        <f ca="1">(Деятельность_УК!AB$484+0*(100%))/Параметры!AB$126</f>
        <v>9.3132257461547852E-10</v>
      </c>
      <c r="AC96" s="82">
        <f ca="1">(Деятельность_УК!AC$484+0*(100%))/Параметры!AC$126</f>
        <v>9.3132257461547852E-10</v>
      </c>
      <c r="AD96" s="82">
        <f ca="1">(Деятельность_УК!AD$484+0*(100%))/Параметры!AD$126</f>
        <v>9.3132257461547852E-10</v>
      </c>
      <c r="AE96" s="82">
        <f ca="1">(Деятельность_УК!AE$484+0*(100%))/Параметры!AE$126</f>
        <v>9.3132257461547852E-10</v>
      </c>
      <c r="AF96" s="82">
        <f ca="1">(Деятельность_УК!AF$484+0*(100%))/Параметры!AF$126</f>
        <v>9.3132257461547852E-10</v>
      </c>
      <c r="AG96" s="82">
        <f ca="1">(Деятельность_УК!AG$484+0*(100%))/Параметры!AG$126</f>
        <v>9.3132257461547852E-10</v>
      </c>
      <c r="AH96" s="82">
        <f ca="1">(Деятельность_УК!AH$484+0*(100%))/Параметры!AH$126</f>
        <v>9.3132257461547852E-10</v>
      </c>
      <c r="AI96" s="82">
        <f ca="1">(Деятельность_УК!AI$484+0*(100%))/Параметры!AI$126</f>
        <v>9.3132257461547852E-10</v>
      </c>
      <c r="AJ96" s="82">
        <f ca="1">(Деятельность_УК!AJ$484+0*(100%))/Параметры!AJ$126</f>
        <v>9.3132257461547852E-10</v>
      </c>
      <c r="AK96" s="82">
        <f ca="1">(Деятельность_УК!AK$484+0*(100%))/Параметры!AK$126</f>
        <v>9.3132257461547852E-10</v>
      </c>
      <c r="AL96" s="82">
        <f ca="1">(Деятельность_УК!AL$484+0*(100%))/Параметры!AL$126</f>
        <v>9.3132257461547852E-10</v>
      </c>
      <c r="AM96" s="82">
        <f ca="1">(Деятельность_УК!AM$484+0*(100%))/Параметры!AM$126</f>
        <v>9.3132257461547852E-10</v>
      </c>
      <c r="AN96" s="82">
        <f ca="1">(Деятельность_УК!AN$484+0*(100%))/Параметры!AN$126</f>
        <v>9.3132257461547852E-10</v>
      </c>
      <c r="AO96" s="82">
        <f ca="1">(Деятельность_УК!AO$484+0*(100%))/Параметры!AO$126</f>
        <v>9.3132257461547852E-10</v>
      </c>
      <c r="AP96" s="82">
        <f ca="1">(Деятельность_УК!AP$484+0*(100%))/Параметры!AP$126</f>
        <v>9.3132257461547852E-10</v>
      </c>
      <c r="AQ96" s="82">
        <f ca="1">(Деятельность_УК!AQ$484+0*(100%))/Параметры!AQ$126</f>
        <v>9.3132257461547852E-10</v>
      </c>
      <c r="AR96" s="82">
        <f ca="1">(Деятельность_УК!AR$484+0*(100%))/Параметры!AR$126</f>
        <v>9.3132257461547852E-10</v>
      </c>
    </row>
    <row r="97" spans="1:44" x14ac:dyDescent="0.2">
      <c r="A97" s="76" t="s">
        <v>116</v>
      </c>
      <c r="B97" s="166"/>
      <c r="C97" s="13" t="str">
        <f>Параметры!$C$126</f>
        <v>тыс. руб.</v>
      </c>
      <c r="D97" s="78"/>
      <c r="E97" s="167">
        <f t="shared" ref="E97:AR97" ca="1" si="27">SUM(E93:E96)</f>
        <v>774253.73606227955</v>
      </c>
      <c r="F97" s="167">
        <f t="shared" ca="1" si="27"/>
        <v>1046581.8610622796</v>
      </c>
      <c r="G97" s="167">
        <f t="shared" ca="1" si="27"/>
        <v>1087984.6214789462</v>
      </c>
      <c r="H97" s="167">
        <f t="shared" ca="1" si="27"/>
        <v>1135797.3818956129</v>
      </c>
      <c r="I97" s="167">
        <f t="shared" ca="1" si="27"/>
        <v>1199423.4756456129</v>
      </c>
      <c r="J97" s="167">
        <f t="shared" ca="1" si="27"/>
        <v>1346738.8011395414</v>
      </c>
      <c r="K97" s="167">
        <f t="shared" ca="1" si="27"/>
        <v>1543906.3006057544</v>
      </c>
      <c r="L97" s="167">
        <f t="shared" ca="1" si="27"/>
        <v>1636778.4616993596</v>
      </c>
      <c r="M97" s="167">
        <f t="shared" ca="1" si="27"/>
        <v>1839790.082168503</v>
      </c>
      <c r="N97" s="167">
        <f t="shared" ca="1" si="27"/>
        <v>2269552.203253896</v>
      </c>
      <c r="O97" s="167">
        <f t="shared" ca="1" si="27"/>
        <v>2902904.6342683788</v>
      </c>
      <c r="P97" s="167">
        <f t="shared" ca="1" si="27"/>
        <v>3247262.9031439926</v>
      </c>
      <c r="Q97" s="167">
        <f t="shared" ca="1" si="27"/>
        <v>3561778.9995443006</v>
      </c>
      <c r="R97" s="167">
        <f t="shared" ca="1" si="27"/>
        <v>4288449.5297212917</v>
      </c>
      <c r="S97" s="167">
        <f t="shared" ca="1" si="27"/>
        <v>5085991.1184924627</v>
      </c>
      <c r="T97" s="167">
        <f t="shared" ca="1" si="27"/>
        <v>5475585.0571144382</v>
      </c>
      <c r="U97" s="167">
        <f t="shared" ca="1" si="27"/>
        <v>5404225.4074566681</v>
      </c>
      <c r="V97" s="167">
        <f t="shared" ca="1" si="27"/>
        <v>5332865.757798898</v>
      </c>
      <c r="W97" s="167">
        <f t="shared" ca="1" si="27"/>
        <v>5261506.108141128</v>
      </c>
      <c r="X97" s="167">
        <f t="shared" ca="1" si="27"/>
        <v>5190146.4584833579</v>
      </c>
      <c r="Y97" s="167">
        <f t="shared" ca="1" si="27"/>
        <v>5118786.8088255888</v>
      </c>
      <c r="Z97" s="167">
        <f t="shared" ca="1" si="27"/>
        <v>5047427.1591678187</v>
      </c>
      <c r="AA97" s="167">
        <f t="shared" ca="1" si="27"/>
        <v>4976067.5095100487</v>
      </c>
      <c r="AB97" s="167">
        <f t="shared" ca="1" si="27"/>
        <v>4904707.8598522786</v>
      </c>
      <c r="AC97" s="167">
        <f t="shared" ca="1" si="27"/>
        <v>4833348.2101945095</v>
      </c>
      <c r="AD97" s="167">
        <f t="shared" ca="1" si="27"/>
        <v>4761988.5605367394</v>
      </c>
      <c r="AE97" s="167">
        <f t="shared" ca="1" si="27"/>
        <v>4690628.9108789694</v>
      </c>
      <c r="AF97" s="167">
        <f t="shared" ca="1" si="27"/>
        <v>4619269.2612211993</v>
      </c>
      <c r="AG97" s="167">
        <f t="shared" ca="1" si="27"/>
        <v>4547909.6115634292</v>
      </c>
      <c r="AH97" s="167">
        <f t="shared" ca="1" si="27"/>
        <v>4476549.9619056601</v>
      </c>
      <c r="AI97" s="167">
        <f t="shared" ca="1" si="27"/>
        <v>4405190.31224789</v>
      </c>
      <c r="AJ97" s="167">
        <f t="shared" ca="1" si="27"/>
        <v>4333830.66259012</v>
      </c>
      <c r="AK97" s="167">
        <f t="shared" ca="1" si="27"/>
        <v>4049735.8585834717</v>
      </c>
      <c r="AL97" s="167">
        <f t="shared" ca="1" si="27"/>
        <v>3981954.6135449377</v>
      </c>
      <c r="AM97" s="167">
        <f t="shared" ca="1" si="27"/>
        <v>3914173.3685064041</v>
      </c>
      <c r="AN97" s="167">
        <f t="shared" ca="1" si="27"/>
        <v>3846392.1234678701</v>
      </c>
      <c r="AO97" s="167">
        <f t="shared" ca="1" si="27"/>
        <v>1528387.2874472775</v>
      </c>
      <c r="AP97" s="167">
        <f t="shared" ca="1" si="27"/>
        <v>1503622.4056671776</v>
      </c>
      <c r="AQ97" s="167">
        <f t="shared" ca="1" si="27"/>
        <v>1478857.5238870778</v>
      </c>
      <c r="AR97" s="167">
        <f t="shared" ca="1" si="27"/>
        <v>1454092.642106978</v>
      </c>
    </row>
    <row r="98" spans="1:44" x14ac:dyDescent="0.2">
      <c r="A98" s="44"/>
      <c r="D98" s="40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</row>
    <row r="99" spans="1:44" x14ac:dyDescent="0.2">
      <c r="A99" s="80" t="s">
        <v>117</v>
      </c>
      <c r="B99" s="170"/>
      <c r="C99" s="14" t="str">
        <f>Параметры!$C$126</f>
        <v>тыс. руб.</v>
      </c>
      <c r="D99" s="47"/>
      <c r="E99" s="171">
        <f t="shared" ref="E99:AR99" ca="1" si="28">E91+E97</f>
        <v>926173.37189561292</v>
      </c>
      <c r="F99" s="171">
        <f t="shared" ca="1" si="28"/>
        <v>1260543.9785622796</v>
      </c>
      <c r="G99" s="171">
        <f t="shared" ca="1" si="28"/>
        <v>1323887.7025456522</v>
      </c>
      <c r="H99" s="171">
        <f t="shared" ca="1" si="28"/>
        <v>1393381.9569623866</v>
      </c>
      <c r="I99" s="171">
        <f t="shared" ca="1" si="28"/>
        <v>1484028.0370861499</v>
      </c>
      <c r="J99" s="171">
        <f t="shared" ca="1" si="28"/>
        <v>1675958.1378983823</v>
      </c>
      <c r="K99" s="171">
        <f t="shared" ca="1" si="28"/>
        <v>1928849.9988715975</v>
      </c>
      <c r="L99" s="171">
        <f t="shared" ca="1" si="28"/>
        <v>2057805.4445008682</v>
      </c>
      <c r="M99" s="171">
        <f t="shared" ca="1" si="28"/>
        <v>2320765.2392201098</v>
      </c>
      <c r="N99" s="171">
        <f t="shared" ca="1" si="28"/>
        <v>2858149.8355089012</v>
      </c>
      <c r="O99" s="171">
        <f t="shared" ca="1" si="28"/>
        <v>3643446.3107631085</v>
      </c>
      <c r="P99" s="171">
        <f t="shared" ca="1" si="28"/>
        <v>4084757.3658864056</v>
      </c>
      <c r="Q99" s="171">
        <f t="shared" ca="1" si="28"/>
        <v>4522591.2721076086</v>
      </c>
      <c r="R99" s="171">
        <f t="shared" ca="1" si="28"/>
        <v>5459073.9232334439</v>
      </c>
      <c r="S99" s="171">
        <f t="shared" ca="1" si="28"/>
        <v>6485134.0447401181</v>
      </c>
      <c r="T99" s="171">
        <f t="shared" ca="1" si="28"/>
        <v>7023874.306346871</v>
      </c>
      <c r="U99" s="171">
        <f t="shared" ca="1" si="28"/>
        <v>6994596.0731244143</v>
      </c>
      <c r="V99" s="171">
        <f t="shared" ca="1" si="28"/>
        <v>6973575.2167915106</v>
      </c>
      <c r="W99" s="171">
        <f t="shared" ca="1" si="28"/>
        <v>7028027.0730814226</v>
      </c>
      <c r="X99" s="171">
        <f t="shared" ca="1" si="28"/>
        <v>7018361.4986355323</v>
      </c>
      <c r="Y99" s="171">
        <f t="shared" ca="1" si="28"/>
        <v>7011533.8940491732</v>
      </c>
      <c r="Z99" s="171">
        <f t="shared" ca="1" si="28"/>
        <v>7024093.5526616629</v>
      </c>
      <c r="AA99" s="171">
        <f t="shared" ca="1" si="28"/>
        <v>7022750.3990565222</v>
      </c>
      <c r="AB99" s="171">
        <f t="shared" ca="1" si="28"/>
        <v>6981839.4272616468</v>
      </c>
      <c r="AC99" s="171">
        <f t="shared" ca="1" si="28"/>
        <v>6943579.2385393176</v>
      </c>
      <c r="AD99" s="171">
        <f t="shared" ca="1" si="28"/>
        <v>6899406.6733654998</v>
      </c>
      <c r="AE99" s="171">
        <f t="shared" ca="1" si="28"/>
        <v>6850875.3879509615</v>
      </c>
      <c r="AF99" s="171">
        <f t="shared" ca="1" si="28"/>
        <v>6803627.4873780673</v>
      </c>
      <c r="AG99" s="171">
        <f t="shared" ca="1" si="28"/>
        <v>6759738.4040799672</v>
      </c>
      <c r="AH99" s="171">
        <f t="shared" ca="1" si="28"/>
        <v>6691005.0421509352</v>
      </c>
      <c r="AI99" s="171">
        <f t="shared" ca="1" si="28"/>
        <v>6623348.9435655475</v>
      </c>
      <c r="AJ99" s="171">
        <f t="shared" ca="1" si="28"/>
        <v>6556764.5476921201</v>
      </c>
      <c r="AK99" s="171">
        <f t="shared" ca="1" si="28"/>
        <v>6677974.4978635637</v>
      </c>
      <c r="AL99" s="171">
        <f t="shared" ca="1" si="28"/>
        <v>6570141.6928933766</v>
      </c>
      <c r="AM99" s="171">
        <f t="shared" ca="1" si="28"/>
        <v>6536520.380224308</v>
      </c>
      <c r="AN99" s="171">
        <f t="shared" ca="1" si="28"/>
        <v>6440670.2646149285</v>
      </c>
      <c r="AO99" s="171">
        <f t="shared" ca="1" si="28"/>
        <v>11822672.992453204</v>
      </c>
      <c r="AP99" s="171">
        <f t="shared" ca="1" si="28"/>
        <v>9799788.1166330446</v>
      </c>
      <c r="AQ99" s="171">
        <f t="shared" ca="1" si="28"/>
        <v>9861835.6399512906</v>
      </c>
      <c r="AR99" s="171">
        <f t="shared" ca="1" si="28"/>
        <v>9921890.1790042985</v>
      </c>
    </row>
    <row r="100" spans="1:44" x14ac:dyDescent="0.2">
      <c r="A100" s="44"/>
      <c r="D100" s="40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</row>
    <row r="101" spans="1:44" x14ac:dyDescent="0.2">
      <c r="A101" s="63" t="s">
        <v>270</v>
      </c>
      <c r="C101" s="12" t="str">
        <f>Параметры!$C$126</f>
        <v>тыс. руб.</v>
      </c>
      <c r="D101" s="40"/>
      <c r="E101" s="82">
        <f ca="1">Деятельность_УК!E$371/Параметры!E$126</f>
        <v>1416.8699124915588</v>
      </c>
      <c r="F101" s="82">
        <f ca="1">Деятельность_УК!F$371/Параметры!F$126</f>
        <v>1416.8699124915588</v>
      </c>
      <c r="G101" s="82">
        <f ca="1">Деятельность_УК!G$371/Параметры!G$126</f>
        <v>4026.8910453040585</v>
      </c>
      <c r="H101" s="82">
        <f ca="1">Деятельность_УК!H$371/Параметры!H$126</f>
        <v>6727.7822099290588</v>
      </c>
      <c r="I101" s="82">
        <f ca="1">Деятельность_УК!I$371/Параметры!I$126</f>
        <v>1540.7781864915587</v>
      </c>
      <c r="J101" s="82">
        <f ca="1">Деятельность_УК!J$371/Параметры!J$126</f>
        <v>1544.4646668561397</v>
      </c>
      <c r="K101" s="82">
        <f ca="1">Деятельность_УК!K$371/Параметры!K$126</f>
        <v>1841.2787405202012</v>
      </c>
      <c r="L101" s="82">
        <f ca="1">Деятельность_УК!L$371/Параметры!L$126</f>
        <v>1849.7792818109538</v>
      </c>
      <c r="M101" s="82">
        <f ca="1">Деятельность_УК!M$371/Параметры!M$126</f>
        <v>1858.4160029627105</v>
      </c>
      <c r="N101" s="82">
        <f ca="1">Деятельность_УК!N$371/Параметры!N$126</f>
        <v>1867.6510499368515</v>
      </c>
      <c r="O101" s="82">
        <f ca="1">Деятельность_УК!O$371/Параметры!O$126</f>
        <v>1877.0417985944218</v>
      </c>
      <c r="P101" s="82">
        <f ca="1">Деятельность_УК!P$371/Параметры!P$126</f>
        <v>1966.3053095371158</v>
      </c>
      <c r="Q101" s="82">
        <f ca="1">Деятельность_УК!Q$371/Параметры!Q$126</f>
        <v>1977.3593561010484</v>
      </c>
      <c r="R101" s="82">
        <f ca="1">Деятельность_УК!R$371/Параметры!R$126</f>
        <v>1988.4580740781412</v>
      </c>
      <c r="S101" s="82">
        <f ca="1">Деятельность_УК!S$371/Параметры!S$126</f>
        <v>1999.7415560882773</v>
      </c>
      <c r="T101" s="82">
        <f ca="1">Деятельность_УК!T$371/Параметры!T$126</f>
        <v>2011.2128779594912</v>
      </c>
      <c r="U101" s="82">
        <f ca="1">Деятельность_УК!U$371/Параметры!U$126</f>
        <v>2022.8751667241459</v>
      </c>
      <c r="V101" s="82">
        <f ca="1">Деятельность_УК!V$371/Параметры!V$126</f>
        <v>2034.9557349423635</v>
      </c>
      <c r="W101" s="82">
        <f ca="1">Деятельность_УК!W$371/Параметры!W$126</f>
        <v>2047.2412141386721</v>
      </c>
      <c r="X101" s="82">
        <f ca="1">Деятельность_УК!X$371/Параметры!X$126</f>
        <v>2059.7350800195272</v>
      </c>
      <c r="Y101" s="82">
        <f ca="1">Деятельность_УК!Y$371/Параметры!Y$126</f>
        <v>2072.4408672464265</v>
      </c>
      <c r="Z101" s="82">
        <f ca="1">Деятельность_УК!Z$371/Параметры!Z$126</f>
        <v>2085.2034213414345</v>
      </c>
      <c r="AA101" s="82">
        <f ca="1">Деятельность_УК!AA$371/Параметры!AA$126</f>
        <v>2098.1797946554684</v>
      </c>
      <c r="AB101" s="82">
        <f ca="1">Деятельность_УК!AB$371/Параметры!AB$126</f>
        <v>2111.3735694384513</v>
      </c>
      <c r="AC101" s="82">
        <f ca="1">Деятельность_УК!AC$371/Параметры!AC$126</f>
        <v>10349.522198865041</v>
      </c>
      <c r="AD101" s="82">
        <f ca="1">Деятельность_УК!AD$371/Параметры!AD$126</f>
        <v>17058.947085674117</v>
      </c>
      <c r="AE101" s="82">
        <f ca="1">Деятельность_УК!AE$371/Параметры!AE$126</f>
        <v>18151.251909529292</v>
      </c>
      <c r="AF101" s="82">
        <f ca="1">Деятельность_УК!AF$371/Параметры!AF$126</f>
        <v>19263.350578519228</v>
      </c>
      <c r="AG101" s="82">
        <f ca="1">Деятельность_УК!AG$371/Параметры!AG$126</f>
        <v>46255.169888078875</v>
      </c>
      <c r="AH101" s="82">
        <f ca="1">Деятельность_УК!AH$371/Параметры!AH$126</f>
        <v>47345.0710327692</v>
      </c>
      <c r="AI101" s="82">
        <f ca="1">Деятельность_УК!AI$371/Параметры!AI$126</f>
        <v>48460.200374504471</v>
      </c>
      <c r="AJ101" s="82">
        <f ca="1">Деятельность_УК!AJ$371/Параметры!AJ$126</f>
        <v>49601.052807964632</v>
      </c>
      <c r="AK101" s="82">
        <f ca="1">Деятельность_УК!AK$371/Параметры!AK$126</f>
        <v>87645.829008166344</v>
      </c>
      <c r="AL101" s="82">
        <f ca="1">Деятельность_УК!AL$371/Параметры!AL$126</f>
        <v>49734.538547976481</v>
      </c>
      <c r="AM101" s="82">
        <f ca="1">Деятельность_УК!AM$371/Параметры!AM$126</f>
        <v>50842.81075028576</v>
      </c>
      <c r="AN101" s="82">
        <f ca="1">Деятельность_УК!AN$371/Параметры!AN$126</f>
        <v>51885.746395755203</v>
      </c>
      <c r="AO101" s="82">
        <f ca="1">Деятельность_УК!AO$371/Параметры!AO$126</f>
        <v>2120875.4110194501</v>
      </c>
      <c r="AP101" s="82">
        <f ca="1">Деятельность_УК!AP$371/Параметры!AP$126</f>
        <v>45877.849749106033</v>
      </c>
      <c r="AQ101" s="82">
        <f ca="1">Деятельность_УК!AQ$371/Параметры!AQ$126</f>
        <v>49119.20787707634</v>
      </c>
      <c r="AR101" s="82">
        <f ca="1">Деятельность_УК!AR$371/Параметры!AR$126</f>
        <v>49465.707261161857</v>
      </c>
    </row>
    <row r="102" spans="1:44" x14ac:dyDescent="0.2">
      <c r="A102" s="63" t="s">
        <v>250</v>
      </c>
      <c r="C102" s="12" t="str">
        <f>Параметры!$C$126</f>
        <v>тыс. руб.</v>
      </c>
      <c r="D102" s="40"/>
      <c r="E102" s="82">
        <f>Деятельность_УК!E$365/Параметры!E$126</f>
        <v>173.54100000000003</v>
      </c>
      <c r="F102" s="82">
        <f ca="1">Деятельность_УК!F$365/Параметры!F$126</f>
        <v>173.54100000000003</v>
      </c>
      <c r="G102" s="82">
        <f ca="1">Деятельность_УК!G$365/Параметры!G$126</f>
        <v>173.54100000000003</v>
      </c>
      <c r="H102" s="82">
        <f ca="1">Деятельность_УК!H$365/Параметры!H$126</f>
        <v>376.00549999999993</v>
      </c>
      <c r="I102" s="82">
        <f ca="1">Деятельность_УК!I$365/Параметры!I$126</f>
        <v>376.00549999999993</v>
      </c>
      <c r="J102" s="82">
        <f ca="1">Деятельность_УК!J$365/Параметры!J$126</f>
        <v>382.02916072643973</v>
      </c>
      <c r="K102" s="82">
        <f ca="1">Деятельность_УК!K$365/Параметры!K$126</f>
        <v>867.01947717098426</v>
      </c>
      <c r="L102" s="82">
        <f ca="1">Деятельность_УК!L$365/Параметры!L$126</f>
        <v>880.90925052188754</v>
      </c>
      <c r="M102" s="82">
        <f ca="1">Деятельность_УК!M$365/Параметры!M$126</f>
        <v>895.02153998554195</v>
      </c>
      <c r="N102" s="82">
        <f ca="1">Деятельность_УК!N$365/Параметры!N$126</f>
        <v>910.11148602172034</v>
      </c>
      <c r="O102" s="82">
        <f ca="1">Деятельность_УК!O$365/Параметры!O$126</f>
        <v>925.45584657330608</v>
      </c>
      <c r="P102" s="82">
        <f ca="1">Деятельность_УК!P$365/Параметры!P$126</f>
        <v>1071.3112566103873</v>
      </c>
      <c r="Q102" s="82">
        <f ca="1">Деятельность_УК!Q$365/Параметры!Q$126</f>
        <v>1089.3734241985128</v>
      </c>
      <c r="R102" s="82">
        <f ca="1">Деятельность_УК!R$365/Параметры!R$126</f>
        <v>1107.5085842918015</v>
      </c>
      <c r="S102" s="82">
        <f ca="1">Деятельность_УК!S$365/Параметры!S$126</f>
        <v>1125.945646399867</v>
      </c>
      <c r="T102" s="82">
        <f ca="1">Деятельность_УК!T$365/Параметры!T$126</f>
        <v>1144.6896363855105</v>
      </c>
      <c r="U102" s="82">
        <f ca="1">Деятельность_УК!U$365/Параметры!U$126</f>
        <v>1163.745663778737</v>
      </c>
      <c r="V102" s="82">
        <f ca="1">Деятельность_УК!V$365/Параметры!V$126</f>
        <v>1183.48515433138</v>
      </c>
      <c r="W102" s="82">
        <f ca="1">Деятельность_УК!W$365/Параметры!W$126</f>
        <v>1203.5594667436492</v>
      </c>
      <c r="X102" s="82">
        <f ca="1">Деятельность_УК!X$365/Параметры!X$126</f>
        <v>1223.9742802744579</v>
      </c>
      <c r="Y102" s="82">
        <f ca="1">Деятельность_УК!Y$365/Параметры!Y$126</f>
        <v>1244.7353705144899</v>
      </c>
      <c r="Z102" s="82">
        <f ca="1">Деятельность_УК!Z$365/Параметры!Z$126</f>
        <v>1265.5892170749607</v>
      </c>
      <c r="AA102" s="82">
        <f ca="1">Деятельность_УК!AA$365/Параметры!AA$126</f>
        <v>1286.7924414442971</v>
      </c>
      <c r="AB102" s="82">
        <f ca="1">Деятельность_УК!AB$365/Параметры!AB$126</f>
        <v>1308.3508969720465</v>
      </c>
      <c r="AC102" s="82">
        <f ca="1">Деятельность_УК!AC$365/Параметры!AC$126</f>
        <v>1330.270535072659</v>
      </c>
      <c r="AD102" s="82">
        <f ca="1">Деятельность_УК!AD$365/Параметры!AD$126</f>
        <v>1352.3393422762726</v>
      </c>
      <c r="AE102" s="82">
        <f ca="1">Деятельность_УК!AE$365/Параметры!AE$126</f>
        <v>1374.7742646711572</v>
      </c>
      <c r="AF102" s="82">
        <f ca="1">Деятельность_УК!AF$365/Параметры!AF$126</f>
        <v>1397.5813760034853</v>
      </c>
      <c r="AG102" s="82">
        <f ca="1">Деятельность_УК!AG$365/Параметры!AG$126</f>
        <v>1420.7668507811384</v>
      </c>
      <c r="AH102" s="82">
        <f ca="1">Деятельность_УК!AH$365/Параметры!AH$126</f>
        <v>1444.2429395558297</v>
      </c>
      <c r="AI102" s="82">
        <f ca="1">Деятельность_УК!AI$365/Параметры!AI$126</f>
        <v>1468.1069362718238</v>
      </c>
      <c r="AJ102" s="82">
        <f ca="1">Деятельность_УК!AJ$365/Параметры!AJ$126</f>
        <v>1492.3652505390155</v>
      </c>
      <c r="AK102" s="82">
        <f ca="1">Деятельность_УК!AK$365/Параметры!AK$126</f>
        <v>1517.0243978767062</v>
      </c>
      <c r="AL102" s="82">
        <f ca="1">Деятельность_УК!AL$365/Параметры!AL$126</f>
        <v>1541.8829396415813</v>
      </c>
      <c r="AM102" s="82">
        <f ca="1">Деятельность_УК!AM$365/Параметры!AM$126</f>
        <v>1567.1488229756101</v>
      </c>
      <c r="AN102" s="82">
        <f ca="1">Деятельность_УК!AN$365/Параметры!AN$126</f>
        <v>1592.8287227334783</v>
      </c>
      <c r="AO102" s="82">
        <f ca="1">Деятельность_УК!AO$365/Параметры!AO$126</f>
        <v>1618.9294231465915</v>
      </c>
      <c r="AP102" s="82">
        <f ca="1">Деятельность_УК!AP$365/Параметры!AP$126</f>
        <v>1645.2455738238682</v>
      </c>
      <c r="AQ102" s="82">
        <f ca="1">Деятельность_УК!AQ$365/Параметры!AQ$126</f>
        <v>1671.9895008924866</v>
      </c>
      <c r="AR102" s="82">
        <f ca="1">Деятельность_УК!AR$365/Параметры!AR$126</f>
        <v>1699.1681579773597</v>
      </c>
    </row>
    <row r="103" spans="1:44" x14ac:dyDescent="0.2">
      <c r="A103" s="63" t="s">
        <v>251</v>
      </c>
      <c r="C103" s="12" t="str">
        <f>Параметры!$C$126</f>
        <v>тыс. руб.</v>
      </c>
      <c r="D103" s="40"/>
      <c r="E103" s="82">
        <f>(Деятельность_УК!E$335)/Параметры!E$126</f>
        <v>0</v>
      </c>
      <c r="F103" s="82">
        <f>(Деятельность_УК!F$335)/Параметры!F$126</f>
        <v>0</v>
      </c>
      <c r="G103" s="82">
        <f>(Деятельность_УК!G$335)/Параметры!G$126</f>
        <v>0</v>
      </c>
      <c r="H103" s="82">
        <f>(Деятельность_УК!H$335)/Параметры!H$126</f>
        <v>0</v>
      </c>
      <c r="I103" s="82">
        <f>(Деятельность_УК!I$335)/Параметры!I$126</f>
        <v>0</v>
      </c>
      <c r="J103" s="82">
        <f>(Деятельность_УК!J$335)/Параметры!J$126</f>
        <v>0</v>
      </c>
      <c r="K103" s="82">
        <f>(Деятельность_УК!K$335)/Параметры!K$126</f>
        <v>0</v>
      </c>
      <c r="L103" s="82">
        <f>(Деятельность_УК!L$335)/Параметры!L$126</f>
        <v>0</v>
      </c>
      <c r="M103" s="82">
        <f>(Деятельность_УК!M$335)/Параметры!M$126</f>
        <v>0</v>
      </c>
      <c r="N103" s="82">
        <f>(Деятельность_УК!N$335)/Параметры!N$126</f>
        <v>0</v>
      </c>
      <c r="O103" s="82">
        <f>(Деятельность_УК!O$335)/Параметры!O$126</f>
        <v>0</v>
      </c>
      <c r="P103" s="82">
        <f>(Деятельность_УК!P$335)/Параметры!P$126</f>
        <v>0</v>
      </c>
      <c r="Q103" s="82">
        <f>(Деятельность_УК!Q$335)/Параметры!Q$126</f>
        <v>0</v>
      </c>
      <c r="R103" s="82">
        <f>(Деятельность_УК!R$335)/Параметры!R$126</f>
        <v>0</v>
      </c>
      <c r="S103" s="82">
        <f>(Деятельность_УК!S$335)/Параметры!S$126</f>
        <v>0</v>
      </c>
      <c r="T103" s="82">
        <f>(Деятельность_УК!T$335)/Параметры!T$126</f>
        <v>0</v>
      </c>
      <c r="U103" s="82">
        <f>(Деятельность_УК!U$335)/Параметры!U$126</f>
        <v>0</v>
      </c>
      <c r="V103" s="82">
        <f>(Деятельность_УК!V$335)/Параметры!V$126</f>
        <v>0</v>
      </c>
      <c r="W103" s="82">
        <f>(Деятельность_УК!W$335)/Параметры!W$126</f>
        <v>0</v>
      </c>
      <c r="X103" s="82">
        <f>(Деятельность_УК!X$335)/Параметры!X$126</f>
        <v>0</v>
      </c>
      <c r="Y103" s="82">
        <f>(Деятельность_УК!Y$335)/Параметры!Y$126</f>
        <v>0</v>
      </c>
      <c r="Z103" s="82">
        <f>(Деятельность_УК!Z$335)/Параметры!Z$126</f>
        <v>0</v>
      </c>
      <c r="AA103" s="82">
        <f>(Деятельность_УК!AA$335)/Параметры!AA$126</f>
        <v>0</v>
      </c>
      <c r="AB103" s="82">
        <f>(Деятельность_УК!AB$335)/Параметры!AB$126</f>
        <v>0</v>
      </c>
      <c r="AC103" s="82">
        <f>(Деятельность_УК!AC$335)/Параметры!AC$126</f>
        <v>0</v>
      </c>
      <c r="AD103" s="82">
        <f>(Деятельность_УК!AD$335)/Параметры!AD$126</f>
        <v>0</v>
      </c>
      <c r="AE103" s="82">
        <f>(Деятельность_УК!AE$335)/Параметры!AE$126</f>
        <v>0</v>
      </c>
      <c r="AF103" s="82">
        <f>(Деятельность_УК!AF$335)/Параметры!AF$126</f>
        <v>0</v>
      </c>
      <c r="AG103" s="82">
        <f>(Деятельность_УК!AG$335)/Параметры!AG$126</f>
        <v>0</v>
      </c>
      <c r="AH103" s="82">
        <f>(Деятельность_УК!AH$335)/Параметры!AH$126</f>
        <v>0</v>
      </c>
      <c r="AI103" s="82">
        <f>(Деятельность_УК!AI$335)/Параметры!AI$126</f>
        <v>0</v>
      </c>
      <c r="AJ103" s="82">
        <f>(Деятельность_УК!AJ$335)/Параметры!AJ$126</f>
        <v>0</v>
      </c>
      <c r="AK103" s="82">
        <f>(Деятельность_УК!AK$335)/Параметры!AK$126</f>
        <v>0</v>
      </c>
      <c r="AL103" s="82">
        <f>(Деятельность_УК!AL$335)/Параметры!AL$126</f>
        <v>0</v>
      </c>
      <c r="AM103" s="82">
        <f>(Деятельность_УК!AM$335)/Параметры!AM$126</f>
        <v>0</v>
      </c>
      <c r="AN103" s="82">
        <f>(Деятельность_УК!AN$335)/Параметры!AN$126</f>
        <v>0</v>
      </c>
      <c r="AO103" s="82">
        <f>(Деятельность_УК!AO$335)/Параметры!AO$126</f>
        <v>0</v>
      </c>
      <c r="AP103" s="82">
        <f>(Деятельность_УК!AP$335)/Параметры!AP$126</f>
        <v>0</v>
      </c>
      <c r="AQ103" s="82">
        <f>(Деятельность_УК!AQ$335)/Параметры!AQ$126</f>
        <v>0</v>
      </c>
      <c r="AR103" s="82">
        <f>(Деятельность_УК!AR$335)/Параметры!AR$126</f>
        <v>0</v>
      </c>
    </row>
    <row r="104" spans="1:44" x14ac:dyDescent="0.2">
      <c r="A104" s="63" t="s">
        <v>87</v>
      </c>
      <c r="C104" s="12" t="str">
        <f>Параметры!$C$126</f>
        <v>тыс. руб.</v>
      </c>
      <c r="D104" s="40"/>
      <c r="E104" s="82">
        <f>(Деятельность_УК!E$99+Деятельность_УК!E$103+Деятельность_УК!E$650)/Параметры!E$126</f>
        <v>0</v>
      </c>
      <c r="F104" s="82">
        <f>(Деятельность_УК!F$99+Деятельность_УК!F$103+Деятельность_УК!F$650)/Параметры!F$126</f>
        <v>0</v>
      </c>
      <c r="G104" s="82">
        <f>(Деятельность_УК!G$99+Деятельность_УК!G$103+Деятельность_УК!G$650)/Параметры!G$126</f>
        <v>0</v>
      </c>
      <c r="H104" s="82">
        <f>(Деятельность_УК!H$99+Деятельность_УК!H$103+Деятельность_УК!H$650)/Параметры!H$126</f>
        <v>0</v>
      </c>
      <c r="I104" s="82">
        <f>(Деятельность_УК!I$99+Деятельность_УК!I$103+Деятельность_УК!I$650)/Параметры!I$126</f>
        <v>0</v>
      </c>
      <c r="J104" s="82">
        <f>(Деятельность_УК!J$99+Деятельность_УК!J$103+Деятельность_УК!J$650)/Параметры!J$126</f>
        <v>0</v>
      </c>
      <c r="K104" s="82">
        <f>(Деятельность_УК!K$99+Деятельность_УК!K$103+Деятельность_УК!K$650)/Параметры!K$126</f>
        <v>0</v>
      </c>
      <c r="L104" s="82">
        <f>(Деятельность_УК!L$99+Деятельность_УК!L$103+Деятельность_УК!L$650)/Параметры!L$126</f>
        <v>0</v>
      </c>
      <c r="M104" s="82">
        <f>(Деятельность_УК!M$99+Деятельность_УК!M$103+Деятельность_УК!M$650)/Параметры!M$126</f>
        <v>0</v>
      </c>
      <c r="N104" s="82">
        <f>(Деятельность_УК!N$99+Деятельность_УК!N$103+Деятельность_УК!N$650)/Параметры!N$126</f>
        <v>0</v>
      </c>
      <c r="O104" s="82">
        <f>(Деятельность_УК!O$99+Деятельность_УК!O$103+Деятельность_УК!O$650)/Параметры!O$126</f>
        <v>0</v>
      </c>
      <c r="P104" s="82">
        <f>(Деятельность_УК!P$99+Деятельность_УК!P$103+Деятельность_УК!P$650)/Параметры!P$126</f>
        <v>0</v>
      </c>
      <c r="Q104" s="82">
        <f>(Деятельность_УК!Q$99+Деятельность_УК!Q$103+Деятельность_УК!Q$650)/Параметры!Q$126</f>
        <v>0</v>
      </c>
      <c r="R104" s="82">
        <f>(Деятельность_УК!R$99+Деятельность_УК!R$103+Деятельность_УК!R$650)/Параметры!R$126</f>
        <v>0</v>
      </c>
      <c r="S104" s="82">
        <f>(Деятельность_УК!S$99+Деятельность_УК!S$103+Деятельность_УК!S$650)/Параметры!S$126</f>
        <v>0</v>
      </c>
      <c r="T104" s="82">
        <f>(Деятельность_УК!T$99+Деятельность_УК!T$103+Деятельность_УК!T$650)/Параметры!T$126</f>
        <v>0</v>
      </c>
      <c r="U104" s="82">
        <f>(Деятельность_УК!U$99+Деятельность_УК!U$103+Деятельность_УК!U$650)/Параметры!U$126</f>
        <v>0</v>
      </c>
      <c r="V104" s="82">
        <f>(Деятельность_УК!V$99+Деятельность_УК!V$103+Деятельность_УК!V$650)/Параметры!V$126</f>
        <v>0</v>
      </c>
      <c r="W104" s="82">
        <f>(Деятельность_УК!W$99+Деятельность_УК!W$103+Деятельность_УК!W$650)/Параметры!W$126</f>
        <v>0</v>
      </c>
      <c r="X104" s="82">
        <f>(Деятельность_УК!X$99+Деятельность_УК!X$103+Деятельность_УК!X$650)/Параметры!X$126</f>
        <v>0</v>
      </c>
      <c r="Y104" s="82">
        <f>(Деятельность_УК!Y$99+Деятельность_УК!Y$103+Деятельность_УК!Y$650)/Параметры!Y$126</f>
        <v>0</v>
      </c>
      <c r="Z104" s="82">
        <f>(Деятельность_УК!Z$99+Деятельность_УК!Z$103+Деятельность_УК!Z$650)/Параметры!Z$126</f>
        <v>0</v>
      </c>
      <c r="AA104" s="82">
        <f>(Деятельность_УК!AA$99+Деятельность_УК!AA$103+Деятельность_УК!AA$650)/Параметры!AA$126</f>
        <v>0</v>
      </c>
      <c r="AB104" s="82">
        <f>(Деятельность_УК!AB$99+Деятельность_УК!AB$103+Деятельность_УК!AB$650)/Параметры!AB$126</f>
        <v>0</v>
      </c>
      <c r="AC104" s="82">
        <f>(Деятельность_УК!AC$99+Деятельность_УК!AC$103+Деятельность_УК!AC$650)/Параметры!AC$126</f>
        <v>0</v>
      </c>
      <c r="AD104" s="82">
        <f>(Деятельность_УК!AD$99+Деятельность_УК!AD$103+Деятельность_УК!AD$650)/Параметры!AD$126</f>
        <v>0</v>
      </c>
      <c r="AE104" s="82">
        <f>(Деятельность_УК!AE$99+Деятельность_УК!AE$103+Деятельность_УК!AE$650)/Параметры!AE$126</f>
        <v>0</v>
      </c>
      <c r="AF104" s="82">
        <f>(Деятельность_УК!AF$99+Деятельность_УК!AF$103+Деятельность_УК!AF$650)/Параметры!AF$126</f>
        <v>0</v>
      </c>
      <c r="AG104" s="82">
        <f>(Деятельность_УК!AG$99+Деятельность_УК!AG$103+Деятельность_УК!AG$650)/Параметры!AG$126</f>
        <v>0</v>
      </c>
      <c r="AH104" s="82">
        <f>(Деятельность_УК!AH$99+Деятельность_УК!AH$103+Деятельность_УК!AH$650)/Параметры!AH$126</f>
        <v>0</v>
      </c>
      <c r="AI104" s="82">
        <f>(Деятельность_УК!AI$99+Деятельность_УК!AI$103+Деятельность_УК!AI$650)/Параметры!AI$126</f>
        <v>0</v>
      </c>
      <c r="AJ104" s="82">
        <f>(Деятельность_УК!AJ$99+Деятельность_УК!AJ$103+Деятельность_УК!AJ$650)/Параметры!AJ$126</f>
        <v>0</v>
      </c>
      <c r="AK104" s="82">
        <f>(Деятельность_УК!AK$99+Деятельность_УК!AK$103+Деятельность_УК!AK$650)/Параметры!AK$126</f>
        <v>0</v>
      </c>
      <c r="AL104" s="82">
        <f>(Деятельность_УК!AL$99+Деятельность_УК!AL$103+Деятельность_УК!AL$650)/Параметры!AL$126</f>
        <v>0</v>
      </c>
      <c r="AM104" s="82">
        <f>(Деятельность_УК!AM$99+Деятельность_УК!AM$103+Деятельность_УК!AM$650)/Параметры!AM$126</f>
        <v>0</v>
      </c>
      <c r="AN104" s="82">
        <f>(Деятельность_УК!AN$99+Деятельность_УК!AN$103+Деятельность_УК!AN$650)/Параметры!AN$126</f>
        <v>0</v>
      </c>
      <c r="AO104" s="82">
        <f>(Деятельность_УК!AO$99+Деятельность_УК!AO$103+Деятельность_УК!AO$650)/Параметры!AO$126</f>
        <v>0</v>
      </c>
      <c r="AP104" s="82">
        <f>(Деятельность_УК!AP$99+Деятельность_УК!AP$103+Деятельность_УК!AP$650)/Параметры!AP$126</f>
        <v>0</v>
      </c>
      <c r="AQ104" s="82">
        <f>(Деятельность_УК!AQ$99+Деятельность_УК!AQ$103+Деятельность_УК!AQ$650)/Параметры!AQ$126</f>
        <v>0</v>
      </c>
      <c r="AR104" s="82">
        <f>(Деятельность_УК!AR$99+Деятельность_УК!AR$103+Деятельность_УК!AR$650)/Параметры!AR$126</f>
        <v>0</v>
      </c>
    </row>
    <row r="105" spans="1:44" x14ac:dyDescent="0.2">
      <c r="A105" s="76" t="s">
        <v>118</v>
      </c>
      <c r="B105" s="166"/>
      <c r="C105" s="13" t="str">
        <f>Параметры!$C$126</f>
        <v>тыс. руб.</v>
      </c>
      <c r="D105" s="78"/>
      <c r="E105" s="167">
        <f t="shared" ref="E105:AR105" ca="1" si="29">SUM(E101:E104)</f>
        <v>1590.4109124915587</v>
      </c>
      <c r="F105" s="167">
        <f t="shared" ca="1" si="29"/>
        <v>1590.4109124915587</v>
      </c>
      <c r="G105" s="167">
        <f t="shared" ca="1" si="29"/>
        <v>4200.4320453040582</v>
      </c>
      <c r="H105" s="167">
        <f t="shared" ca="1" si="29"/>
        <v>7103.787709929059</v>
      </c>
      <c r="I105" s="167">
        <f t="shared" ca="1" si="29"/>
        <v>1916.7836864915587</v>
      </c>
      <c r="J105" s="167">
        <f t="shared" ca="1" si="29"/>
        <v>1926.4938275825793</v>
      </c>
      <c r="K105" s="167">
        <f t="shared" ca="1" si="29"/>
        <v>2708.2982176911855</v>
      </c>
      <c r="L105" s="167">
        <f t="shared" ca="1" si="29"/>
        <v>2730.6885323328415</v>
      </c>
      <c r="M105" s="167">
        <f t="shared" ca="1" si="29"/>
        <v>2753.4375429482525</v>
      </c>
      <c r="N105" s="167">
        <f t="shared" ca="1" si="29"/>
        <v>2777.7625359585718</v>
      </c>
      <c r="O105" s="167">
        <f t="shared" ca="1" si="29"/>
        <v>2802.497645167728</v>
      </c>
      <c r="P105" s="167">
        <f t="shared" ca="1" si="29"/>
        <v>3037.6165661475034</v>
      </c>
      <c r="Q105" s="167">
        <f t="shared" ca="1" si="29"/>
        <v>3066.7327802995615</v>
      </c>
      <c r="R105" s="167">
        <f t="shared" ca="1" si="29"/>
        <v>3095.9666583699427</v>
      </c>
      <c r="S105" s="167">
        <f t="shared" ca="1" si="29"/>
        <v>3125.6872024881441</v>
      </c>
      <c r="T105" s="167">
        <f t="shared" ca="1" si="29"/>
        <v>3155.9025143450017</v>
      </c>
      <c r="U105" s="167">
        <f t="shared" ca="1" si="29"/>
        <v>3186.6208305028831</v>
      </c>
      <c r="V105" s="167">
        <f t="shared" ca="1" si="29"/>
        <v>3218.4408892737438</v>
      </c>
      <c r="W105" s="167">
        <f t="shared" ca="1" si="29"/>
        <v>3250.8006808823211</v>
      </c>
      <c r="X105" s="167">
        <f t="shared" ca="1" si="29"/>
        <v>3283.7093602939849</v>
      </c>
      <c r="Y105" s="167">
        <f t="shared" ca="1" si="29"/>
        <v>3317.1762377609166</v>
      </c>
      <c r="Z105" s="167">
        <f t="shared" ca="1" si="29"/>
        <v>3350.7926384163952</v>
      </c>
      <c r="AA105" s="167">
        <f t="shared" ca="1" si="29"/>
        <v>3384.9722360997657</v>
      </c>
      <c r="AB105" s="167">
        <f t="shared" ca="1" si="29"/>
        <v>3419.7244664104978</v>
      </c>
      <c r="AC105" s="167">
        <f t="shared" ca="1" si="29"/>
        <v>11679.7927339377</v>
      </c>
      <c r="AD105" s="167">
        <f t="shared" ca="1" si="29"/>
        <v>18411.286427950388</v>
      </c>
      <c r="AE105" s="167">
        <f t="shared" ca="1" si="29"/>
        <v>19526.026174200448</v>
      </c>
      <c r="AF105" s="167">
        <f t="shared" ca="1" si="29"/>
        <v>20660.931954522712</v>
      </c>
      <c r="AG105" s="167">
        <f t="shared" ca="1" si="29"/>
        <v>47675.936738860015</v>
      </c>
      <c r="AH105" s="167">
        <f t="shared" ca="1" si="29"/>
        <v>48789.313972325028</v>
      </c>
      <c r="AI105" s="167">
        <f t="shared" ca="1" si="29"/>
        <v>49928.307310776298</v>
      </c>
      <c r="AJ105" s="167">
        <f t="shared" ca="1" si="29"/>
        <v>51093.418058503645</v>
      </c>
      <c r="AK105" s="167">
        <f t="shared" ca="1" si="29"/>
        <v>89162.853406043054</v>
      </c>
      <c r="AL105" s="167">
        <f t="shared" ca="1" si="29"/>
        <v>51276.421487618063</v>
      </c>
      <c r="AM105" s="167">
        <f t="shared" ca="1" si="29"/>
        <v>52409.959573261367</v>
      </c>
      <c r="AN105" s="167">
        <f t="shared" ca="1" si="29"/>
        <v>53478.575118488683</v>
      </c>
      <c r="AO105" s="167">
        <f t="shared" ca="1" si="29"/>
        <v>2122494.3404425965</v>
      </c>
      <c r="AP105" s="167">
        <f t="shared" ca="1" si="29"/>
        <v>47523.095322929905</v>
      </c>
      <c r="AQ105" s="167">
        <f t="shared" ca="1" si="29"/>
        <v>50791.197377968827</v>
      </c>
      <c r="AR105" s="167">
        <f t="shared" ca="1" si="29"/>
        <v>51164.875419139215</v>
      </c>
    </row>
    <row r="106" spans="1:44" x14ac:dyDescent="0.2">
      <c r="A106" s="44"/>
      <c r="D106" s="40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</row>
    <row r="107" spans="1:44" x14ac:dyDescent="0.2">
      <c r="A107" s="63" t="s">
        <v>86</v>
      </c>
      <c r="C107" s="12" t="str">
        <f>Параметры!$C$126</f>
        <v>тыс. руб.</v>
      </c>
      <c r="D107" s="40"/>
      <c r="E107" s="82">
        <f ca="1">(Деятельность_УК!E$98+Деятельность_УК!E$102+Деятельность_УК!E$649)/Параметры!E$126</f>
        <v>877821.25</v>
      </c>
      <c r="F107" s="82">
        <f ca="1">(Деятельность_УК!F$98+Деятельность_УК!F$102+Деятельность_УК!F$649)/Параметры!F$126</f>
        <v>1204615</v>
      </c>
      <c r="G107" s="82">
        <f ca="1">(Деятельность_УК!G$98+Деятельность_УК!G$102+Деятельность_УК!G$649)/Параметры!G$126</f>
        <v>1242637.3951891144</v>
      </c>
      <c r="H107" s="82">
        <f ca="1">(Деятельность_УК!H$98+Деятельность_УК!H$102+Деятельность_УК!H$649)/Параметры!H$126</f>
        <v>1287830.2382820111</v>
      </c>
      <c r="I107" s="82">
        <f ca="1">(Деятельность_УК!I$98+Деятельность_УК!I$102+Деятельность_УК!I$649)/Параметры!I$126</f>
        <v>1327647.6778086775</v>
      </c>
      <c r="J107" s="82">
        <f ca="1">(Деятельность_УК!J$98+Деятельность_УК!J$102+Деятельность_УК!J$649)/Параметры!J$126</f>
        <v>1431769.0378183411</v>
      </c>
      <c r="K107" s="82">
        <f ca="1">(Деятельность_УК!K$98+Деятельность_УК!K$102+Деятельность_УК!K$649)/Параметры!K$126</f>
        <v>1577143.0180705388</v>
      </c>
      <c r="L107" s="82">
        <f ca="1">(Деятельность_УК!L$98+Деятельность_УК!L$102+Деятельность_УК!L$649)/Параметры!L$126</f>
        <v>1636881.3401666533</v>
      </c>
      <c r="M107" s="82">
        <f ca="1">(Деятельность_УК!M$98+Деятельность_УК!M$102+Деятельность_УК!M$649)/Параметры!M$126</f>
        <v>1778479.7374742087</v>
      </c>
      <c r="N107" s="82">
        <f ca="1">(Деятельность_УК!N$98+Деятельность_УК!N$102+Деятельность_УК!N$649)/Параметры!N$126</f>
        <v>2109592.4106114255</v>
      </c>
      <c r="O107" s="82">
        <f ca="1">(Деятельность_УК!O$98+Деятельность_УК!O$102+Деятельность_УК!O$649)/Параметры!O$126</f>
        <v>2610745.0694829281</v>
      </c>
      <c r="P107" s="82">
        <f ca="1">(Деятельность_УК!P$98+Деятельность_УК!P$102+Деятельность_УК!P$649)/Параметры!P$126</f>
        <v>2871422.192676479</v>
      </c>
      <c r="Q107" s="82">
        <f ca="1">(Деятельность_УК!Q$98+Деятельность_УК!Q$102+Деятельность_УК!Q$649)/Параметры!Q$126</f>
        <v>3000844.7356799119</v>
      </c>
      <c r="R107" s="82">
        <f ca="1">(Деятельность_УК!R$98+Деятельность_УК!R$102+Деятельность_УК!R$649)/Параметры!R$126</f>
        <v>3473005.4850216424</v>
      </c>
      <c r="S107" s="82">
        <f ca="1">(Деятельность_УК!S$98+Деятельность_УК!S$102+Деятельность_УК!S$649)/Параметры!S$126</f>
        <v>4001150.2267342638</v>
      </c>
      <c r="T107" s="82">
        <f ca="1">(Деятельность_УК!T$98+Деятельность_УК!T$102+Деятельность_УК!T$649)/Параметры!T$126</f>
        <v>4182993.3912427542</v>
      </c>
      <c r="U107" s="82">
        <f ca="1">(Деятельность_УК!U$98+Деятельность_УК!U$102+Деятельность_УК!U$649)/Параметры!U$126</f>
        <v>4010064.1690827301</v>
      </c>
      <c r="V107" s="82">
        <f ca="1">(Деятельность_УК!V$98+Деятельность_УК!V$102+Деятельность_УК!V$649)/Параметры!V$126</f>
        <v>3833348.5126189734</v>
      </c>
      <c r="W107" s="82">
        <f ca="1">(Деятельность_УК!W$98+Деятельность_УК!W$102+Деятельность_УК!W$649)/Параметры!W$126</f>
        <v>3652763.3165435446</v>
      </c>
      <c r="X107" s="82">
        <f ca="1">(Деятельность_УК!X$98+Деятельность_УК!X$102+Деятельность_УК!X$649)/Параметры!X$126</f>
        <v>3468223.6474683583</v>
      </c>
      <c r="Y107" s="82">
        <f ca="1">(Деятельность_УК!Y$98+Деятельность_УК!Y$102+Деятельность_УК!Y$649)/Параметры!Y$126</f>
        <v>3279642.7036291575</v>
      </c>
      <c r="Z107" s="82">
        <f ca="1">(Деятельность_УК!Z$98+Деятельность_УК!Z$102+Деятельность_УК!Z$649)/Параметры!Z$126</f>
        <v>3086931.773699556</v>
      </c>
      <c r="AA107" s="82">
        <f ca="1">(Деятельность_УК!AA$98+Деятельность_УК!AA$102+Деятельность_УК!AA$649)/Параметры!AA$126</f>
        <v>2890000.1946954401</v>
      </c>
      <c r="AB107" s="82">
        <f ca="1">(Деятельность_УК!AB$98+Деятельность_УК!AB$102+Деятельность_УК!AB$649)/Параметры!AB$126</f>
        <v>2688755.3089496093</v>
      </c>
      <c r="AC107" s="82">
        <f ca="1">(Деятельность_УК!AC$98+Деятельность_УК!AC$102+Деятельность_УК!AC$649)/Параметры!AC$126</f>
        <v>2483102.420136095</v>
      </c>
      <c r="AD107" s="82">
        <f ca="1">(Деятельность_УК!AD$98+Деятельность_УК!AD$102+Деятельность_УК!AD$649)/Параметры!AD$126</f>
        <v>2272944.7483231043</v>
      </c>
      <c r="AE107" s="82">
        <f ca="1">(Деятельность_УК!AE$98+Деятельность_УК!AE$102+Деятельность_УК!AE$649)/Параметры!AE$126</f>
        <v>2058183.3840331268</v>
      </c>
      <c r="AF107" s="82">
        <f ca="1">(Деятельность_УК!AF$98+Деятельность_УК!AF$102+Деятельность_УК!AF$649)/Параметры!AF$126</f>
        <v>1838717.2412882056</v>
      </c>
      <c r="AG107" s="82">
        <f ca="1">(Деятельность_УК!AG$98+Деятельность_УК!AG$102+Деятельность_УК!AG$649)/Параметры!AG$126</f>
        <v>1614443.0096179368</v>
      </c>
      <c r="AH107" s="82">
        <f ca="1">(Деятельность_УК!AH$98+Деятельность_УК!AH$102+Деятельность_УК!AH$649)/Параметры!AH$126</f>
        <v>1385255.1050072275</v>
      </c>
      <c r="AI107" s="82">
        <f ca="1">(Деятельность_УК!AI$98+Деятельность_УК!AI$102+Деятельность_УК!AI$649)/Параметры!AI$126</f>
        <v>1151045.6197603615</v>
      </c>
      <c r="AJ107" s="82">
        <f ca="1">(Деятельность_УК!AJ$98+Деятельность_УК!AJ$102+Деятельность_УК!AJ$649)/Параметры!AJ$126</f>
        <v>911704.27125737618</v>
      </c>
      <c r="AK107" s="82">
        <f ca="1">(Деятельность_УК!AK$98+Деятельность_УК!AK$102+Деятельность_УК!AK$649)/Параметры!AK$126</f>
        <v>667118.34957824787</v>
      </c>
      <c r="AL107" s="82">
        <f ca="1">(Деятельность_УК!AL$98+Деятельность_УК!AL$102+Деятельность_УК!AL$649)/Параметры!AL$126</f>
        <v>417172.66396981681</v>
      </c>
      <c r="AM107" s="82">
        <f ca="1">(Деятельность_УК!AM$98+Деятельность_УК!AM$102+Деятельность_УК!AM$649)/Параметры!AM$126</f>
        <v>210893.79294072912</v>
      </c>
      <c r="AN107" s="82">
        <f ca="1">(Деятельность_УК!AN$98+Деятельность_УК!AN$102+Деятельность_УК!AN$649)/Параметры!AN$126</f>
        <v>0</v>
      </c>
      <c r="AO107" s="82">
        <f ca="1">(Деятельность_УК!AO$98+Деятельность_УК!AO$102+Деятельность_УК!AO$649)/Параметры!AO$126</f>
        <v>0</v>
      </c>
      <c r="AP107" s="82">
        <f ca="1">(Деятельность_УК!AP$98+Деятельность_УК!AP$102+Деятельность_УК!AP$649)/Параметры!AP$126</f>
        <v>0</v>
      </c>
      <c r="AQ107" s="82">
        <f ca="1">(Деятельность_УК!AQ$98+Деятельность_УК!AQ$102+Деятельность_УК!AQ$649)/Параметры!AQ$126</f>
        <v>0</v>
      </c>
      <c r="AR107" s="82">
        <f ca="1">(Деятельность_УК!AR$98+Деятельность_УК!AR$102+Деятельность_УК!AR$649)/Параметры!AR$126</f>
        <v>0</v>
      </c>
    </row>
    <row r="108" spans="1:44" x14ac:dyDescent="0.2">
      <c r="A108" s="76" t="s">
        <v>119</v>
      </c>
      <c r="B108" s="166"/>
      <c r="C108" s="13" t="str">
        <f>Параметры!$C$126</f>
        <v>тыс. руб.</v>
      </c>
      <c r="D108" s="78"/>
      <c r="E108" s="167">
        <f t="shared" ref="E108:AR108" ca="1" si="30">E107+0</f>
        <v>877821.25</v>
      </c>
      <c r="F108" s="167">
        <f t="shared" ca="1" si="30"/>
        <v>1204615</v>
      </c>
      <c r="G108" s="167">
        <f t="shared" ca="1" si="30"/>
        <v>1242637.3951891144</v>
      </c>
      <c r="H108" s="167">
        <f t="shared" ca="1" si="30"/>
        <v>1287830.2382820111</v>
      </c>
      <c r="I108" s="167">
        <f t="shared" ca="1" si="30"/>
        <v>1327647.6778086775</v>
      </c>
      <c r="J108" s="167">
        <f t="shared" ca="1" si="30"/>
        <v>1431769.0378183411</v>
      </c>
      <c r="K108" s="167">
        <f t="shared" ca="1" si="30"/>
        <v>1577143.0180705388</v>
      </c>
      <c r="L108" s="167">
        <f t="shared" ca="1" si="30"/>
        <v>1636881.3401666533</v>
      </c>
      <c r="M108" s="167">
        <f t="shared" ca="1" si="30"/>
        <v>1778479.7374742087</v>
      </c>
      <c r="N108" s="167">
        <f t="shared" ca="1" si="30"/>
        <v>2109592.4106114255</v>
      </c>
      <c r="O108" s="167">
        <f t="shared" ca="1" si="30"/>
        <v>2610745.0694829281</v>
      </c>
      <c r="P108" s="167">
        <f t="shared" ca="1" si="30"/>
        <v>2871422.192676479</v>
      </c>
      <c r="Q108" s="167">
        <f t="shared" ca="1" si="30"/>
        <v>3000844.7356799119</v>
      </c>
      <c r="R108" s="167">
        <f t="shared" ca="1" si="30"/>
        <v>3473005.4850216424</v>
      </c>
      <c r="S108" s="167">
        <f t="shared" ca="1" si="30"/>
        <v>4001150.2267342638</v>
      </c>
      <c r="T108" s="167">
        <f t="shared" ca="1" si="30"/>
        <v>4182993.3912427542</v>
      </c>
      <c r="U108" s="167">
        <f t="shared" ca="1" si="30"/>
        <v>4010064.1690827301</v>
      </c>
      <c r="V108" s="167">
        <f t="shared" ca="1" si="30"/>
        <v>3833348.5126189734</v>
      </c>
      <c r="W108" s="167">
        <f t="shared" ca="1" si="30"/>
        <v>3652763.3165435446</v>
      </c>
      <c r="X108" s="167">
        <f t="shared" ca="1" si="30"/>
        <v>3468223.6474683583</v>
      </c>
      <c r="Y108" s="167">
        <f t="shared" ca="1" si="30"/>
        <v>3279642.7036291575</v>
      </c>
      <c r="Z108" s="167">
        <f t="shared" ca="1" si="30"/>
        <v>3086931.773699556</v>
      </c>
      <c r="AA108" s="167">
        <f t="shared" ca="1" si="30"/>
        <v>2890000.1946954401</v>
      </c>
      <c r="AB108" s="167">
        <f t="shared" ca="1" si="30"/>
        <v>2688755.3089496093</v>
      </c>
      <c r="AC108" s="167">
        <f t="shared" ca="1" si="30"/>
        <v>2483102.420136095</v>
      </c>
      <c r="AD108" s="167">
        <f t="shared" ca="1" si="30"/>
        <v>2272944.7483231043</v>
      </c>
      <c r="AE108" s="167">
        <f t="shared" ca="1" si="30"/>
        <v>2058183.3840331268</v>
      </c>
      <c r="AF108" s="167">
        <f t="shared" ca="1" si="30"/>
        <v>1838717.2412882056</v>
      </c>
      <c r="AG108" s="167">
        <f t="shared" ca="1" si="30"/>
        <v>1614443.0096179368</v>
      </c>
      <c r="AH108" s="167">
        <f t="shared" ca="1" si="30"/>
        <v>1385255.1050072275</v>
      </c>
      <c r="AI108" s="167">
        <f t="shared" ca="1" si="30"/>
        <v>1151045.6197603615</v>
      </c>
      <c r="AJ108" s="167">
        <f t="shared" ca="1" si="30"/>
        <v>911704.27125737618</v>
      </c>
      <c r="AK108" s="167">
        <f t="shared" ca="1" si="30"/>
        <v>667118.34957824787</v>
      </c>
      <c r="AL108" s="167">
        <f t="shared" ca="1" si="30"/>
        <v>417172.66396981681</v>
      </c>
      <c r="AM108" s="167">
        <f t="shared" ca="1" si="30"/>
        <v>210893.79294072912</v>
      </c>
      <c r="AN108" s="167">
        <f t="shared" ca="1" si="30"/>
        <v>0</v>
      </c>
      <c r="AO108" s="167">
        <f t="shared" ca="1" si="30"/>
        <v>0</v>
      </c>
      <c r="AP108" s="167">
        <f t="shared" ca="1" si="30"/>
        <v>0</v>
      </c>
      <c r="AQ108" s="167">
        <f t="shared" ca="1" si="30"/>
        <v>0</v>
      </c>
      <c r="AR108" s="167">
        <f t="shared" ca="1" si="30"/>
        <v>0</v>
      </c>
    </row>
    <row r="109" spans="1:44" x14ac:dyDescent="0.2">
      <c r="A109" s="44"/>
      <c r="D109" s="40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</row>
    <row r="110" spans="1:44" x14ac:dyDescent="0.2">
      <c r="A110" s="63" t="s">
        <v>297</v>
      </c>
      <c r="C110" s="12" t="str">
        <f>Параметры!$C$126</f>
        <v>тыс. руб.</v>
      </c>
      <c r="D110" s="40"/>
      <c r="E110" s="82">
        <f ca="1">IF(E$2=1,Деятельность_УК!E$538/Параметры!E$126,D110*Параметры!D$126/Параметры!E$126+Деятельность_УК!E$537/Параметры!E$126)</f>
        <v>26008.471684000004</v>
      </c>
      <c r="F110" s="82">
        <f ca="1">IF(F$2=1,Деятельность_УК!F$538/Параметры!F$126,E110*Параметры!E$126/Параметры!F$126+Деятельность_УК!F$537/Параметры!F$126)</f>
        <v>62093.99178049156</v>
      </c>
      <c r="G110" s="82">
        <f ca="1">IF(G$2=1,Деятельность_УК!G$538/Параметры!G$126,F110*Параметры!F$126/Параметры!G$126+Деятельность_УК!G$537/Параметры!G$126)</f>
        <v>106845.12691988485</v>
      </c>
      <c r="H110" s="82">
        <f ca="1">IF(H$2=1,Деятельность_УК!H$538/Параметры!H$126,G110*Параметры!G$126/Параметры!H$126+Деятельность_УК!H$537/Параметры!H$126)</f>
        <v>145504.90036122283</v>
      </c>
      <c r="I110" s="82">
        <f ca="1">IF(I$2=1,Деятельность_УК!I$538/Параметры!I$126,H110*Параметры!H$126/Параметры!I$126+Деятельность_УК!I$537/Параметры!I$126)</f>
        <v>214496.60753097845</v>
      </c>
      <c r="J110" s="82">
        <f ca="1">IF(J$2=1,Деятельность_УК!J$538/Параметры!J$126,I110*Параметры!I$126/Параметры!J$126+Деятельность_УК!J$537/Параметры!J$126)</f>
        <v>316417.91573182901</v>
      </c>
      <c r="K110" s="82">
        <f ca="1">IF(K$2=1,Деятельность_УК!K$538/Параметры!K$126,J110*Параметры!J$126/Параметры!K$126+Деятельность_УК!K$537/Параметры!K$126)</f>
        <v>444102.24473812431</v>
      </c>
      <c r="L110" s="82">
        <f ca="1">IF(L$2=1,Деятельность_УК!L$538/Параметры!L$126,K110*Параметры!K$126/Параметры!L$126+Деятельность_УК!L$537/Параметры!L$126)</f>
        <v>538707.03363328229</v>
      </c>
      <c r="M110" s="82">
        <f ca="1">IF(M$2=1,Деятельность_УК!M$538/Параметры!M$126,L110*Параметры!L$126/Параметры!M$126+Деятельность_УК!M$537/Параметры!M$126)</f>
        <v>675867.90764235542</v>
      </c>
      <c r="N110" s="82">
        <f ca="1">IF(N$2=1,Деятельность_УК!N$538/Параметры!N$126,M110*Параметры!M$126/Параметры!N$126+Деятельность_УК!N$537/Параметры!N$126)</f>
        <v>904462.68288660073</v>
      </c>
      <c r="O110" s="82">
        <f ca="1">IF(O$2=1,Деятельность_УК!O$538/Параметры!O$126,N110*Параметры!N$126/Параметры!O$126+Деятельность_УК!O$537/Параметры!O$126)</f>
        <v>1213157.2160436246</v>
      </c>
      <c r="P110" s="82">
        <f ca="1">IF(P$2=1,Деятельность_УК!P$538/Параметры!P$126,O110*Параметры!O$126/Параметры!P$126+Деятельность_УК!P$537/Параметры!P$126)</f>
        <v>1437033.5389306555</v>
      </c>
      <c r="Q110" s="82">
        <f ca="1">IF(Q$2=1,Деятельность_УК!Q$538/Параметры!Q$126,P110*Параметры!P$126/Параметры!Q$126+Деятельность_УК!Q$537/Параметры!Q$126)</f>
        <v>1785390.5573329004</v>
      </c>
      <c r="R110" s="82">
        <f ca="1">IF(R$2=1,Деятельность_УК!R$538/Параметры!R$126,Q110*Параметры!Q$126/Параметры!R$126+Деятельность_УК!R$537/Параметры!R$126)</f>
        <v>2299530.9391707387</v>
      </c>
      <c r="S110" s="82">
        <f ca="1">IF(S$2=1,Деятельность_УК!S$538/Параметры!S$126,R110*Параметры!R$126/Параметры!S$126+Деятельность_УК!S$537/Параметры!S$126)</f>
        <v>2854173.359352306</v>
      </c>
      <c r="T110" s="82">
        <f ca="1">IF(T$2=1,Деятельность_УК!T$538/Параметры!T$126,S110*Параметры!S$126/Параметры!T$126+Деятельность_УК!T$537/Параметры!T$126)</f>
        <v>3250454.9959655893</v>
      </c>
      <c r="U110" s="82">
        <f ca="1">IF(U$2=1,Деятельность_УК!U$538/Параметры!U$126,T110*Параметры!T$126/Параметры!U$126+Деятельность_УК!U$537/Параметры!U$126)</f>
        <v>3328745.9641802306</v>
      </c>
      <c r="V110" s="82">
        <f ca="1">IF(V$2=1,Деятельность_УК!V$538/Параметры!V$126,U110*Параметры!U$126/Параметры!V$126+Деятельность_УК!V$537/Параметры!V$126)</f>
        <v>3407012.0008024909</v>
      </c>
      <c r="W110" s="82">
        <f ca="1">IF(W$2=1,Деятельность_УК!W$538/Параметры!W$126,V110*Параметры!V$126/Параметры!W$126+Деятельность_УК!W$537/Параметры!W$126)</f>
        <v>3485252.5574083249</v>
      </c>
      <c r="X110" s="82">
        <f ca="1">IF(X$2=1,Деятельность_УК!X$538/Параметры!X$126,W110*Параметры!W$126/Параметры!X$126+Деятельность_УК!X$537/Параметры!X$126)</f>
        <v>3563467.0734848822</v>
      </c>
      <c r="Y110" s="82">
        <f ca="1">IF(Y$2=1,Деятельность_УК!Y$538/Параметры!Y$126,X110*Параметры!X$126/Параметры!Y$126+Деятельность_УК!Y$537/Параметры!Y$126)</f>
        <v>3641654.9761635233</v>
      </c>
      <c r="Z110" s="82">
        <f ca="1">IF(Z$2=1,Деятельность_УК!Z$538/Параметры!Z$126,Y110*Параметры!Y$126/Параметры!Z$126+Деятельность_УК!Z$537/Параметры!Z$126)</f>
        <v>3719815.6799469301</v>
      </c>
      <c r="AA110" s="82">
        <f ca="1">IF(AA$2=1,Деятельность_УК!AA$538/Параметры!AA$126,Z110*Параметры!Z$126/Параметры!AA$126+Деятельность_УК!AA$537/Параметры!AA$126)</f>
        <v>3797948.5864301776</v>
      </c>
      <c r="AB110" s="82">
        <f ca="1">IF(AB$2=1,Деятельность_УК!AB$538/Параметры!AB$126,AA110*Параметры!AA$126/Параметры!AB$126+Деятельность_УК!AB$537/Параметры!AB$126)</f>
        <v>3876053.0840156334</v>
      </c>
      <c r="AC110" s="82">
        <f ca="1">IF(AC$2=1,Деятельность_УК!AC$538/Параметры!AC$126,AB110*Параметры!AB$126/Параметры!AC$126+Деятельность_УК!AC$537/Параметры!AC$126)</f>
        <v>3953982.9329711902</v>
      </c>
      <c r="AD110" s="82">
        <f ca="1">IF(AD$2=1,Деятельность_УК!AD$538/Параметры!AD$126,AC110*Параметры!AC$126/Параметры!AD$126+Деятельность_УК!AD$537/Параметры!AD$126)</f>
        <v>4031894.9237446445</v>
      </c>
      <c r="AE110" s="82">
        <f ca="1">IF(AE$2=1,Деятельность_УК!AE$538/Параметры!AE$126,AD110*Параметры!AD$126/Параметры!AE$126+Деятельность_УК!AE$537/Параметры!AE$126)</f>
        <v>4109788.6692157388</v>
      </c>
      <c r="AF110" s="82">
        <f ca="1">IF(AF$2=1,Деятельность_УК!AF$538/Параметры!AF$126,AE110*Параметры!AE$126/Параметры!AF$126+Деятельность_УК!AF$537/Параметры!AF$126)</f>
        <v>4187663.7738477867</v>
      </c>
      <c r="AG110" s="82">
        <f ca="1">IF(AG$2=1,Деятельность_УК!AG$538/Параметры!AG$126,AF110*Параметры!AF$126/Параметры!AG$126+Деятельность_УК!AG$537/Параметры!AG$126)</f>
        <v>4264632.7014065748</v>
      </c>
      <c r="AH110" s="82">
        <f ca="1">IF(AH$2=1,Деятельность_УК!AH$538/Параметры!AH$126,AG110*Параметры!AG$126/Параметры!AH$126+Деятельность_УК!AH$537/Параметры!AH$126)</f>
        <v>4341700.603419831</v>
      </c>
      <c r="AI110" s="82">
        <f ca="1">IF(AI$2=1,Деятельность_УК!AI$538/Параметры!AI$126,AH110*Параметры!AH$126/Параметры!AI$126+Деятельность_УК!AI$537/Параметры!AI$126)</f>
        <v>4418869.7227124535</v>
      </c>
      <c r="AJ110" s="82">
        <f ca="1">IF(AJ$2=1,Деятельность_УК!AJ$538/Параметры!AJ$126,AI110*Параметры!AI$126/Параметры!AJ$126+Деятельность_УК!AJ$537/Параметры!AJ$126)</f>
        <v>4496142.3528908929</v>
      </c>
      <c r="AK110" s="82">
        <f ca="1">IF(AK$2=1,Деятельность_УК!AK$538/Параметры!AK$126,AJ110*Параметры!AJ$126/Параметры!AK$126+Деятельность_УК!AK$537/Параметры!AK$126)</f>
        <v>4573520.8394921012</v>
      </c>
      <c r="AL110" s="82">
        <f ca="1">IF(AL$2=1,Деятельность_УК!AL$538/Параметры!AL$126,AK110*Параметры!AK$126/Параметры!AL$126+Деятельность_УК!AL$537/Параметры!AL$126)</f>
        <v>4651007.5811584499</v>
      </c>
      <c r="AM110" s="82">
        <f ca="1">IF(AM$2=1,Деятельность_УК!AM$538/Параметры!AM$126,AL110*Параметры!AL$126/Параметры!AM$126+Деятельность_УК!AM$537/Параметры!AM$126)</f>
        <v>4714156.6052248208</v>
      </c>
      <c r="AN110" s="82">
        <f ca="1">IF(AN$2=1,Деятельность_УК!AN$538/Параметры!AN$126,AM110*Параметры!AM$126/Параметры!AN$126+Деятельность_УК!AN$537/Параметры!AN$126)</f>
        <v>4714156.6052248208</v>
      </c>
      <c r="AO110" s="82">
        <f ca="1">IF(AO$2=1,Деятельность_УК!AO$538/Параметры!AO$126,AN110*Параметры!AN$126/Параметры!AO$126+Деятельность_УК!AO$537/Параметры!AO$126)</f>
        <v>4714156.6052248208</v>
      </c>
      <c r="AP110" s="82">
        <f ca="1">IF(AP$2=1,Деятельность_УК!AP$538/Параметры!AP$126,AO110*Параметры!AO$126/Параметры!AP$126+Деятельность_УК!AP$537/Параметры!AP$126)</f>
        <v>4714156.6052248208</v>
      </c>
      <c r="AQ110" s="82">
        <f ca="1">IF(AQ$2=1,Деятельность_УК!AQ$538/Параметры!AQ$126,AP110*Параметры!AP$126/Параметры!AQ$126+Деятельность_УК!AQ$537/Параметры!AQ$126)</f>
        <v>4714156.6052248208</v>
      </c>
      <c r="AR110" s="82">
        <f ca="1">IF(AR$2=1,Деятельность_УК!AR$538/Параметры!AR$126,AQ110*Параметры!AQ$126/Параметры!AR$126+Деятельность_УК!AR$537/Параметры!AR$126)</f>
        <v>4714156.6052248208</v>
      </c>
    </row>
    <row r="111" spans="1:44" x14ac:dyDescent="0.2">
      <c r="A111" s="63" t="s">
        <v>255</v>
      </c>
      <c r="C111" s="12" t="str">
        <f>Параметры!$C$126</f>
        <v>тыс. руб.</v>
      </c>
      <c r="D111" s="40"/>
      <c r="E111" s="82">
        <f ca="1">IF(E$2=1,Деятельность_УК!$B$51/Параметры!E$126+E36+0,E36+D111*Параметры!D$126/Параметры!E$126)</f>
        <v>-21972.788429824897</v>
      </c>
      <c r="F111" s="82">
        <f ca="1">IF(F$2=1,Деятельность_УК!$B$51/Параметры!F$126+F36+0,F36+E111*Параметры!E$126/Параметры!F$126)</f>
        <v>-50481.451859649787</v>
      </c>
      <c r="G111" s="82">
        <f ca="1">IF(G$2=1,Деятельность_УК!$B$51/Параметры!G$126+G36+0,G36+F111*Параметры!F$126/Параметры!G$126)</f>
        <v>-72521.279337597342</v>
      </c>
      <c r="H111" s="82">
        <f ca="1">IF(H$2=1,Деятельность_УК!$B$51/Параметры!H$126+H36+0,H36+G111*Параметры!G$126/Параметры!H$126)</f>
        <v>-89782.997119722757</v>
      </c>
      <c r="I111" s="82">
        <f ca="1">IF(I$2=1,Деятельность_УК!$B$51/Параметры!I$126+I36+0,I36+H111*Параметры!H$126/Параметры!I$126)</f>
        <v>-102759.05966894398</v>
      </c>
      <c r="J111" s="82">
        <f ca="1">IF(J$2=1,Деятельность_УК!$B$51/Параметры!J$126+J36+0,J36+I111*Параметры!I$126/Параметры!J$126)</f>
        <v>-117881.3690944275</v>
      </c>
      <c r="K111" s="82">
        <f ca="1">IF(K$2=1,Деятельность_УК!$B$51/Параметры!K$126+K36+0,K36+J111*Параметры!J$126/Параметры!K$126)</f>
        <v>-139829.65365592437</v>
      </c>
      <c r="L111" s="82">
        <f ca="1">IF(L$2=1,Деятельность_УК!$B$51/Параметры!L$126+L36+0,L36+K111*Параметры!K$126/Параметры!L$126)</f>
        <v>-166249.15108340967</v>
      </c>
      <c r="M111" s="82">
        <f ca="1">IF(M$2=1,Деятельность_УК!$B$51/Параметры!M$126+M36+0,M36+L111*Параметры!L$126/Параметры!M$126)</f>
        <v>-183090.31684971531</v>
      </c>
      <c r="N111" s="82">
        <f ca="1">IF(N$2=1,Деятельность_УК!$B$51/Параметры!N$126+N36+0,N36+M111*Параметры!M$126/Параметры!N$126)</f>
        <v>-206466.0218770419</v>
      </c>
      <c r="O111" s="82">
        <f ca="1">IF(O$2=1,Деятельность_УК!$B$51/Параметры!O$126+O36+0,O36+N111*Параметры!N$126/Параметры!O$126)</f>
        <v>-240831.33664104244</v>
      </c>
      <c r="P111" s="82">
        <f ca="1">IF(P$2=1,Деятельность_УК!$B$51/Параметры!P$126+P36+0,P36+O111*Параметры!O$126/Параметры!P$126)</f>
        <v>-285903.49747404293</v>
      </c>
      <c r="Q111" s="82">
        <f ca="1">IF(Q$2=1,Деятельность_УК!$B$51/Параметры!Q$126+Q36+0,Q36+P111*Параметры!P$126/Параметры!Q$126)</f>
        <v>-327490.69885670219</v>
      </c>
      <c r="R111" s="82">
        <f ca="1">IF(R$2=1,Деятельность_УК!$B$51/Параметры!R$126+R36+0,R36+Q111*Параметры!Q$126/Параметры!R$126)</f>
        <v>-378968.82002319896</v>
      </c>
      <c r="S111" s="82">
        <f ca="1">IF(S$2=1,Деятельность_УК!$B$51/Параметры!S$126+S36+0,S36+R111*Параметры!R$126/Параметры!S$126)</f>
        <v>-441939.03254420665</v>
      </c>
      <c r="T111" s="82">
        <f ca="1">IF(T$2=1,Деятельность_УК!$B$51/Параметры!T$126+T36+0,T36+S111*Параметры!S$126/Параметры!T$126)</f>
        <v>-508607.44979695452</v>
      </c>
      <c r="U111" s="82">
        <f ca="1">IF(U$2=1,Деятельность_УК!$B$51/Параметры!U$126+U36+0,U36+T111*Параметры!T$126/Параметры!U$126)</f>
        <v>-476326.55630593293</v>
      </c>
      <c r="V111" s="82">
        <f ca="1">IF(V$2=1,Деятельность_УК!$B$51/Параметры!V$126+V36+0,V36+U111*Параметры!U$126/Параметры!V$126)</f>
        <v>-432305.84558486455</v>
      </c>
      <c r="W111" s="82">
        <f ca="1">IF(W$2=1,Деятельность_УК!$B$51/Параметры!W$126+W36+0,W36+V111*Параметры!V$126/Параметры!W$126)</f>
        <v>-382181.78852307389</v>
      </c>
      <c r="X111" s="82">
        <f ca="1">IF(X$2=1,Деятельность_УК!$B$51/Параметры!X$126+X36+0,X36+W111*Параметры!W$126/Параметры!X$126)</f>
        <v>-325844.78499210661</v>
      </c>
      <c r="Y111" s="82">
        <f ca="1">IF(Y$2=1,Деятельность_УК!$B$51/Параметры!Y$126+Y36+0,Y36+X111*Параметры!X$126/Параметры!Y$126)</f>
        <v>-263183.08770801325</v>
      </c>
      <c r="Z111" s="82">
        <f ca="1">IF(Z$2=1,Деятельность_УК!$B$51/Параметры!Z$126+Z36+0,Z36+Y111*Параметры!Y$126/Параметры!Z$126)</f>
        <v>-194126.35149493063</v>
      </c>
      <c r="AA111" s="82">
        <f ca="1">IF(AA$2=1,Деятельность_УК!$B$51/Параметры!AA$126+AA36+0,AA36+Z111*Параметры!Z$126/Параметры!AA$126)</f>
        <v>-118559.38203413933</v>
      </c>
      <c r="AB111" s="82">
        <f ca="1">IF(AB$2=1,Деятельность_УК!$B$51/Параметры!AB$126+AB36+0,AB36+AA111*Параметры!AA$126/Параметры!AB$126)</f>
        <v>-36364.717898950839</v>
      </c>
      <c r="AC111" s="82">
        <f ca="1">IF(AC$2=1,Деятельность_УК!$B$51/Параметры!AC$126+AC36+0,AC36+AB111*Параметры!AB$126/Параметры!AC$126)</f>
        <v>44838.064969149258</v>
      </c>
      <c r="AD111" s="82">
        <f ca="1">IF(AD$2=1,Деятельность_УК!$B$51/Параметры!AD$126+AD36+0,AD36+AC111*Параметры!AC$126/Параметры!AD$126)</f>
        <v>126179.68714085578</v>
      </c>
      <c r="AE111" s="82">
        <f ca="1">IF(AE$2=1,Деятельность_УК!$B$51/Параметры!AE$126+AE36+0,AE36+AD111*Параметры!AD$126/Параметры!AE$126)</f>
        <v>213401.28079895151</v>
      </c>
      <c r="AF111" s="82">
        <f ca="1">IF(AF$2=1,Деятельность_УК!$B$51/Параметры!AF$126+AF36+0,AF36+AE111*Параметры!AE$126/Параметры!AF$126)</f>
        <v>306609.51255860919</v>
      </c>
      <c r="AG111" s="82">
        <f ca="1">IF(AG$2=1,Деятельность_УК!$B$51/Параметры!AG$126+AG36+0,AG36+AF111*Параметры!AF$126/Параметры!AG$126)</f>
        <v>383010.72858765209</v>
      </c>
      <c r="AH111" s="82">
        <f ca="1">IF(AH$2=1,Деятельность_УК!$B$51/Параметры!AH$126+AH36+0,AH36+AG111*Параметры!AG$126/Параметры!AH$126)</f>
        <v>465283.99202260684</v>
      </c>
      <c r="AI111" s="82">
        <f ca="1">IF(AI$2=1,Деятельность_УК!$B$51/Параметры!AI$126+AI36+0,AI36+AH111*Параметры!AH$126/Параметры!AI$126)</f>
        <v>553529.26605301281</v>
      </c>
      <c r="AJ111" s="82">
        <f ca="1">IF(AJ$2=1,Деятельность_УК!$B$51/Параметры!AJ$126+AJ36+0,AJ36+AI111*Параметры!AI$126/Параметры!AJ$126)</f>
        <v>647848.47775640432</v>
      </c>
      <c r="AK111" s="82">
        <f ca="1">IF(AK$2=1,Деятельность_УК!$B$51/Параметры!AK$126+AK36+0,AK36+AJ111*Параметры!AJ$126/Параметры!AK$126)</f>
        <v>898196.42765822867</v>
      </c>
      <c r="AL111" s="82">
        <f ca="1">IF(AL$2=1,Деятельность_УК!$B$51/Параметры!AL$126+AL36+0,AL36+AK111*Параметры!AK$126/Параметры!AL$126)</f>
        <v>1000708.9985485501</v>
      </c>
      <c r="AM111" s="82">
        <f ca="1">IF(AM$2=1,Деятельность_УК!$B$51/Параметры!AM$126+AM36+0,AM36+AL111*Параметры!AL$126/Параметры!AM$126)</f>
        <v>1109083.9947565547</v>
      </c>
      <c r="AN111" s="82">
        <f ca="1">IF(AN$2=1,Деятельность_УК!$B$51/Параметры!AN$126+AN36+0,AN36+AM111*Параметры!AM$126/Параметры!AN$126)</f>
        <v>1223059.0565426776</v>
      </c>
      <c r="AO111" s="82">
        <f ca="1">IF(AO$2=1,Деятельность_УК!$B$51/Параметры!AO$126+AO36+0,AO36+AN111*Параметры!AN$126/Параметры!AO$126)</f>
        <v>4536046.0190568455</v>
      </c>
      <c r="AP111" s="82">
        <f ca="1">IF(AP$2=1,Деятельность_УК!$B$51/Параметры!AP$126+AP36+0,AP36+AO111*Параметры!AO$126/Параметры!AP$126)</f>
        <v>4588132.3883563504</v>
      </c>
      <c r="AQ111" s="82">
        <f ca="1">IF(AQ$2=1,Деятельность_УК!$B$51/Параметры!AQ$126+AQ36+0,AQ36+AP111*Параметры!AP$126/Параметры!AQ$126)</f>
        <v>4646911.8096195571</v>
      </c>
      <c r="AR111" s="82">
        <f ca="1">IF(AR$2=1,Деятельность_УК!$B$51/Параметры!AR$126+AR36+0,AR36+AQ111*Параметры!AQ$126/Параметры!AR$126)</f>
        <v>4706592.6706313938</v>
      </c>
    </row>
    <row r="112" spans="1:44" x14ac:dyDescent="0.2">
      <c r="A112" s="63" t="str">
        <f>A68</f>
        <v>Целевое (бюджетное) финансирование</v>
      </c>
      <c r="C112" s="12" t="str">
        <f>Параметры!$C$126</f>
        <v>тыс. руб.</v>
      </c>
      <c r="D112" s="40"/>
      <c r="E112" s="82">
        <f>SUM(Деятельность_УК!$E$544:'Деятельность_УК'!E$544)/Параметры!E$126</f>
        <v>0</v>
      </c>
      <c r="F112" s="82">
        <f ca="1">SUM(Деятельность_УК!$E$544:'Деятельность_УК'!F$544)/Параметры!F$126</f>
        <v>0</v>
      </c>
      <c r="G112" s="82">
        <f ca="1">SUM(Деятельность_УК!$E$544:'Деятельность_УК'!G$544)/Параметры!G$126</f>
        <v>0</v>
      </c>
      <c r="H112" s="82">
        <f ca="1">SUM(Деятельность_УК!$E$544:'Деятельность_УК'!H$544)/Параметры!H$126</f>
        <v>0</v>
      </c>
      <c r="I112" s="82">
        <f ca="1">SUM(Деятельность_УК!$E$544:'Деятельность_УК'!I$544)/Параметры!I$126</f>
        <v>0</v>
      </c>
      <c r="J112" s="82">
        <f ca="1">SUM(Деятельность_УК!$E$544:'Деятельность_УК'!J$544)/Параметры!J$126</f>
        <v>1000.0318861108526</v>
      </c>
      <c r="K112" s="82">
        <f ca="1">SUM(Деятельность_УК!$E$544:'Деятельность_УК'!K$544)/Параметры!K$126</f>
        <v>2000.0637722217052</v>
      </c>
      <c r="L112" s="82">
        <f ca="1">SUM(Деятельность_УК!$E$544:'Деятельность_УК'!L$544)/Параметры!L$126</f>
        <v>3009.5055230634734</v>
      </c>
      <c r="M112" s="82">
        <f ca="1">SUM(Деятельность_УК!$E$544:'Деятельность_УК'!M$544)/Параметры!M$126</f>
        <v>4028.4456813671281</v>
      </c>
      <c r="N112" s="82">
        <f ca="1">SUM(Деятельность_УК!$E$544:'Деятельность_УК'!N$544)/Параметры!N$126</f>
        <v>5056.9736230121953</v>
      </c>
      <c r="O112" s="82">
        <f ca="1">SUM(Деятельность_УК!$E$544:'Деятельность_УК'!O$544)/Параметры!O$126</f>
        <v>14846.836503484534</v>
      </c>
      <c r="P112" s="82">
        <f ca="1">SUM(Деятельность_УК!$E$544:'Деятельность_УК'!P$544)/Параметры!P$126</f>
        <v>16441.487458219995</v>
      </c>
      <c r="Q112" s="82">
        <f ca="1">SUM(Деятельность_УК!$E$544:'Деятельность_УК'!Q$544)/Параметры!Q$126</f>
        <v>18053.917442253212</v>
      </c>
      <c r="R112" s="82">
        <f ca="1">SUM(Деятельность_УК!$E$544:'Деятельность_УК'!R$544)/Параметры!R$126</f>
        <v>19684.324676945314</v>
      </c>
      <c r="S112" s="82">
        <f ca="1">SUM(Деятельность_УК!$E$544:'Деятельность_УК'!S$544)/Параметры!S$126</f>
        <v>25897.776266319641</v>
      </c>
      <c r="T112" s="82">
        <f ca="1">SUM(Деятельность_УК!$E$544:'Деятельность_УК'!T$544)/Параметры!T$126</f>
        <v>53151.438692189746</v>
      </c>
      <c r="U112" s="82">
        <f ca="1">SUM(Деятельность_УК!$E$544:'Деятельность_УК'!U$544)/Параметры!U$126</f>
        <v>86199.847607937205</v>
      </c>
      <c r="V112" s="82">
        <f ca="1">SUM(Деятельность_УК!$E$544:'Деятельность_УК'!V$544)/Параметры!V$126</f>
        <v>119576.08033669132</v>
      </c>
      <c r="W112" s="82">
        <f ca="1">SUM(Деятельность_УК!$E$544:'Деятельность_УК'!W$544)/Параметры!W$126</f>
        <v>226216.1592427991</v>
      </c>
      <c r="X112" s="82">
        <f ca="1">SUM(Деятельность_УК!$E$544:'Деятельность_УК'!X$544)/Параметры!X$126</f>
        <v>266505.82558516006</v>
      </c>
      <c r="Y112" s="82">
        <f ca="1">SUM(Деятельность_УК!$E$544:'Деятельность_УК'!Y$544)/Параметры!Y$126</f>
        <v>307376.09799779952</v>
      </c>
      <c r="Z112" s="82">
        <f ca="1">SUM(Деятельность_УК!$E$544:'Деятельность_УК'!Z$544)/Параметры!Z$126</f>
        <v>365395.63014274545</v>
      </c>
      <c r="AA112" s="82">
        <f ca="1">SUM(Деятельность_УК!$E$544:'Деятельность_УК'!AA$544)/Параметры!AA$126</f>
        <v>407250</v>
      </c>
      <c r="AB112" s="82">
        <f ca="1">SUM(Деятельность_УК!$E$544:'Деятельность_УК'!AB$544)/Параметры!AB$126</f>
        <v>407250</v>
      </c>
      <c r="AC112" s="82">
        <f ca="1">SUM(Деятельность_УК!$E$544:'Деятельность_УК'!AC$544)/Параметры!AC$126</f>
        <v>407250</v>
      </c>
      <c r="AD112" s="82">
        <f ca="1">SUM(Деятельность_УК!$E$544:'Деятельность_УК'!AD$544)/Параметры!AD$126</f>
        <v>407250</v>
      </c>
      <c r="AE112" s="82">
        <f ca="1">SUM(Деятельность_УК!$E$544:'Деятельность_УК'!AE$544)/Параметры!AE$126</f>
        <v>407250</v>
      </c>
      <c r="AF112" s="82">
        <f ca="1">SUM(Деятельность_УК!$E$544:'Деятельность_УК'!AF$544)/Параметры!AF$126</f>
        <v>407250</v>
      </c>
      <c r="AG112" s="82">
        <f ca="1">SUM(Деятельность_УК!$E$544:'Деятельность_УК'!AG$544)/Параметры!AG$126</f>
        <v>407250</v>
      </c>
      <c r="AH112" s="82">
        <f ca="1">SUM(Деятельность_УК!$E$544:'Деятельность_УК'!AH$544)/Параметры!AH$126</f>
        <v>407250</v>
      </c>
      <c r="AI112" s="82">
        <f ca="1">SUM(Деятельность_УК!$E$544:'Деятельность_УК'!AI$544)/Параметры!AI$126</f>
        <v>407250</v>
      </c>
      <c r="AJ112" s="82">
        <f ca="1">SUM(Деятельность_УК!$E$544:'Деятельность_УК'!AJ$544)/Параметры!AJ$126</f>
        <v>407250</v>
      </c>
      <c r="AK112" s="82">
        <f ca="1">SUM(Деятельность_УК!$E$544:'Деятельность_УК'!AK$544)/Параметры!AK$126</f>
        <v>407250</v>
      </c>
      <c r="AL112" s="82">
        <f ca="1">SUM(Деятельность_УК!$E$544:'Деятельность_УК'!AL$544)/Параметры!AL$126</f>
        <v>407250</v>
      </c>
      <c r="AM112" s="82">
        <f ca="1">SUM(Деятельность_УК!$E$544:'Деятельность_УК'!AM$544)/Параметры!AM$126</f>
        <v>407250</v>
      </c>
      <c r="AN112" s="82">
        <f ca="1">SUM(Деятельность_УК!$E$544:'Деятельность_УК'!AN$544)/Параметры!AN$126</f>
        <v>407250</v>
      </c>
      <c r="AO112" s="82">
        <f ca="1">SUM(Деятельность_УК!$E$544:'Деятельность_УК'!AO$544)/Параметры!AO$126</f>
        <v>407250</v>
      </c>
      <c r="AP112" s="82">
        <f ca="1">SUM(Деятельность_УК!$E$544:'Деятельность_УК'!AP$544)/Параметры!AP$126</f>
        <v>407250</v>
      </c>
      <c r="AQ112" s="82">
        <f ca="1">SUM(Деятельность_УК!$E$544:'Деятельность_УК'!AQ$544)/Параметры!AQ$126</f>
        <v>407250</v>
      </c>
      <c r="AR112" s="82">
        <f ca="1">SUM(Деятельность_УК!$E$544:'Деятельность_УК'!AR$544)/Параметры!AR$126</f>
        <v>407250</v>
      </c>
    </row>
    <row r="113" spans="1:46" x14ac:dyDescent="0.2">
      <c r="A113" s="63" t="s">
        <v>256</v>
      </c>
      <c r="C113" s="12" t="str">
        <f>Параметры!$C$126</f>
        <v>тыс. руб.</v>
      </c>
      <c r="D113" s="40"/>
      <c r="E113" s="82">
        <f>IF(E$2=1,(Деятельность_УК!$B$52)/Параметры!E$126,D113*Параметры!D$126/Параметры!E$126)</f>
        <v>42726.027728946181</v>
      </c>
      <c r="F113" s="82">
        <f>IF(F$2=1,(Деятельность_УК!$E$503+Деятельность_УК!$B$52)/Параметры!F$126,E113*Параметры!E$126/Параметры!F$126)</f>
        <v>42726.027728946181</v>
      </c>
      <c r="G113" s="82">
        <f>IF(G$2=1,(Деятельность_УК!$E$503+Деятельность_УК!$B$52)/Параметры!G$126,F113*Параметры!F$126/Параметры!G$126)</f>
        <v>42726.027728946181</v>
      </c>
      <c r="H113" s="82">
        <f>IF(H$2=1,(Деятельность_УК!$E$503+Деятельность_УК!$B$52)/Параметры!H$126,G113*Параметры!G$126/Параметры!H$126)</f>
        <v>42726.027728946181</v>
      </c>
      <c r="I113" s="82">
        <f>IF(I$2=1,(Деятельность_УК!$E$503+Деятельность_УК!$B$52)/Параметры!I$126,H113*Параметры!H$126/Параметры!I$126)</f>
        <v>42726.027728946181</v>
      </c>
      <c r="J113" s="82">
        <f>IF(J$2=1,(Деятельность_УК!$E$503+Деятельность_УК!$B$52)/Параметры!J$126,I113*Параметры!I$126/Параметры!J$126)</f>
        <v>42726.027728946181</v>
      </c>
      <c r="K113" s="82">
        <f>IF(K$2=1,(Деятельность_УК!$E$503+Деятельность_УК!$B$52)/Параметры!K$126,J113*Параметры!J$126/Параметры!K$126)</f>
        <v>42726.027728946181</v>
      </c>
      <c r="L113" s="82">
        <f>IF(L$2=1,(Деятельность_УК!$E$503+Деятельность_УК!$B$52)/Параметры!L$126,K113*Параметры!K$126/Параметры!L$126)</f>
        <v>42726.027728946181</v>
      </c>
      <c r="M113" s="82">
        <f>IF(M$2=1,(Деятельность_УК!$E$503+Деятельность_УК!$B$52)/Параметры!M$126,L113*Параметры!L$126/Параметры!M$126)</f>
        <v>42726.027728946181</v>
      </c>
      <c r="N113" s="82">
        <f>IF(N$2=1,(Деятельность_УК!$E$503+Деятельность_УК!$B$52)/Параметры!N$126,M113*Параметры!M$126/Параметры!N$126)</f>
        <v>42726.027728946181</v>
      </c>
      <c r="O113" s="82">
        <f>IF(O$2=1,(Деятельность_УК!$E$503+Деятельность_УК!$B$52)/Параметры!O$126,N113*Параметры!N$126/Параметры!O$126)</f>
        <v>42726.027728946181</v>
      </c>
      <c r="P113" s="82">
        <f>IF(P$2=1,(Деятельность_УК!$E$503+Деятельность_УК!$B$52)/Параметры!P$126,O113*Параметры!O$126/Параметры!P$126)</f>
        <v>42726.027728946181</v>
      </c>
      <c r="Q113" s="82">
        <f>IF(Q$2=1,(Деятельность_УК!$E$503+Деятельность_УК!$B$52)/Параметры!Q$126,P113*Параметры!P$126/Параметры!Q$126)</f>
        <v>42726.027728946181</v>
      </c>
      <c r="R113" s="82">
        <f>IF(R$2=1,(Деятельность_УК!$E$503+Деятельность_УК!$B$52)/Параметры!R$126,Q113*Параметры!Q$126/Параметры!R$126)</f>
        <v>42726.027728946181</v>
      </c>
      <c r="S113" s="82">
        <f>IF(S$2=1,(Деятельность_УК!$E$503+Деятельность_УК!$B$52)/Параметры!S$126,R113*Параметры!R$126/Параметры!S$126)</f>
        <v>42726.027728946181</v>
      </c>
      <c r="T113" s="82">
        <f>IF(T$2=1,(Деятельность_УК!$E$503+Деятельность_УК!$B$52)/Параметры!T$126,S113*Параметры!S$126/Параметры!T$126)</f>
        <v>42726.027728946181</v>
      </c>
      <c r="U113" s="82">
        <f>IF(U$2=1,(Деятельность_УК!$E$503+Деятельность_УК!$B$52)/Параметры!U$126,T113*Параметры!T$126/Параметры!U$126)</f>
        <v>42726.027728946181</v>
      </c>
      <c r="V113" s="82">
        <f>IF(V$2=1,(Деятельность_УК!$E$503+Деятельность_УК!$B$52)/Параметры!V$126,U113*Параметры!U$126/Параметры!V$126)</f>
        <v>42726.027728946181</v>
      </c>
      <c r="W113" s="82">
        <f>IF(W$2=1,(Деятельность_УК!$E$503+Деятельность_УК!$B$52)/Параметры!W$126,V113*Параметры!V$126/Параметры!W$126)</f>
        <v>42726.027728946181</v>
      </c>
      <c r="X113" s="82">
        <f>IF(X$2=1,(Деятельность_УК!$E$503+Деятельность_УК!$B$52)/Параметры!X$126,W113*Параметры!W$126/Параметры!X$126)</f>
        <v>42726.027728946181</v>
      </c>
      <c r="Y113" s="82">
        <f>IF(Y$2=1,(Деятельность_УК!$E$503+Деятельность_УК!$B$52)/Параметры!Y$126,X113*Параметры!X$126/Параметры!Y$126)</f>
        <v>42726.027728946181</v>
      </c>
      <c r="Z113" s="82">
        <f>IF(Z$2=1,(Деятельность_УК!$E$503+Деятельность_УК!$B$52)/Параметры!Z$126,Y113*Параметры!Y$126/Параметры!Z$126)</f>
        <v>42726.027728946181</v>
      </c>
      <c r="AA113" s="82">
        <f>IF(AA$2=1,(Деятельность_УК!$E$503+Деятельность_УК!$B$52)/Параметры!AA$126,Z113*Параметры!Z$126/Параметры!AA$126)</f>
        <v>42726.027728946181</v>
      </c>
      <c r="AB113" s="82">
        <f>IF(AB$2=1,(Деятельность_УК!$E$503+Деятельность_УК!$B$52)/Параметры!AB$126,AA113*Параметры!AA$126/Параметры!AB$126)</f>
        <v>42726.027728946181</v>
      </c>
      <c r="AC113" s="82">
        <f>IF(AC$2=1,(Деятельность_УК!$E$503+Деятельность_УК!$B$52)/Параметры!AC$126,AB113*Параметры!AB$126/Параметры!AC$126)</f>
        <v>42726.027728946181</v>
      </c>
      <c r="AD113" s="82">
        <f>IF(AD$2=1,(Деятельность_УК!$E$503+Деятельность_УК!$B$52)/Параметры!AD$126,AC113*Параметры!AC$126/Параметры!AD$126)</f>
        <v>42726.027728946181</v>
      </c>
      <c r="AE113" s="82">
        <f>IF(AE$2=1,(Деятельность_УК!$E$503+Деятельность_УК!$B$52)/Параметры!AE$126,AD113*Параметры!AD$126/Параметры!AE$126)</f>
        <v>42726.027728946181</v>
      </c>
      <c r="AF113" s="82">
        <f>IF(AF$2=1,(Деятельность_УК!$E$503+Деятельность_УК!$B$52)/Параметры!AF$126,AE113*Параметры!AE$126/Параметры!AF$126)</f>
        <v>42726.027728946181</v>
      </c>
      <c r="AG113" s="82">
        <f>IF(AG$2=1,(Деятельность_УК!$E$503+Деятельность_УК!$B$52)/Параметры!AG$126,AF113*Параметры!AF$126/Параметры!AG$126)</f>
        <v>42726.027728946181</v>
      </c>
      <c r="AH113" s="82">
        <f>IF(AH$2=1,(Деятельность_УК!$E$503+Деятельность_УК!$B$52)/Параметры!AH$126,AG113*Параметры!AG$126/Параметры!AH$126)</f>
        <v>42726.027728946181</v>
      </c>
      <c r="AI113" s="82">
        <f>IF(AI$2=1,(Деятельность_УК!$E$503+Деятельность_УК!$B$52)/Параметры!AI$126,AH113*Параметры!AH$126/Параметры!AI$126)</f>
        <v>42726.027728946181</v>
      </c>
      <c r="AJ113" s="82">
        <f>IF(AJ$2=1,(Деятельность_УК!$E$503+Деятельность_УК!$B$52)/Параметры!AJ$126,AI113*Параметры!AI$126/Параметры!AJ$126)</f>
        <v>42726.027728946181</v>
      </c>
      <c r="AK113" s="82">
        <f>IF(AK$2=1,(Деятельность_УК!$E$503+Деятельность_УК!$B$52)/Параметры!AK$126,AJ113*Параметры!AJ$126/Параметры!AK$126)</f>
        <v>42726.027728946181</v>
      </c>
      <c r="AL113" s="82">
        <f>IF(AL$2=1,(Деятельность_УК!$E$503+Деятельность_УК!$B$52)/Параметры!AL$126,AK113*Параметры!AK$126/Параметры!AL$126)</f>
        <v>42726.027728946181</v>
      </c>
      <c r="AM113" s="82">
        <f>IF(AM$2=1,(Деятельность_УК!$E$503+Деятельность_УК!$B$52)/Параметры!AM$126,AL113*Параметры!AL$126/Параметры!AM$126)</f>
        <v>42726.027728946181</v>
      </c>
      <c r="AN113" s="82">
        <f>IF(AN$2=1,(Деятельность_УК!$E$503+Деятельность_УК!$B$52)/Параметры!AN$126,AM113*Параметры!AM$126/Параметры!AN$126)</f>
        <v>42726.027728946181</v>
      </c>
      <c r="AO113" s="82">
        <f>IF(AO$2=1,(Деятельность_УК!$E$503+Деятельность_УК!$B$52)/Параметры!AO$126,AN113*Параметры!AN$126/Параметры!AO$126)</f>
        <v>42726.027728946181</v>
      </c>
      <c r="AP113" s="82">
        <f>IF(AP$2=1,(Деятельность_УК!$E$503+Деятельность_УК!$B$52)/Параметры!AP$126,AO113*Параметры!AO$126/Параметры!AP$126)</f>
        <v>42726.027728946181</v>
      </c>
      <c r="AQ113" s="82">
        <f>IF(AQ$2=1,(Деятельность_УК!$E$503+Деятельность_УК!$B$52)/Параметры!AQ$126,AP113*Параметры!AP$126/Параметры!AQ$126)</f>
        <v>42726.027728946181</v>
      </c>
      <c r="AR113" s="82">
        <f>IF(AR$2=1,(Деятельность_УК!$E$503+Деятельность_УК!$B$52)/Параметры!AR$126,AQ113*Параметры!AQ$126/Параметры!AR$126)</f>
        <v>42726.027728946181</v>
      </c>
    </row>
    <row r="114" spans="1:46" x14ac:dyDescent="0.2">
      <c r="A114" s="76" t="s">
        <v>120</v>
      </c>
      <c r="B114" s="166"/>
      <c r="C114" s="13" t="str">
        <f>Параметры!$C$126</f>
        <v>тыс. руб.</v>
      </c>
      <c r="D114" s="78"/>
      <c r="E114" s="167">
        <f t="shared" ref="E114:AB114" ca="1" si="31">SUM(E110:E113)</f>
        <v>46761.710983121287</v>
      </c>
      <c r="F114" s="167">
        <f t="shared" ca="1" si="31"/>
        <v>54338.567649787954</v>
      </c>
      <c r="G114" s="167">
        <f t="shared" ca="1" si="31"/>
        <v>77049.875311233685</v>
      </c>
      <c r="H114" s="167">
        <f t="shared" ca="1" si="31"/>
        <v>98447.93097044625</v>
      </c>
      <c r="I114" s="167">
        <f t="shared" ca="1" si="31"/>
        <v>154463.57559098065</v>
      </c>
      <c r="J114" s="167">
        <f t="shared" ca="1" si="31"/>
        <v>242262.60625245853</v>
      </c>
      <c r="K114" s="167">
        <f t="shared" ca="1" si="31"/>
        <v>348998.6825833678</v>
      </c>
      <c r="L114" s="167">
        <f t="shared" ca="1" si="31"/>
        <v>418193.41580188228</v>
      </c>
      <c r="M114" s="167">
        <f t="shared" ca="1" si="31"/>
        <v>539532.06420295336</v>
      </c>
      <c r="N114" s="167">
        <f t="shared" ca="1" si="31"/>
        <v>745779.6623615172</v>
      </c>
      <c r="O114" s="167">
        <f t="shared" ca="1" si="31"/>
        <v>1029898.7436350128</v>
      </c>
      <c r="P114" s="167">
        <f t="shared" ca="1" si="31"/>
        <v>1210297.5566437787</v>
      </c>
      <c r="Q114" s="167">
        <f t="shared" ca="1" si="31"/>
        <v>1518679.8036473978</v>
      </c>
      <c r="R114" s="167">
        <f t="shared" ca="1" si="31"/>
        <v>1982972.4715534311</v>
      </c>
      <c r="S114" s="167">
        <f t="shared" ca="1" si="31"/>
        <v>2480858.1308033653</v>
      </c>
      <c r="T114" s="167">
        <f t="shared" ca="1" si="31"/>
        <v>2837725.0125897704</v>
      </c>
      <c r="U114" s="167">
        <f t="shared" ca="1" si="31"/>
        <v>2981345.2832111809</v>
      </c>
      <c r="V114" s="167">
        <f t="shared" ca="1" si="31"/>
        <v>3137008.2632832639</v>
      </c>
      <c r="W114" s="167">
        <f t="shared" ca="1" si="31"/>
        <v>3372012.9558569966</v>
      </c>
      <c r="X114" s="167">
        <f t="shared" ca="1" si="31"/>
        <v>3546854.1418068819</v>
      </c>
      <c r="Y114" s="167">
        <f t="shared" ca="1" si="31"/>
        <v>3728574.0141822556</v>
      </c>
      <c r="Z114" s="167">
        <f t="shared" ca="1" si="31"/>
        <v>3933810.986323691</v>
      </c>
      <c r="AA114" s="167">
        <f t="shared" ca="1" si="31"/>
        <v>4129365.2321249843</v>
      </c>
      <c r="AB114" s="167">
        <f t="shared" ca="1" si="31"/>
        <v>4289664.393845628</v>
      </c>
      <c r="AC114" s="167">
        <f t="shared" ref="AC114:AR114" ca="1" si="32">SUM(AC110:AC113)</f>
        <v>4448797.0256692851</v>
      </c>
      <c r="AD114" s="167">
        <f t="shared" ca="1" si="32"/>
        <v>4608050.6386144469</v>
      </c>
      <c r="AE114" s="167">
        <f t="shared" ca="1" si="32"/>
        <v>4773165.9777436359</v>
      </c>
      <c r="AF114" s="167">
        <f t="shared" ca="1" si="32"/>
        <v>4944249.3141353419</v>
      </c>
      <c r="AG114" s="167">
        <f t="shared" ca="1" si="32"/>
        <v>5097619.4577231733</v>
      </c>
      <c r="AH114" s="167">
        <f t="shared" ca="1" si="32"/>
        <v>5256960.6231713835</v>
      </c>
      <c r="AI114" s="167">
        <f t="shared" ca="1" si="32"/>
        <v>5422375.016494412</v>
      </c>
      <c r="AJ114" s="167">
        <f t="shared" ca="1" si="32"/>
        <v>5593966.8583762432</v>
      </c>
      <c r="AK114" s="167">
        <f t="shared" ca="1" si="32"/>
        <v>5921693.2948792754</v>
      </c>
      <c r="AL114" s="167">
        <f t="shared" ca="1" si="32"/>
        <v>6101692.6074359464</v>
      </c>
      <c r="AM114" s="167">
        <f t="shared" ca="1" si="32"/>
        <v>6273216.627710321</v>
      </c>
      <c r="AN114" s="167">
        <f t="shared" ca="1" si="32"/>
        <v>6387191.6894964445</v>
      </c>
      <c r="AO114" s="167">
        <f t="shared" ca="1" si="32"/>
        <v>9700178.6520106141</v>
      </c>
      <c r="AP114" s="167">
        <f t="shared" ca="1" si="32"/>
        <v>9752265.021310119</v>
      </c>
      <c r="AQ114" s="167">
        <f t="shared" ca="1" si="32"/>
        <v>9811044.4425733257</v>
      </c>
      <c r="AR114" s="167">
        <f t="shared" ca="1" si="32"/>
        <v>9870725.3035851624</v>
      </c>
    </row>
    <row r="115" spans="1:46" x14ac:dyDescent="0.2">
      <c r="A115" s="44"/>
      <c r="D115" s="40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</row>
    <row r="116" spans="1:46" x14ac:dyDescent="0.2">
      <c r="A116" s="80" t="s">
        <v>121</v>
      </c>
      <c r="B116" s="170"/>
      <c r="C116" s="14" t="str">
        <f>Параметры!$C$126</f>
        <v>тыс. руб.</v>
      </c>
      <c r="D116" s="78"/>
      <c r="E116" s="171">
        <f t="shared" ref="E116:AR116" ca="1" si="33">E105+E108+E114</f>
        <v>926173.37189561292</v>
      </c>
      <c r="F116" s="171">
        <f t="shared" ca="1" si="33"/>
        <v>1260543.9785622796</v>
      </c>
      <c r="G116" s="171">
        <f t="shared" ca="1" si="33"/>
        <v>1323887.7025456522</v>
      </c>
      <c r="H116" s="171">
        <f t="shared" ca="1" si="33"/>
        <v>1393381.9569623864</v>
      </c>
      <c r="I116" s="171">
        <f t="shared" ca="1" si="33"/>
        <v>1484028.0370861499</v>
      </c>
      <c r="J116" s="171">
        <f t="shared" ca="1" si="33"/>
        <v>1675958.1378983823</v>
      </c>
      <c r="K116" s="171">
        <f t="shared" ca="1" si="33"/>
        <v>1928849.9988715979</v>
      </c>
      <c r="L116" s="171">
        <f t="shared" ca="1" si="33"/>
        <v>2057805.4445008684</v>
      </c>
      <c r="M116" s="171">
        <f t="shared" ca="1" si="33"/>
        <v>2320765.2392201102</v>
      </c>
      <c r="N116" s="171">
        <f t="shared" ca="1" si="33"/>
        <v>2858149.8355089012</v>
      </c>
      <c r="O116" s="171">
        <f t="shared" ca="1" si="33"/>
        <v>3643446.3107631085</v>
      </c>
      <c r="P116" s="171">
        <f t="shared" ca="1" si="33"/>
        <v>4084757.3658864051</v>
      </c>
      <c r="Q116" s="171">
        <f t="shared" ca="1" si="33"/>
        <v>4522591.2721076095</v>
      </c>
      <c r="R116" s="171">
        <f t="shared" ca="1" si="33"/>
        <v>5459073.9232334439</v>
      </c>
      <c r="S116" s="171">
        <f t="shared" ca="1" si="33"/>
        <v>6485134.0447401172</v>
      </c>
      <c r="T116" s="171">
        <f t="shared" ca="1" si="33"/>
        <v>7023874.3063468691</v>
      </c>
      <c r="U116" s="171">
        <f t="shared" ca="1" si="33"/>
        <v>6994596.0731244143</v>
      </c>
      <c r="V116" s="171">
        <f t="shared" ca="1" si="33"/>
        <v>6973575.2167915106</v>
      </c>
      <c r="W116" s="171">
        <f t="shared" ca="1" si="33"/>
        <v>7028027.0730814235</v>
      </c>
      <c r="X116" s="171">
        <f t="shared" ca="1" si="33"/>
        <v>7018361.4986355342</v>
      </c>
      <c r="Y116" s="171">
        <f t="shared" ca="1" si="33"/>
        <v>7011533.8940491742</v>
      </c>
      <c r="Z116" s="171">
        <f t="shared" ca="1" si="33"/>
        <v>7024093.5526616629</v>
      </c>
      <c r="AA116" s="171">
        <f t="shared" ca="1" si="33"/>
        <v>7022750.399056524</v>
      </c>
      <c r="AB116" s="171">
        <f t="shared" ca="1" si="33"/>
        <v>6981839.4272616478</v>
      </c>
      <c r="AC116" s="171">
        <f t="shared" ca="1" si="33"/>
        <v>6943579.2385393176</v>
      </c>
      <c r="AD116" s="171">
        <f t="shared" ca="1" si="33"/>
        <v>6899406.6733655017</v>
      </c>
      <c r="AE116" s="171">
        <f t="shared" ca="1" si="33"/>
        <v>6850875.3879509633</v>
      </c>
      <c r="AF116" s="171">
        <f t="shared" ca="1" si="33"/>
        <v>6803627.4873780701</v>
      </c>
      <c r="AG116" s="171">
        <f t="shared" ca="1" si="33"/>
        <v>6759738.40407997</v>
      </c>
      <c r="AH116" s="171">
        <f t="shared" ca="1" si="33"/>
        <v>6691005.0421509361</v>
      </c>
      <c r="AI116" s="171">
        <f t="shared" ca="1" si="33"/>
        <v>6623348.9435655493</v>
      </c>
      <c r="AJ116" s="171">
        <f t="shared" ca="1" si="33"/>
        <v>6556764.5476921229</v>
      </c>
      <c r="AK116" s="171">
        <f t="shared" ca="1" si="33"/>
        <v>6677974.4978635665</v>
      </c>
      <c r="AL116" s="171">
        <f t="shared" ca="1" si="33"/>
        <v>6570141.6928933812</v>
      </c>
      <c r="AM116" s="171">
        <f t="shared" ca="1" si="33"/>
        <v>6536520.3802243117</v>
      </c>
      <c r="AN116" s="171">
        <f t="shared" ca="1" si="33"/>
        <v>6440670.2646149332</v>
      </c>
      <c r="AO116" s="171">
        <f t="shared" ca="1" si="33"/>
        <v>11822672.99245321</v>
      </c>
      <c r="AP116" s="171">
        <f t="shared" ca="1" si="33"/>
        <v>9799788.1166330483</v>
      </c>
      <c r="AQ116" s="171">
        <f t="shared" ca="1" si="33"/>
        <v>9861835.6399512943</v>
      </c>
      <c r="AR116" s="171">
        <f t="shared" ca="1" si="33"/>
        <v>9921890.1790043022</v>
      </c>
    </row>
    <row r="117" spans="1:46" x14ac:dyDescent="0.2">
      <c r="A117" s="33" t="s">
        <v>156</v>
      </c>
      <c r="B117" s="30"/>
      <c r="C117" s="31" t="str">
        <f ca="1">IF(OR(MAX($E117:OFFSET($E117,0,Параметры!$B$24-1))&lt;&gt;0,MIN($E117:OFFSET($E117,0,Параметры!$B$24-1))&lt;&gt;0),"Balance error detected","Ok")</f>
        <v>Ok</v>
      </c>
      <c r="D117" s="40"/>
      <c r="E117" s="30">
        <f t="shared" ref="E117:AR117" ca="1" si="34">ROUND(E99-E116,0)</f>
        <v>0</v>
      </c>
      <c r="F117" s="30">
        <f t="shared" ca="1" si="34"/>
        <v>0</v>
      </c>
      <c r="G117" s="30">
        <f t="shared" ca="1" si="34"/>
        <v>0</v>
      </c>
      <c r="H117" s="30">
        <f t="shared" ca="1" si="34"/>
        <v>0</v>
      </c>
      <c r="I117" s="30">
        <f t="shared" ca="1" si="34"/>
        <v>0</v>
      </c>
      <c r="J117" s="30">
        <f t="shared" ca="1" si="34"/>
        <v>0</v>
      </c>
      <c r="K117" s="30">
        <f t="shared" ca="1" si="34"/>
        <v>0</v>
      </c>
      <c r="L117" s="30">
        <f t="shared" ca="1" si="34"/>
        <v>0</v>
      </c>
      <c r="M117" s="30">
        <f t="shared" ca="1" si="34"/>
        <v>0</v>
      </c>
      <c r="N117" s="30">
        <f t="shared" ca="1" si="34"/>
        <v>0</v>
      </c>
      <c r="O117" s="30">
        <f t="shared" ca="1" si="34"/>
        <v>0</v>
      </c>
      <c r="P117" s="30">
        <f t="shared" ca="1" si="34"/>
        <v>0</v>
      </c>
      <c r="Q117" s="30">
        <f t="shared" ca="1" si="34"/>
        <v>0</v>
      </c>
      <c r="R117" s="30">
        <f t="shared" ca="1" si="34"/>
        <v>0</v>
      </c>
      <c r="S117" s="30">
        <f t="shared" ca="1" si="34"/>
        <v>0</v>
      </c>
      <c r="T117" s="30">
        <f t="shared" ca="1" si="34"/>
        <v>0</v>
      </c>
      <c r="U117" s="30">
        <f t="shared" ca="1" si="34"/>
        <v>0</v>
      </c>
      <c r="V117" s="30">
        <f t="shared" ca="1" si="34"/>
        <v>0</v>
      </c>
      <c r="W117" s="30">
        <f t="shared" ca="1" si="34"/>
        <v>0</v>
      </c>
      <c r="X117" s="30">
        <f t="shared" ca="1" si="34"/>
        <v>0</v>
      </c>
      <c r="Y117" s="30">
        <f t="shared" ca="1" si="34"/>
        <v>0</v>
      </c>
      <c r="Z117" s="30">
        <f t="shared" ca="1" si="34"/>
        <v>0</v>
      </c>
      <c r="AA117" s="30">
        <f t="shared" ca="1" si="34"/>
        <v>0</v>
      </c>
      <c r="AB117" s="30">
        <f t="shared" ca="1" si="34"/>
        <v>0</v>
      </c>
      <c r="AC117" s="30">
        <f t="shared" ca="1" si="34"/>
        <v>0</v>
      </c>
      <c r="AD117" s="30">
        <f t="shared" ca="1" si="34"/>
        <v>0</v>
      </c>
      <c r="AE117" s="30">
        <f t="shared" ca="1" si="34"/>
        <v>0</v>
      </c>
      <c r="AF117" s="30">
        <f t="shared" ca="1" si="34"/>
        <v>0</v>
      </c>
      <c r="AG117" s="30">
        <f t="shared" ca="1" si="34"/>
        <v>0</v>
      </c>
      <c r="AH117" s="30">
        <f t="shared" ca="1" si="34"/>
        <v>0</v>
      </c>
      <c r="AI117" s="30">
        <f t="shared" ca="1" si="34"/>
        <v>0</v>
      </c>
      <c r="AJ117" s="30">
        <f t="shared" ca="1" si="34"/>
        <v>0</v>
      </c>
      <c r="AK117" s="30">
        <f t="shared" ca="1" si="34"/>
        <v>0</v>
      </c>
      <c r="AL117" s="30">
        <f t="shared" ca="1" si="34"/>
        <v>0</v>
      </c>
      <c r="AM117" s="30">
        <f t="shared" ca="1" si="34"/>
        <v>0</v>
      </c>
      <c r="AN117" s="30">
        <f t="shared" ca="1" si="34"/>
        <v>0</v>
      </c>
      <c r="AO117" s="30">
        <f t="shared" ca="1" si="34"/>
        <v>0</v>
      </c>
      <c r="AP117" s="30">
        <f t="shared" ca="1" si="34"/>
        <v>0</v>
      </c>
      <c r="AQ117" s="30">
        <f t="shared" ca="1" si="34"/>
        <v>0</v>
      </c>
      <c r="AR117" s="30">
        <f t="shared" ca="1" si="34"/>
        <v>0</v>
      </c>
    </row>
    <row r="118" spans="1:46" ht="12" thickBot="1" x14ac:dyDescent="0.25">
      <c r="D118" s="40"/>
    </row>
    <row r="119" spans="1:46" s="43" customFormat="1" ht="25.5" customHeight="1" thickBot="1" x14ac:dyDescent="0.25">
      <c r="A119" s="481" t="s">
        <v>122</v>
      </c>
      <c r="B119" s="479"/>
      <c r="C119" s="485"/>
      <c r="D119" s="486"/>
      <c r="E119" s="479" t="str">
        <f>CHOOSE($D$2,Параметры!E$53,Параметры!E$54)</f>
        <v>1 кв. 2020</v>
      </c>
      <c r="F119" s="479" t="str">
        <f>CHOOSE($D$2,Параметры!F$53,Параметры!F$54)</f>
        <v>2 кв. 2020</v>
      </c>
      <c r="G119" s="479" t="str">
        <f>CHOOSE($D$2,Параметры!G$53,Параметры!G$54)</f>
        <v>3 кв. 2020</v>
      </c>
      <c r="H119" s="479" t="str">
        <f>CHOOSE($D$2,Параметры!H$53,Параметры!H$54)</f>
        <v>4 кв. 2020</v>
      </c>
      <c r="I119" s="479" t="str">
        <f>CHOOSE($D$2,Параметры!I$53,Параметры!I$54)</f>
        <v>1 кв. 2021</v>
      </c>
      <c r="J119" s="479" t="str">
        <f>CHOOSE($D$2,Параметры!J$53,Параметры!J$54)</f>
        <v>2 кв. 2021</v>
      </c>
      <c r="K119" s="479" t="str">
        <f>CHOOSE($D$2,Параметры!K$53,Параметры!K$54)</f>
        <v>3 кв. 2021</v>
      </c>
      <c r="L119" s="479" t="str">
        <f>CHOOSE($D$2,Параметры!L$53,Параметры!L$54)</f>
        <v>4 кв. 2021</v>
      </c>
      <c r="M119" s="479" t="str">
        <f>CHOOSE($D$2,Параметры!M$53,Параметры!M$54)</f>
        <v>1 кв. 2022</v>
      </c>
      <c r="N119" s="479" t="str">
        <f>CHOOSE($D$2,Параметры!N$53,Параметры!N$54)</f>
        <v>2 кв. 2022</v>
      </c>
      <c r="O119" s="479" t="str">
        <f>CHOOSE($D$2,Параметры!O$53,Параметры!O$54)</f>
        <v>3 кв. 2022</v>
      </c>
      <c r="P119" s="479" t="str">
        <f>CHOOSE($D$2,Параметры!P$53,Параметры!P$54)</f>
        <v>4 кв. 2022</v>
      </c>
      <c r="Q119" s="479" t="str">
        <f>CHOOSE($D$2,Параметры!Q$53,Параметры!Q$54)</f>
        <v>1 кв. 2023</v>
      </c>
      <c r="R119" s="479" t="str">
        <f>CHOOSE($D$2,Параметры!R$53,Параметры!R$54)</f>
        <v>2 кв. 2023</v>
      </c>
      <c r="S119" s="479" t="str">
        <f>CHOOSE($D$2,Параметры!S$53,Параметры!S$54)</f>
        <v>3 кв. 2023</v>
      </c>
      <c r="T119" s="479" t="str">
        <f>CHOOSE($D$2,Параметры!T$53,Параметры!T$54)</f>
        <v>4 кв. 2023</v>
      </c>
      <c r="U119" s="479" t="str">
        <f>CHOOSE($D$2,Параметры!U$53,Параметры!U$54)</f>
        <v>1 кв. 2024</v>
      </c>
      <c r="V119" s="479" t="str">
        <f>CHOOSE($D$2,Параметры!V$53,Параметры!V$54)</f>
        <v>2 кв. 2024</v>
      </c>
      <c r="W119" s="479" t="str">
        <f>CHOOSE($D$2,Параметры!W$53,Параметры!W$54)</f>
        <v>3 кв. 2024</v>
      </c>
      <c r="X119" s="479" t="str">
        <f>CHOOSE($D$2,Параметры!X$53,Параметры!X$54)</f>
        <v>4 кв. 2024</v>
      </c>
      <c r="Y119" s="479" t="str">
        <f>CHOOSE($D$2,Параметры!Y$53,Параметры!Y$54)</f>
        <v>1 кв. 2025</v>
      </c>
      <c r="Z119" s="479" t="str">
        <f>CHOOSE($D$2,Параметры!Z$53,Параметры!Z$54)</f>
        <v>2 кв. 2025</v>
      </c>
      <c r="AA119" s="479" t="str">
        <f>CHOOSE($D$2,Параметры!AA$53,Параметры!AA$54)</f>
        <v>3 кв. 2025</v>
      </c>
      <c r="AB119" s="479" t="str">
        <f>CHOOSE($D$2,Параметры!AB$53,Параметры!AB$54)</f>
        <v>4 кв. 2025</v>
      </c>
      <c r="AC119" s="479" t="str">
        <f>CHOOSE($D$2,Параметры!AC$53,Параметры!AC$54)</f>
        <v>1 кв. 2026</v>
      </c>
      <c r="AD119" s="479" t="str">
        <f>CHOOSE($D$2,Параметры!AD$53,Параметры!AD$54)</f>
        <v>2 кв. 2026</v>
      </c>
      <c r="AE119" s="479" t="str">
        <f>CHOOSE($D$2,Параметры!AE$53,Параметры!AE$54)</f>
        <v>3 кв. 2026</v>
      </c>
      <c r="AF119" s="479" t="str">
        <f>CHOOSE($D$2,Параметры!AF$53,Параметры!AF$54)</f>
        <v>4 кв. 2026</v>
      </c>
      <c r="AG119" s="479" t="str">
        <f>CHOOSE($D$2,Параметры!AG$53,Параметры!AG$54)</f>
        <v>1 кв. 2027</v>
      </c>
      <c r="AH119" s="479" t="str">
        <f>CHOOSE($D$2,Параметры!AH$53,Параметры!AH$54)</f>
        <v>2 кв. 2027</v>
      </c>
      <c r="AI119" s="479" t="str">
        <f>CHOOSE($D$2,Параметры!AI$53,Параметры!AI$54)</f>
        <v>3 кв. 2027</v>
      </c>
      <c r="AJ119" s="479" t="str">
        <f>CHOOSE($D$2,Параметры!AJ$53,Параметры!AJ$54)</f>
        <v>4 кв. 2027</v>
      </c>
      <c r="AK119" s="479" t="str">
        <f>CHOOSE($D$2,Параметры!AK$53,Параметры!AK$54)</f>
        <v>1 кв. 2028</v>
      </c>
      <c r="AL119" s="479" t="str">
        <f>CHOOSE($D$2,Параметры!AL$53,Параметры!AL$54)</f>
        <v>2 кв. 2028</v>
      </c>
      <c r="AM119" s="479" t="str">
        <f>CHOOSE($D$2,Параметры!AM$53,Параметры!AM$54)</f>
        <v>3 кв. 2028</v>
      </c>
      <c r="AN119" s="479" t="str">
        <f>CHOOSE($D$2,Параметры!AN$53,Параметры!AN$54)</f>
        <v>4 кв. 2028</v>
      </c>
      <c r="AO119" s="479" t="str">
        <f>CHOOSE($D$2,Параметры!AO$53,Параметры!AO$54)</f>
        <v>1 кв. 2029</v>
      </c>
      <c r="AP119" s="479" t="str">
        <f>CHOOSE($D$2,Параметры!AP$53,Параметры!AP$54)</f>
        <v>2 кв. 2029</v>
      </c>
      <c r="AQ119" s="479" t="str">
        <f>CHOOSE($D$2,Параметры!AQ$53,Параметры!AQ$54)</f>
        <v>3 кв. 2029</v>
      </c>
      <c r="AR119" s="479" t="str">
        <f>CHOOSE($D$2,Параметры!AR$53,Параметры!AR$54)</f>
        <v>4 кв. 2029</v>
      </c>
      <c r="AS119" s="483"/>
      <c r="AT119" s="484"/>
    </row>
    <row r="120" spans="1:46" x14ac:dyDescent="0.2">
      <c r="A120" s="44"/>
      <c r="D120" s="40"/>
      <c r="AS120" s="41"/>
      <c r="AT120" s="41"/>
    </row>
    <row r="121" spans="1:46" s="104" customFormat="1" x14ac:dyDescent="0.2">
      <c r="A121" s="33" t="s">
        <v>339</v>
      </c>
      <c r="B121" s="192"/>
      <c r="C121" s="193"/>
      <c r="D121" s="116"/>
      <c r="AS121" s="75"/>
      <c r="AT121" s="75"/>
    </row>
    <row r="122" spans="1:46" s="104" customFormat="1" x14ac:dyDescent="0.2">
      <c r="A122" s="226" t="s">
        <v>104</v>
      </c>
      <c r="B122" s="227"/>
      <c r="C122" s="228" t="str">
        <f>Параметры!$C$126</f>
        <v>тыс. руб.</v>
      </c>
      <c r="D122" s="117"/>
      <c r="E122" s="229">
        <f t="shared" ref="E122:AR122" ca="1" si="35">E21</f>
        <v>-4416.3634298248926</v>
      </c>
      <c r="F122" s="229">
        <f t="shared" ca="1" si="35"/>
        <v>-4416.3634298248926</v>
      </c>
      <c r="G122" s="229">
        <f t="shared" ca="1" si="35"/>
        <v>14826.826675834731</v>
      </c>
      <c r="H122" s="229">
        <f t="shared" ca="1" si="35"/>
        <v>20508.793233514818</v>
      </c>
      <c r="I122" s="229">
        <f t="shared" ca="1" si="35"/>
        <v>25695.797256952319</v>
      </c>
      <c r="J122" s="229">
        <f t="shared" ca="1" si="35"/>
        <v>25943.851768218137</v>
      </c>
      <c r="K122" s="229">
        <f t="shared" ca="1" si="35"/>
        <v>22441.634240945037</v>
      </c>
      <c r="L122" s="229">
        <f t="shared" ca="1" si="35"/>
        <v>22473.986503500117</v>
      </c>
      <c r="M122" s="229">
        <f t="shared" ca="1" si="35"/>
        <v>41073.62338923652</v>
      </c>
      <c r="N122" s="229">
        <f t="shared" ca="1" si="35"/>
        <v>42080.069476985969</v>
      </c>
      <c r="O122" s="229">
        <f t="shared" ca="1" si="35"/>
        <v>42459.163772168475</v>
      </c>
      <c r="P122" s="229">
        <f t="shared" ca="1" si="35"/>
        <v>41611.669589538105</v>
      </c>
      <c r="Q122" s="229">
        <f t="shared" ca="1" si="35"/>
        <v>51683.55795991185</v>
      </c>
      <c r="R122" s="229">
        <f t="shared" ca="1" si="35"/>
        <v>52514.702461148314</v>
      </c>
      <c r="S122" s="229">
        <f t="shared" ca="1" si="35"/>
        <v>53006.284168552753</v>
      </c>
      <c r="T122" s="229">
        <f t="shared" ca="1" si="35"/>
        <v>53501.975339102784</v>
      </c>
      <c r="U122" s="229">
        <f t="shared" ca="1" si="35"/>
        <v>191681.21503757124</v>
      </c>
      <c r="V122" s="229">
        <f t="shared" ca="1" si="35"/>
        <v>199551.49265594812</v>
      </c>
      <c r="W122" s="229">
        <f t="shared" ca="1" si="35"/>
        <v>201700.36599691174</v>
      </c>
      <c r="X122" s="229">
        <f t="shared" ca="1" si="35"/>
        <v>203872.03770207416</v>
      </c>
      <c r="Y122" s="229">
        <f t="shared" ca="1" si="35"/>
        <v>206066.74536479975</v>
      </c>
      <c r="Z122" s="229">
        <f t="shared" ca="1" si="35"/>
        <v>208241.13521927394</v>
      </c>
      <c r="AA122" s="229">
        <f t="shared" ca="1" si="35"/>
        <v>210438.06172526939</v>
      </c>
      <c r="AB122" s="229">
        <f t="shared" ca="1" si="35"/>
        <v>212657.75333198145</v>
      </c>
      <c r="AC122" s="229">
        <f t="shared" ca="1" si="35"/>
        <v>214900.44070845353</v>
      </c>
      <c r="AD122" s="229">
        <f t="shared" ca="1" si="35"/>
        <v>217170.88851570914</v>
      </c>
      <c r="AE122" s="229">
        <f t="shared" ca="1" si="35"/>
        <v>219464.92450192658</v>
      </c>
      <c r="AF122" s="229">
        <f t="shared" ca="1" si="35"/>
        <v>221782.78873524535</v>
      </c>
      <c r="AG122" s="229">
        <f t="shared" ca="1" si="35"/>
        <v>199150.02988643295</v>
      </c>
      <c r="AH122" s="229">
        <f t="shared" ca="1" si="35"/>
        <v>201906.33105160759</v>
      </c>
      <c r="AI122" s="229">
        <f t="shared" ca="1" si="35"/>
        <v>204687.15459098434</v>
      </c>
      <c r="AJ122" s="229">
        <f t="shared" ca="1" si="35"/>
        <v>207492.74971215651</v>
      </c>
      <c r="AK122" s="229">
        <f t="shared" ca="1" si="35"/>
        <v>394058.54940737883</v>
      </c>
      <c r="AL122" s="229">
        <f t="shared" ca="1" si="35"/>
        <v>204265.41193083185</v>
      </c>
      <c r="AM122" s="229">
        <f t="shared" ca="1" si="35"/>
        <v>207467.86615735403</v>
      </c>
      <c r="AN122" s="229">
        <f t="shared" ca="1" si="35"/>
        <v>210250.0722711875</v>
      </c>
      <c r="AO122" s="229">
        <f t="shared" ca="1" si="35"/>
        <v>4165998.5849228096</v>
      </c>
      <c r="AP122" s="229">
        <f t="shared" ca="1" si="35"/>
        <v>89872.843404481333</v>
      </c>
      <c r="AQ122" s="229">
        <f t="shared" ca="1" si="35"/>
        <v>98239.158359108842</v>
      </c>
      <c r="AR122" s="229">
        <f t="shared" ca="1" si="35"/>
        <v>99365.958044895902</v>
      </c>
      <c r="AS122" s="75"/>
      <c r="AT122" s="75"/>
    </row>
    <row r="123" spans="1:46" s="104" customFormat="1" x14ac:dyDescent="0.2">
      <c r="A123" s="226" t="s">
        <v>338</v>
      </c>
      <c r="B123" s="227"/>
      <c r="C123" s="228" t="str">
        <f>Параметры!$C$126</f>
        <v>тыс. руб.</v>
      </c>
      <c r="D123" s="117"/>
      <c r="E123" s="229">
        <f t="shared" ref="E123:AR123" ca="1" si="36">E25</f>
        <v>-4416.3634298248926</v>
      </c>
      <c r="F123" s="229">
        <f t="shared" ca="1" si="36"/>
        <v>-4416.3634298248926</v>
      </c>
      <c r="G123" s="229">
        <f t="shared" ca="1" si="36"/>
        <v>2812.9204258347308</v>
      </c>
      <c r="H123" s="229">
        <f t="shared" ca="1" si="36"/>
        <v>8494.886983514818</v>
      </c>
      <c r="I123" s="229">
        <f t="shared" ca="1" si="36"/>
        <v>13681.891006952319</v>
      </c>
      <c r="J123" s="229">
        <f t="shared" ca="1" si="36"/>
        <v>13929.945518218137</v>
      </c>
      <c r="K123" s="229">
        <f t="shared" ca="1" si="36"/>
        <v>10427.727990945037</v>
      </c>
      <c r="L123" s="229">
        <f t="shared" ca="1" si="36"/>
        <v>7354.7711657945056</v>
      </c>
      <c r="M123" s="229">
        <f t="shared" ca="1" si="36"/>
        <v>20208.233632260031</v>
      </c>
      <c r="N123" s="229">
        <f t="shared" ca="1" si="36"/>
        <v>21214.679720009481</v>
      </c>
      <c r="O123" s="229">
        <f t="shared" ca="1" si="36"/>
        <v>21593.774015191986</v>
      </c>
      <c r="P123" s="229">
        <f t="shared" ca="1" si="36"/>
        <v>16846.787809438214</v>
      </c>
      <c r="Q123" s="229">
        <f t="shared" ca="1" si="36"/>
        <v>23340.271560576039</v>
      </c>
      <c r="R123" s="229">
        <f t="shared" ca="1" si="36"/>
        <v>24171.416061812502</v>
      </c>
      <c r="S123" s="229">
        <f t="shared" ca="1" si="36"/>
        <v>24662.997769216941</v>
      </c>
      <c r="T123" s="229">
        <f t="shared" ca="1" si="36"/>
        <v>25158.688939766973</v>
      </c>
      <c r="U123" s="229">
        <f t="shared" ca="1" si="36"/>
        <v>120321.56537980163</v>
      </c>
      <c r="V123" s="229">
        <f t="shared" ca="1" si="36"/>
        <v>128191.84299817852</v>
      </c>
      <c r="W123" s="229">
        <f t="shared" ca="1" si="36"/>
        <v>130340.71633914213</v>
      </c>
      <c r="X123" s="229">
        <f t="shared" ca="1" si="36"/>
        <v>132512.38804430456</v>
      </c>
      <c r="Y123" s="229">
        <f t="shared" ca="1" si="36"/>
        <v>134707.09570703015</v>
      </c>
      <c r="Z123" s="229">
        <f t="shared" ca="1" si="36"/>
        <v>136881.48556150432</v>
      </c>
      <c r="AA123" s="229">
        <f t="shared" ca="1" si="36"/>
        <v>139078.41206749977</v>
      </c>
      <c r="AB123" s="229">
        <f t="shared" ca="1" si="36"/>
        <v>141298.10367421183</v>
      </c>
      <c r="AC123" s="229">
        <f t="shared" ca="1" si="36"/>
        <v>143540.79105068394</v>
      </c>
      <c r="AD123" s="229">
        <f t="shared" ca="1" si="36"/>
        <v>145811.23885793955</v>
      </c>
      <c r="AE123" s="229">
        <f t="shared" ca="1" si="36"/>
        <v>148105.27484415699</v>
      </c>
      <c r="AF123" s="229">
        <f t="shared" ca="1" si="36"/>
        <v>150423.13907747576</v>
      </c>
      <c r="AG123" s="229">
        <f t="shared" ca="1" si="36"/>
        <v>127790.38022866334</v>
      </c>
      <c r="AH123" s="229">
        <f t="shared" ca="1" si="36"/>
        <v>130546.68139383798</v>
      </c>
      <c r="AI123" s="229">
        <f t="shared" ca="1" si="36"/>
        <v>133327.50493321475</v>
      </c>
      <c r="AJ123" s="229">
        <f t="shared" ca="1" si="36"/>
        <v>136133.10005438689</v>
      </c>
      <c r="AK123" s="229">
        <f t="shared" ca="1" si="36"/>
        <v>326277.30436884513</v>
      </c>
      <c r="AL123" s="229">
        <f t="shared" ca="1" si="36"/>
        <v>136484.16689229815</v>
      </c>
      <c r="AM123" s="229">
        <f t="shared" ca="1" si="36"/>
        <v>139686.62111882033</v>
      </c>
      <c r="AN123" s="229">
        <f t="shared" ca="1" si="36"/>
        <v>142468.8272326538</v>
      </c>
      <c r="AO123" s="229">
        <f t="shared" ca="1" si="36"/>
        <v>4141233.7031427096</v>
      </c>
      <c r="AP123" s="229">
        <f t="shared" ca="1" si="36"/>
        <v>65107.96162438146</v>
      </c>
      <c r="AQ123" s="229">
        <f t="shared" ca="1" si="36"/>
        <v>73474.276579008962</v>
      </c>
      <c r="AR123" s="229">
        <f t="shared" ca="1" si="36"/>
        <v>74601.076264796022</v>
      </c>
      <c r="AS123" s="75"/>
      <c r="AT123" s="75"/>
    </row>
    <row r="124" spans="1:46" s="104" customFormat="1" x14ac:dyDescent="0.2">
      <c r="A124" s="226"/>
      <c r="B124" s="227"/>
      <c r="C124" s="228"/>
      <c r="D124" s="117"/>
      <c r="E124" s="229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  <c r="AJ124" s="229"/>
      <c r="AK124" s="229"/>
      <c r="AL124" s="229"/>
      <c r="AM124" s="229"/>
      <c r="AN124" s="229"/>
      <c r="AO124" s="229"/>
      <c r="AP124" s="229"/>
      <c r="AQ124" s="229"/>
      <c r="AR124" s="229"/>
      <c r="AS124" s="75"/>
      <c r="AT124" s="75"/>
    </row>
    <row r="125" spans="1:46" ht="22.5" x14ac:dyDescent="0.2">
      <c r="A125" s="230" t="s">
        <v>340</v>
      </c>
      <c r="B125" s="10"/>
      <c r="C125" s="36" t="str">
        <f>Параметры!$C$126</f>
        <v>тыс. руб.</v>
      </c>
      <c r="D125" s="65"/>
      <c r="E125" s="231">
        <f t="shared" ref="E125:AR125" ca="1" si="37">E104+E107</f>
        <v>877821.25</v>
      </c>
      <c r="F125" s="231">
        <f t="shared" ca="1" si="37"/>
        <v>1204615</v>
      </c>
      <c r="G125" s="231">
        <f t="shared" ca="1" si="37"/>
        <v>1242637.3951891144</v>
      </c>
      <c r="H125" s="231">
        <f t="shared" ca="1" si="37"/>
        <v>1287830.2382820111</v>
      </c>
      <c r="I125" s="231">
        <f t="shared" ca="1" si="37"/>
        <v>1327647.6778086775</v>
      </c>
      <c r="J125" s="231">
        <f t="shared" ca="1" si="37"/>
        <v>1431769.0378183411</v>
      </c>
      <c r="K125" s="231">
        <f t="shared" ca="1" si="37"/>
        <v>1577143.0180705388</v>
      </c>
      <c r="L125" s="231">
        <f t="shared" ca="1" si="37"/>
        <v>1636881.3401666533</v>
      </c>
      <c r="M125" s="231">
        <f t="shared" ca="1" si="37"/>
        <v>1778479.7374742087</v>
      </c>
      <c r="N125" s="231">
        <f t="shared" ca="1" si="37"/>
        <v>2109592.4106114255</v>
      </c>
      <c r="O125" s="231">
        <f t="shared" ca="1" si="37"/>
        <v>2610745.0694829281</v>
      </c>
      <c r="P125" s="231">
        <f t="shared" ca="1" si="37"/>
        <v>2871422.192676479</v>
      </c>
      <c r="Q125" s="231">
        <f t="shared" ca="1" si="37"/>
        <v>3000844.7356799119</v>
      </c>
      <c r="R125" s="231">
        <f t="shared" ca="1" si="37"/>
        <v>3473005.4850216424</v>
      </c>
      <c r="S125" s="231">
        <f t="shared" ca="1" si="37"/>
        <v>4001150.2267342638</v>
      </c>
      <c r="T125" s="231">
        <f t="shared" ca="1" si="37"/>
        <v>4182993.3912427542</v>
      </c>
      <c r="U125" s="231">
        <f t="shared" ca="1" si="37"/>
        <v>4010064.1690827301</v>
      </c>
      <c r="V125" s="231">
        <f t="shared" ca="1" si="37"/>
        <v>3833348.5126189734</v>
      </c>
      <c r="W125" s="231">
        <f t="shared" ca="1" si="37"/>
        <v>3652763.3165435446</v>
      </c>
      <c r="X125" s="231">
        <f t="shared" ca="1" si="37"/>
        <v>3468223.6474683583</v>
      </c>
      <c r="Y125" s="231">
        <f t="shared" ca="1" si="37"/>
        <v>3279642.7036291575</v>
      </c>
      <c r="Z125" s="231">
        <f t="shared" ca="1" si="37"/>
        <v>3086931.773699556</v>
      </c>
      <c r="AA125" s="231">
        <f t="shared" ca="1" si="37"/>
        <v>2890000.1946954401</v>
      </c>
      <c r="AB125" s="231">
        <f t="shared" ca="1" si="37"/>
        <v>2688755.3089496093</v>
      </c>
      <c r="AC125" s="231">
        <f t="shared" ca="1" si="37"/>
        <v>2483102.420136095</v>
      </c>
      <c r="AD125" s="231">
        <f t="shared" ca="1" si="37"/>
        <v>2272944.7483231043</v>
      </c>
      <c r="AE125" s="231">
        <f t="shared" ca="1" si="37"/>
        <v>2058183.3840331268</v>
      </c>
      <c r="AF125" s="231">
        <f t="shared" ca="1" si="37"/>
        <v>1838717.2412882056</v>
      </c>
      <c r="AG125" s="231">
        <f t="shared" ca="1" si="37"/>
        <v>1614443.0096179368</v>
      </c>
      <c r="AH125" s="231">
        <f t="shared" ca="1" si="37"/>
        <v>1385255.1050072275</v>
      </c>
      <c r="AI125" s="231">
        <f t="shared" ca="1" si="37"/>
        <v>1151045.6197603615</v>
      </c>
      <c r="AJ125" s="231">
        <f t="shared" ca="1" si="37"/>
        <v>911704.27125737618</v>
      </c>
      <c r="AK125" s="231">
        <f t="shared" ca="1" si="37"/>
        <v>667118.34957824787</v>
      </c>
      <c r="AL125" s="231">
        <f t="shared" ca="1" si="37"/>
        <v>417172.66396981681</v>
      </c>
      <c r="AM125" s="231">
        <f t="shared" ca="1" si="37"/>
        <v>210893.79294072912</v>
      </c>
      <c r="AN125" s="231">
        <f t="shared" ca="1" si="37"/>
        <v>0</v>
      </c>
      <c r="AO125" s="231">
        <f t="shared" ca="1" si="37"/>
        <v>0</v>
      </c>
      <c r="AP125" s="231">
        <f t="shared" ca="1" si="37"/>
        <v>0</v>
      </c>
      <c r="AQ125" s="231">
        <f t="shared" ca="1" si="37"/>
        <v>0</v>
      </c>
      <c r="AR125" s="231">
        <f t="shared" ca="1" si="37"/>
        <v>0</v>
      </c>
      <c r="AS125" s="41"/>
      <c r="AT125" s="41"/>
    </row>
    <row r="126" spans="1:46" x14ac:dyDescent="0.2">
      <c r="A126" s="50" t="s">
        <v>341</v>
      </c>
      <c r="B126" s="10"/>
      <c r="C126" s="36" t="s">
        <v>133</v>
      </c>
      <c r="D126" s="65"/>
      <c r="E126" s="195">
        <f t="shared" ref="E126:AR126" ca="1" si="38">IFERROR(E125/IF(E$2=1,E122,(E122+D122)/2),"-")</f>
        <v>-198.76562786292371</v>
      </c>
      <c r="F126" s="195">
        <f t="shared" ca="1" si="38"/>
        <v>-272.76174597971493</v>
      </c>
      <c r="G126" s="195">
        <f t="shared" ca="1" si="38"/>
        <v>238.7285495033849</v>
      </c>
      <c r="H126" s="195">
        <f t="shared" ca="1" si="38"/>
        <v>72.891334103424654</v>
      </c>
      <c r="I126" s="195">
        <f t="shared" ca="1" si="38"/>
        <v>57.468215331660431</v>
      </c>
      <c r="J126" s="195">
        <f t="shared" ca="1" si="38"/>
        <v>55.452314833528831</v>
      </c>
      <c r="K126" s="195">
        <f t="shared" ca="1" si="38"/>
        <v>65.190748224451511</v>
      </c>
      <c r="L126" s="195">
        <f t="shared" ca="1" si="38"/>
        <v>72.886951712410252</v>
      </c>
      <c r="M126" s="195">
        <f t="shared" ca="1" si="38"/>
        <v>55.973143300783221</v>
      </c>
      <c r="N126" s="195">
        <f t="shared" ca="1" si="38"/>
        <v>50.739596472410042</v>
      </c>
      <c r="O126" s="195">
        <f t="shared" ca="1" si="38"/>
        <v>61.764105709086046</v>
      </c>
      <c r="P126" s="195">
        <f t="shared" ca="1" si="38"/>
        <v>68.309592705533547</v>
      </c>
      <c r="Q126" s="195">
        <f t="shared" ca="1" si="38"/>
        <v>64.330080208858533</v>
      </c>
      <c r="R126" s="195">
        <f t="shared" ca="1" si="38"/>
        <v>66.661486880633021</v>
      </c>
      <c r="S126" s="195">
        <f t="shared" ca="1" si="38"/>
        <v>75.836103405198017</v>
      </c>
      <c r="T126" s="195">
        <f t="shared" ca="1" si="38"/>
        <v>78.547774803175543</v>
      </c>
      <c r="U126" s="195">
        <f t="shared" ca="1" si="38"/>
        <v>32.710759354440924</v>
      </c>
      <c r="V126" s="195">
        <f t="shared" ca="1" si="38"/>
        <v>19.596257865136931</v>
      </c>
      <c r="W126" s="195">
        <f t="shared" ca="1" si="38"/>
        <v>18.206835620934562</v>
      </c>
      <c r="X126" s="195">
        <f t="shared" ca="1" si="38"/>
        <v>17.10285816212712</v>
      </c>
      <c r="Y126" s="195">
        <f t="shared" ca="1" si="38"/>
        <v>16.00064614083681</v>
      </c>
      <c r="Z126" s="195">
        <f t="shared" ca="1" si="38"/>
        <v>14.901631942640002</v>
      </c>
      <c r="AA126" s="195">
        <f t="shared" ca="1" si="38"/>
        <v>13.805320234615042</v>
      </c>
      <c r="AB126" s="195">
        <f t="shared" ca="1" si="38"/>
        <v>12.709912096794353</v>
      </c>
      <c r="AC126" s="195">
        <f t="shared" ca="1" si="38"/>
        <v>11.615272282215988</v>
      </c>
      <c r="AD126" s="195">
        <f t="shared" ca="1" si="38"/>
        <v>10.521155163914518</v>
      </c>
      <c r="AE126" s="195">
        <f t="shared" ca="1" si="38"/>
        <v>9.4274602433950907</v>
      </c>
      <c r="AF126" s="195">
        <f t="shared" ca="1" si="38"/>
        <v>8.3341723305425486</v>
      </c>
      <c r="AG126" s="195">
        <f t="shared" ca="1" si="38"/>
        <v>7.670787062431212</v>
      </c>
      <c r="AH126" s="195">
        <f t="shared" ca="1" si="38"/>
        <v>6.9080320868978138</v>
      </c>
      <c r="AI126" s="195">
        <f t="shared" ca="1" si="38"/>
        <v>5.6618989748014092</v>
      </c>
      <c r="AJ126" s="195">
        <f t="shared" ca="1" si="38"/>
        <v>4.4238171814745071</v>
      </c>
      <c r="AK126" s="195">
        <f t="shared" ca="1" si="38"/>
        <v>2.2179932137281728</v>
      </c>
      <c r="AL126" s="195">
        <f t="shared" ca="1" si="38"/>
        <v>1.3944708583516159</v>
      </c>
      <c r="AM126" s="195">
        <f t="shared" ca="1" si="38"/>
        <v>1.0244194684480152</v>
      </c>
      <c r="AN126" s="195">
        <f t="shared" ca="1" si="38"/>
        <v>0</v>
      </c>
      <c r="AO126" s="195">
        <f t="shared" ca="1" si="38"/>
        <v>0</v>
      </c>
      <c r="AP126" s="195">
        <f t="shared" ca="1" si="38"/>
        <v>0</v>
      </c>
      <c r="AQ126" s="195">
        <f t="shared" ca="1" si="38"/>
        <v>0</v>
      </c>
      <c r="AR126" s="195">
        <f t="shared" ca="1" si="38"/>
        <v>0</v>
      </c>
      <c r="AS126" s="41"/>
      <c r="AT126" s="41"/>
    </row>
    <row r="127" spans="1:46" x14ac:dyDescent="0.2">
      <c r="A127" s="50" t="s">
        <v>411</v>
      </c>
      <c r="B127" s="10"/>
      <c r="C127" s="36" t="s">
        <v>133</v>
      </c>
      <c r="D127" s="65"/>
      <c r="E127" s="195">
        <f t="shared" ref="E127:AR127" ca="1" si="39">IFERROR(E125/IF(E$2=1,E123,(E123+D123)/2),"-")</f>
        <v>-198.76562786292371</v>
      </c>
      <c r="F127" s="195">
        <f t="shared" ca="1" si="39"/>
        <v>-272.76174597971493</v>
      </c>
      <c r="G127" s="195">
        <f t="shared" ca="1" si="39"/>
        <v>-1549.9614168970347</v>
      </c>
      <c r="H127" s="195">
        <f t="shared" ca="1" si="39"/>
        <v>227.77717937028254</v>
      </c>
      <c r="I127" s="195">
        <f t="shared" ca="1" si="39"/>
        <v>119.73314413657181</v>
      </c>
      <c r="J127" s="195">
        <f t="shared" ca="1" si="39"/>
        <v>103.70690384996058</v>
      </c>
      <c r="K127" s="195">
        <f t="shared" ca="1" si="39"/>
        <v>129.49865819305194</v>
      </c>
      <c r="L127" s="195">
        <f t="shared" ca="1" si="39"/>
        <v>184.10025787025302</v>
      </c>
      <c r="M127" s="195">
        <f t="shared" ca="1" si="39"/>
        <v>129.04832042112753</v>
      </c>
      <c r="N127" s="195">
        <f t="shared" ca="1" si="39"/>
        <v>101.85630318519561</v>
      </c>
      <c r="O127" s="195">
        <f t="shared" ca="1" si="39"/>
        <v>121.9733413232867</v>
      </c>
      <c r="P127" s="195">
        <f t="shared" ca="1" si="39"/>
        <v>149.39543317687199</v>
      </c>
      <c r="Q127" s="195">
        <f t="shared" ca="1" si="39"/>
        <v>149.34383270247463</v>
      </c>
      <c r="R127" s="195">
        <f t="shared" ca="1" si="39"/>
        <v>146.19583764838052</v>
      </c>
      <c r="S127" s="195">
        <f t="shared" ca="1" si="39"/>
        <v>163.86600812199893</v>
      </c>
      <c r="T127" s="195">
        <f t="shared" ca="1" si="39"/>
        <v>167.91857793479605</v>
      </c>
      <c r="U127" s="195">
        <f t="shared" ca="1" si="39"/>
        <v>55.128638423659048</v>
      </c>
      <c r="V127" s="195">
        <f t="shared" ca="1" si="39"/>
        <v>30.850234903933917</v>
      </c>
      <c r="W127" s="195">
        <f t="shared" ca="1" si="39"/>
        <v>28.25766569523336</v>
      </c>
      <c r="X127" s="195">
        <f t="shared" ca="1" si="39"/>
        <v>26.38906362246313</v>
      </c>
      <c r="Y127" s="195">
        <f t="shared" ca="1" si="39"/>
        <v>24.546433947017729</v>
      </c>
      <c r="Z127" s="195">
        <f t="shared" ca="1" si="39"/>
        <v>22.732412086554831</v>
      </c>
      <c r="AA127" s="195">
        <f t="shared" ca="1" si="39"/>
        <v>20.945073682993669</v>
      </c>
      <c r="AB127" s="195">
        <f t="shared" ca="1" si="39"/>
        <v>19.179604267759316</v>
      </c>
      <c r="AC127" s="195">
        <f t="shared" ca="1" si="39"/>
        <v>17.435135903994677</v>
      </c>
      <c r="AD127" s="195">
        <f t="shared" ca="1" si="39"/>
        <v>15.710584432678033</v>
      </c>
      <c r="AE127" s="195">
        <f t="shared" ca="1" si="39"/>
        <v>14.005224532019518</v>
      </c>
      <c r="AF127" s="195">
        <f t="shared" ca="1" si="39"/>
        <v>12.318540919665294</v>
      </c>
      <c r="AG127" s="195">
        <f t="shared" ca="1" si="39"/>
        <v>11.605784029793639</v>
      </c>
      <c r="AH127" s="195">
        <f t="shared" ca="1" si="39"/>
        <v>10.724400876181297</v>
      </c>
      <c r="AI127" s="195">
        <f t="shared" ca="1" si="39"/>
        <v>8.7242002393801776</v>
      </c>
      <c r="AJ127" s="195">
        <f t="shared" ca="1" si="39"/>
        <v>6.766883576909696</v>
      </c>
      <c r="AK127" s="195">
        <f t="shared" ca="1" si="39"/>
        <v>2.8853950654953349</v>
      </c>
      <c r="AL127" s="195">
        <f t="shared" ca="1" si="39"/>
        <v>1.8029706009573989</v>
      </c>
      <c r="AM127" s="195">
        <f t="shared" ca="1" si="39"/>
        <v>1.5272708200567444</v>
      </c>
      <c r="AN127" s="195">
        <f t="shared" ca="1" si="39"/>
        <v>0</v>
      </c>
      <c r="AO127" s="195">
        <f t="shared" ca="1" si="39"/>
        <v>0</v>
      </c>
      <c r="AP127" s="195">
        <f t="shared" ca="1" si="39"/>
        <v>0</v>
      </c>
      <c r="AQ127" s="195">
        <f t="shared" ca="1" si="39"/>
        <v>0</v>
      </c>
      <c r="AR127" s="195">
        <f t="shared" ca="1" si="39"/>
        <v>0</v>
      </c>
      <c r="AS127" s="41"/>
      <c r="AT127" s="41"/>
    </row>
    <row r="128" spans="1:46" x14ac:dyDescent="0.2">
      <c r="A128" s="50" t="s">
        <v>350</v>
      </c>
      <c r="B128" s="10"/>
      <c r="C128" s="36" t="s">
        <v>133</v>
      </c>
      <c r="D128" s="65"/>
      <c r="E128" s="195">
        <f t="shared" ref="E128:AR128" ca="1" si="40">IFERROR(E125/IF(E$2=1,E138,(E138+D138)/2),"-")</f>
        <v>38.461538461538474</v>
      </c>
      <c r="F128" s="195">
        <f t="shared" ca="1" si="40"/>
        <v>44.497252824758661</v>
      </c>
      <c r="G128" s="195">
        <f t="shared" ca="1" si="40"/>
        <v>25.482301272702294</v>
      </c>
      <c r="H128" s="195">
        <f t="shared" ca="1" si="40"/>
        <v>19.182416740290424</v>
      </c>
      <c r="I128" s="195">
        <f t="shared" ca="1" si="40"/>
        <v>18.242737481446234</v>
      </c>
      <c r="J128" s="195">
        <f t="shared" ca="1" si="40"/>
        <v>18.015175101545367</v>
      </c>
      <c r="K128" s="195">
        <f t="shared" ca="1" si="40"/>
        <v>18.762614722648156</v>
      </c>
      <c r="L128" s="195">
        <f t="shared" ca="1" si="40"/>
        <v>18.598887379096961</v>
      </c>
      <c r="M128" s="195">
        <f t="shared" ca="1" si="40"/>
        <v>17.971324905507984</v>
      </c>
      <c r="N128" s="195">
        <f t="shared" ca="1" si="40"/>
        <v>18.491711842605461</v>
      </c>
      <c r="O128" s="195">
        <f t="shared" ca="1" si="40"/>
        <v>20.455536298764741</v>
      </c>
      <c r="P128" s="195">
        <f t="shared" ca="1" si="40"/>
        <v>20.484474444040352</v>
      </c>
      <c r="Q128" s="195">
        <f t="shared" ca="1" si="40"/>
        <v>13.788881693273161</v>
      </c>
      <c r="R128" s="195">
        <f t="shared" ca="1" si="40"/>
        <v>11.584999757475179</v>
      </c>
      <c r="S128" s="195">
        <f t="shared" ca="1" si="40"/>
        <v>12.538628075187948</v>
      </c>
      <c r="T128" s="195">
        <f t="shared" ca="1" si="40"/>
        <v>12.513294758180603</v>
      </c>
      <c r="U128" s="195">
        <f t="shared" ca="1" si="40"/>
        <v>11.745251263881308</v>
      </c>
      <c r="V128" s="195">
        <f t="shared" ca="1" si="40"/>
        <v>11.003886680342566</v>
      </c>
      <c r="W128" s="195">
        <f t="shared" ca="1" si="40"/>
        <v>9.3378719045940066</v>
      </c>
      <c r="X128" s="195">
        <f t="shared" ca="1" si="40"/>
        <v>8.7309591645117806</v>
      </c>
      <c r="Y128" s="195">
        <f t="shared" ca="1" si="40"/>
        <v>8.93698319497007</v>
      </c>
      <c r="Z128" s="195">
        <f t="shared" ca="1" si="40"/>
        <v>8.1564158396661384</v>
      </c>
      <c r="AA128" s="195">
        <f t="shared" ca="1" si="40"/>
        <v>7.5736268147301429</v>
      </c>
      <c r="AB128" s="195">
        <f t="shared" ca="1" si="40"/>
        <v>7.5689795331739731</v>
      </c>
      <c r="AC128" s="195">
        <f t="shared" ca="1" si="40"/>
        <v>7.3700740407489915</v>
      </c>
      <c r="AD128" s="195">
        <f t="shared" ca="1" si="40"/>
        <v>6.7757870428994496</v>
      </c>
      <c r="AE128" s="195">
        <f t="shared" ca="1" si="40"/>
        <v>6.2228400468854952</v>
      </c>
      <c r="AF128" s="195">
        <f t="shared" ca="1" si="40"/>
        <v>5.57788560978174</v>
      </c>
      <c r="AG128" s="195">
        <f t="shared" ca="1" si="40"/>
        <v>4.8785636816181901</v>
      </c>
      <c r="AH128" s="195">
        <f t="shared" ca="1" si="40"/>
        <v>4.3378017157556705</v>
      </c>
      <c r="AI128" s="195">
        <f t="shared" ca="1" si="40"/>
        <v>3.7334347546689401</v>
      </c>
      <c r="AJ128" s="195">
        <f t="shared" ca="1" si="40"/>
        <v>2.9386972336041093</v>
      </c>
      <c r="AK128" s="195">
        <f t="shared" ca="1" si="40"/>
        <v>1.2088535762027115</v>
      </c>
      <c r="AL128" s="195">
        <f t="shared" ca="1" si="40"/>
        <v>0.78812146594374788</v>
      </c>
      <c r="AM128" s="195">
        <f t="shared" ca="1" si="40"/>
        <v>0.75412948116289968</v>
      </c>
      <c r="AN128" s="195">
        <f t="shared" ca="1" si="40"/>
        <v>0</v>
      </c>
      <c r="AO128" s="195">
        <f t="shared" ca="1" si="40"/>
        <v>0</v>
      </c>
      <c r="AP128" s="195">
        <f t="shared" ca="1" si="40"/>
        <v>0</v>
      </c>
      <c r="AQ128" s="195">
        <f t="shared" ca="1" si="40"/>
        <v>0</v>
      </c>
      <c r="AR128" s="195">
        <f t="shared" ca="1" si="40"/>
        <v>0</v>
      </c>
      <c r="AS128" s="41"/>
      <c r="AT128" s="41"/>
    </row>
    <row r="129" spans="1:46" x14ac:dyDescent="0.2">
      <c r="A129" s="50" t="s">
        <v>343</v>
      </c>
      <c r="B129" s="10"/>
      <c r="C129" s="36" t="str">
        <f>C126</f>
        <v>раз</v>
      </c>
      <c r="D129" s="65"/>
      <c r="E129" s="195">
        <f t="shared" ref="E129:AR129" ca="1" si="41">IFERROR(IF(E$2=1,E123,(E123+D123)/2)/-E51,"-")</f>
        <v>-0.25155254727684545</v>
      </c>
      <c r="F129" s="195">
        <f t="shared" ca="1" si="41"/>
        <v>-0.18331016257579777</v>
      </c>
      <c r="G129" s="195">
        <f t="shared" ca="1" si="41"/>
        <v>-3.2258867514327001E-2</v>
      </c>
      <c r="H129" s="195">
        <f t="shared" ca="1" si="41"/>
        <v>0.21951277181599596</v>
      </c>
      <c r="I129" s="195">
        <f t="shared" ca="1" si="41"/>
        <v>0.41595049566982517</v>
      </c>
      <c r="J129" s="195">
        <f t="shared" ca="1" si="41"/>
        <v>0.47520986888414601</v>
      </c>
      <c r="K129" s="195">
        <f t="shared" ca="1" si="41"/>
        <v>0.37616852090276992</v>
      </c>
      <c r="L129" s="195">
        <f t="shared" ca="1" si="41"/>
        <v>0.26325513323296357</v>
      </c>
      <c r="M129" s="195">
        <f t="shared" ca="1" si="41"/>
        <v>0.37197640509014007</v>
      </c>
      <c r="N129" s="195">
        <f t="shared" ca="1" si="41"/>
        <v>0.46448257384394959</v>
      </c>
      <c r="O129" s="195">
        <f t="shared" ca="1" si="41"/>
        <v>0.38249777354415665</v>
      </c>
      <c r="P129" s="195">
        <f t="shared" ca="1" si="41"/>
        <v>0.31041032403999325</v>
      </c>
      <c r="Q129" s="195">
        <f t="shared" ca="1" si="41"/>
        <v>0.30947654011691433</v>
      </c>
      <c r="R129" s="195">
        <f t="shared" ca="1" si="41"/>
        <v>0.31402497201667834</v>
      </c>
      <c r="S129" s="195">
        <f t="shared" ca="1" si="41"/>
        <v>0.27862960668278197</v>
      </c>
      <c r="T129" s="195">
        <f t="shared" ca="1" si="41"/>
        <v>0.27127984739349836</v>
      </c>
      <c r="U129" s="195">
        <f t="shared" ca="1" si="41"/>
        <v>0.82621049566358362</v>
      </c>
      <c r="V129" s="195">
        <f t="shared" ca="1" si="41"/>
        <v>1.4762389530404552</v>
      </c>
      <c r="W129" s="195">
        <f t="shared" ca="1" si="41"/>
        <v>1.6114642623263369</v>
      </c>
      <c r="X129" s="195">
        <f t="shared" ca="1" si="41"/>
        <v>1.7253152449622606</v>
      </c>
      <c r="Y129" s="195">
        <f t="shared" ca="1" si="41"/>
        <v>1.8545215211570063</v>
      </c>
      <c r="Z129" s="195">
        <f t="shared" ca="1" si="41"/>
        <v>2.0021347950241593</v>
      </c>
      <c r="AA129" s="195">
        <f t="shared" ca="1" si="41"/>
        <v>2.1725210946464748</v>
      </c>
      <c r="AB129" s="195">
        <f t="shared" ca="1" si="41"/>
        <v>2.3719136984962748</v>
      </c>
      <c r="AC129" s="195">
        <f t="shared" ca="1" si="41"/>
        <v>2.6318763559611669</v>
      </c>
      <c r="AD129" s="195">
        <f t="shared" ca="1" si="41"/>
        <v>2.9198595285793965</v>
      </c>
      <c r="AE129" s="195">
        <f t="shared" ca="1" si="41"/>
        <v>3.2741460333809189</v>
      </c>
      <c r="AF129" s="195">
        <f t="shared" ca="1" si="41"/>
        <v>3.720672038588571</v>
      </c>
      <c r="AG129" s="195">
        <f t="shared" ca="1" si="41"/>
        <v>4.3081966605309168</v>
      </c>
      <c r="AH129" s="195">
        <f t="shared" ca="1" si="41"/>
        <v>4.6622651071398407</v>
      </c>
      <c r="AI129" s="195">
        <f t="shared" ca="1" si="41"/>
        <v>5.7311843639609439</v>
      </c>
      <c r="AJ129" s="195">
        <f t="shared" ca="1" si="41"/>
        <v>7.3889257043837047</v>
      </c>
      <c r="AK129" s="195">
        <f t="shared" ca="1" si="41"/>
        <v>17.328649583524712</v>
      </c>
      <c r="AL129" s="195">
        <f t="shared" ca="1" si="41"/>
        <v>27.732010701366626</v>
      </c>
      <c r="AM129" s="195">
        <f t="shared" ca="1" si="41"/>
        <v>32.738136120575057</v>
      </c>
      <c r="AN129" s="1008">
        <f t="shared" ca="1" si="41"/>
        <v>2.1543971965471974E+17</v>
      </c>
      <c r="AO129" s="1008">
        <f t="shared" ca="1" si="41"/>
        <v>3.2708199597786015E+18</v>
      </c>
      <c r="AP129" s="1008">
        <f t="shared" ca="1" si="41"/>
        <v>3.2117510908403292E+18</v>
      </c>
      <c r="AQ129" s="1008">
        <f t="shared" ca="1" si="41"/>
        <v>1.0581443215822998E+17</v>
      </c>
      <c r="AR129" s="1008">
        <f t="shared" ca="1" si="41"/>
        <v>1.1306289738805387E+17</v>
      </c>
      <c r="AS129" s="41"/>
      <c r="AT129" s="41"/>
    </row>
    <row r="130" spans="1:46" x14ac:dyDescent="0.2">
      <c r="A130" s="49"/>
      <c r="B130" s="10"/>
      <c r="C130" s="36"/>
      <c r="D130" s="65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41"/>
      <c r="AT130" s="41"/>
    </row>
    <row r="131" spans="1:46" x14ac:dyDescent="0.2">
      <c r="A131" s="66" t="s">
        <v>384</v>
      </c>
      <c r="B131" s="10"/>
      <c r="C131" s="36" t="str">
        <f>Параметры!$C$126</f>
        <v>тыс. руб.</v>
      </c>
      <c r="D131" s="65"/>
      <c r="E131" s="233">
        <f t="shared" ref="E131:AR131" ca="1" si="42">E353</f>
        <v>22823.352499999994</v>
      </c>
      <c r="F131" s="233">
        <f t="shared" ca="1" si="42"/>
        <v>31319.989999999991</v>
      </c>
      <c r="G131" s="233">
        <f t="shared" ca="1" si="42"/>
        <v>66209.458529068259</v>
      </c>
      <c r="H131" s="233">
        <f t="shared" ca="1" si="42"/>
        <v>68062.49017456657</v>
      </c>
      <c r="I131" s="233">
        <f t="shared" ca="1" si="42"/>
        <v>77491.068238359207</v>
      </c>
      <c r="J131" s="233">
        <f t="shared" ca="1" si="42"/>
        <v>81460.374614452361</v>
      </c>
      <c r="K131" s="233">
        <f t="shared" ca="1" si="42"/>
        <v>86655.108369567533</v>
      </c>
      <c r="L131" s="233">
        <f t="shared" ca="1" si="42"/>
        <v>89364.167063684683</v>
      </c>
      <c r="M131" s="233">
        <f t="shared" ca="1" si="42"/>
        <v>108559.99788523649</v>
      </c>
      <c r="N131" s="233">
        <f t="shared" ca="1" si="42"/>
        <v>119606.26693302236</v>
      </c>
      <c r="O131" s="233">
        <f t="shared" ca="1" si="42"/>
        <v>135654.21916242992</v>
      </c>
      <c r="P131" s="233">
        <f t="shared" ca="1" si="42"/>
        <v>144696.8535995931</v>
      </c>
      <c r="Q131" s="233">
        <f t="shared" ca="1" si="42"/>
        <v>290558.85493895493</v>
      </c>
      <c r="R131" s="233">
        <f t="shared" ca="1" si="42"/>
        <v>309010.51195390109</v>
      </c>
      <c r="S131" s="233">
        <f t="shared" ca="1" si="42"/>
        <v>329201.29283707694</v>
      </c>
      <c r="T131" s="233">
        <f t="shared" ca="1" si="42"/>
        <v>339366.5739125032</v>
      </c>
      <c r="U131" s="233">
        <f t="shared" ca="1" si="42"/>
        <v>343473.50826000434</v>
      </c>
      <c r="V131" s="233">
        <f t="shared" ca="1" si="42"/>
        <v>353252.77109488932</v>
      </c>
      <c r="W131" s="233">
        <f t="shared" ca="1" si="42"/>
        <v>429101.78546022333</v>
      </c>
      <c r="X131" s="233">
        <f t="shared" ca="1" si="42"/>
        <v>365363.88139696326</v>
      </c>
      <c r="Y131" s="233">
        <f t="shared" ca="1" si="42"/>
        <v>368584.61824327603</v>
      </c>
      <c r="Z131" s="233">
        <f t="shared" ca="1" si="42"/>
        <v>388348.77857723518</v>
      </c>
      <c r="AA131" s="233">
        <f t="shared" ca="1" si="42"/>
        <v>374825.9236868383</v>
      </c>
      <c r="AB131" s="233">
        <f t="shared" ca="1" si="42"/>
        <v>335641.1339039774</v>
      </c>
      <c r="AC131" s="233">
        <f t="shared" ca="1" si="42"/>
        <v>338192.64480898302</v>
      </c>
      <c r="AD131" s="233">
        <f t="shared" ca="1" si="42"/>
        <v>332709.41687992186</v>
      </c>
      <c r="AE131" s="233">
        <f t="shared" ca="1" si="42"/>
        <v>328783.84617228818</v>
      </c>
      <c r="AF131" s="233">
        <f t="shared" ca="1" si="42"/>
        <v>330504.411035322</v>
      </c>
      <c r="AG131" s="233">
        <f t="shared" ca="1" si="42"/>
        <v>331347.36132175662</v>
      </c>
      <c r="AH131" s="233">
        <f t="shared" ca="1" si="42"/>
        <v>307342.55388378794</v>
      </c>
      <c r="AI131" s="233">
        <f t="shared" ca="1" si="42"/>
        <v>309272.27690755913</v>
      </c>
      <c r="AJ131" s="233">
        <f t="shared" ca="1" si="42"/>
        <v>311209.65694530931</v>
      </c>
      <c r="AK131" s="233">
        <f t="shared" ca="1" si="42"/>
        <v>792511.02968047839</v>
      </c>
      <c r="AL131" s="233">
        <f t="shared" ca="1" si="42"/>
        <v>266139.65297861438</v>
      </c>
      <c r="AM131" s="233">
        <f t="shared" ca="1" si="42"/>
        <v>293164.2814479298</v>
      </c>
      <c r="AN131" s="233">
        <f t="shared" ca="1" si="42"/>
        <v>231854.65195257182</v>
      </c>
      <c r="AO131" s="233">
        <f t="shared" ca="1" si="42"/>
        <v>7721782.0819571409</v>
      </c>
      <c r="AP131" s="233">
        <f t="shared" ca="1" si="42"/>
        <v>-1998119.9940400613</v>
      </c>
      <c r="AQ131" s="233">
        <f t="shared" ca="1" si="42"/>
        <v>86812.405098345975</v>
      </c>
      <c r="AR131" s="233">
        <f t="shared" ca="1" si="42"/>
        <v>84819.420833107084</v>
      </c>
      <c r="AS131" s="41"/>
      <c r="AT131" s="41"/>
    </row>
    <row r="132" spans="1:46" x14ac:dyDescent="0.2">
      <c r="A132" s="66" t="s">
        <v>271</v>
      </c>
      <c r="B132" s="10"/>
      <c r="C132" s="36" t="str">
        <f>Параметры!$C$126</f>
        <v>тыс. руб.</v>
      </c>
      <c r="D132" s="65"/>
      <c r="E132" s="233">
        <f t="shared" ref="E132:AR132" ca="1" si="43">E51</f>
        <v>-17556.425000000003</v>
      </c>
      <c r="F132" s="233">
        <f t="shared" ca="1" si="43"/>
        <v>-24092.3</v>
      </c>
      <c r="G132" s="233">
        <f t="shared" ca="1" si="43"/>
        <v>-24852.747903782285</v>
      </c>
      <c r="H132" s="233">
        <f t="shared" ca="1" si="43"/>
        <v>-25756.604765640215</v>
      </c>
      <c r="I132" s="233">
        <f t="shared" ca="1" si="43"/>
        <v>-26657.953556173554</v>
      </c>
      <c r="J132" s="233">
        <f t="shared" ca="1" si="43"/>
        <v>-29052.254943701617</v>
      </c>
      <c r="K132" s="233">
        <f t="shared" ca="1" si="43"/>
        <v>-32376.012552441913</v>
      </c>
      <c r="L132" s="233">
        <f t="shared" ca="1" si="43"/>
        <v>-33774.268593279798</v>
      </c>
      <c r="M132" s="233">
        <f t="shared" ca="1" si="43"/>
        <v>-37049.3993985657</v>
      </c>
      <c r="N132" s="233">
        <f t="shared" ca="1" si="43"/>
        <v>-44590.384747336298</v>
      </c>
      <c r="O132" s="233">
        <f t="shared" ca="1" si="43"/>
        <v>-55959.088779191989</v>
      </c>
      <c r="P132" s="233">
        <f t="shared" ca="1" si="43"/>
        <v>-61918.948642438714</v>
      </c>
      <c r="Q132" s="233">
        <f t="shared" ca="1" si="43"/>
        <v>-64927.472943235611</v>
      </c>
      <c r="R132" s="233">
        <f t="shared" ca="1" si="43"/>
        <v>-75649.537228308589</v>
      </c>
      <c r="S132" s="233">
        <f t="shared" ca="1" si="43"/>
        <v>-87633.210290224306</v>
      </c>
      <c r="T132" s="233">
        <f t="shared" ca="1" si="43"/>
        <v>-91827.106192514708</v>
      </c>
      <c r="U132" s="233">
        <f t="shared" ca="1" si="43"/>
        <v>-88040.671888780533</v>
      </c>
      <c r="V132" s="233">
        <f t="shared" ca="1" si="43"/>
        <v>-84171.132277109689</v>
      </c>
      <c r="W132" s="233">
        <f t="shared" ca="1" si="43"/>
        <v>-80216.659277351486</v>
      </c>
      <c r="X132" s="233">
        <f t="shared" ca="1" si="43"/>
        <v>-76175.384513337529</v>
      </c>
      <c r="Y132" s="233">
        <f t="shared" ca="1" si="43"/>
        <v>-72045.398422936807</v>
      </c>
      <c r="Z132" s="233">
        <f t="shared" ca="1" si="43"/>
        <v>-67824.749348421683</v>
      </c>
      <c r="AA132" s="233">
        <f t="shared" ca="1" si="43"/>
        <v>-63511.442606708013</v>
      </c>
      <c r="AB132" s="233">
        <f t="shared" ca="1" si="43"/>
        <v>-59103.43953902334</v>
      </c>
      <c r="AC132" s="233">
        <f t="shared" ca="1" si="43"/>
        <v>-54113.274371673891</v>
      </c>
      <c r="AD132" s="233">
        <f t="shared" ca="1" si="43"/>
        <v>-49548.96409852332</v>
      </c>
      <c r="AE132" s="233">
        <f t="shared" ca="1" si="43"/>
        <v>-44884.453947002956</v>
      </c>
      <c r="AF132" s="233">
        <f t="shared" ca="1" si="43"/>
        <v>-40117.539361905016</v>
      </c>
      <c r="AG132" s="233">
        <f t="shared" ca="1" si="43"/>
        <v>-32288.860192358734</v>
      </c>
      <c r="AH132" s="233">
        <f t="shared" ca="1" si="43"/>
        <v>-27705.102100144552</v>
      </c>
      <c r="AI132" s="233">
        <f t="shared" ca="1" si="43"/>
        <v>-23020.91239520723</v>
      </c>
      <c r="AJ132" s="233">
        <f t="shared" ca="1" si="43"/>
        <v>-18234.085425147525</v>
      </c>
      <c r="AK132" s="233">
        <f t="shared" ca="1" si="43"/>
        <v>-13342.366991564959</v>
      </c>
      <c r="AL132" s="233">
        <f t="shared" ca="1" si="43"/>
        <v>-8343.4532793963353</v>
      </c>
      <c r="AM132" s="233">
        <f t="shared" ca="1" si="43"/>
        <v>-4217.8758588145829</v>
      </c>
      <c r="AN132" s="233">
        <f t="shared" ca="1" si="43"/>
        <v>-6.5483618527650831E-13</v>
      </c>
      <c r="AO132" s="233">
        <f t="shared" ca="1" si="43"/>
        <v>-6.5483618527650831E-13</v>
      </c>
      <c r="AP132" s="233">
        <f t="shared" ca="1" si="43"/>
        <v>-6.5483618527650831E-13</v>
      </c>
      <c r="AQ132" s="233">
        <f t="shared" ca="1" si="43"/>
        <v>-6.5483618527650831E-13</v>
      </c>
      <c r="AR132" s="233">
        <f t="shared" ca="1" si="43"/>
        <v>-6.5483618527650831E-13</v>
      </c>
      <c r="AS132" s="41"/>
      <c r="AT132" s="41"/>
    </row>
    <row r="133" spans="1:46" x14ac:dyDescent="0.2">
      <c r="A133" s="66" t="s">
        <v>272</v>
      </c>
      <c r="B133" s="10"/>
      <c r="C133" s="36" t="str">
        <f>Параметры!$C$126</f>
        <v>тыс. руб.</v>
      </c>
      <c r="D133" s="65"/>
      <c r="E133" s="233">
        <f t="shared" ref="E133:AR133" ca="1" si="44">E70</f>
        <v>0</v>
      </c>
      <c r="F133" s="233">
        <f t="shared" ca="1" si="44"/>
        <v>0</v>
      </c>
      <c r="G133" s="233">
        <f t="shared" ca="1" si="44"/>
        <v>-26077.604810885598</v>
      </c>
      <c r="H133" s="233">
        <f t="shared" ca="1" si="44"/>
        <v>-26599.156907103305</v>
      </c>
      <c r="I133" s="233">
        <f t="shared" ca="1" si="44"/>
        <v>-32950.56047333352</v>
      </c>
      <c r="J133" s="233">
        <f t="shared" ca="1" si="44"/>
        <v>-33609.571682800182</v>
      </c>
      <c r="K133" s="233">
        <f t="shared" ca="1" si="44"/>
        <v>-34281.76311645619</v>
      </c>
      <c r="L133" s="233">
        <f t="shared" ca="1" si="44"/>
        <v>-34967.398378785314</v>
      </c>
      <c r="M133" s="233">
        <f t="shared" ca="1" si="44"/>
        <v>-46458.291282385428</v>
      </c>
      <c r="N133" s="233">
        <f t="shared" ca="1" si="44"/>
        <v>-47414.435970373204</v>
      </c>
      <c r="O133" s="233">
        <f t="shared" ca="1" si="44"/>
        <v>-48390.310576523378</v>
      </c>
      <c r="P133" s="233">
        <f t="shared" ca="1" si="44"/>
        <v>-49386.323357248264</v>
      </c>
      <c r="Q133" s="233">
        <f t="shared" ca="1" si="44"/>
        <v>-158579.33854826816</v>
      </c>
      <c r="R133" s="233">
        <f t="shared" ca="1" si="44"/>
        <v>-162050.85658238453</v>
      </c>
      <c r="S133" s="233">
        <f t="shared" ca="1" si="44"/>
        <v>-165598.55343060414</v>
      </c>
      <c r="T133" s="233">
        <f t="shared" ca="1" si="44"/>
        <v>-169224.104509411</v>
      </c>
      <c r="U133" s="233">
        <f t="shared" ca="1" si="44"/>
        <v>-172929.2221600234</v>
      </c>
      <c r="V133" s="233">
        <f t="shared" ca="1" si="44"/>
        <v>-176715.65646375754</v>
      </c>
      <c r="W133" s="233">
        <f t="shared" ca="1" si="44"/>
        <v>-180585.19607542839</v>
      </c>
      <c r="X133" s="233">
        <f t="shared" ca="1" si="44"/>
        <v>-184539.6690751866</v>
      </c>
      <c r="Y133" s="233">
        <f t="shared" ca="1" si="44"/>
        <v>-188580.94383920057</v>
      </c>
      <c r="Z133" s="233">
        <f t="shared" ca="1" si="44"/>
        <v>-192710.92992960129</v>
      </c>
      <c r="AA133" s="233">
        <f t="shared" ca="1" si="44"/>
        <v>-196931.57900411641</v>
      </c>
      <c r="AB133" s="233">
        <f t="shared" ca="1" si="44"/>
        <v>-201244.88574583011</v>
      </c>
      <c r="AC133" s="233">
        <f t="shared" ca="1" si="44"/>
        <v>-205652.88881351473</v>
      </c>
      <c r="AD133" s="233">
        <f t="shared" ca="1" si="44"/>
        <v>-210157.67181299039</v>
      </c>
      <c r="AE133" s="233">
        <f t="shared" ca="1" si="44"/>
        <v>-214761.36428997765</v>
      </c>
      <c r="AF133" s="233">
        <f t="shared" ca="1" si="44"/>
        <v>-219466.14274492103</v>
      </c>
      <c r="AG133" s="233">
        <f t="shared" ca="1" si="44"/>
        <v>-224274.23167026899</v>
      </c>
      <c r="AH133" s="233">
        <f t="shared" ca="1" si="44"/>
        <v>-229187.90461070908</v>
      </c>
      <c r="AI133" s="233">
        <f t="shared" ca="1" si="44"/>
        <v>-234209.48524686621</v>
      </c>
      <c r="AJ133" s="233">
        <f t="shared" ca="1" si="44"/>
        <v>-239341.34850298523</v>
      </c>
      <c r="AK133" s="233">
        <f t="shared" ca="1" si="44"/>
        <v>-244585.92167912822</v>
      </c>
      <c r="AL133" s="233">
        <f t="shared" ca="1" si="44"/>
        <v>-249945.68560843088</v>
      </c>
      <c r="AM133" s="233">
        <f t="shared" ca="1" si="44"/>
        <v>-206278.87102908781</v>
      </c>
      <c r="AN133" s="233">
        <f t="shared" ca="1" si="44"/>
        <v>-210893.79294072927</v>
      </c>
      <c r="AO133" s="233">
        <f t="shared" ca="1" si="44"/>
        <v>0</v>
      </c>
      <c r="AP133" s="233">
        <f t="shared" ca="1" si="44"/>
        <v>0</v>
      </c>
      <c r="AQ133" s="233">
        <f t="shared" ca="1" si="44"/>
        <v>0</v>
      </c>
      <c r="AR133" s="233">
        <f t="shared" ca="1" si="44"/>
        <v>0</v>
      </c>
      <c r="AS133" s="41"/>
      <c r="AT133" s="41"/>
    </row>
    <row r="134" spans="1:46" s="60" customFormat="1" x14ac:dyDescent="0.2">
      <c r="A134" s="50" t="s">
        <v>123</v>
      </c>
      <c r="B134" s="249"/>
      <c r="C134" s="39" t="s">
        <v>133</v>
      </c>
      <c r="D134" s="159"/>
      <c r="E134" s="234">
        <f ca="1">IF(AND(E131&gt;0,(E132+E133)&lt;0),-E131/(E132+E133),"")</f>
        <v>1.2999999999999994</v>
      </c>
      <c r="F134" s="234">
        <f t="shared" ref="F134:AR134" ca="1" si="45">IF(AND(F131&gt;0,(F132+F133)&lt;0),-F131/(F132+F133),"")</f>
        <v>1.2999999999999996</v>
      </c>
      <c r="G134" s="234">
        <f t="shared" ca="1" si="45"/>
        <v>1.3000000000000003</v>
      </c>
      <c r="H134" s="234">
        <f t="shared" ca="1" si="45"/>
        <v>1.2999999999999998</v>
      </c>
      <c r="I134" s="234">
        <f t="shared" ca="1" si="45"/>
        <v>1.3000000000000003</v>
      </c>
      <c r="J134" s="234">
        <f t="shared" ca="1" si="45"/>
        <v>1.3000000000000003</v>
      </c>
      <c r="K134" s="234">
        <f t="shared" ca="1" si="45"/>
        <v>1.3</v>
      </c>
      <c r="L134" s="234">
        <f t="shared" ca="1" si="45"/>
        <v>1.3000000000000005</v>
      </c>
      <c r="M134" s="234">
        <f t="shared" ca="1" si="45"/>
        <v>1.3000000000000003</v>
      </c>
      <c r="N134" s="234">
        <f t="shared" ca="1" si="45"/>
        <v>1.3</v>
      </c>
      <c r="O134" s="234">
        <f t="shared" ca="1" si="45"/>
        <v>1.2999999999999994</v>
      </c>
      <c r="P134" s="234">
        <f t="shared" ca="1" si="45"/>
        <v>1.3000000000000003</v>
      </c>
      <c r="Q134" s="234">
        <f t="shared" ca="1" si="45"/>
        <v>1.3</v>
      </c>
      <c r="R134" s="234">
        <f t="shared" ca="1" si="45"/>
        <v>1.3000000000000003</v>
      </c>
      <c r="S134" s="234">
        <f t="shared" ca="1" si="45"/>
        <v>1.2999999999999998</v>
      </c>
      <c r="T134" s="234">
        <f t="shared" ca="1" si="45"/>
        <v>1.2999999999999992</v>
      </c>
      <c r="U134" s="234">
        <f t="shared" ca="1" si="45"/>
        <v>1.3161422681030457</v>
      </c>
      <c r="V134" s="234">
        <f t="shared" ca="1" si="45"/>
        <v>1.3540462236505471</v>
      </c>
      <c r="W134" s="234">
        <f t="shared" ca="1" si="45"/>
        <v>1.6453172270564891</v>
      </c>
      <c r="X134" s="234">
        <f t="shared" ca="1" si="45"/>
        <v>1.4013915819897462</v>
      </c>
      <c r="Y134" s="234">
        <f t="shared" ca="1" si="45"/>
        <v>1.4142262637157161</v>
      </c>
      <c r="Z134" s="234">
        <f t="shared" ca="1" si="45"/>
        <v>1.4905781029815124</v>
      </c>
      <c r="AA134" s="234">
        <f t="shared" ca="1" si="45"/>
        <v>1.4391858970478937</v>
      </c>
      <c r="AB134" s="234">
        <f t="shared" ca="1" si="45"/>
        <v>1.2892002801890285</v>
      </c>
      <c r="AC134" s="234">
        <f t="shared" ca="1" si="45"/>
        <v>1.3019118451077241</v>
      </c>
      <c r="AD134" s="234">
        <f t="shared" ca="1" si="45"/>
        <v>1.2810970952366476</v>
      </c>
      <c r="AE134" s="234">
        <f t="shared" ca="1" si="45"/>
        <v>1.2662782262574506</v>
      </c>
      <c r="AF134" s="234">
        <f t="shared" ca="1" si="45"/>
        <v>1.2732095035900988</v>
      </c>
      <c r="AG134" s="234">
        <f t="shared" ca="1" si="45"/>
        <v>1.2914849089017482</v>
      </c>
      <c r="AH134" s="234">
        <f t="shared" ca="1" si="45"/>
        <v>1.1963834976236543</v>
      </c>
      <c r="AI134" s="234">
        <f t="shared" ca="1" si="45"/>
        <v>1.2023162104577547</v>
      </c>
      <c r="AJ134" s="234">
        <f t="shared" ca="1" si="45"/>
        <v>1.2082272451189631</v>
      </c>
      <c r="AK134" s="234">
        <f t="shared" ca="1" si="45"/>
        <v>3.0726022095711545</v>
      </c>
      <c r="AL134" s="234">
        <f t="shared" ca="1" si="45"/>
        <v>1.0303942865139077</v>
      </c>
      <c r="AM134" s="234">
        <f t="shared" ca="1" si="45"/>
        <v>1.392725948415968</v>
      </c>
      <c r="AN134" s="234">
        <f t="shared" ca="1" si="45"/>
        <v>1.0993905923904241</v>
      </c>
      <c r="AO134" s="1008">
        <f t="shared" ca="1" si="45"/>
        <v>1.1791929425367009E+19</v>
      </c>
      <c r="AP134" s="1008" t="str">
        <f t="shared" ca="1" si="45"/>
        <v/>
      </c>
      <c r="AQ134" s="1008">
        <f t="shared" ca="1" si="45"/>
        <v>1.3257117894559987E+17</v>
      </c>
      <c r="AR134" s="1008">
        <f t="shared" ca="1" si="45"/>
        <v>1.2952769370448214E+17</v>
      </c>
      <c r="AS134" s="135"/>
      <c r="AT134" s="135"/>
    </row>
    <row r="135" spans="1:46" s="40" customFormat="1" x14ac:dyDescent="0.2">
      <c r="A135" s="374" t="s">
        <v>1008</v>
      </c>
      <c r="B135" s="1011"/>
      <c r="C135" s="597" t="s">
        <v>133</v>
      </c>
      <c r="D135" s="65"/>
      <c r="E135" s="1009">
        <f ca="1">AVERAGEIF(Параметры!$E$46:$AR$46,Параметры!E46,Результаты_УК!$E$134:$AR$134)</f>
        <v>1.2999999999999998</v>
      </c>
      <c r="F135" s="1009">
        <f ca="1">AVERAGEIF(Параметры!$E$46:$AR$46,Параметры!F46,Результаты_УК!$E$134:$AR$134)</f>
        <v>1.2999999999999998</v>
      </c>
      <c r="G135" s="1009">
        <f ca="1">AVERAGEIF(Параметры!$E$46:$AR$46,Параметры!G46,Результаты_УК!$E$134:$AR$134)</f>
        <v>1.2999999999999998</v>
      </c>
      <c r="H135" s="1009">
        <f ca="1">AVERAGEIF(Параметры!$E$46:$AR$46,Параметры!H46,Результаты_УК!$E$134:$AR$134)</f>
        <v>1.2999999999999998</v>
      </c>
      <c r="I135" s="1009">
        <f ca="1">AVERAGEIF(Параметры!$E$46:$AR$46,Параметры!I46,Результаты_УК!$E$134:$AR$134)</f>
        <v>1.3000000000000003</v>
      </c>
      <c r="J135" s="1009">
        <f ca="1">AVERAGEIF(Параметры!$E$46:$AR$46,Параметры!J46,Результаты_УК!$E$134:$AR$134)</f>
        <v>1.3000000000000003</v>
      </c>
      <c r="K135" s="1009">
        <f ca="1">AVERAGEIF(Параметры!$E$46:$AR$46,Параметры!K46,Результаты_УК!$E$134:$AR$134)</f>
        <v>1.3000000000000003</v>
      </c>
      <c r="L135" s="1009">
        <f ca="1">AVERAGEIF(Параметры!$E$46:$AR$46,Параметры!L46,Результаты_УК!$E$134:$AR$134)</f>
        <v>1.3000000000000003</v>
      </c>
      <c r="M135" s="1009">
        <f ca="1">AVERAGEIF(Параметры!$E$46:$AR$46,Параметры!M46,Результаты_УК!$E$134:$AR$134)</f>
        <v>1.3</v>
      </c>
      <c r="N135" s="1009">
        <f ca="1">AVERAGEIF(Параметры!$E$46:$AR$46,Параметры!N46,Результаты_УК!$E$134:$AR$134)</f>
        <v>1.3</v>
      </c>
      <c r="O135" s="1009">
        <f ca="1">AVERAGEIF(Параметры!$E$46:$AR$46,Параметры!O46,Результаты_УК!$E$134:$AR$134)</f>
        <v>1.3</v>
      </c>
      <c r="P135" s="1009">
        <f ca="1">AVERAGEIF(Параметры!$E$46:$AR$46,Параметры!P46,Результаты_УК!$E$134:$AR$134)</f>
        <v>1.3</v>
      </c>
      <c r="Q135" s="1009">
        <f ca="1">AVERAGEIF(Параметры!$E$46:$AR$46,Параметры!Q46,Результаты_УК!$E$134:$AR$134)</f>
        <v>1.2999999999999998</v>
      </c>
      <c r="R135" s="1009">
        <f ca="1">AVERAGEIF(Параметры!$E$46:$AR$46,Параметры!R46,Результаты_УК!$E$134:$AR$134)</f>
        <v>1.2999999999999998</v>
      </c>
      <c r="S135" s="1009">
        <f ca="1">AVERAGEIF(Параметры!$E$46:$AR$46,Параметры!S46,Результаты_УК!$E$134:$AR$134)</f>
        <v>1.2999999999999998</v>
      </c>
      <c r="T135" s="1009">
        <f ca="1">AVERAGEIF(Параметры!$E$46:$AR$46,Параметры!T46,Результаты_УК!$E$134:$AR$134)</f>
        <v>1.2999999999999998</v>
      </c>
      <c r="U135" s="1009">
        <f ca="1">AVERAGEIF(Параметры!$E$46:$AR$46,Параметры!U46,Результаты_УК!$E$134:$AR$134)</f>
        <v>1.429224325199957</v>
      </c>
      <c r="V135" s="1009">
        <f ca="1">AVERAGEIF(Параметры!$E$46:$AR$46,Параметры!V46,Результаты_УК!$E$134:$AR$134)</f>
        <v>1.429224325199957</v>
      </c>
      <c r="W135" s="1009">
        <f ca="1">AVERAGEIF(Параметры!$E$46:$AR$46,Параметры!W46,Результаты_УК!$E$134:$AR$134)</f>
        <v>1.429224325199957</v>
      </c>
      <c r="X135" s="1009">
        <f ca="1">AVERAGEIF(Параметры!$E$46:$AR$46,Параметры!X46,Результаты_УК!$E$134:$AR$134)</f>
        <v>1.429224325199957</v>
      </c>
      <c r="Y135" s="1009">
        <f ca="1">AVERAGEIF(Параметры!$E$46:$AR$46,Параметры!Y46,Результаты_УК!$E$134:$AR$134)</f>
        <v>1.4082976359835377</v>
      </c>
      <c r="Z135" s="1009">
        <f ca="1">AVERAGEIF(Параметры!$E$46:$AR$46,Параметры!Z46,Результаты_УК!$E$134:$AR$134)</f>
        <v>1.4082976359835377</v>
      </c>
      <c r="AA135" s="1009">
        <f ca="1">AVERAGEIF(Параметры!$E$46:$AR$46,Параметры!AA46,Результаты_УК!$E$134:$AR$134)</f>
        <v>1.4082976359835377</v>
      </c>
      <c r="AB135" s="1009">
        <f ca="1">AVERAGEIF(Параметры!$E$46:$AR$46,Параметры!AB46,Результаты_УК!$E$134:$AR$134)</f>
        <v>1.4082976359835377</v>
      </c>
      <c r="AC135" s="1009">
        <f ca="1">AVERAGEIF(Параметры!$E$46:$AR$46,Параметры!AC46,Результаты_УК!$E$134:$AR$134)</f>
        <v>1.2806241675479804</v>
      </c>
      <c r="AD135" s="1009">
        <f ca="1">AVERAGEIF(Параметры!$E$46:$AR$46,Параметры!AD46,Результаты_УК!$E$134:$AR$134)</f>
        <v>1.2806241675479804</v>
      </c>
      <c r="AE135" s="1009">
        <f ca="1">AVERAGEIF(Параметры!$E$46:$AR$46,Параметры!AE46,Результаты_УК!$E$134:$AR$134)</f>
        <v>1.2806241675479804</v>
      </c>
      <c r="AF135" s="1009">
        <f ca="1">AVERAGEIF(Параметры!$E$46:$AR$46,Параметры!AF46,Результаты_УК!$E$134:$AR$134)</f>
        <v>1.2806241675479804</v>
      </c>
      <c r="AG135" s="1009">
        <f ca="1">AVERAGEIF(Параметры!$E$46:$AR$46,Параметры!AG46,Результаты_УК!$E$134:$AR$134)</f>
        <v>1.2246029655255302</v>
      </c>
      <c r="AH135" s="1009">
        <f ca="1">AVERAGEIF(Параметры!$E$46:$AR$46,Параметры!AH46,Результаты_УК!$E$134:$AR$134)</f>
        <v>1.2246029655255302</v>
      </c>
      <c r="AI135" s="1009">
        <f ca="1">AVERAGEIF(Параметры!$E$46:$AR$46,Параметры!AI46,Результаты_УК!$E$134:$AR$134)</f>
        <v>1.2246029655255302</v>
      </c>
      <c r="AJ135" s="1009">
        <f ca="1">AVERAGEIF(Параметры!$E$46:$AR$46,Параметры!AJ46,Результаты_УК!$E$134:$AR$134)</f>
        <v>1.2246029655255302</v>
      </c>
      <c r="AK135" s="1009">
        <f ca="1">AVERAGEIF(Параметры!$E$46:$AR$46,Параметры!AK46,Результаты_УК!$E$134:$AR$134)</f>
        <v>1.6487782592228637</v>
      </c>
      <c r="AL135" s="1009">
        <f ca="1">AVERAGEIF(Параметры!$E$46:$AR$46,Параметры!AL46,Результаты_УК!$E$134:$AR$134)</f>
        <v>1.6487782592228637</v>
      </c>
      <c r="AM135" s="1009">
        <f ca="1">AVERAGEIF(Параметры!$E$46:$AR$46,Параметры!AM46,Результаты_УК!$E$134:$AR$134)</f>
        <v>1.6487782592228637</v>
      </c>
      <c r="AN135" s="1009">
        <f ca="1">AVERAGEIF(Параметры!$E$46:$AR$46,Параметры!AN46,Результаты_УК!$E$134:$AR$134)</f>
        <v>1.6487782592228637</v>
      </c>
      <c r="AO135" s="1010">
        <f ca="1">AVERAGEIF(Параметры!$E$46:$AR$46,Параметры!AO46,Результаты_УК!$E$134:$AR$134)</f>
        <v>4.018009432672364E+18</v>
      </c>
      <c r="AP135" s="1010">
        <f ca="1">AVERAGEIF(Параметры!$E$46:$AR$46,Параметры!AP46,Результаты_УК!$E$134:$AR$134)</f>
        <v>4.018009432672364E+18</v>
      </c>
      <c r="AQ135" s="1010">
        <f ca="1">AVERAGEIF(Параметры!$E$46:$AR$46,Параметры!AQ46,Результаты_УК!$E$134:$AR$134)</f>
        <v>4.018009432672364E+18</v>
      </c>
      <c r="AR135" s="1010">
        <f ca="1">AVERAGEIF(Параметры!$E$46:$AR$46,Параметры!AR46,Результаты_УК!$E$134:$AR$134)</f>
        <v>4.018009432672364E+18</v>
      </c>
      <c r="AS135" s="108"/>
      <c r="AT135" s="108"/>
    </row>
    <row r="136" spans="1:46" x14ac:dyDescent="0.2">
      <c r="A136" s="49"/>
      <c r="B136" s="10"/>
      <c r="C136" s="36"/>
      <c r="D136" s="65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41"/>
      <c r="AT136" s="41"/>
    </row>
    <row r="137" spans="1:46" x14ac:dyDescent="0.2">
      <c r="A137" s="50" t="s">
        <v>344</v>
      </c>
      <c r="B137" s="10"/>
      <c r="C137" s="36"/>
      <c r="D137" s="65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41"/>
      <c r="AT137" s="41"/>
    </row>
    <row r="138" spans="1:46" x14ac:dyDescent="0.2">
      <c r="A138" s="66" t="s">
        <v>345</v>
      </c>
      <c r="B138" s="10"/>
      <c r="C138" s="36" t="str">
        <f>Параметры!$C$126</f>
        <v>тыс. руб.</v>
      </c>
      <c r="D138" s="65"/>
      <c r="E138" s="233">
        <f t="shared" ref="E138:AR138" ca="1" si="46">E131</f>
        <v>22823.352499999994</v>
      </c>
      <c r="F138" s="233">
        <f t="shared" ca="1" si="46"/>
        <v>31319.989999999991</v>
      </c>
      <c r="G138" s="233">
        <f t="shared" ca="1" si="46"/>
        <v>66209.458529068259</v>
      </c>
      <c r="H138" s="233">
        <f t="shared" ca="1" si="46"/>
        <v>68062.49017456657</v>
      </c>
      <c r="I138" s="233">
        <f t="shared" ca="1" si="46"/>
        <v>77491.068238359207</v>
      </c>
      <c r="J138" s="233">
        <f t="shared" ca="1" si="46"/>
        <v>81460.374614452361</v>
      </c>
      <c r="K138" s="233">
        <f t="shared" ca="1" si="46"/>
        <v>86655.108369567533</v>
      </c>
      <c r="L138" s="233">
        <f t="shared" ca="1" si="46"/>
        <v>89364.167063684683</v>
      </c>
      <c r="M138" s="233">
        <f t="shared" ca="1" si="46"/>
        <v>108559.99788523649</v>
      </c>
      <c r="N138" s="233">
        <f t="shared" ca="1" si="46"/>
        <v>119606.26693302236</v>
      </c>
      <c r="O138" s="233">
        <f t="shared" ca="1" si="46"/>
        <v>135654.21916242992</v>
      </c>
      <c r="P138" s="233">
        <f t="shared" ca="1" si="46"/>
        <v>144696.8535995931</v>
      </c>
      <c r="Q138" s="233">
        <f t="shared" ca="1" si="46"/>
        <v>290558.85493895493</v>
      </c>
      <c r="R138" s="233">
        <f t="shared" ca="1" si="46"/>
        <v>309010.51195390109</v>
      </c>
      <c r="S138" s="233">
        <f t="shared" ca="1" si="46"/>
        <v>329201.29283707694</v>
      </c>
      <c r="T138" s="233">
        <f t="shared" ca="1" si="46"/>
        <v>339366.5739125032</v>
      </c>
      <c r="U138" s="233">
        <f t="shared" ca="1" si="46"/>
        <v>343473.50826000434</v>
      </c>
      <c r="V138" s="233">
        <f t="shared" ca="1" si="46"/>
        <v>353252.77109488932</v>
      </c>
      <c r="W138" s="233">
        <f t="shared" ca="1" si="46"/>
        <v>429101.78546022333</v>
      </c>
      <c r="X138" s="233">
        <f t="shared" ca="1" si="46"/>
        <v>365363.88139696326</v>
      </c>
      <c r="Y138" s="233">
        <f t="shared" ca="1" si="46"/>
        <v>368584.61824327603</v>
      </c>
      <c r="Z138" s="233">
        <f t="shared" ca="1" si="46"/>
        <v>388348.77857723518</v>
      </c>
      <c r="AA138" s="233">
        <f t="shared" ca="1" si="46"/>
        <v>374825.9236868383</v>
      </c>
      <c r="AB138" s="233">
        <f t="shared" ca="1" si="46"/>
        <v>335641.1339039774</v>
      </c>
      <c r="AC138" s="233">
        <f t="shared" ca="1" si="46"/>
        <v>338192.64480898302</v>
      </c>
      <c r="AD138" s="233">
        <f t="shared" ca="1" si="46"/>
        <v>332709.41687992186</v>
      </c>
      <c r="AE138" s="233">
        <f t="shared" ca="1" si="46"/>
        <v>328783.84617228818</v>
      </c>
      <c r="AF138" s="233">
        <f t="shared" ca="1" si="46"/>
        <v>330504.411035322</v>
      </c>
      <c r="AG138" s="233">
        <f t="shared" ca="1" si="46"/>
        <v>331347.36132175662</v>
      </c>
      <c r="AH138" s="233">
        <f t="shared" ca="1" si="46"/>
        <v>307342.55388378794</v>
      </c>
      <c r="AI138" s="233">
        <f t="shared" ca="1" si="46"/>
        <v>309272.27690755913</v>
      </c>
      <c r="AJ138" s="233">
        <f t="shared" ca="1" si="46"/>
        <v>311209.65694530931</v>
      </c>
      <c r="AK138" s="233">
        <f t="shared" ca="1" si="46"/>
        <v>792511.02968047839</v>
      </c>
      <c r="AL138" s="233">
        <f t="shared" ca="1" si="46"/>
        <v>266139.65297861438</v>
      </c>
      <c r="AM138" s="233">
        <f t="shared" ca="1" si="46"/>
        <v>293164.2814479298</v>
      </c>
      <c r="AN138" s="233">
        <f t="shared" ca="1" si="46"/>
        <v>231854.65195257182</v>
      </c>
      <c r="AO138" s="233">
        <f t="shared" ca="1" si="46"/>
        <v>7721782.0819571409</v>
      </c>
      <c r="AP138" s="233">
        <f t="shared" ca="1" si="46"/>
        <v>-1998119.9940400613</v>
      </c>
      <c r="AQ138" s="233">
        <f t="shared" ca="1" si="46"/>
        <v>86812.405098345975</v>
      </c>
      <c r="AR138" s="233">
        <f t="shared" ca="1" si="46"/>
        <v>84819.420833107084</v>
      </c>
      <c r="AS138" s="41"/>
      <c r="AT138" s="41"/>
    </row>
    <row r="139" spans="1:46" x14ac:dyDescent="0.2">
      <c r="A139" s="66" t="s">
        <v>346</v>
      </c>
      <c r="B139" s="10"/>
      <c r="C139" s="36" t="str">
        <f>Параметры!$C$126</f>
        <v>тыс. руб.</v>
      </c>
      <c r="D139" s="65"/>
      <c r="E139" s="233">
        <f t="shared" ref="E139:AR139" ca="1" si="47">E360</f>
        <v>22823.352499999994</v>
      </c>
      <c r="F139" s="233">
        <f t="shared" ca="1" si="47"/>
        <v>31319.989999999991</v>
      </c>
      <c r="G139" s="233">
        <f t="shared" ca="1" si="47"/>
        <v>66209.458529068259</v>
      </c>
      <c r="H139" s="233">
        <f t="shared" ca="1" si="47"/>
        <v>68062.49017456657</v>
      </c>
      <c r="I139" s="233">
        <f t="shared" ca="1" si="47"/>
        <v>75940.700021885481</v>
      </c>
      <c r="J139" s="233">
        <f t="shared" ca="1" si="47"/>
        <v>78233.417052374905</v>
      </c>
      <c r="K139" s="233">
        <f t="shared" ca="1" si="47"/>
        <v>81557.332852039079</v>
      </c>
      <c r="L139" s="233">
        <f t="shared" ca="1" si="47"/>
        <v>82424.288157788993</v>
      </c>
      <c r="M139" s="233">
        <f t="shared" ca="1" si="47"/>
        <v>98126.106690064451</v>
      </c>
      <c r="N139" s="233">
        <f t="shared" ca="1" si="47"/>
        <v>105947.72258367598</v>
      </c>
      <c r="O139" s="233">
        <f t="shared" ca="1" si="47"/>
        <v>117758.95531406933</v>
      </c>
      <c r="P139" s="233">
        <f t="shared" ca="1" si="47"/>
        <v>123095.64101870086</v>
      </c>
      <c r="Q139" s="233">
        <f t="shared" ca="1" si="47"/>
        <v>242237.09539807652</v>
      </c>
      <c r="R139" s="233">
        <f t="shared" ca="1" si="47"/>
        <v>252465.90561031966</v>
      </c>
      <c r="S139" s="233">
        <f t="shared" ca="1" si="47"/>
        <v>263580.91651821311</v>
      </c>
      <c r="T139" s="233">
        <f t="shared" ca="1" si="47"/>
        <v>266283.61489994469</v>
      </c>
      <c r="U139" s="233">
        <f t="shared" ca="1" si="47"/>
        <v>264114.09226561751</v>
      </c>
      <c r="V139" s="233">
        <f t="shared" ca="1" si="47"/>
        <v>266199.26623657538</v>
      </c>
      <c r="W139" s="233">
        <f t="shared" ca="1" si="47"/>
        <v>316887.09017581522</v>
      </c>
      <c r="X139" s="233">
        <f t="shared" ca="1" si="47"/>
        <v>264419.07743624644</v>
      </c>
      <c r="Y139" s="233">
        <f t="shared" ca="1" si="47"/>
        <v>261413.0889900967</v>
      </c>
      <c r="Z139" s="233">
        <f t="shared" ca="1" si="47"/>
        <v>269919.96788185515</v>
      </c>
      <c r="AA139" s="233">
        <f t="shared" ca="1" si="47"/>
        <v>255308.71410529895</v>
      </c>
      <c r="AB139" s="233">
        <f t="shared" ca="1" si="47"/>
        <v>224044.42739647286</v>
      </c>
      <c r="AC139" s="233">
        <f t="shared" ca="1" si="47"/>
        <v>221231.04619414834</v>
      </c>
      <c r="AD139" s="233">
        <f t="shared" ca="1" si="47"/>
        <v>213289.73590116671</v>
      </c>
      <c r="AE139" s="233">
        <f t="shared" ca="1" si="47"/>
        <v>206556.22281606132</v>
      </c>
      <c r="AF139" s="233">
        <f t="shared" ca="1" si="47"/>
        <v>203482.9476204493</v>
      </c>
      <c r="AG139" s="233">
        <f t="shared" ca="1" si="47"/>
        <v>199920.45189401257</v>
      </c>
      <c r="AH139" s="233">
        <f t="shared" ca="1" si="47"/>
        <v>181726.95616098028</v>
      </c>
      <c r="AI139" s="233">
        <f t="shared" ca="1" si="47"/>
        <v>179209.3219695329</v>
      </c>
      <c r="AJ139" s="233">
        <f t="shared" ca="1" si="47"/>
        <v>176724.034715038</v>
      </c>
      <c r="AK139" s="233">
        <f t="shared" ca="1" si="47"/>
        <v>441032.72618749447</v>
      </c>
      <c r="AL139" s="233">
        <f t="shared" ca="1" si="47"/>
        <v>145143.64865280341</v>
      </c>
      <c r="AM139" s="233">
        <f t="shared" ca="1" si="47"/>
        <v>156683.20766045057</v>
      </c>
      <c r="AN139" s="233">
        <f t="shared" ca="1" si="47"/>
        <v>121436.7569883207</v>
      </c>
      <c r="AO139" s="233">
        <f t="shared" ca="1" si="47"/>
        <v>3963463.2542725415</v>
      </c>
      <c r="AP139" s="233">
        <f t="shared" ca="1" si="47"/>
        <v>-1005082.7258134476</v>
      </c>
      <c r="AQ139" s="233">
        <f t="shared" ca="1" si="47"/>
        <v>42794.206696702437</v>
      </c>
      <c r="AR139" s="233">
        <f t="shared" ca="1" si="47"/>
        <v>40975.234025937061</v>
      </c>
      <c r="AS139" s="41"/>
      <c r="AT139" s="41"/>
    </row>
    <row r="140" spans="1:46" x14ac:dyDescent="0.2">
      <c r="A140" s="66" t="s">
        <v>347</v>
      </c>
      <c r="B140" s="10"/>
      <c r="C140" s="36" t="str">
        <f>Параметры!$C$126</f>
        <v>тыс. руб.</v>
      </c>
      <c r="D140" s="65"/>
      <c r="E140" s="233">
        <f ca="1">Деятельность_УК!E$643/Параметры!E$126</f>
        <v>12820</v>
      </c>
      <c r="F140" s="233">
        <f ca="1">Деятельность_УК!F$643/Параметры!F$126</f>
        <v>51280</v>
      </c>
      <c r="G140" s="233">
        <f ca="1">Деятельность_УК!G$643/Параметры!G$126</f>
        <v>115380</v>
      </c>
      <c r="H140" s="233">
        <f ca="1">Деятельность_УК!H$643/Параметры!H$126</f>
        <v>187172</v>
      </c>
      <c r="I140" s="233">
        <f ca="1">Деятельность_УК!I$643/Параметры!I$126</f>
        <v>254120.57957191186</v>
      </c>
      <c r="J140" s="233">
        <f ca="1">Деятельность_УК!J$643/Параметры!J$126</f>
        <v>385915.70242772572</v>
      </c>
      <c r="K140" s="233">
        <f ca="1">Деятельность_УК!K$643/Параметры!K$126</f>
        <v>559516.92078299657</v>
      </c>
      <c r="L140" s="233">
        <f ca="1">Деятельность_УК!L$643/Параметры!L$126</f>
        <v>648047.02574424585</v>
      </c>
      <c r="M140" s="233">
        <f ca="1">Деятельность_УК!M$643/Параметры!M$126</f>
        <v>819013.04157423868</v>
      </c>
      <c r="N140" s="233">
        <f ca="1">Деятельность_УК!N$643/Параметры!N$126</f>
        <v>1180080.6856043418</v>
      </c>
      <c r="O140" s="233">
        <f ca="1">Деятельность_УК!O$643/Параметры!O$126</f>
        <v>1711787.4147865884</v>
      </c>
      <c r="P140" s="233">
        <f ca="1">Деятельность_УК!P$643/Параметры!P$126</f>
        <v>2003629.6896970982</v>
      </c>
      <c r="Q140" s="233">
        <f ca="1">Деятельность_УК!Q$643/Параметры!Q$126</f>
        <v>2164840.6874518287</v>
      </c>
      <c r="R140" s="233">
        <f ca="1">Деятельность_УК!R$643/Параметры!R$126</f>
        <v>2669425.660639883</v>
      </c>
      <c r="S140" s="233">
        <f ca="1">Деятельность_УК!S$643/Параметры!S$126</f>
        <v>3230643.110675755</v>
      </c>
      <c r="T140" s="233">
        <f ca="1">Деятельность_УК!T$643/Параметры!T$126</f>
        <v>3446220.4376739608</v>
      </c>
      <c r="U140" s="233">
        <f ca="1">Деятельность_УК!U$643/Параметры!U$126</f>
        <v>3307700.0612534466</v>
      </c>
      <c r="V140" s="233">
        <f ca="1">Деятельность_УК!V$643/Параметры!V$126</f>
        <v>3166081.4274439896</v>
      </c>
      <c r="W140" s="233">
        <f ca="1">Деятельность_УК!W$643/Параметры!W$126</f>
        <v>3021295.1944759469</v>
      </c>
      <c r="X140" s="233">
        <f ca="1">Деятельность_УК!X$643/Параметры!X$126</f>
        <v>2873270.4677702938</v>
      </c>
      <c r="Y140" s="233">
        <f ca="1">Деятельность_УК!Y$643/Параметры!Y$126</f>
        <v>2721934.7651480176</v>
      </c>
      <c r="Z140" s="233">
        <f ca="1">Деятельность_УК!Z$643/Параметры!Z$126</f>
        <v>2567213.981259679</v>
      </c>
      <c r="AA140" s="233">
        <f ca="1">Деятельность_УК!AA$643/Параметры!AA$126</f>
        <v>2409032.3512176508</v>
      </c>
      <c r="AB140" s="233">
        <f ca="1">Деятельность_УК!AB$643/Параметры!AB$126</f>
        <v>2247312.4134131502</v>
      </c>
      <c r="AC140" s="233">
        <f ca="1">Деятельность_УК!AC$643/Параметры!AC$126</f>
        <v>2081974.9714997923</v>
      </c>
      <c r="AD140" s="233">
        <f ca="1">Деятельность_УК!AD$643/Параметры!AD$126</f>
        <v>1912939.0555249613</v>
      </c>
      <c r="AE140" s="233">
        <f ca="1">Деятельность_УК!AE$643/Параметры!AE$126</f>
        <v>1740121.8821899062</v>
      </c>
      <c r="AF140" s="233">
        <f ca="1">Деятельность_УК!AF$643/Параметры!AF$126</f>
        <v>1563438.8142190063</v>
      </c>
      <c r="AG140" s="233">
        <f ca="1">Деятельность_УК!AG$643/Параметры!AG$126</f>
        <v>1382803.318818239</v>
      </c>
      <c r="AH140" s="233">
        <f ca="1">Деятельность_УК!AH$643/Параметры!AH$126</f>
        <v>1198126.9252024214</v>
      </c>
      <c r="AI140" s="233">
        <f ca="1">Деятельность_УК!AI$643/Параметры!AI$126</f>
        <v>1009319.1811703448</v>
      </c>
      <c r="AJ140" s="233">
        <f ca="1">Деятельность_УК!AJ$643/Параметры!AJ$126</f>
        <v>816287.60870644485</v>
      </c>
      <c r="AK140" s="233">
        <f ca="1">Деятельность_УК!AK$643/Параметры!AK$126</f>
        <v>618937.65858718357</v>
      </c>
      <c r="AL140" s="233">
        <f ca="1">Деятельность_УК!AL$643/Параметры!AL$126</f>
        <v>417172.66396981681</v>
      </c>
      <c r="AM140" s="233">
        <f ca="1">Деятельность_УК!AM$643/Параметры!AM$126</f>
        <v>210893.79294072912</v>
      </c>
      <c r="AN140" s="233">
        <f ca="1">Деятельность_УК!AN$643/Параметры!AN$126</f>
        <v>0</v>
      </c>
      <c r="AO140" s="233">
        <f ca="1">Деятельность_УК!AO$643/Параметры!AO$126</f>
        <v>0</v>
      </c>
      <c r="AP140" s="233">
        <f ca="1">Деятельность_УК!AP$643/Параметры!AP$126</f>
        <v>0</v>
      </c>
      <c r="AQ140" s="233">
        <f ca="1">Деятельность_УК!AQ$643/Параметры!AQ$126</f>
        <v>0</v>
      </c>
      <c r="AR140" s="233">
        <f ca="1">Деятельность_УК!AR$643/Параметры!AR$126</f>
        <v>0</v>
      </c>
      <c r="AS140" s="41"/>
      <c r="AT140" s="41"/>
    </row>
    <row r="141" spans="1:46" x14ac:dyDescent="0.2">
      <c r="A141" s="66" t="s">
        <v>348</v>
      </c>
      <c r="B141" s="10"/>
      <c r="C141" s="36" t="str">
        <f>Параметры!$C$126</f>
        <v>тыс. руб.</v>
      </c>
      <c r="D141" s="65"/>
      <c r="E141" s="233">
        <f t="shared" ref="E141:AR141" ca="1" si="48">E77</f>
        <v>5266.9274999999907</v>
      </c>
      <c r="F141" s="233">
        <f t="shared" ca="1" si="48"/>
        <v>12494.617499999993</v>
      </c>
      <c r="G141" s="233">
        <f t="shared" ca="1" si="48"/>
        <v>27773.723314400369</v>
      </c>
      <c r="H141" s="233">
        <f t="shared" ca="1" si="48"/>
        <v>43480.451816223431</v>
      </c>
      <c r="I141" s="233">
        <f t="shared" ca="1" si="48"/>
        <v>61363.006025075549</v>
      </c>
      <c r="J141" s="233">
        <f t="shared" ca="1" si="48"/>
        <v>80161.554013026078</v>
      </c>
      <c r="K141" s="233">
        <f t="shared" ca="1" si="48"/>
        <v>100158.88671369549</v>
      </c>
      <c r="L141" s="233">
        <f t="shared" ca="1" si="48"/>
        <v>120781.38680531505</v>
      </c>
      <c r="M141" s="233">
        <f t="shared" ca="1" si="48"/>
        <v>145833.69400960038</v>
      </c>
      <c r="N141" s="233">
        <f t="shared" ca="1" si="48"/>
        <v>173435.14022491331</v>
      </c>
      <c r="O141" s="233">
        <f t="shared" ca="1" si="48"/>
        <v>204739.96003162785</v>
      </c>
      <c r="P141" s="233">
        <f t="shared" ca="1" si="48"/>
        <v>238131.54163153394</v>
      </c>
      <c r="Q141" s="233">
        <f t="shared" ca="1" si="48"/>
        <v>305183.58507898502</v>
      </c>
      <c r="R141" s="233">
        <f t="shared" ca="1" si="48"/>
        <v>376493.70322219311</v>
      </c>
      <c r="S141" s="233">
        <f t="shared" ca="1" si="48"/>
        <v>452463.23233844183</v>
      </c>
      <c r="T141" s="233">
        <f t="shared" ca="1" si="48"/>
        <v>530778.59554901929</v>
      </c>
      <c r="U141" s="233">
        <f t="shared" ca="1" si="48"/>
        <v>613282.20976021967</v>
      </c>
      <c r="V141" s="233">
        <f t="shared" ca="1" si="48"/>
        <v>705648.19211424177</v>
      </c>
      <c r="W141" s="233">
        <f t="shared" ca="1" si="48"/>
        <v>873948.12222168525</v>
      </c>
      <c r="X141" s="233">
        <f t="shared" ca="1" si="48"/>
        <v>978596.9500301244</v>
      </c>
      <c r="Y141" s="233">
        <f t="shared" ca="1" si="48"/>
        <v>1086555.2260112632</v>
      </c>
      <c r="Z141" s="233">
        <f t="shared" ca="1" si="48"/>
        <v>1214368.3253104754</v>
      </c>
      <c r="AA141" s="233">
        <f t="shared" ca="1" si="48"/>
        <v>1328751.2273864893</v>
      </c>
      <c r="AB141" s="233">
        <f t="shared" ca="1" si="48"/>
        <v>1404044.0360056132</v>
      </c>
      <c r="AC141" s="233">
        <f t="shared" ca="1" si="48"/>
        <v>1482470.5176294076</v>
      </c>
      <c r="AD141" s="233">
        <f t="shared" ca="1" si="48"/>
        <v>1555473.2985978157</v>
      </c>
      <c r="AE141" s="233">
        <f t="shared" ca="1" si="48"/>
        <v>1624611.3265331232</v>
      </c>
      <c r="AF141" s="233">
        <f t="shared" ca="1" si="48"/>
        <v>1695532.055461619</v>
      </c>
      <c r="AG141" s="233">
        <f t="shared" ca="1" si="48"/>
        <v>1770316.3249207479</v>
      </c>
      <c r="AH141" s="233">
        <f t="shared" ca="1" si="48"/>
        <v>1820765.8720936822</v>
      </c>
      <c r="AI141" s="233">
        <f t="shared" ca="1" si="48"/>
        <v>1872807.7513591677</v>
      </c>
      <c r="AJ141" s="233">
        <f t="shared" ca="1" si="48"/>
        <v>1926441.9743763444</v>
      </c>
      <c r="AK141" s="233">
        <f t="shared" ca="1" si="48"/>
        <v>2461024.7153861295</v>
      </c>
      <c r="AL141" s="233">
        <f t="shared" ca="1" si="48"/>
        <v>2468875.2294769166</v>
      </c>
      <c r="AM141" s="233">
        <f t="shared" ca="1" si="48"/>
        <v>2551542.7640369441</v>
      </c>
      <c r="AN141" s="233">
        <f t="shared" ca="1" si="48"/>
        <v>2572503.6230487865</v>
      </c>
      <c r="AO141" s="233">
        <f t="shared" ca="1" si="48"/>
        <v>10294285.705005927</v>
      </c>
      <c r="AP141" s="233">
        <f t="shared" ca="1" si="48"/>
        <v>8296165.7109658662</v>
      </c>
      <c r="AQ141" s="233">
        <f t="shared" ca="1" si="48"/>
        <v>8382978.1160642123</v>
      </c>
      <c r="AR141" s="233">
        <f t="shared" ca="1" si="48"/>
        <v>8467797.5368973203</v>
      </c>
      <c r="AS141" s="41"/>
      <c r="AT141" s="41"/>
    </row>
    <row r="142" spans="1:46" s="60" customFormat="1" x14ac:dyDescent="0.2">
      <c r="A142" s="50" t="s">
        <v>349</v>
      </c>
      <c r="B142" s="249"/>
      <c r="C142" s="39" t="s">
        <v>133</v>
      </c>
      <c r="D142" s="159"/>
      <c r="E142" s="250">
        <f ca="1">IF(E140&gt;0,(E139+E141)/E140,"-")</f>
        <v>2.1911294851794061</v>
      </c>
      <c r="F142" s="250">
        <f t="shared" ref="F142:AR142" ca="1" si="49">IF(F140&gt;0,(F139+F141)/F140,"-")</f>
        <v>0.8544190230109201</v>
      </c>
      <c r="G142" s="250">
        <f t="shared" ca="1" si="49"/>
        <v>0.81455349144971945</v>
      </c>
      <c r="H142" s="250">
        <f t="shared" ca="1" si="49"/>
        <v>0.59593818514943475</v>
      </c>
      <c r="I142" s="250">
        <f t="shared" ca="1" si="49"/>
        <v>0.54030927474768475</v>
      </c>
      <c r="J142" s="250">
        <f t="shared" ca="1" si="49"/>
        <v>0.41043930078244273</v>
      </c>
      <c r="K142" s="250">
        <f t="shared" ca="1" si="49"/>
        <v>0.32477341223467932</v>
      </c>
      <c r="L142" s="250">
        <f t="shared" ca="1" si="49"/>
        <v>0.31356624888407392</v>
      </c>
      <c r="M142" s="250">
        <f t="shared" ca="1" si="49"/>
        <v>0.29787047130622685</v>
      </c>
      <c r="N142" s="250">
        <f t="shared" ca="1" si="49"/>
        <v>0.23674894964111035</v>
      </c>
      <c r="O142" s="250">
        <f t="shared" ca="1" si="49"/>
        <v>0.18839892883889658</v>
      </c>
      <c r="P142" s="250">
        <f t="shared" ca="1" si="49"/>
        <v>0.18028639948175446</v>
      </c>
      <c r="Q142" s="250">
        <f t="shared" ca="1" si="49"/>
        <v>0.25286880630528735</v>
      </c>
      <c r="R142" s="250">
        <f t="shared" ca="1" si="49"/>
        <v>0.23561607955838187</v>
      </c>
      <c r="S142" s="250">
        <f t="shared" ca="1" si="49"/>
        <v>0.22164136499338663</v>
      </c>
      <c r="T142" s="250">
        <f t="shared" ca="1" si="49"/>
        <v>0.23128590433029411</v>
      </c>
      <c r="U142" s="250">
        <f t="shared" ca="1" si="49"/>
        <v>0.26525872533114431</v>
      </c>
      <c r="V142" s="250">
        <f t="shared" ca="1" si="49"/>
        <v>0.30695592663117316</v>
      </c>
      <c r="W142" s="250">
        <f t="shared" ca="1" si="49"/>
        <v>0.39414725663840816</v>
      </c>
      <c r="X142" s="250">
        <f t="shared" ca="1" si="49"/>
        <v>0.43261365103264088</v>
      </c>
      <c r="Y142" s="250">
        <f t="shared" ca="1" si="49"/>
        <v>0.49522432802611932</v>
      </c>
      <c r="Z142" s="250">
        <f t="shared" ca="1" si="49"/>
        <v>0.57817085136939805</v>
      </c>
      <c r="AA142" s="250">
        <f t="shared" ca="1" si="49"/>
        <v>0.65755029843875767</v>
      </c>
      <c r="AB142" s="250">
        <f t="shared" ca="1" si="49"/>
        <v>0.7244602279971365</v>
      </c>
      <c r="AC142" s="250">
        <f t="shared" ca="1" si="49"/>
        <v>0.81831030014556816</v>
      </c>
      <c r="AD142" s="250">
        <f t="shared" ca="1" si="49"/>
        <v>0.92463114775686717</v>
      </c>
      <c r="AE142" s="250">
        <f t="shared" ca="1" si="49"/>
        <v>1.0523214310969409</v>
      </c>
      <c r="AF142" s="250">
        <f t="shared" ca="1" si="49"/>
        <v>1.2146397964609152</v>
      </c>
      <c r="AG142" s="250">
        <f t="shared" ca="1" si="49"/>
        <v>1.4248134568396533</v>
      </c>
      <c r="AH142" s="250">
        <f t="shared" ca="1" si="49"/>
        <v>1.6713528309334547</v>
      </c>
      <c r="AI142" s="250">
        <f t="shared" ca="1" si="49"/>
        <v>2.0330705208131556</v>
      </c>
      <c r="AJ142" s="250">
        <f t="shared" ca="1" si="49"/>
        <v>2.5765012070001023</v>
      </c>
      <c r="AK142" s="250">
        <f t="shared" ca="1" si="49"/>
        <v>4.6887718032830605</v>
      </c>
      <c r="AL142" s="250">
        <f t="shared" ca="1" si="49"/>
        <v>6.2660358741023581</v>
      </c>
      <c r="AM142" s="250">
        <f t="shared" ca="1" si="49"/>
        <v>12.841658039971481</v>
      </c>
      <c r="AN142" s="250" t="str">
        <f t="shared" ca="1" si="49"/>
        <v>-</v>
      </c>
      <c r="AO142" s="250" t="str">
        <f t="shared" ca="1" si="49"/>
        <v>-</v>
      </c>
      <c r="AP142" s="250" t="str">
        <f t="shared" ca="1" si="49"/>
        <v>-</v>
      </c>
      <c r="AQ142" s="250" t="str">
        <f t="shared" ca="1" si="49"/>
        <v>-</v>
      </c>
      <c r="AR142" s="250" t="str">
        <f t="shared" ca="1" si="49"/>
        <v>-</v>
      </c>
      <c r="AS142" s="135"/>
      <c r="AT142" s="135"/>
    </row>
    <row r="143" spans="1:46" x14ac:dyDescent="0.2">
      <c r="A143" s="49"/>
      <c r="B143" s="10"/>
      <c r="C143" s="36"/>
      <c r="D143" s="65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41"/>
      <c r="AT143" s="41"/>
    </row>
    <row r="144" spans="1:46" x14ac:dyDescent="0.2">
      <c r="A144" s="50" t="s">
        <v>124</v>
      </c>
      <c r="B144" s="10"/>
      <c r="C144" s="36" t="s">
        <v>133</v>
      </c>
      <c r="D144" s="65"/>
      <c r="E144" s="235">
        <f t="shared" ref="E144:AR144" ca="1" si="50">IF(E114&gt;0,(E105+E108)/E114,"-")</f>
        <v>18.806233613434646</v>
      </c>
      <c r="F144" s="235">
        <f t="shared" ca="1" si="50"/>
        <v>22.197961099867133</v>
      </c>
      <c r="G144" s="235">
        <f t="shared" ca="1" si="50"/>
        <v>16.182217326088683</v>
      </c>
      <c r="H144" s="235">
        <f t="shared" ca="1" si="50"/>
        <v>13.153491528234099</v>
      </c>
      <c r="I144" s="235">
        <f t="shared" ca="1" si="50"/>
        <v>8.6076245251233487</v>
      </c>
      <c r="J144" s="235">
        <f t="shared" ca="1" si="50"/>
        <v>5.9179398497508497</v>
      </c>
      <c r="K144" s="235">
        <f t="shared" ca="1" si="50"/>
        <v>4.5268116905021261</v>
      </c>
      <c r="L144" s="235">
        <f t="shared" ca="1" si="50"/>
        <v>3.9207026384072647</v>
      </c>
      <c r="M144" s="235">
        <f t="shared" ca="1" si="50"/>
        <v>3.3014408099147161</v>
      </c>
      <c r="N144" s="235">
        <f t="shared" ca="1" si="50"/>
        <v>2.832431989977505</v>
      </c>
      <c r="O144" s="235">
        <f t="shared" ca="1" si="50"/>
        <v>2.537674293983132</v>
      </c>
      <c r="P144" s="235">
        <f t="shared" ca="1" si="50"/>
        <v>2.3750025714450427</v>
      </c>
      <c r="Q144" s="235">
        <f t="shared" ca="1" si="50"/>
        <v>1.9779755161329913</v>
      </c>
      <c r="R144" s="235">
        <f t="shared" ca="1" si="50"/>
        <v>1.7529751428959004</v>
      </c>
      <c r="S144" s="235">
        <f t="shared" ca="1" si="50"/>
        <v>1.6140688837535684</v>
      </c>
      <c r="T144" s="235">
        <f t="shared" ca="1" si="50"/>
        <v>1.4751779242826377</v>
      </c>
      <c r="U144" s="235">
        <f t="shared" ca="1" si="50"/>
        <v>1.3461207638420853</v>
      </c>
      <c r="V144" s="235">
        <f t="shared" ca="1" si="50"/>
        <v>1.2230018640412534</v>
      </c>
      <c r="W144" s="235">
        <f t="shared" ca="1" si="50"/>
        <v>1.0842230338629442</v>
      </c>
      <c r="X144" s="235">
        <f t="shared" ca="1" si="50"/>
        <v>0.97875672864860308</v>
      </c>
      <c r="Y144" s="235">
        <f t="shared" ca="1" si="50"/>
        <v>0.88048671352094154</v>
      </c>
      <c r="Z144" s="235">
        <f t="shared" ca="1" si="50"/>
        <v>0.78556966185758947</v>
      </c>
      <c r="AA144" s="235">
        <f t="shared" ca="1" si="50"/>
        <v>0.70068521535030093</v>
      </c>
      <c r="AB144" s="235">
        <f t="shared" ca="1" si="50"/>
        <v>0.62759572456961377</v>
      </c>
      <c r="AC144" s="235">
        <f t="shared" ca="1" si="50"/>
        <v>0.56077681190562134</v>
      </c>
      <c r="AD144" s="235">
        <f t="shared" ca="1" si="50"/>
        <v>0.49725061950274529</v>
      </c>
      <c r="AE144" s="235">
        <f t="shared" ca="1" si="50"/>
        <v>0.43528957926359374</v>
      </c>
      <c r="AF144" s="235">
        <f t="shared" ca="1" si="50"/>
        <v>0.37606885395662926</v>
      </c>
      <c r="AG144" s="235">
        <f t="shared" ca="1" si="50"/>
        <v>0.32605787076526388</v>
      </c>
      <c r="AH144" s="235">
        <f t="shared" ca="1" si="50"/>
        <v>0.27278964439235842</v>
      </c>
      <c r="AI144" s="235">
        <f t="shared" ca="1" si="50"/>
        <v>0.22148485182560693</v>
      </c>
      <c r="AJ144" s="235">
        <f t="shared" ca="1" si="50"/>
        <v>0.17211358481221864</v>
      </c>
      <c r="AK144" s="235">
        <f t="shared" ca="1" si="50"/>
        <v>0.12771367332352004</v>
      </c>
      <c r="AL144" s="235">
        <f t="shared" ca="1" si="50"/>
        <v>7.6773629154400586E-2</v>
      </c>
      <c r="AM144" s="235">
        <f t="shared" ca="1" si="50"/>
        <v>4.1972686125792934E-2</v>
      </c>
      <c r="AN144" s="235">
        <f t="shared" ca="1" si="50"/>
        <v>8.3727838020632266E-3</v>
      </c>
      <c r="AO144" s="235">
        <f t="shared" ca="1" si="50"/>
        <v>0.21880981954931875</v>
      </c>
      <c r="AP144" s="235">
        <f t="shared" ca="1" si="50"/>
        <v>4.873031569495396E-3</v>
      </c>
      <c r="AQ144" s="235">
        <f t="shared" ca="1" si="50"/>
        <v>5.1769409134025763E-3</v>
      </c>
      <c r="AR144" s="235">
        <f t="shared" ca="1" si="50"/>
        <v>5.1834970425684457E-3</v>
      </c>
      <c r="AS144" s="41"/>
      <c r="AT144" s="41"/>
    </row>
    <row r="145" spans="1:46" x14ac:dyDescent="0.2">
      <c r="A145" s="49"/>
      <c r="B145" s="10"/>
      <c r="C145" s="36"/>
      <c r="D145" s="65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41"/>
      <c r="AT145" s="41"/>
    </row>
    <row r="146" spans="1:46" x14ac:dyDescent="0.2">
      <c r="A146" s="66" t="s">
        <v>273</v>
      </c>
      <c r="B146" s="236">
        <f ca="1">AT69</f>
        <v>4641914.1608693162</v>
      </c>
      <c r="C146" s="36" t="str">
        <f>Параметры!$C$126</f>
        <v>тыс. руб.</v>
      </c>
      <c r="D146" s="65"/>
      <c r="E146" s="233">
        <f t="shared" ref="E146:AR146" si="51">E69</f>
        <v>301153.75</v>
      </c>
      <c r="F146" s="233">
        <f t="shared" ca="1" si="51"/>
        <v>326793.75</v>
      </c>
      <c r="G146" s="233">
        <f t="shared" ca="1" si="51"/>
        <v>64100</v>
      </c>
      <c r="H146" s="233">
        <f t="shared" ca="1" si="51"/>
        <v>71792</v>
      </c>
      <c r="I146" s="233">
        <f t="shared" ca="1" si="51"/>
        <v>72768</v>
      </c>
      <c r="J146" s="233">
        <f t="shared" ca="1" si="51"/>
        <v>137730.93169246375</v>
      </c>
      <c r="K146" s="233">
        <f t="shared" ca="1" si="51"/>
        <v>179655.74336865376</v>
      </c>
      <c r="L146" s="233">
        <f t="shared" ca="1" si="51"/>
        <v>94705.720474899892</v>
      </c>
      <c r="M146" s="233">
        <f t="shared" ca="1" si="51"/>
        <v>188056.68858994072</v>
      </c>
      <c r="N146" s="233">
        <f t="shared" ca="1" si="51"/>
        <v>378527.10910759011</v>
      </c>
      <c r="O146" s="233">
        <f t="shared" ca="1" si="51"/>
        <v>549542.96944802604</v>
      </c>
      <c r="P146" s="233">
        <f t="shared" ca="1" si="51"/>
        <v>310063.44655079942</v>
      </c>
      <c r="Q146" s="233">
        <f t="shared" ca="1" si="51"/>
        <v>288001.88155170059</v>
      </c>
      <c r="R146" s="233">
        <f t="shared" ca="1" si="51"/>
        <v>634211.60592411482</v>
      </c>
      <c r="S146" s="233">
        <f t="shared" ca="1" si="51"/>
        <v>693743.29514322511</v>
      </c>
      <c r="T146" s="233">
        <f t="shared" ca="1" si="51"/>
        <v>351067.26901790162</v>
      </c>
      <c r="U146" s="233">
        <f t="shared" ca="1" si="51"/>
        <v>0</v>
      </c>
      <c r="V146" s="233">
        <f t="shared" ca="1" si="51"/>
        <v>0</v>
      </c>
      <c r="W146" s="233">
        <f t="shared" ca="1" si="51"/>
        <v>0</v>
      </c>
      <c r="X146" s="233">
        <f t="shared" ca="1" si="51"/>
        <v>0</v>
      </c>
      <c r="Y146" s="233">
        <f t="shared" ca="1" si="51"/>
        <v>0</v>
      </c>
      <c r="Z146" s="233">
        <f t="shared" ca="1" si="51"/>
        <v>0</v>
      </c>
      <c r="AA146" s="233">
        <f t="shared" ca="1" si="51"/>
        <v>0</v>
      </c>
      <c r="AB146" s="233">
        <f t="shared" ca="1" si="51"/>
        <v>0</v>
      </c>
      <c r="AC146" s="233">
        <f t="shared" ca="1" si="51"/>
        <v>0</v>
      </c>
      <c r="AD146" s="233">
        <f t="shared" ca="1" si="51"/>
        <v>0</v>
      </c>
      <c r="AE146" s="233">
        <f t="shared" ca="1" si="51"/>
        <v>0</v>
      </c>
      <c r="AF146" s="233">
        <f t="shared" ca="1" si="51"/>
        <v>0</v>
      </c>
      <c r="AG146" s="233">
        <f t="shared" ca="1" si="51"/>
        <v>0</v>
      </c>
      <c r="AH146" s="233">
        <f t="shared" ca="1" si="51"/>
        <v>0</v>
      </c>
      <c r="AI146" s="233">
        <f t="shared" ca="1" si="51"/>
        <v>0</v>
      </c>
      <c r="AJ146" s="233">
        <f t="shared" ca="1" si="51"/>
        <v>0</v>
      </c>
      <c r="AK146" s="233">
        <f t="shared" ca="1" si="51"/>
        <v>0</v>
      </c>
      <c r="AL146" s="233">
        <f t="shared" ca="1" si="51"/>
        <v>0</v>
      </c>
      <c r="AM146" s="233">
        <f t="shared" ca="1" si="51"/>
        <v>0</v>
      </c>
      <c r="AN146" s="233">
        <f t="shared" ca="1" si="51"/>
        <v>0</v>
      </c>
      <c r="AO146" s="233">
        <f t="shared" ca="1" si="51"/>
        <v>0</v>
      </c>
      <c r="AP146" s="233">
        <f t="shared" ca="1" si="51"/>
        <v>0</v>
      </c>
      <c r="AQ146" s="233">
        <f t="shared" ca="1" si="51"/>
        <v>0</v>
      </c>
      <c r="AR146" s="233">
        <f t="shared" ca="1" si="51"/>
        <v>0</v>
      </c>
      <c r="AS146" s="41"/>
      <c r="AT146" s="41"/>
    </row>
    <row r="147" spans="1:46" ht="22.5" x14ac:dyDescent="0.2">
      <c r="A147" s="230" t="s">
        <v>831</v>
      </c>
      <c r="B147" s="236">
        <f ca="1">AT67+IF(Параметры!B245&gt;0,Деятельность_УК!B53,0)</f>
        <v>4756882.6329537667</v>
      </c>
      <c r="C147" s="36" t="str">
        <f>Параметры!$C$126</f>
        <v>тыс. руб.</v>
      </c>
      <c r="D147" s="65"/>
      <c r="E147" s="233">
        <f t="shared" ref="E147:AR147" ca="1" si="52">E67</f>
        <v>25998.471684000004</v>
      </c>
      <c r="F147" s="233">
        <f t="shared" ca="1" si="52"/>
        <v>36085.520096491557</v>
      </c>
      <c r="G147" s="233">
        <f t="shared" ca="1" si="52"/>
        <v>44751.135139393285</v>
      </c>
      <c r="H147" s="233">
        <f t="shared" ca="1" si="52"/>
        <v>38659.773441337988</v>
      </c>
      <c r="I147" s="233">
        <f t="shared" ca="1" si="52"/>
        <v>68991.707169755609</v>
      </c>
      <c r="J147" s="233">
        <f t="shared" ca="1" si="52"/>
        <v>101921.30820085057</v>
      </c>
      <c r="K147" s="233">
        <f t="shared" ca="1" si="52"/>
        <v>127684.32900629527</v>
      </c>
      <c r="L147" s="233">
        <f t="shared" ca="1" si="52"/>
        <v>94604.788895157952</v>
      </c>
      <c r="M147" s="233">
        <f t="shared" ca="1" si="52"/>
        <v>137160.87400907316</v>
      </c>
      <c r="N147" s="233">
        <f t="shared" ca="1" si="52"/>
        <v>228594.77524424525</v>
      </c>
      <c r="O147" s="233">
        <f t="shared" ca="1" si="52"/>
        <v>308694.53315702395</v>
      </c>
      <c r="P147" s="233">
        <f t="shared" ca="1" si="52"/>
        <v>223876.3228870309</v>
      </c>
      <c r="Q147" s="233">
        <f t="shared" ca="1" si="52"/>
        <v>348357.0184022449</v>
      </c>
      <c r="R147" s="233">
        <f t="shared" ca="1" si="52"/>
        <v>514140.38183783821</v>
      </c>
      <c r="S147" s="233">
        <f t="shared" ca="1" si="52"/>
        <v>554642.42018156732</v>
      </c>
      <c r="T147" s="233">
        <f t="shared" ca="1" si="52"/>
        <v>396281.63661328342</v>
      </c>
      <c r="U147" s="233">
        <f t="shared" ca="1" si="52"/>
        <v>78290.968214641194</v>
      </c>
      <c r="V147" s="233">
        <f t="shared" ca="1" si="52"/>
        <v>78266.036622260173</v>
      </c>
      <c r="W147" s="233">
        <f t="shared" ca="1" si="52"/>
        <v>78240.556605833975</v>
      </c>
      <c r="X147" s="233">
        <f t="shared" ca="1" si="52"/>
        <v>78214.516076557251</v>
      </c>
      <c r="Y147" s="233">
        <f t="shared" ca="1" si="52"/>
        <v>78187.902678641229</v>
      </c>
      <c r="Z147" s="233">
        <f t="shared" ca="1" si="52"/>
        <v>78160.703783406905</v>
      </c>
      <c r="AA147" s="233">
        <f t="shared" ca="1" si="52"/>
        <v>78132.906483247338</v>
      </c>
      <c r="AB147" s="233">
        <f t="shared" ca="1" si="52"/>
        <v>78104.497585456047</v>
      </c>
      <c r="AC147" s="233">
        <f t="shared" ca="1" si="52"/>
        <v>77929.84895555659</v>
      </c>
      <c r="AD147" s="233">
        <f t="shared" ca="1" si="52"/>
        <v>77911.990773454119</v>
      </c>
      <c r="AE147" s="233">
        <f t="shared" ca="1" si="52"/>
        <v>77893.745471094182</v>
      </c>
      <c r="AF147" s="233">
        <f t="shared" ca="1" si="52"/>
        <v>77875.10463204782</v>
      </c>
      <c r="AG147" s="233">
        <f t="shared" ca="1" si="52"/>
        <v>76968.927558788331</v>
      </c>
      <c r="AH147" s="233">
        <f t="shared" ca="1" si="52"/>
        <v>77067.902013256098</v>
      </c>
      <c r="AI147" s="233">
        <f t="shared" ca="1" si="52"/>
        <v>77169.119292622054</v>
      </c>
      <c r="AJ147" s="233">
        <f t="shared" ca="1" si="52"/>
        <v>77272.630178439838</v>
      </c>
      <c r="AK147" s="233">
        <f t="shared" ca="1" si="52"/>
        <v>77378.486601207958</v>
      </c>
      <c r="AL147" s="233">
        <f t="shared" ca="1" si="52"/>
        <v>77486.741666348185</v>
      </c>
      <c r="AM147" s="233">
        <f t="shared" ca="1" si="52"/>
        <v>63149.024066370723</v>
      </c>
      <c r="AN147" s="233">
        <f t="shared" ca="1" si="52"/>
        <v>0</v>
      </c>
      <c r="AO147" s="233">
        <f t="shared" ca="1" si="52"/>
        <v>0</v>
      </c>
      <c r="AP147" s="233">
        <f t="shared" ca="1" si="52"/>
        <v>0</v>
      </c>
      <c r="AQ147" s="233">
        <f t="shared" ca="1" si="52"/>
        <v>0</v>
      </c>
      <c r="AR147" s="233">
        <f t="shared" ca="1" si="52"/>
        <v>0</v>
      </c>
      <c r="AS147" s="41"/>
      <c r="AT147" s="41"/>
    </row>
    <row r="148" spans="1:46" x14ac:dyDescent="0.2">
      <c r="A148" s="50" t="s">
        <v>832</v>
      </c>
      <c r="B148" s="237">
        <f ca="1">IF((B146+B147)&gt;0, B146/(B146+B147), 0)</f>
        <v>0.49388387287189744</v>
      </c>
      <c r="C148" s="36" t="s">
        <v>1</v>
      </c>
      <c r="D148" s="65"/>
      <c r="E148" s="237">
        <f t="shared" ref="E148:AR148" ca="1" si="53">IF((E146+E147)&gt;0,E146/(E146+E147),"-")</f>
        <v>0.92053096399537149</v>
      </c>
      <c r="F148" s="237">
        <f t="shared" ca="1" si="53"/>
        <v>0.90055778031383216</v>
      </c>
      <c r="G148" s="237">
        <f t="shared" ca="1" si="53"/>
        <v>0.58887764393007391</v>
      </c>
      <c r="H148" s="237">
        <f t="shared" ca="1" si="53"/>
        <v>0.64998503657462259</v>
      </c>
      <c r="I148" s="237">
        <f t="shared" ca="1" si="53"/>
        <v>0.51331934477588315</v>
      </c>
      <c r="J148" s="237">
        <f t="shared" ca="1" si="53"/>
        <v>0.57471163947300163</v>
      </c>
      <c r="K148" s="237">
        <f t="shared" ca="1" si="53"/>
        <v>0.58455033858870575</v>
      </c>
      <c r="L148" s="237">
        <f t="shared" ca="1" si="53"/>
        <v>0.50026657680040532</v>
      </c>
      <c r="M148" s="237">
        <f t="shared" ca="1" si="53"/>
        <v>0.57824887157711857</v>
      </c>
      <c r="N148" s="237">
        <f t="shared" ca="1" si="53"/>
        <v>0.62347795206181122</v>
      </c>
      <c r="O148" s="237">
        <f t="shared" ca="1" si="53"/>
        <v>0.64031572586838903</v>
      </c>
      <c r="P148" s="237">
        <f t="shared" ca="1" si="53"/>
        <v>0.58070865722786713</v>
      </c>
      <c r="Q148" s="237">
        <f t="shared" ca="1" si="53"/>
        <v>0.45257775379985071</v>
      </c>
      <c r="R148" s="237">
        <f t="shared" ca="1" si="53"/>
        <v>0.55227979982003861</v>
      </c>
      <c r="S148" s="237">
        <f t="shared" ca="1" si="53"/>
        <v>0.55571229839227521</v>
      </c>
      <c r="T148" s="237">
        <f t="shared" ca="1" si="53"/>
        <v>0.46975016136726977</v>
      </c>
      <c r="U148" s="237">
        <f t="shared" ca="1" si="53"/>
        <v>0</v>
      </c>
      <c r="V148" s="237">
        <f t="shared" ca="1" si="53"/>
        <v>0</v>
      </c>
      <c r="W148" s="237">
        <f t="shared" ca="1" si="53"/>
        <v>0</v>
      </c>
      <c r="X148" s="237">
        <f t="shared" ca="1" si="53"/>
        <v>0</v>
      </c>
      <c r="Y148" s="237">
        <f t="shared" ca="1" si="53"/>
        <v>0</v>
      </c>
      <c r="Z148" s="237">
        <f t="shared" ca="1" si="53"/>
        <v>0</v>
      </c>
      <c r="AA148" s="237">
        <f t="shared" ca="1" si="53"/>
        <v>0</v>
      </c>
      <c r="AB148" s="237">
        <f t="shared" ca="1" si="53"/>
        <v>0</v>
      </c>
      <c r="AC148" s="237">
        <f t="shared" ca="1" si="53"/>
        <v>0</v>
      </c>
      <c r="AD148" s="237">
        <f t="shared" ca="1" si="53"/>
        <v>0</v>
      </c>
      <c r="AE148" s="237">
        <f t="shared" ca="1" si="53"/>
        <v>0</v>
      </c>
      <c r="AF148" s="237">
        <f t="shared" ca="1" si="53"/>
        <v>0</v>
      </c>
      <c r="AG148" s="237">
        <f t="shared" ca="1" si="53"/>
        <v>0</v>
      </c>
      <c r="AH148" s="237">
        <f t="shared" ca="1" si="53"/>
        <v>0</v>
      </c>
      <c r="AI148" s="237">
        <f t="shared" ca="1" si="53"/>
        <v>0</v>
      </c>
      <c r="AJ148" s="237">
        <f t="shared" ca="1" si="53"/>
        <v>0</v>
      </c>
      <c r="AK148" s="237">
        <f t="shared" ca="1" si="53"/>
        <v>0</v>
      </c>
      <c r="AL148" s="237">
        <f t="shared" ca="1" si="53"/>
        <v>0</v>
      </c>
      <c r="AM148" s="237">
        <f t="shared" ca="1" si="53"/>
        <v>0</v>
      </c>
      <c r="AN148" s="237" t="str">
        <f t="shared" ca="1" si="53"/>
        <v>-</v>
      </c>
      <c r="AO148" s="237" t="str">
        <f t="shared" ca="1" si="53"/>
        <v>-</v>
      </c>
      <c r="AP148" s="237" t="str">
        <f t="shared" ca="1" si="53"/>
        <v>-</v>
      </c>
      <c r="AQ148" s="237" t="str">
        <f t="shared" ca="1" si="53"/>
        <v>-</v>
      </c>
      <c r="AR148" s="237" t="str">
        <f t="shared" ca="1" si="53"/>
        <v>-</v>
      </c>
      <c r="AS148" s="41"/>
      <c r="AT148" s="41"/>
    </row>
    <row r="149" spans="1:46" x14ac:dyDescent="0.2">
      <c r="A149" s="50"/>
      <c r="B149" s="237"/>
      <c r="C149" s="36"/>
      <c r="D149" s="65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41"/>
      <c r="AT149" s="41"/>
    </row>
    <row r="150" spans="1:46" ht="22.5" x14ac:dyDescent="0.2">
      <c r="A150" s="475" t="s">
        <v>342</v>
      </c>
      <c r="B150" s="172"/>
      <c r="D150" s="40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41"/>
      <c r="AT150" s="41"/>
    </row>
    <row r="151" spans="1:46" x14ac:dyDescent="0.2">
      <c r="A151" s="45"/>
      <c r="B151" s="170"/>
      <c r="C151" s="14"/>
      <c r="D151" s="47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1"/>
      <c r="AT151" s="41"/>
    </row>
    <row r="152" spans="1:46" x14ac:dyDescent="0.2">
      <c r="D152" s="40"/>
      <c r="AS152" s="41"/>
      <c r="AT152" s="41"/>
    </row>
    <row r="153" spans="1:46" ht="12" thickBot="1" x14ac:dyDescent="0.25">
      <c r="D153" s="40"/>
      <c r="AS153" s="41"/>
      <c r="AT153" s="41"/>
    </row>
    <row r="154" spans="1:46" s="43" customFormat="1" ht="25.5" customHeight="1" thickBot="1" x14ac:dyDescent="0.25">
      <c r="A154" s="481" t="s">
        <v>125</v>
      </c>
      <c r="B154" s="479"/>
      <c r="C154" s="485"/>
      <c r="D154" s="486"/>
      <c r="E154" s="479" t="str">
        <f>CHOOSE($D$2,Параметры!E$53,Параметры!E$54)</f>
        <v>1 кв. 2020</v>
      </c>
      <c r="F154" s="479" t="str">
        <f>CHOOSE($D$2,Параметры!F$53,Параметры!F$54)</f>
        <v>2 кв. 2020</v>
      </c>
      <c r="G154" s="479" t="str">
        <f>CHOOSE($D$2,Параметры!G$53,Параметры!G$54)</f>
        <v>3 кв. 2020</v>
      </c>
      <c r="H154" s="479" t="str">
        <f>CHOOSE($D$2,Параметры!H$53,Параметры!H$54)</f>
        <v>4 кв. 2020</v>
      </c>
      <c r="I154" s="479" t="str">
        <f>CHOOSE($D$2,Параметры!I$53,Параметры!I$54)</f>
        <v>1 кв. 2021</v>
      </c>
      <c r="J154" s="479" t="str">
        <f>CHOOSE($D$2,Параметры!J$53,Параметры!J$54)</f>
        <v>2 кв. 2021</v>
      </c>
      <c r="K154" s="479" t="str">
        <f>CHOOSE($D$2,Параметры!K$53,Параметры!K$54)</f>
        <v>3 кв. 2021</v>
      </c>
      <c r="L154" s="479" t="str">
        <f>CHOOSE($D$2,Параметры!L$53,Параметры!L$54)</f>
        <v>4 кв. 2021</v>
      </c>
      <c r="M154" s="479" t="str">
        <f>CHOOSE($D$2,Параметры!M$53,Параметры!M$54)</f>
        <v>1 кв. 2022</v>
      </c>
      <c r="N154" s="479" t="str">
        <f>CHOOSE($D$2,Параметры!N$53,Параметры!N$54)</f>
        <v>2 кв. 2022</v>
      </c>
      <c r="O154" s="479" t="str">
        <f>CHOOSE($D$2,Параметры!O$53,Параметры!O$54)</f>
        <v>3 кв. 2022</v>
      </c>
      <c r="P154" s="479" t="str">
        <f>CHOOSE($D$2,Параметры!P$53,Параметры!P$54)</f>
        <v>4 кв. 2022</v>
      </c>
      <c r="Q154" s="479" t="str">
        <f>CHOOSE($D$2,Параметры!Q$53,Параметры!Q$54)</f>
        <v>1 кв. 2023</v>
      </c>
      <c r="R154" s="479" t="str">
        <f>CHOOSE($D$2,Параметры!R$53,Параметры!R$54)</f>
        <v>2 кв. 2023</v>
      </c>
      <c r="S154" s="479" t="str">
        <f>CHOOSE($D$2,Параметры!S$53,Параметры!S$54)</f>
        <v>3 кв. 2023</v>
      </c>
      <c r="T154" s="479" t="str">
        <f>CHOOSE($D$2,Параметры!T$53,Параметры!T$54)</f>
        <v>4 кв. 2023</v>
      </c>
      <c r="U154" s="479" t="str">
        <f>CHOOSE($D$2,Параметры!U$53,Параметры!U$54)</f>
        <v>1 кв. 2024</v>
      </c>
      <c r="V154" s="479" t="str">
        <f>CHOOSE($D$2,Параметры!V$53,Параметры!V$54)</f>
        <v>2 кв. 2024</v>
      </c>
      <c r="W154" s="479" t="str">
        <f>CHOOSE($D$2,Параметры!W$53,Параметры!W$54)</f>
        <v>3 кв. 2024</v>
      </c>
      <c r="X154" s="479" t="str">
        <f>CHOOSE($D$2,Параметры!X$53,Параметры!X$54)</f>
        <v>4 кв. 2024</v>
      </c>
      <c r="Y154" s="479" t="str">
        <f>CHOOSE($D$2,Параметры!Y$53,Параметры!Y$54)</f>
        <v>1 кв. 2025</v>
      </c>
      <c r="Z154" s="479" t="str">
        <f>CHOOSE($D$2,Параметры!Z$53,Параметры!Z$54)</f>
        <v>2 кв. 2025</v>
      </c>
      <c r="AA154" s="479" t="str">
        <f>CHOOSE($D$2,Параметры!AA$53,Параметры!AA$54)</f>
        <v>3 кв. 2025</v>
      </c>
      <c r="AB154" s="479" t="str">
        <f>CHOOSE($D$2,Параметры!AB$53,Параметры!AB$54)</f>
        <v>4 кв. 2025</v>
      </c>
      <c r="AC154" s="479" t="str">
        <f>CHOOSE($D$2,Параметры!AC$53,Параметры!AC$54)</f>
        <v>1 кв. 2026</v>
      </c>
      <c r="AD154" s="479" t="str">
        <f>CHOOSE($D$2,Параметры!AD$53,Параметры!AD$54)</f>
        <v>2 кв. 2026</v>
      </c>
      <c r="AE154" s="479" t="str">
        <f>CHOOSE($D$2,Параметры!AE$53,Параметры!AE$54)</f>
        <v>3 кв. 2026</v>
      </c>
      <c r="AF154" s="479" t="str">
        <f>CHOOSE($D$2,Параметры!AF$53,Параметры!AF$54)</f>
        <v>4 кв. 2026</v>
      </c>
      <c r="AG154" s="479" t="str">
        <f>CHOOSE($D$2,Параметры!AG$53,Параметры!AG$54)</f>
        <v>1 кв. 2027</v>
      </c>
      <c r="AH154" s="479" t="str">
        <f>CHOOSE($D$2,Параметры!AH$53,Параметры!AH$54)</f>
        <v>2 кв. 2027</v>
      </c>
      <c r="AI154" s="479" t="str">
        <f>CHOOSE($D$2,Параметры!AI$53,Параметры!AI$54)</f>
        <v>3 кв. 2027</v>
      </c>
      <c r="AJ154" s="479" t="str">
        <f>CHOOSE($D$2,Параметры!AJ$53,Параметры!AJ$54)</f>
        <v>4 кв. 2027</v>
      </c>
      <c r="AK154" s="479" t="str">
        <f>CHOOSE($D$2,Параметры!AK$53,Параметры!AK$54)</f>
        <v>1 кв. 2028</v>
      </c>
      <c r="AL154" s="479" t="str">
        <f>CHOOSE($D$2,Параметры!AL$53,Параметры!AL$54)</f>
        <v>2 кв. 2028</v>
      </c>
      <c r="AM154" s="479" t="str">
        <f>CHOOSE($D$2,Параметры!AM$53,Параметры!AM$54)</f>
        <v>3 кв. 2028</v>
      </c>
      <c r="AN154" s="479" t="str">
        <f>CHOOSE($D$2,Параметры!AN$53,Параметры!AN$54)</f>
        <v>4 кв. 2028</v>
      </c>
      <c r="AO154" s="479" t="str">
        <f>CHOOSE($D$2,Параметры!AO$53,Параметры!AO$54)</f>
        <v>1 кв. 2029</v>
      </c>
      <c r="AP154" s="479" t="str">
        <f>CHOOSE($D$2,Параметры!AP$53,Параметры!AP$54)</f>
        <v>2 кв. 2029</v>
      </c>
      <c r="AQ154" s="479" t="str">
        <f>CHOOSE($D$2,Параметры!AQ$53,Параметры!AQ$54)</f>
        <v>3 кв. 2029</v>
      </c>
      <c r="AR154" s="479" t="str">
        <f>CHOOSE($D$2,Параметры!AR$53,Параметры!AR$54)</f>
        <v>4 кв. 2029</v>
      </c>
      <c r="AS154" s="483"/>
      <c r="AT154" s="484"/>
    </row>
    <row r="155" spans="1:46" x14ac:dyDescent="0.2">
      <c r="A155" s="44"/>
      <c r="D155" s="40"/>
      <c r="AS155" s="41"/>
      <c r="AT155" s="41"/>
    </row>
    <row r="156" spans="1:46" ht="19.5" x14ac:dyDescent="0.2">
      <c r="A156" s="265" t="s">
        <v>194</v>
      </c>
      <c r="B156" s="437" t="s">
        <v>1097</v>
      </c>
      <c r="C156" s="32"/>
      <c r="D156" s="173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41"/>
      <c r="AT156" s="41"/>
    </row>
    <row r="157" spans="1:46" x14ac:dyDescent="0.2">
      <c r="A157" s="63" t="s">
        <v>412</v>
      </c>
      <c r="B157" s="440">
        <f ca="1">IFERROR(AVERAGEIF(Параметры!$E$46:OFFSET(Параметры!$E$46,0,Параметры!$B$24-1),"&gt;=" &amp; Деятельность_УК!$B$9,E157:OFFSET(E157,0,Параметры!$B$24-1)),0)</f>
        <v>0</v>
      </c>
      <c r="C157" s="12" t="s">
        <v>1</v>
      </c>
      <c r="D157" s="40"/>
      <c r="E157" s="175">
        <f t="shared" ref="E157:AR157" ca="1" si="54">IF(E$7&gt;0,-E11/E$7,0)</f>
        <v>0</v>
      </c>
      <c r="F157" s="175">
        <f t="shared" ca="1" si="54"/>
        <v>0</v>
      </c>
      <c r="G157" s="175">
        <f t="shared" ca="1" si="54"/>
        <v>0</v>
      </c>
      <c r="H157" s="175">
        <f t="shared" ca="1" si="54"/>
        <v>0</v>
      </c>
      <c r="I157" s="175">
        <f t="shared" ca="1" si="54"/>
        <v>0</v>
      </c>
      <c r="J157" s="175">
        <f t="shared" ca="1" si="54"/>
        <v>0</v>
      </c>
      <c r="K157" s="175">
        <f t="shared" ca="1" si="54"/>
        <v>0</v>
      </c>
      <c r="L157" s="175">
        <f t="shared" ca="1" si="54"/>
        <v>0</v>
      </c>
      <c r="M157" s="175">
        <f t="shared" ca="1" si="54"/>
        <v>0</v>
      </c>
      <c r="N157" s="175">
        <f t="shared" ca="1" si="54"/>
        <v>0</v>
      </c>
      <c r="O157" s="175">
        <f t="shared" ca="1" si="54"/>
        <v>0</v>
      </c>
      <c r="P157" s="175">
        <f t="shared" ca="1" si="54"/>
        <v>0</v>
      </c>
      <c r="Q157" s="175">
        <f t="shared" ca="1" si="54"/>
        <v>0</v>
      </c>
      <c r="R157" s="175">
        <f t="shared" ca="1" si="54"/>
        <v>0</v>
      </c>
      <c r="S157" s="175">
        <f t="shared" ca="1" si="54"/>
        <v>0</v>
      </c>
      <c r="T157" s="175">
        <f t="shared" ca="1" si="54"/>
        <v>0</v>
      </c>
      <c r="U157" s="175">
        <f t="shared" ca="1" si="54"/>
        <v>0</v>
      </c>
      <c r="V157" s="175">
        <f t="shared" ca="1" si="54"/>
        <v>0</v>
      </c>
      <c r="W157" s="175">
        <f t="shared" ca="1" si="54"/>
        <v>0</v>
      </c>
      <c r="X157" s="175">
        <f t="shared" ca="1" si="54"/>
        <v>0</v>
      </c>
      <c r="Y157" s="175">
        <f t="shared" ca="1" si="54"/>
        <v>0</v>
      </c>
      <c r="Z157" s="175">
        <f t="shared" ca="1" si="54"/>
        <v>0</v>
      </c>
      <c r="AA157" s="175">
        <f t="shared" ca="1" si="54"/>
        <v>0</v>
      </c>
      <c r="AB157" s="175">
        <f t="shared" ca="1" si="54"/>
        <v>0</v>
      </c>
      <c r="AC157" s="175">
        <f t="shared" ca="1" si="54"/>
        <v>0</v>
      </c>
      <c r="AD157" s="175">
        <f t="shared" ca="1" si="54"/>
        <v>0</v>
      </c>
      <c r="AE157" s="175">
        <f t="shared" ca="1" si="54"/>
        <v>0</v>
      </c>
      <c r="AF157" s="175">
        <f t="shared" ca="1" si="54"/>
        <v>0</v>
      </c>
      <c r="AG157" s="175">
        <f t="shared" ca="1" si="54"/>
        <v>0</v>
      </c>
      <c r="AH157" s="175">
        <f t="shared" ca="1" si="54"/>
        <v>0</v>
      </c>
      <c r="AI157" s="175">
        <f t="shared" ca="1" si="54"/>
        <v>0</v>
      </c>
      <c r="AJ157" s="175">
        <f t="shared" ca="1" si="54"/>
        <v>0</v>
      </c>
      <c r="AK157" s="175">
        <f t="shared" ca="1" si="54"/>
        <v>0</v>
      </c>
      <c r="AL157" s="175">
        <f t="shared" ca="1" si="54"/>
        <v>0</v>
      </c>
      <c r="AM157" s="175">
        <f t="shared" ca="1" si="54"/>
        <v>0</v>
      </c>
      <c r="AN157" s="175">
        <f t="shared" ca="1" si="54"/>
        <v>0</v>
      </c>
      <c r="AO157" s="175">
        <f t="shared" ca="1" si="54"/>
        <v>0</v>
      </c>
      <c r="AP157" s="175">
        <f t="shared" ca="1" si="54"/>
        <v>0</v>
      </c>
      <c r="AQ157" s="175">
        <f t="shared" ca="1" si="54"/>
        <v>0</v>
      </c>
      <c r="AR157" s="175">
        <f t="shared" ca="1" si="54"/>
        <v>0</v>
      </c>
    </row>
    <row r="158" spans="1:46" x14ac:dyDescent="0.2">
      <c r="A158" s="63" t="s">
        <v>413</v>
      </c>
      <c r="B158" s="440">
        <f ca="1">IFERROR(AVERAGEIF(Параметры!$E$46:OFFSET(Параметры!$E$46,0,Параметры!$B$24-1),"&gt;=" &amp; Деятельность_УК!$B$9,E158:OFFSET(E158,0,Параметры!$B$24-1)),0)</f>
        <v>8.592150474151948E-2</v>
      </c>
      <c r="C158" s="12" t="s">
        <v>1</v>
      </c>
      <c r="D158" s="40"/>
      <c r="E158" s="175">
        <f t="shared" ref="E158:AR158" ca="1" si="55">IF(E$7&gt;0,-E13/E$7,0)</f>
        <v>0</v>
      </c>
      <c r="F158" s="175">
        <f t="shared" ca="1" si="55"/>
        <v>0</v>
      </c>
      <c r="G158" s="175">
        <f t="shared" ca="1" si="55"/>
        <v>0.1722331411624293</v>
      </c>
      <c r="H158" s="175">
        <f t="shared" ca="1" si="55"/>
        <v>0.12366868425810615</v>
      </c>
      <c r="I158" s="175">
        <f t="shared" ca="1" si="55"/>
        <v>0.12366868425810615</v>
      </c>
      <c r="J158" s="175">
        <f t="shared" ca="1" si="55"/>
        <v>0.12367475405695617</v>
      </c>
      <c r="K158" s="175">
        <f t="shared" ca="1" si="55"/>
        <v>0.12368082346700067</v>
      </c>
      <c r="L158" s="175">
        <f t="shared" ca="1" si="55"/>
        <v>0.12813382904156936</v>
      </c>
      <c r="M158" s="175">
        <f t="shared" ca="1" si="55"/>
        <v>0.11021032190660993</v>
      </c>
      <c r="N158" s="175">
        <f t="shared" ca="1" si="55"/>
        <v>0.10899067112790588</v>
      </c>
      <c r="O158" s="175">
        <f t="shared" ca="1" si="55"/>
        <v>0.10899172198797717</v>
      </c>
      <c r="P158" s="175">
        <f t="shared" ca="1" si="55"/>
        <v>0.11255630347589124</v>
      </c>
      <c r="Q158" s="175">
        <f t="shared" ca="1" si="55"/>
        <v>0.10762351609492549</v>
      </c>
      <c r="R158" s="175">
        <f t="shared" ca="1" si="55"/>
        <v>0.10706080311718022</v>
      </c>
      <c r="S158" s="175">
        <f t="shared" ca="1" si="55"/>
        <v>0.10702579853159166</v>
      </c>
      <c r="T158" s="175">
        <f t="shared" ca="1" si="55"/>
        <v>0.10699074183357696</v>
      </c>
      <c r="U158" s="175">
        <f t="shared" ca="1" si="55"/>
        <v>9.2176768798735431E-2</v>
      </c>
      <c r="V158" s="175">
        <f t="shared" ca="1" si="55"/>
        <v>8.9775919081489977E-2</v>
      </c>
      <c r="W158" s="175">
        <f t="shared" ca="1" si="55"/>
        <v>8.9688745635243539E-2</v>
      </c>
      <c r="X158" s="175">
        <f t="shared" ca="1" si="55"/>
        <v>8.9601589191766071E-2</v>
      </c>
      <c r="Y158" s="175">
        <f t="shared" ca="1" si="55"/>
        <v>8.9514449886986952E-2</v>
      </c>
      <c r="Z158" s="175">
        <f t="shared" ca="1" si="55"/>
        <v>8.9439373747219733E-2</v>
      </c>
      <c r="AA158" s="175">
        <f t="shared" ca="1" si="55"/>
        <v>8.9364316249221296E-2</v>
      </c>
      <c r="AB158" s="175">
        <f t="shared" ca="1" si="55"/>
        <v>8.9289277462530667E-2</v>
      </c>
      <c r="AC158" s="175">
        <f t="shared" ca="1" si="55"/>
        <v>8.9214257456614585E-2</v>
      </c>
      <c r="AD158" s="175">
        <f t="shared" ca="1" si="55"/>
        <v>8.9137271122463113E-2</v>
      </c>
      <c r="AE158" s="175">
        <f t="shared" ca="1" si="55"/>
        <v>8.9060304472497118E-2</v>
      </c>
      <c r="AF158" s="175">
        <f t="shared" ca="1" si="55"/>
        <v>8.8983357581895697E-2</v>
      </c>
      <c r="AG158" s="175">
        <f t="shared" ca="1" si="55"/>
        <v>8.8906430525757946E-2</v>
      </c>
      <c r="AH158" s="175">
        <f t="shared" ca="1" si="55"/>
        <v>8.8828272028019142E-2</v>
      </c>
      <c r="AI158" s="175">
        <f t="shared" ca="1" si="55"/>
        <v>8.8750134298946223E-2</v>
      </c>
      <c r="AJ158" s="175">
        <f t="shared" ca="1" si="55"/>
        <v>8.8672017416967799E-2</v>
      </c>
      <c r="AK158" s="175">
        <f t="shared" ca="1" si="55"/>
        <v>3.4857351784815492E-2</v>
      </c>
      <c r="AL158" s="175">
        <f t="shared" ca="1" si="55"/>
        <v>8.9496049698718216E-2</v>
      </c>
      <c r="AM158" s="175">
        <f t="shared" ca="1" si="55"/>
        <v>8.9264922521490375E-2</v>
      </c>
      <c r="AN158" s="175">
        <f t="shared" ca="1" si="55"/>
        <v>8.9184624128269385E-2</v>
      </c>
      <c r="AO158" s="175">
        <f t="shared" ca="1" si="55"/>
        <v>2.186520353122493E-3</v>
      </c>
      <c r="AP158" s="175">
        <f t="shared" ca="1" si="55"/>
        <v>0.11299563838269962</v>
      </c>
      <c r="AQ158" s="175">
        <f t="shared" ca="1" si="55"/>
        <v>0.10687531936764318</v>
      </c>
      <c r="AR158" s="175">
        <f t="shared" ca="1" si="55"/>
        <v>0.10685320260335368</v>
      </c>
    </row>
    <row r="159" spans="1:46" x14ac:dyDescent="0.2">
      <c r="A159" s="247" t="str">
        <f>Деятельность_УК!A$242</f>
        <v>Содержание и обслуживание территорий</v>
      </c>
      <c r="B159" s="440">
        <f ca="1">IFERROR(AVERAGEIF(Параметры!$E$46:OFFSET(Параметры!$E$46,0,Параметры!$B$24-1),"&gt;=" &amp; Деятельность_УК!$B$9,E159:OFFSET(E159,0,Параметры!$B$24-1)),0)</f>
        <v>2.5176569528619203E-2</v>
      </c>
      <c r="C159" s="12" t="s">
        <v>1</v>
      </c>
      <c r="D159" s="40"/>
      <c r="E159" s="175">
        <f ca="1">IF(E$7&gt;0,Деятельность_УК!E$246*CHOOSE(Деятельность_УК!$C$242,1,Параметры!E$109,Параметры!E$118)/Параметры!E$126/E$7,0)</f>
        <v>0</v>
      </c>
      <c r="F159" s="175">
        <f ca="1">IF(F$7&gt;0,Деятельность_УК!F$246*CHOOSE(Деятельность_УК!$C$242,1,Параметры!F$109,Параметры!F$118)/Параметры!F$126/F$7,0)</f>
        <v>0</v>
      </c>
      <c r="G159" s="175">
        <f ca="1">IF(G$7&gt;0,Деятельность_УК!G$246*CHOOSE(Деятельность_УК!$C$242,1,Параметры!G$109,Параметры!G$118)/Параметры!G$126/G$7,0)</f>
        <v>3.4178914676270905E-2</v>
      </c>
      <c r="H159" s="175">
        <f ca="1">IF(H$7&gt;0,Деятельность_УК!H$246*CHOOSE(Деятельность_УК!$C$242,1,Параметры!H$109,Параметры!H$118)/Параметры!H$126/H$7,0)</f>
        <v>2.4541510297360465E-2</v>
      </c>
      <c r="I159" s="175">
        <f ca="1">IF(I$7&gt;0,Деятельность_УК!I$246*CHOOSE(Деятельность_УК!$C$242,1,Параметры!I$109,Параметры!I$118)/Параметры!I$126/I$7,0)</f>
        <v>2.4541510297360465E-2</v>
      </c>
      <c r="J159" s="175">
        <f ca="1">IF(J$7&gt;0,Деятельность_УК!J$246*CHOOSE(Деятельность_УК!$C$242,1,Параметры!J$109,Параметры!J$118)/Параметры!J$126/J$7,0)</f>
        <v>2.4541893764433071E-2</v>
      </c>
      <c r="K159" s="175">
        <f ca="1">IF(K$7&gt;0,Деятельность_УК!K$246*CHOOSE(Деятельность_УК!$C$242,1,Параметры!K$109,Параметры!K$118)/Параметры!K$126/K$7,0)</f>
        <v>2.4542277064612216E-2</v>
      </c>
      <c r="L159" s="175">
        <f ca="1">IF(L$7&gt;0,Деятельность_УК!L$246*CHOOSE(Деятельность_УК!$C$242,1,Параметры!L$109,Параметры!L$118)/Параметры!L$126/L$7,0)</f>
        <v>2.4542660197965128E-2</v>
      </c>
      <c r="M159" s="175">
        <f ca="1">IF(M$7&gt;0,Деятельность_УК!M$246*CHOOSE(Деятельность_УК!$C$242,1,Параметры!M$109,Параметры!M$118)/Параметры!M$126/M$7,0)</f>
        <v>2.3725882403374792E-2</v>
      </c>
      <c r="N159" s="175">
        <f ca="1">IF(N$7&gt;0,Деятельность_УК!N$246*CHOOSE(Деятельность_УК!$C$242,1,Параметры!N$109,Параметры!N$118)/Параметры!N$126/N$7,0)</f>
        <v>2.3462105986640388E-2</v>
      </c>
      <c r="O159" s="175">
        <f ca="1">IF(O$7&gt;0,Деятельность_УК!O$246*CHOOSE(Деятельность_УК!$C$242,1,Параметры!O$109,Параметры!O$118)/Параметры!O$126/O$7,0)</f>
        <v>2.3461120011090353E-2</v>
      </c>
      <c r="P159" s="175">
        <f ca="1">IF(P$7&gt;0,Деятельность_УК!P$246*CHOOSE(Деятельность_УК!$C$242,1,Параметры!P$109,Параметры!P$118)/Параметры!P$126/P$7,0)</f>
        <v>2.3460132841899926E-2</v>
      </c>
      <c r="Q159" s="175">
        <f ca="1">IF(Q$7&gt;0,Деятельность_УК!Q$246*CHOOSE(Деятельность_УК!$C$242,1,Параметры!Q$109,Параметры!Q$118)/Параметры!Q$126/Q$7,0)</f>
        <v>2.3219364077120361E-2</v>
      </c>
      <c r="R159" s="175">
        <f ca="1">IF(R$7&gt;0,Деятельность_УК!R$246*CHOOSE(Деятельность_УК!$C$242,1,Параметры!R$109,Параметры!R$118)/Параметры!R$126/R$7,0)</f>
        <v>2.3098016740095182E-2</v>
      </c>
      <c r="S159" s="175">
        <f ca="1">IF(S$7&gt;0,Деятельность_УК!S$246*CHOOSE(Деятельность_УК!$C$242,1,Параметры!S$109,Параметры!S$118)/Параметры!S$126/S$7,0)</f>
        <v>2.3090520439876635E-2</v>
      </c>
      <c r="T159" s="175">
        <f ca="1">IF(T$7&gt;0,Деятельность_УК!T$246*CHOOSE(Деятельность_УК!$C$242,1,Параметры!T$109,Параметры!T$118)/Параметры!T$126/T$7,0)</f>
        <v>2.3083012855715977E-2</v>
      </c>
      <c r="U159" s="175">
        <f ca="1">IF(U$7&gt;0,Деятельность_УК!U$246*CHOOSE(Деятельность_УК!$C$242,1,Параметры!U$109,Параметры!U$118)/Параметры!U$126/U$7,0)</f>
        <v>2.4007310649639662E-2</v>
      </c>
      <c r="V159" s="175">
        <f ca="1">IF(V$7&gt;0,Деятельность_УК!V$246*CHOOSE(Деятельность_УК!$C$242,1,Параметры!V$109,Параметры!V$118)/Параметры!V$126/V$7,0)</f>
        <v>2.3380453299430139E-2</v>
      </c>
      <c r="W159" s="175">
        <f ca="1">IF(W$7&gt;0,Деятельность_УК!W$246*CHOOSE(Деятельность_УК!$C$242,1,Параметры!W$109,Параметры!W$118)/Параметры!W$126/W$7,0)</f>
        <v>2.335619271809224E-2</v>
      </c>
      <c r="X159" s="175">
        <f ca="1">IF(X$7&gt;0,Деятельность_УК!X$246*CHOOSE(Деятельность_УК!$C$242,1,Параметры!X$109,Параметры!X$118)/Параметры!X$126/X$7,0)</f>
        <v>2.3331939580889229E-2</v>
      </c>
      <c r="Y159" s="175">
        <f ca="1">IF(Y$7&gt;0,Деятельность_УК!Y$246*CHOOSE(Деятельность_УК!$C$242,1,Параметры!Y$109,Параметры!Y$118)/Параметры!Y$126/Y$7,0)</f>
        <v>2.3307693922378594E-2</v>
      </c>
      <c r="Z159" s="175">
        <f ca="1">IF(Z$7&gt;0,Деятельность_УК!Z$246*CHOOSE(Деятельность_УК!$C$242,1,Параметры!Z$109,Параметры!Z$118)/Параметры!Z$126/Z$7,0)</f>
        <v>2.3288147962421304E-2</v>
      </c>
      <c r="AA159" s="175">
        <f ca="1">IF(AA$7&gt;0,Деятельность_УК!AA$246*CHOOSE(Деятельность_УК!$C$242,1,Параметры!AA$109,Параметры!AA$118)/Параметры!AA$126/AA$7,0)</f>
        <v>2.3268606851226486E-2</v>
      </c>
      <c r="AB159" s="175">
        <f ca="1">IF(AB$7&gt;0,Деятельность_УК!AB$246*CHOOSE(Деятельность_УК!$C$242,1,Параметры!AB$109,Параметры!AB$118)/Параметры!AB$126/AB$7,0)</f>
        <v>2.3249070606905512E-2</v>
      </c>
      <c r="AC159" s="175">
        <f ca="1">IF(AC$7&gt;0,Деятельность_УК!AC$246*CHOOSE(Деятельность_УК!$C$242,1,Параметры!AC$109,Параметры!AC$118)/Параметры!AC$126/AC$7,0)</f>
        <v>2.3229539247550942E-2</v>
      </c>
      <c r="AD159" s="175">
        <f ca="1">IF(AD$7&gt;0,Деятельность_УК!AD$246*CHOOSE(Деятельность_УК!$C$242,1,Параметры!AD$109,Параметры!AD$118)/Параметры!AD$126/AD$7,0)</f>
        <v>2.3209499495839697E-2</v>
      </c>
      <c r="AE159" s="175">
        <f ca="1">IF(AE$7&gt;0,Деятельность_УК!AE$246*CHOOSE(Деятельность_УК!$C$242,1,Параметры!AE$109,Параметры!AE$118)/Параметры!AE$126/AE$7,0)</f>
        <v>2.3189464858426795E-2</v>
      </c>
      <c r="AF159" s="175">
        <f ca="1">IF(AF$7&gt;0,Деятельность_УК!AF$246*CHOOSE(Деятельность_УК!$C$242,1,Параметры!AF$109,Параметры!AF$118)/Параметры!AF$126/AF$7,0)</f>
        <v>2.3169435354893582E-2</v>
      </c>
      <c r="AG159" s="175">
        <f ca="1">IF(AG$7&gt;0,Деятельность_УК!AG$246*CHOOSE(Деятельность_УК!$C$242,1,Параметры!AG$109,Параметры!AG$118)/Параметры!AG$126/AG$7,0)</f>
        <v>2.3149411004800596E-2</v>
      </c>
      <c r="AH159" s="175">
        <f ca="1">IF(AH$7&gt;0,Деятельность_УК!AH$246*CHOOSE(Деятельность_УК!$C$242,1,Параметры!AH$109,Параметры!AH$118)/Параметры!AH$126/AH$7,0)</f>
        <v>2.3129063053353726E-2</v>
      </c>
      <c r="AI159" s="175">
        <f ca="1">IF(AI$7&gt;0,Деятельность_УК!AI$246*CHOOSE(Деятельность_УК!$C$242,1,Параметры!AI$109,Параметры!AI$118)/Параметры!AI$126/AI$7,0)</f>
        <v>2.3108720504006055E-2</v>
      </c>
      <c r="AJ159" s="175">
        <f ca="1">IF(AJ$7&gt;0,Деятельность_УК!AJ$246*CHOOSE(Деятельность_УК!$C$242,1,Параметры!AJ$109,Параметры!AJ$118)/Параметры!AJ$126/AJ$7,0)</f>
        <v>2.3088383377182217E-2</v>
      </c>
      <c r="AK159" s="175">
        <f ca="1">IF(AK$7&gt;0,Деятельность_УК!AK$246*CHOOSE(Деятельность_УК!$C$242,1,Параметры!AK$109,Параметры!AK$118)/Параметры!AK$126/AK$7,0)</f>
        <v>9.3432589197829322E-3</v>
      </c>
      <c r="AL159" s="175">
        <f ca="1">IF(AL$7&gt;0,Деятельность_УК!AL$246*CHOOSE(Деятельность_УК!$C$242,1,Параметры!AL$109,Параметры!AL$118)/Параметры!AL$126/AL$7,0)</f>
        <v>2.3988765323405492E-2</v>
      </c>
      <c r="AM159" s="175">
        <f ca="1">IF(AM$7&gt;0,Деятельность_УК!AM$246*CHOOSE(Деятельность_УК!$C$242,1,Параметры!AM$109,Параметры!AM$118)/Параметры!AM$126/AM$7,0)</f>
        <v>2.3926815284712702E-2</v>
      </c>
      <c r="AN159" s="175">
        <f ca="1">IF(AN$7&gt;0,Деятельность_УК!AN$246*CHOOSE(Деятельность_УК!$C$242,1,Параметры!AN$109,Параметры!AN$118)/Параметры!AN$126/AN$7,0)</f>
        <v>2.3905293800938931E-2</v>
      </c>
      <c r="AO159" s="175">
        <f ca="1">IF(AO$7&gt;0,Деятельность_УК!AO$246*CHOOSE(Деятельность_УК!$C$242,1,Параметры!AO$109,Параметры!AO$118)/Параметры!AO$126/AO$7,0)</f>
        <v>1.0012219289758206E-3</v>
      </c>
      <c r="AP159" s="175">
        <f ca="1">IF(AP$7&gt;0,Деятельность_УК!AP$246*CHOOSE(Деятельность_УК!$C$242,1,Параметры!AP$109,Параметры!AP$118)/Параметры!AP$126/AP$7,0)</f>
        <v>5.1741484609404274E-2</v>
      </c>
      <c r="AQ159" s="175">
        <f ca="1">IF(AQ$7&gt;0,Деятельность_УК!AQ$246*CHOOSE(Деятельность_УК!$C$242,1,Параметры!AQ$109,Параметры!AQ$118)/Параметры!AQ$126/AQ$7,0)</f>
        <v>4.8938990652664834E-2</v>
      </c>
      <c r="AR159" s="175">
        <f ca="1">IF(AR$7&gt;0,Деятельность_УК!AR$246*CHOOSE(Деятельность_УК!$C$242,1,Параметры!AR$109,Параметры!AR$118)/Параметры!AR$126/AR$7,0)</f>
        <v>4.8928905679939162E-2</v>
      </c>
    </row>
    <row r="160" spans="1:46" x14ac:dyDescent="0.2">
      <c r="A160" s="247" t="str">
        <f>Деятельность_УК!A$250</f>
        <v>Содержание и обслуживание инфраструктуры и зданий на балансе УК</v>
      </c>
      <c r="B160" s="440">
        <f ca="1">IFERROR(AVERAGEIF(Параметры!$E$46:OFFSET(Параметры!$E$46,0,Параметры!$B$24-1),"&gt;=" &amp; Деятельность_УК!$B$9,E160:OFFSET(E160,0,Параметры!$B$24-1)),0)</f>
        <v>1.6700652942676791E-2</v>
      </c>
      <c r="C160" s="12" t="s">
        <v>1</v>
      </c>
      <c r="D160" s="40"/>
      <c r="E160" s="175">
        <f ca="1">IF(E$7&gt;0,Деятельность_УК!E$254*CHOOSE(Деятельность_УК!$C$250,1,Параметры!E$109,Параметры!E$118)/Параметры!E$126/E$7,0)</f>
        <v>0</v>
      </c>
      <c r="F160" s="175">
        <f ca="1">IF(F$7&gt;0,Деятельность_УК!F$254*CHOOSE(Деятельность_УК!$C$250,1,Параметры!F$109,Параметры!F$118)/Параметры!F$126/F$7,0)</f>
        <v>0</v>
      </c>
      <c r="G160" s="175">
        <f ca="1">IF(G$7&gt;0,Деятельность_УК!G$254*CHOOSE(Деятельность_УК!$C$250,1,Параметры!G$109,Параметры!G$118)/Параметры!G$126/G$7,0)</f>
        <v>2.3959456983929636E-2</v>
      </c>
      <c r="H160" s="175">
        <f ca="1">IF(H$7&gt;0,Деятельность_УК!H$254*CHOOSE(Деятельность_УК!$C$250,1,Параметры!H$109,Параметры!H$118)/Параметры!H$126/H$7,0)</f>
        <v>1.7203625857040473E-2</v>
      </c>
      <c r="I160" s="175">
        <f ca="1">IF(I$7&gt;0,Деятельность_УК!I$254*CHOOSE(Деятельность_УК!$C$250,1,Параметры!I$109,Параметры!I$118)/Параметры!I$126/I$7,0)</f>
        <v>1.7203625857040473E-2</v>
      </c>
      <c r="J160" s="175">
        <f ca="1">IF(J$7&gt;0,Деятельность_УК!J$254*CHOOSE(Деятельность_УК!$C$250,1,Параметры!J$109,Параметры!J$118)/Параметры!J$126/J$7,0)</f>
        <v>1.7203894667882417E-2</v>
      </c>
      <c r="K160" s="175">
        <f ca="1">IF(K$7&gt;0,Деятельность_УК!K$254*CHOOSE(Деятельность_УК!$C$250,1,Параметры!K$109,Параметры!K$118)/Параметры!K$126/K$7,0)</f>
        <v>1.7204163361731861E-2</v>
      </c>
      <c r="L160" s="175">
        <f ca="1">IF(L$7&gt;0,Деятельность_УК!L$254*CHOOSE(Деятельность_УК!$C$250,1,Параметры!L$109,Параметры!L$118)/Параметры!L$126/L$7,0)</f>
        <v>2.1651368491670778E-2</v>
      </c>
      <c r="M160" s="175">
        <f ca="1">IF(M$7&gt;0,Деятельность_УК!M$254*CHOOSE(Деятельность_УК!$C$250,1,Параметры!M$109,Параметры!M$118)/Параметры!M$126/M$7,0)</f>
        <v>1.9283751256395421E-2</v>
      </c>
      <c r="N160" s="175">
        <f ca="1">IF(N$7&gt;0,Деятельность_УК!N$254*CHOOSE(Деятельность_УК!$C$250,1,Параметры!N$109,Параметры!N$118)/Параметры!N$126/N$7,0)</f>
        <v>1.9069360966452568E-2</v>
      </c>
      <c r="O160" s="175">
        <f ca="1">IF(O$7&gt;0,Деятельность_УК!O$254*CHOOSE(Деятельность_УК!$C$250,1,Параметры!O$109,Параметры!O$118)/Параметры!O$126/O$7,0)</f>
        <v>1.906855959236968E-2</v>
      </c>
      <c r="P160" s="175">
        <f ca="1">IF(P$7&gt;0,Деятельность_УК!P$254*CHOOSE(Деятельность_УК!$C$250,1,Параметры!P$109,Параметры!P$118)/Параметры!P$126/P$7,0)</f>
        <v>2.263129323542375E-2</v>
      </c>
      <c r="Q160" s="175">
        <f ca="1">IF(Q$7&gt;0,Деятельность_УК!Q$254*CHOOSE(Деятельность_УК!$C$250,1,Параметры!Q$109,Параметры!Q$118)/Параметры!Q$126/Q$7,0)</f>
        <v>2.1982030360783607E-2</v>
      </c>
      <c r="R160" s="175">
        <f ca="1">IF(R$7&gt;0,Деятельность_УК!R$254*CHOOSE(Деятельность_УК!$C$250,1,Параметры!R$109,Параметры!R$118)/Параметры!R$126/R$7,0)</f>
        <v>2.1867149486448374E-2</v>
      </c>
      <c r="S160" s="175">
        <f ca="1">IF(S$7&gt;0,Деятельность_УК!S$254*CHOOSE(Деятельность_УК!$C$250,1,Параметры!S$109,Параметры!S$118)/Параметры!S$126/S$7,0)</f>
        <v>2.1860052655611389E-2</v>
      </c>
      <c r="T160" s="175">
        <f ca="1">IF(T$7&gt;0,Деятельность_УК!T$254*CHOOSE(Деятельность_УК!$C$250,1,Параметры!T$109,Параметры!T$118)/Параметры!T$126/T$7,0)</f>
        <v>2.1852945142140839E-2</v>
      </c>
      <c r="U160" s="175">
        <f ca="1">IF(U$7&gt;0,Деятельность_УК!U$254*CHOOSE(Деятельность_УК!$C$250,1,Параметры!U$109,Параметры!U$118)/Параметры!U$126/U$7,0)</f>
        <v>1.7987525598302457E-2</v>
      </c>
      <c r="V160" s="175">
        <f ca="1">IF(V$7&gt;0,Деятельность_УК!V$254*CHOOSE(Деятельность_УК!$C$250,1,Параметры!V$109,Параметры!V$118)/Параметры!V$126/V$7,0)</f>
        <v>1.7517851472869043E-2</v>
      </c>
      <c r="W160" s="175">
        <f ca="1">IF(W$7&gt;0,Деятельность_УК!W$254*CHOOSE(Деятельность_УК!$C$250,1,Параметры!W$109,Параметры!W$118)/Параметры!W$126/W$7,0)</f>
        <v>1.7499674183700176E-2</v>
      </c>
      <c r="X160" s="175">
        <f ca="1">IF(X$7&gt;0,Деятельность_УК!X$254*CHOOSE(Деятельность_УК!$C$250,1,Параметры!X$109,Параметры!X$118)/Параметры!X$126/X$7,0)</f>
        <v>1.7481502472064297E-2</v>
      </c>
      <c r="Y160" s="175">
        <f ca="1">IF(Y$7&gt;0,Деятельность_УК!Y$254*CHOOSE(Деятельность_УК!$C$250,1,Параметры!Y$109,Параметры!Y$118)/Параметры!Y$126/Y$7,0)</f>
        <v>1.7463336363853662E-2</v>
      </c>
      <c r="Z160" s="175">
        <f ca="1">IF(Z$7&gt;0,Деятельность_УК!Z$254*CHOOSE(Деятельность_УК!$C$250,1,Параметры!Z$109,Параметры!Z$118)/Параметры!Z$126/Z$7,0)</f>
        <v>1.7448691514199064E-2</v>
      </c>
      <c r="AA160" s="175">
        <f ca="1">IF(AA$7&gt;0,Деятельность_УК!AA$254*CHOOSE(Деятельность_УК!$C$250,1,Параметры!AA$109,Параметры!AA$118)/Параметры!AA$126/AA$7,0)</f>
        <v>1.743405029748946E-2</v>
      </c>
      <c r="AB160" s="175">
        <f ca="1">IF(AB$7&gt;0,Деятельность_УК!AB$254*CHOOSE(Деятельность_УК!$C$250,1,Параметры!AB$109,Параметры!AB$118)/Параметры!AB$126/AB$7,0)</f>
        <v>1.7419412727294838E-2</v>
      </c>
      <c r="AC160" s="175">
        <f ca="1">IF(AC$7&gt;0,Деятельность_УК!AC$254*CHOOSE(Деятельность_УК!$C$250,1,Параметры!AC$109,Параметры!AC$118)/Параметры!AC$126/AC$7,0)</f>
        <v>1.7404778817171077E-2</v>
      </c>
      <c r="AD160" s="175">
        <f ca="1">IF(AD$7&gt;0,Деятельность_УК!AD$254*CHOOSE(Деятельность_УК!$C$250,1,Параметры!AD$109,Параметры!AD$118)/Параметры!AD$126/AD$7,0)</f>
        <v>1.7389763993055612E-2</v>
      </c>
      <c r="AE160" s="175">
        <f ca="1">IF(AE$7&gt;0,Деятельность_УК!AE$254*CHOOSE(Деятельность_УК!$C$250,1,Параметры!AE$109,Параметры!AE$118)/Параметры!AE$126/AE$7,0)</f>
        <v>1.7374753000838426E-2</v>
      </c>
      <c r="AF160" s="175">
        <f ca="1">IF(AF$7&gt;0,Деятельность_УК!AF$254*CHOOSE(Деятельность_УК!$C$250,1,Параметры!AF$109,Параметры!AF$118)/Параметры!AF$126/AF$7,0)</f>
        <v>1.7359745855190886E-2</v>
      </c>
      <c r="AG160" s="175">
        <f ca="1">IF(AG$7&gt;0,Деятельность_УК!AG$254*CHOOSE(Деятельность_УК!$C$250,1,Параметры!AG$109,Параметры!AG$118)/Параметры!AG$126/AG$7,0)</f>
        <v>1.7344742570768758E-2</v>
      </c>
      <c r="AH160" s="175">
        <f ca="1">IF(AH$7&gt;0,Деятельность_УК!AH$254*CHOOSE(Деятельность_УК!$C$250,1,Параметры!AH$109,Параметры!AH$118)/Параметры!AH$126/AH$7,0)</f>
        <v>1.7329496827383956E-2</v>
      </c>
      <c r="AI160" s="175">
        <f ca="1">IF(AI$7&gt;0,Деятельность_УК!AI$254*CHOOSE(Деятельность_УК!$C$250,1,Параметры!AI$109,Параметры!AI$118)/Параметры!AI$126/AI$7,0)</f>
        <v>1.7314255131532799E-2</v>
      </c>
      <c r="AJ160" s="175">
        <f ca="1">IF(AJ$7&gt;0,Деятельность_УК!AJ$254*CHOOSE(Деятельность_УК!$C$250,1,Параметры!AJ$109,Параметры!AJ$118)/Параметры!AJ$126/AJ$7,0)</f>
        <v>1.7299017498518487E-2</v>
      </c>
      <c r="AK160" s="175">
        <f ca="1">IF(AK$7&gt;0,Деятельность_УК!AK$254*CHOOSE(Деятельность_УК!$C$250,1,Параметры!AK$109,Параметры!AK$118)/Параметры!AK$126/AK$7,0)</f>
        <v>6.7351981638094994E-3</v>
      </c>
      <c r="AL160" s="175">
        <f ca="1">IF(AL$7&gt;0,Деятельность_УК!AL$254*CHOOSE(Деятельность_УК!$C$250,1,Параметры!AL$109,Параметры!AL$118)/Параметры!AL$126/AL$7,0)</f>
        <v>1.7292583834550453E-2</v>
      </c>
      <c r="AM160" s="175">
        <f ca="1">IF(AM$7&gt;0,Деятельность_УК!AM$254*CHOOSE(Деятельность_УК!$C$250,1,Параметры!AM$109,Параметры!AM$118)/Параметры!AM$126/AM$7,0)</f>
        <v>1.7247926419998005E-2</v>
      </c>
      <c r="AN160" s="175">
        <f ca="1">IF(AN$7&gt;0,Деятельность_УК!AN$254*CHOOSE(Деятельность_УК!$C$250,1,Параметры!AN$109,Параметры!AN$118)/Параметры!AN$126/AN$7,0)</f>
        <v>1.7232412405108758E-2</v>
      </c>
      <c r="AO160" s="175">
        <f ca="1">IF(AO$7&gt;0,Деятельность_УК!AO$254*CHOOSE(Деятельность_УК!$C$250,1,Параметры!AO$109,Параметры!AO$118)/Параметры!AO$126/AO$7,0)</f>
        <v>4.203968630149552E-4</v>
      </c>
      <c r="AP160" s="175">
        <f ca="1">IF(AP$7&gt;0,Деятельность_УК!AP$254*CHOOSE(Деятельность_УК!$C$250,1,Параметры!AP$109,Параметры!AP$118)/Параметры!AP$126/AP$7,0)</f>
        <v>2.1725410908429523E-2</v>
      </c>
      <c r="AQ160" s="175">
        <f ca="1">IF(AQ$7&gt;0,Деятельность_УК!AQ$254*CHOOSE(Деятельность_УК!$C$250,1,Параметры!AQ$109,Параметры!AQ$118)/Параметры!AQ$126/AQ$7,0)</f>
        <v>2.0548689110858828E-2</v>
      </c>
      <c r="AR160" s="175">
        <f ca="1">IF(AR$7&gt;0,Деятельность_УК!AR$254*CHOOSE(Деятельность_УК!$C$250,1,Параметры!AR$109,Параметры!AR$118)/Параметры!AR$126/AR$7,0)</f>
        <v>2.0544454594239918E-2</v>
      </c>
    </row>
    <row r="161" spans="1:46" x14ac:dyDescent="0.2">
      <c r="A161" s="247" t="str">
        <f>Деятельность_УК!A$258</f>
        <v>Услуги ЧОП</v>
      </c>
      <c r="B161" s="440">
        <f ca="1">IFERROR(AVERAGEIF(Параметры!$E$46:OFFSET(Параметры!$E$46,0,Параметры!$B$24-1),"&gt;=" &amp; Деятельность_УК!$B$9,E161:OFFSET(E161,0,Параметры!$B$24-1)),0)</f>
        <v>5.2869080064803196E-3</v>
      </c>
      <c r="C161" s="12" t="s">
        <v>1</v>
      </c>
      <c r="D161" s="40"/>
      <c r="E161" s="175">
        <f ca="1">IF(E$7&gt;0,Деятельность_УК!E$263*CHOOSE(Деятельность_УК!$C$258,1,Параметры!E$109,Параметры!E$118)/Параметры!E$126/E$7,0)</f>
        <v>0</v>
      </c>
      <c r="F161" s="175">
        <f ca="1">IF(F$7&gt;0,Деятельность_УК!F$263*CHOOSE(Деятельность_УК!$C$258,1,Параметры!F$109,Параметры!F$118)/Параметры!F$126/F$7,0)</f>
        <v>0</v>
      </c>
      <c r="G161" s="175">
        <f ca="1">IF(G$7&gt;0,Деятельность_УК!G$263*CHOOSE(Деятельность_УК!$C$258,1,Параметры!G$109,Параметры!G$118)/Параметры!G$126/G$7,0)</f>
        <v>3.9886206010521577E-2</v>
      </c>
      <c r="H161" s="175">
        <f ca="1">IF(H$7&gt;0,Деятельность_УК!H$263*CHOOSE(Деятельность_УК!$C$258,1,Параметры!H$109,Параметры!H$118)/Параметры!H$126/H$7,0)</f>
        <v>2.8639520733800421E-2</v>
      </c>
      <c r="I161" s="175">
        <f ca="1">IF(I$7&gt;0,Деятельность_УК!I$263*CHOOSE(Деятельность_УК!$C$258,1,Параметры!I$109,Параметры!I$118)/Параметры!I$126/I$7,0)</f>
        <v>2.8639520733800421E-2</v>
      </c>
      <c r="J161" s="175">
        <f ca="1">IF(J$7&gt;0,Деятельность_УК!J$263*CHOOSE(Деятельность_УК!$C$258,1,Параметры!J$109,Параметры!J$118)/Параметры!J$126/J$7,0)</f>
        <v>2.8639968233283686E-2</v>
      </c>
      <c r="K161" s="175">
        <f ca="1">IF(K$7&gt;0,Деятельность_УК!K$263*CHOOSE(Деятельность_УК!$C$258,1,Параметры!K$109,Параметры!K$118)/Параметры!K$126/K$7,0)</f>
        <v>2.8640415538005153E-2</v>
      </c>
      <c r="L161" s="175">
        <f ca="1">IF(L$7&gt;0,Деятельность_УК!L$263*CHOOSE(Деятельность_УК!$C$258,1,Параметры!L$109,Параметры!L$118)/Параметры!L$126/L$7,0)</f>
        <v>2.8640862648043268E-2</v>
      </c>
      <c r="M161" s="175">
        <f ca="1">IF(M$7&gt;0,Деятельность_УК!M$263*CHOOSE(Деятельность_УК!$C$258,1,Параметры!M$109,Параметры!M$118)/Параметры!M$126/M$7,0)</f>
        <v>1.848395978315983E-2</v>
      </c>
      <c r="N161" s="175">
        <f ca="1">IF(N$7&gt;0,Деятельность_УК!N$263*CHOOSE(Деятельность_УК!$C$258,1,Параметры!N$109,Параметры!N$118)/Параметры!N$126/N$7,0)</f>
        <v>1.8278461307032711E-2</v>
      </c>
      <c r="O161" s="175">
        <f ca="1">IF(O$7&gt;0,Деятельность_УК!O$263*CHOOSE(Деятельность_УК!$C$258,1,Параметры!O$109,Параметры!O$118)/Параметры!O$126/O$7,0)</f>
        <v>1.8277693169852217E-2</v>
      </c>
      <c r="P161" s="175">
        <f ca="1">IF(P$7&gt;0,Деятельность_УК!P$263*CHOOSE(Деятельность_УК!$C$258,1,Параметры!P$109,Параметры!P$118)/Параметры!P$126/P$7,0)</f>
        <v>1.8276924102750527E-2</v>
      </c>
      <c r="Q161" s="175">
        <f ca="1">IF(Q$7&gt;0,Деятельность_УК!Q$263*CHOOSE(Деятельность_УК!$C$258,1,Параметры!Q$109,Параметры!Q$118)/Параметры!Q$126/Q$7,0)</f>
        <v>1.5511278438973632E-2</v>
      </c>
      <c r="R161" s="175">
        <f ca="1">IF(R$7&gt;0,Деятельность_УК!R$263*CHOOSE(Деятельность_УК!$C$258,1,Параметры!R$109,Параметры!R$118)/Параметры!R$126/R$7,0)</f>
        <v>1.5430214533598195E-2</v>
      </c>
      <c r="S161" s="175">
        <f ca="1">IF(S$7&gt;0,Деятельность_УК!S$263*CHOOSE(Деятельность_УК!$C$258,1,Параметры!S$109,Параметры!S$118)/Параметры!S$126/S$7,0)</f>
        <v>1.5425206765100924E-2</v>
      </c>
      <c r="T161" s="175">
        <f ca="1">IF(T$7&gt;0,Деятельность_УК!T$263*CHOOSE(Деятельность_УК!$C$258,1,Параметры!T$109,Параметры!T$118)/Параметры!T$126/T$7,0)</f>
        <v>1.5420191458569134E-2</v>
      </c>
      <c r="U161" s="175">
        <f ca="1">IF(U$7&gt;0,Деятельность_УК!U$263*CHOOSE(Деятельность_УК!$C$258,1,Параметры!U$109,Параметры!U$118)/Параметры!U$126/U$7,0)</f>
        <v>5.0413716111466301E-3</v>
      </c>
      <c r="V161" s="175">
        <f ca="1">IF(V$7&gt;0,Деятельность_УК!V$263*CHOOSE(Деятельность_УК!$C$258,1,Параметры!V$109,Параметры!V$118)/Параметры!V$126/V$7,0)</f>
        <v>4.9097358400390359E-3</v>
      </c>
      <c r="W161" s="175">
        <f ca="1">IF(W$7&gt;0,Деятельность_УК!W$263*CHOOSE(Деятельность_УК!$C$258,1,Параметры!W$109,Параметры!W$118)/Параметры!W$126/W$7,0)</f>
        <v>4.9046412833095576E-3</v>
      </c>
      <c r="X161" s="175">
        <f ca="1">IF(X$7&gt;0,Деятельность_УК!X$263*CHOOSE(Деятельность_УК!$C$258,1,Параметры!X$109,Параметры!X$118)/Параметры!X$126/X$7,0)</f>
        <v>4.8995482897976695E-3</v>
      </c>
      <c r="Y161" s="175">
        <f ca="1">IF(Y$7&gt;0,Деятельность_УК!Y$263*CHOOSE(Деятельность_УК!$C$258,1,Параметры!Y$109,Параметры!Y$118)/Параметры!Y$126/Y$7,0)</f>
        <v>4.894456866760208E-3</v>
      </c>
      <c r="Z161" s="175">
        <f ca="1">IF(Z$7&gt;0,Деятельность_УК!Z$263*CHOOSE(Деятельность_УК!$C$258,1,Параметры!Z$109,Параметры!Z$118)/Параметры!Z$126/Z$7,0)</f>
        <v>4.8903523483874783E-3</v>
      </c>
      <c r="AA161" s="175">
        <f ca="1">IF(AA$7&gt;0,Деятельность_УК!AA$263*CHOOSE(Деятельность_УК!$C$258,1,Параметры!AA$109,Параметры!AA$118)/Параметры!AA$126/AA$7,0)</f>
        <v>4.8862488482218185E-3</v>
      </c>
      <c r="AB161" s="175">
        <f ca="1">IF(AB$7&gt;0,Деятельность_УК!AB$263*CHOOSE(Деятельность_УК!$C$258,1,Параметры!AB$109,Параметры!AB$118)/Параметры!AB$126/AB$7,0)</f>
        <v>4.8821463700664969E-3</v>
      </c>
      <c r="AC161" s="175">
        <f ca="1">IF(AC$7&gt;0,Деятельность_УК!AC$263*CHOOSE(Деятельность_УК!$C$258,1,Параметры!AC$109,Параметры!AC$118)/Параметры!AC$126/AC$7,0)</f>
        <v>4.8780449177208236E-3</v>
      </c>
      <c r="AD161" s="175">
        <f ca="1">IF(AD$7&gt;0,Деятельность_УК!AD$263*CHOOSE(Деятельность_УК!$C$258,1,Параметры!AD$109,Параметры!AD$118)/Параметры!AD$126/AD$7,0)</f>
        <v>4.8738367064452724E-3</v>
      </c>
      <c r="AE161" s="175">
        <f ca="1">IF(AE$7&gt;0,Деятельность_УК!AE$263*CHOOSE(Деятельность_УК!$C$258,1,Параметры!AE$109,Параметры!AE$118)/Параметры!AE$126/AE$7,0)</f>
        <v>4.8696295691375152E-3</v>
      </c>
      <c r="AF161" s="175">
        <f ca="1">IF(AF$7&gt;0,Деятельность_УК!AF$263*CHOOSE(Деятельность_УК!$C$258,1,Параметры!AF$109,Параметры!AF$118)/Параметры!AF$126/AF$7,0)</f>
        <v>4.8654235099095024E-3</v>
      </c>
      <c r="AG161" s="175">
        <f ca="1">IF(AG$7&gt;0,Деятельность_УК!AG$263*CHOOSE(Деятельность_УК!$C$258,1,Параметры!AG$109,Параметры!AG$118)/Параметры!AG$126/AG$7,0)</f>
        <v>4.8612185328688129E-3</v>
      </c>
      <c r="AH161" s="175">
        <f ca="1">IF(AH$7&gt;0,Деятельность_УК!AH$263*CHOOSE(Деятельность_УК!$C$258,1,Параметры!AH$109,Параметры!AH$118)/Параметры!AH$126/AH$7,0)</f>
        <v>4.8569456017493583E-3</v>
      </c>
      <c r="AI161" s="175">
        <f ca="1">IF(AI$7&gt;0,Деятельность_УК!AI$263*CHOOSE(Деятельность_УК!$C$258,1,Параметры!AI$109,Параметры!AI$118)/Параметры!AI$126/AI$7,0)</f>
        <v>4.8526738050339172E-3</v>
      </c>
      <c r="AJ161" s="175">
        <f ca="1">IF(AJ$7&gt;0,Деятельность_УК!AJ$263*CHOOSE(Деятельность_УК!$C$258,1,Параметры!AJ$109,Параметры!AJ$118)/Параметры!AJ$126/AJ$7,0)</f>
        <v>4.848403147011523E-3</v>
      </c>
      <c r="AK161" s="175">
        <f ca="1">IF(AK$7&gt;0,Деятельность_УК!AK$263*CHOOSE(Деятельность_УК!$C$258,1,Параметры!AK$109,Параметры!AK$118)/Параметры!AK$126/AK$7,0)</f>
        <v>1.9620206928297984E-3</v>
      </c>
      <c r="AL161" s="175">
        <f ca="1">IF(AL$7&gt;0,Деятельность_УК!AL$263*CHOOSE(Деятельность_УК!$C$258,1,Параметры!AL$109,Параметры!AL$118)/Параметры!AL$126/AL$7,0)</f>
        <v>5.0374772190357932E-3</v>
      </c>
      <c r="AM161" s="175">
        <f ca="1">IF(AM$7&gt;0,Деятельность_УК!AM$263*CHOOSE(Деятельность_УК!$C$258,1,Параметры!AM$109,Параметры!AM$118)/Параметры!AM$126/AM$7,0)</f>
        <v>5.0244681331397031E-3</v>
      </c>
      <c r="AN161" s="175">
        <f ca="1">IF(AN$7&gt;0,Деятельность_УК!AN$263*CHOOSE(Деятельность_УК!$C$258,1,Параметры!AN$109,Параметры!AN$118)/Параметры!AN$126/AN$7,0)</f>
        <v>5.0199487682299785E-3</v>
      </c>
      <c r="AO161" s="175">
        <f ca="1">IF(AO$7&gt;0,Деятельность_УК!AO$263*CHOOSE(Деятельность_УК!$C$258,1,Параметры!AO$109,Параметры!AO$118)/Параметры!AO$126/AO$7,0)</f>
        <v>2.102497811129016E-4</v>
      </c>
      <c r="AP161" s="175">
        <f ca="1">IF(AP$7&gt;0,Деятельность_УК!AP$263*CHOOSE(Деятельность_УК!$C$258,1,Параметры!AP$109,Параметры!AP$118)/Параметры!AP$126/AP$7,0)</f>
        <v>1.0865359116446732E-2</v>
      </c>
      <c r="AQ161" s="175">
        <f ca="1">IF(AQ$7&gt;0,Деятельность_УК!AQ$263*CHOOSE(Деятельность_УК!$C$258,1,Параметры!AQ$109,Параметры!AQ$118)/Параметры!AQ$126/AQ$7,0)</f>
        <v>1.0276854486331978E-2</v>
      </c>
      <c r="AR161" s="175">
        <f ca="1">IF(AR$7&gt;0,Деятельность_УК!AR$263*CHOOSE(Деятельность_УК!$C$258,1,Параметры!AR$109,Параметры!AR$118)/Параметры!AR$126/AR$7,0)</f>
        <v>1.0274736710795169E-2</v>
      </c>
    </row>
    <row r="162" spans="1:46" ht="22.5" x14ac:dyDescent="0.2">
      <c r="A162" s="401" t="str">
        <f>Деятельность_УК!A$267</f>
        <v>Инженерно-эксплуатационные расходы УК в части собственных нужд</v>
      </c>
      <c r="B162" s="440">
        <f ca="1">IFERROR(AVERAGEIF(Параметры!$E$46:OFFSET(Параметры!$E$46,0,Параметры!$B$24-1),"&gt;=" &amp; Деятельность_УК!$B$9,E162:OFFSET(E162,0,Параметры!$B$24-1)),0)</f>
        <v>5.2818352031271012E-4</v>
      </c>
      <c r="C162" s="12" t="s">
        <v>1</v>
      </c>
      <c r="D162" s="40"/>
      <c r="E162" s="175">
        <f ca="1">IF(E$7&gt;0,Деятельность_УК!E$272*CHOOSE(Деятельность_УК!$C$267,1,Параметры!E$109,Параметры!E$118)/Параметры!E$126/E$7,0)</f>
        <v>0</v>
      </c>
      <c r="F162" s="175">
        <f ca="1">IF(F$7&gt;0,Деятельность_УК!F$272*CHOOSE(Деятельность_УК!$C$267,1,Параметры!F$109,Параметры!F$118)/Параметры!F$126/F$7,0)</f>
        <v>0</v>
      </c>
      <c r="G162" s="175">
        <f ca="1">IF(G$7&gt;0,Деятельность_УК!G$272*CHOOSE(Деятельность_УК!$C$267,1,Параметры!G$109,Параметры!G$118)/Параметры!G$126/G$7,0)</f>
        <v>3.9886206010521577E-3</v>
      </c>
      <c r="H162" s="175">
        <f ca="1">IF(H$7&gt;0,Деятельность_УК!H$272*CHOOSE(Деятельность_УК!$C$267,1,Параметры!H$109,Параметры!H$118)/Параметры!H$126/H$7,0)</f>
        <v>2.863952073380042E-3</v>
      </c>
      <c r="I162" s="175">
        <f ca="1">IF(I$7&gt;0,Деятельность_УК!I$272*CHOOSE(Деятельность_УК!$C$267,1,Параметры!I$109,Параметры!I$118)/Параметры!I$126/I$7,0)</f>
        <v>2.863952073380042E-3</v>
      </c>
      <c r="J162" s="175">
        <f ca="1">IF(J$7&gt;0,Деятельность_УК!J$272*CHOOSE(Деятельность_УК!$C$267,1,Параметры!J$109,Параметры!J$118)/Параметры!J$126/J$7,0)</f>
        <v>2.8641515111160602E-3</v>
      </c>
      <c r="K162" s="175">
        <f ca="1">IF(K$7&gt;0,Деятельность_УК!K$272*CHOOSE(Деятельность_УК!$C$267,1,Параметры!K$109,Параметры!K$118)/Параметры!K$126/K$7,0)</f>
        <v>2.8643509425627842E-3</v>
      </c>
      <c r="L162" s="175">
        <f ca="1">IF(L$7&gt;0,Деятельность_УК!L$272*CHOOSE(Деятельность_УК!$C$267,1,Параметры!L$109,Параметры!L$118)/Параметры!L$126/L$7,0)</f>
        <v>2.8645503677257487E-3</v>
      </c>
      <c r="M162" s="175">
        <f ca="1">IF(M$7&gt;0,Деятельность_УК!M$272*CHOOSE(Деятельность_УК!$C$267,1,Параметры!M$109,Параметры!M$118)/Параметры!M$126/M$7,0)</f>
        <v>1.8487953467060888E-3</v>
      </c>
      <c r="N162" s="175">
        <f ca="1">IF(N$7&gt;0,Деятельность_УК!N$272*CHOOSE(Деятельность_УК!$C$267,1,Параметры!N$109,Параметры!N$118)/Параметры!N$126/N$7,0)</f>
        <v>1.8284084255175694E-3</v>
      </c>
      <c r="O162" s="175">
        <f ca="1">IF(O$7&gt;0,Деятельность_УК!O$272*CHOOSE(Деятельность_УК!$C$267,1,Параметры!O$109,Параметры!O$118)/Параметры!O$126/O$7,0)</f>
        <v>1.8284989629252808E-3</v>
      </c>
      <c r="P162" s="175">
        <f ca="1">IF(P$7&gt;0,Деятельность_УК!P$272*CHOOSE(Деятельность_УК!$C$267,1,Параметры!P$109,Параметры!P$118)/Параметры!P$126/P$7,0)</f>
        <v>1.8285894085487626E-3</v>
      </c>
      <c r="Q162" s="175">
        <f ca="1">IF(Q$7&gt;0,Деятельность_УК!Q$272*CHOOSE(Деятельность_УК!$C$267,1,Параметры!Q$109,Параметры!Q$118)/Параметры!Q$126/Q$7,0)</f>
        <v>1.5520311771075855E-3</v>
      </c>
      <c r="R162" s="175">
        <f ca="1">IF(R$7&gt;0,Деятельность_УК!R$272*CHOOSE(Деятельность_УК!$C$267,1,Параметры!R$109,Параметры!R$118)/Параметры!R$126/R$7,0)</f>
        <v>1.5437400161857279E-3</v>
      </c>
      <c r="S162" s="175">
        <f ca="1">IF(S$7&gt;0,Деятельность_УК!S$272*CHOOSE(Деятельность_УК!$C$267,1,Параметры!S$109,Параметры!S$118)/Параметры!S$126/S$7,0)</f>
        <v>1.5430590361049364E-3</v>
      </c>
      <c r="T162" s="175">
        <f ca="1">IF(T$7&gt;0,Деятельность_УК!T$272*CHOOSE(Деятельность_УК!$C$267,1,Параметры!T$109,Параметры!T$118)/Параметры!T$126/T$7,0)</f>
        <v>1.5423774398805002E-3</v>
      </c>
      <c r="U162" s="175">
        <f ca="1">IF(U$7&gt;0,Деятельность_УК!U$272*CHOOSE(Деятельность_УК!$C$267,1,Параметры!U$109,Параметры!U$118)/Параметры!U$126/U$7,0)</f>
        <v>5.0419549398737307E-4</v>
      </c>
      <c r="V162" s="175">
        <f ca="1">IF(V$7&gt;0,Деятельность_УК!V$272*CHOOSE(Деятельность_УК!$C$267,1,Параметры!V$109,Параметры!V$118)/Параметры!V$126/V$7,0)</f>
        <v>4.9097966355840289E-4</v>
      </c>
      <c r="W162" s="175">
        <f ca="1">IF(W$7&gt;0,Деятельность_УК!W$272*CHOOSE(Деятельность_УК!$C$267,1,Параметры!W$109,Параметры!W$118)/Параметры!W$126/W$7,0)</f>
        <v>4.9041952926999672E-4</v>
      </c>
      <c r="X162" s="175">
        <f ca="1">IF(X$7&gt;0,Деятельность_УК!X$272*CHOOSE(Деятельность_УК!$C$267,1,Параметры!X$109,Параметры!X$118)/Параметры!X$126/X$7,0)</f>
        <v>4.8985966177153106E-4</v>
      </c>
      <c r="Y162" s="175">
        <f ca="1">IF(Y$7&gt;0,Деятельность_УК!Y$272*CHOOSE(Деятельность_УК!$C$267,1,Параметры!Y$109,Параметры!Y$118)/Параметры!Y$126/Y$7,0)</f>
        <v>4.8930006172317889E-4</v>
      </c>
      <c r="Z162" s="175">
        <f ca="1">IF(Z$7&gt;0,Деятельность_УК!Z$272*CHOOSE(Деятельность_УК!$C$267,1,Параметры!Z$109,Параметры!Z$118)/Параметры!Z$126/Z$7,0)</f>
        <v>4.888403794494527E-4</v>
      </c>
      <c r="AA162" s="175">
        <f ca="1">IF(AA$7&gt;0,Деятельность_УК!AA$272*CHOOSE(Деятельность_УК!$C$267,1,Параметры!AA$109,Параметры!AA$118)/Параметры!AA$126/AA$7,0)</f>
        <v>4.8838088676758705E-4</v>
      </c>
      <c r="AB162" s="175">
        <f ca="1">IF(AB$7&gt;0,Деятельность_УК!AB$272*CHOOSE(Деятельность_УК!$C$267,1,Параметры!AB$109,Параметры!AB$118)/Параметры!AB$126/AB$7,0)</f>
        <v>4.8792158401381316E-4</v>
      </c>
      <c r="AC162" s="175">
        <f ca="1">IF(AC$7&gt;0,Деятельность_УК!AC$272*CHOOSE(Деятельность_УК!$C$267,1,Параметры!AC$109,Параметры!AC$118)/Параметры!AC$126/AC$7,0)</f>
        <v>4.8746247152382175E-4</v>
      </c>
      <c r="AD162" s="175">
        <f ca="1">IF(AD$7&gt;0,Деятельность_УК!AD$272*CHOOSE(Деятельность_УК!$C$267,1,Параметры!AD$109,Параметры!AD$118)/Параметры!AD$126/AD$7,0)</f>
        <v>4.8700127612876778E-4</v>
      </c>
      <c r="AE162" s="175">
        <f ca="1">IF(AE$7&gt;0,Деятельность_УК!AE$272*CHOOSE(Деятельность_УК!$C$267,1,Параметры!AE$109,Параметры!AE$118)/Параметры!AE$126/AE$7,0)</f>
        <v>4.8654026166047127E-4</v>
      </c>
      <c r="AF162" s="175">
        <f ca="1">IF(AF$7&gt;0,Деятельность_УК!AF$272*CHOOSE(Деятельность_УК!$C$267,1,Параметры!AF$109,Параметры!AF$118)/Параметры!AF$126/AF$7,0)</f>
        <v>4.8607942849377572E-4</v>
      </c>
      <c r="AG162" s="175">
        <f ca="1">IF(AG$7&gt;0,Деятельность_УК!AG$272*CHOOSE(Деятельность_УК!$C$267,1,Параметры!AG$109,Параметры!AG$118)/Параметры!AG$126/AG$7,0)</f>
        <v>4.8561877700295633E-4</v>
      </c>
      <c r="AH162" s="175">
        <f ca="1">IF(AH$7&gt;0,Деятельность_УК!AH$272*CHOOSE(Деятельность_УК!$C$267,1,Параметры!AH$109,Параметры!AH$118)/Параметры!AH$126/AH$7,0)</f>
        <v>4.8516139735666668E-4</v>
      </c>
      <c r="AI162" s="175">
        <f ca="1">IF(AI$7&gt;0,Деятельность_УК!AI$272*CHOOSE(Деятельность_УК!$C$267,1,Параметры!AI$109,Параметры!AI$118)/Параметры!AI$126/AI$7,0)</f>
        <v>4.8470418665404592E-4</v>
      </c>
      <c r="AJ162" s="175">
        <f ca="1">IF(AJ$7&gt;0,Деятельность_УК!AJ$272*CHOOSE(Деятельность_УК!$C$267,1,Параметры!AJ$109,Параметры!AJ$118)/Параметры!AJ$126/AJ$7,0)</f>
        <v>4.8424714529689359E-4</v>
      </c>
      <c r="AK162" s="175">
        <f ca="1">IF(AK$7&gt;0,Деятельность_УК!AK$272*CHOOSE(Деятельность_УК!$C$267,1,Параметры!AK$109,Параметры!AK$118)/Параметры!AK$126/AK$7,0)</f>
        <v>1.9594969917814621E-4</v>
      </c>
      <c r="AL162" s="175">
        <f ca="1">IF(AL$7&gt;0,Деятельность_УК!AL$272*CHOOSE(Деятельность_УК!$C$267,1,Параметры!AL$109,Параметры!AL$118)/Параметры!AL$126/AL$7,0)</f>
        <v>5.0307306253562917E-4</v>
      </c>
      <c r="AM162" s="175">
        <f ca="1">IF(AM$7&gt;0,Деятельность_УК!AM$272*CHOOSE(Деятельность_УК!$C$267,1,Параметры!AM$109,Параметры!AM$118)/Параметры!AM$126/AM$7,0)</f>
        <v>5.0174726606653922E-4</v>
      </c>
      <c r="AN162" s="175">
        <f ca="1">IF(AN$7&gt;0,Деятельность_УК!AN$272*CHOOSE(Деятельность_УК!$C$267,1,Параметры!AN$109,Параметры!AN$118)/Параметры!AN$126/AN$7,0)</f>
        <v>5.0126935400270913E-4</v>
      </c>
      <c r="AO162" s="175">
        <f ca="1">IF(AO$7&gt;0,Деятельность_УК!AO$272*CHOOSE(Деятельность_УК!$C$267,1,Параметры!AO$109,Параметры!AO$118)/Параметры!AO$126/AO$7,0)</f>
        <v>2.0993476919339792E-5</v>
      </c>
      <c r="AP162" s="175">
        <f ca="1">IF(AP$7&gt;0,Деятельность_УК!AP$272*CHOOSE(Деятельность_УК!$C$267,1,Параметры!AP$109,Параметры!AP$118)/Параметры!AP$126/AP$7,0)</f>
        <v>1.0848506391397462E-3</v>
      </c>
      <c r="AQ162" s="175">
        <f ca="1">IF(AQ$7&gt;0,Деятельность_УК!AQ$272*CHOOSE(Деятельность_УК!$C$267,1,Параметры!AQ$109,Параметры!AQ$118)/Параметры!AQ$126/AQ$7,0)</f>
        <v>1.0260372216845369E-3</v>
      </c>
      <c r="AR162" s="175">
        <f ca="1">IF(AR$7&gt;0,Деятельность_УК!AR$272*CHOOSE(Деятельность_УК!$C$267,1,Параметры!AR$109,Параметры!AR$118)/Параметры!AR$126/AR$7,0)</f>
        <v>1.0257715633196602E-3</v>
      </c>
    </row>
    <row r="163" spans="1:46" ht="22.5" x14ac:dyDescent="0.2">
      <c r="A163" s="401" t="str">
        <f>Деятельность_УК!A$276</f>
        <v xml:space="preserve">Коммунальные услуги за счет УК в корпусах, арендованных резидентами </v>
      </c>
      <c r="B163" s="440">
        <f ca="1">IFERROR(AVERAGEIF(Параметры!$E$46:OFFSET(Параметры!$E$46,0,Параметры!$B$24-1),"&gt;=" &amp; Деятельность_УК!$B$9,E163:OFFSET(E163,0,Параметры!$B$24-1)),0)</f>
        <v>3.8229190743430473E-2</v>
      </c>
      <c r="C163" s="12" t="s">
        <v>1</v>
      </c>
      <c r="D163" s="40"/>
      <c r="E163" s="175">
        <f ca="1">IF(E$7&gt;0,Деятельность_УК!E$280*CHOOSE(Деятельность_УК!$C$276,1,Параметры!E$109,Параметры!E$118)/Параметры!E$126/E$7,0)</f>
        <v>0</v>
      </c>
      <c r="F163" s="175">
        <f ca="1">IF(F$7&gt;0,Деятельность_УК!F$280*CHOOSE(Деятельность_УК!$C$276,1,Параметры!F$109,Параметры!F$118)/Параметры!F$126/F$7,0)</f>
        <v>0</v>
      </c>
      <c r="G163" s="175">
        <f ca="1">IF(G$7&gt;0,Деятельность_УК!G$280*CHOOSE(Деятельность_УК!$C$276,1,Параметры!G$109,Параметры!G$118)/Параметры!G$126/G$7,0)</f>
        <v>7.0219942890655015E-2</v>
      </c>
      <c r="H163" s="175">
        <f ca="1">IF(H$7&gt;0,Деятельность_УК!H$280*CHOOSE(Деятельность_УК!$C$276,1,Параметры!H$109,Параметры!H$118)/Параметры!H$126/H$7,0)</f>
        <v>5.0420075296524744E-2</v>
      </c>
      <c r="I163" s="175">
        <f ca="1">IF(I$7&gt;0,Деятельность_УК!I$280*CHOOSE(Деятельность_УК!$C$276,1,Параметры!I$109,Параметры!I$118)/Параметры!I$126/I$7,0)</f>
        <v>5.0420075296524744E-2</v>
      </c>
      <c r="J163" s="175">
        <f ca="1">IF(J$7&gt;0,Деятельность_УК!J$280*CHOOSE(Деятельность_УК!$C$276,1,Параметры!J$109,Параметры!J$118)/Параметры!J$126/J$7,0)</f>
        <v>5.0424845880240932E-2</v>
      </c>
      <c r="K163" s="175">
        <f ca="1">IF(K$7&gt;0,Деятельность_УК!K$280*CHOOSE(Деятельность_УК!$C$276,1,Параметры!K$109,Параметры!K$118)/Параметры!K$126/K$7,0)</f>
        <v>5.0429616560088673E-2</v>
      </c>
      <c r="L163" s="175">
        <f ca="1">IF(L$7&gt;0,Деятельность_УК!L$280*CHOOSE(Деятельность_УК!$C$276,1,Параметры!L$109,Параметры!L$118)/Параметры!L$126/L$7,0)</f>
        <v>5.0434387336164441E-2</v>
      </c>
      <c r="M163" s="175">
        <f ca="1">IF(M$7&gt;0,Деятельность_УК!M$280*CHOOSE(Деятельность_УК!$C$276,1,Параметры!M$109,Параметры!M$118)/Параметры!M$126/M$7,0)</f>
        <v>4.6867933116973799E-2</v>
      </c>
      <c r="N163" s="175">
        <f ca="1">IF(N$7&gt;0,Деятельность_УК!N$280*CHOOSE(Деятельность_УК!$C$276,1,Параметры!N$109,Параметры!N$118)/Параметры!N$126/N$7,0)</f>
        <v>4.6352334442262652E-2</v>
      </c>
      <c r="O163" s="175">
        <f ca="1">IF(O$7&gt;0,Деятельность_УК!O$280*CHOOSE(Деятельность_УК!$C$276,1,Параметры!O$109,Параметры!O$118)/Параметры!O$126/O$7,0)</f>
        <v>4.6355850251739626E-2</v>
      </c>
      <c r="P163" s="175">
        <f ca="1">IF(P$7&gt;0,Деятельность_УК!P$280*CHOOSE(Деятельность_УК!$C$276,1,Параметры!P$109,Параметры!P$118)/Параметры!P$126/P$7,0)</f>
        <v>4.6359363887268287E-2</v>
      </c>
      <c r="Q163" s="175">
        <f ca="1">IF(Q$7&gt;0,Деятельность_УК!Q$280*CHOOSE(Деятельность_УК!$C$276,1,Параметры!Q$109,Параметры!Q$118)/Параметры!Q$126/Q$7,0)</f>
        <v>4.5358812040940291E-2</v>
      </c>
      <c r="R163" s="175">
        <f ca="1">IF(R$7&gt;0,Деятельность_УК!R$280*CHOOSE(Деятельность_УК!$C$276,1,Параметры!R$109,Параметры!R$118)/Параметры!R$126/R$7,0)</f>
        <v>4.5121682340852745E-2</v>
      </c>
      <c r="S163" s="175">
        <f ca="1">IF(S$7&gt;0,Деятельность_УК!S$280*CHOOSE(Деятельность_УК!$C$276,1,Параметры!S$109,Параметры!S$118)/Параметры!S$126/S$7,0)</f>
        <v>4.5106959634897789E-2</v>
      </c>
      <c r="T163" s="175">
        <f ca="1">IF(T$7&gt;0,Деятельность_УК!T$280*CHOOSE(Деятельность_УК!$C$276,1,Параметры!T$109,Параметры!T$118)/Параметры!T$126/T$7,0)</f>
        <v>4.509221493727051E-2</v>
      </c>
      <c r="U163" s="175">
        <f ca="1">IF(U$7&gt;0,Деятельность_УК!U$280*CHOOSE(Деятельность_УК!$C$276,1,Параметры!U$109,Параметры!U$118)/Параметры!U$126/U$7,0)</f>
        <v>4.4636365445659319E-2</v>
      </c>
      <c r="V163" s="175">
        <f ca="1">IF(V$7&gt;0,Деятельность_УК!V$280*CHOOSE(Деятельность_УК!$C$276,1,Параметры!V$109,Параметры!V$118)/Параметры!V$126/V$7,0)</f>
        <v>4.3476898805593342E-2</v>
      </c>
      <c r="W163" s="175">
        <f ca="1">IF(W$7&gt;0,Деятельность_УК!W$280*CHOOSE(Деятельность_УК!$C$276,1,Параметры!W$109,Параметры!W$118)/Параметры!W$126/W$7,0)</f>
        <v>4.3437817920871577E-2</v>
      </c>
      <c r="X163" s="175">
        <f ca="1">IF(X$7&gt;0,Деятельность_УК!X$280*CHOOSE(Деятельность_УК!$C$276,1,Параметры!X$109,Параметры!X$118)/Параметры!X$126/X$7,0)</f>
        <v>4.3398739187243351E-2</v>
      </c>
      <c r="Y163" s="175">
        <f ca="1">IF(Y$7&gt;0,Деятельность_УК!Y$280*CHOOSE(Деятельность_УК!$C$276,1,Параметры!Y$109,Параметры!Y$118)/Параметры!Y$126/Y$7,0)</f>
        <v>4.3359662672271308E-2</v>
      </c>
      <c r="Z163" s="175">
        <f ca="1">IF(Z$7&gt;0,Деятельность_УК!Z$280*CHOOSE(Деятельность_УК!$C$276,1,Параметры!Z$109,Параметры!Z$118)/Параметры!Z$126/Z$7,0)</f>
        <v>4.3323341542762434E-2</v>
      </c>
      <c r="AA163" s="175">
        <f ca="1">IF(AA$7&gt;0,Деятельность_УК!AA$280*CHOOSE(Деятельность_УК!$C$276,1,Параметры!AA$109,Параметры!AA$118)/Параметры!AA$126/AA$7,0)</f>
        <v>4.3287029365515942E-2</v>
      </c>
      <c r="AB163" s="175">
        <f ca="1">IF(AB$7&gt;0,Деятельность_УК!AB$280*CHOOSE(Деятельность_УК!$C$276,1,Параметры!AB$109,Параметры!AB$118)/Параметры!AB$126/AB$7,0)</f>
        <v>4.325072617425E-2</v>
      </c>
      <c r="AC163" s="175">
        <f ca="1">IF(AC$7&gt;0,Деятельность_УК!AC$280*CHOOSE(Деятельность_УК!$C$276,1,Параметры!AC$109,Параметры!AC$118)/Параметры!AC$126/AC$7,0)</f>
        <v>4.3214432002647921E-2</v>
      </c>
      <c r="AD163" s="175">
        <f ca="1">IF(AD$7&gt;0,Деятельность_УК!AD$280*CHOOSE(Деятельность_УК!$C$276,1,Параметры!AD$109,Параметры!AD$118)/Параметры!AD$126/AD$7,0)</f>
        <v>4.3177169650993753E-2</v>
      </c>
      <c r="AE163" s="175">
        <f ca="1">IF(AE$7&gt;0,Деятельность_УК!AE$280*CHOOSE(Деятельность_УК!$C$276,1,Параметры!AE$109,Параметры!AE$118)/Параметры!AE$126/AE$7,0)</f>
        <v>4.3139916782433903E-2</v>
      </c>
      <c r="AF163" s="175">
        <f ca="1">IF(AF$7&gt;0,Деятельность_УК!AF$280*CHOOSE(Деятельность_УК!$C$276,1,Параметры!AF$109,Параметры!AF$118)/Параметры!AF$126/AF$7,0)</f>
        <v>4.3102673433407956E-2</v>
      </c>
      <c r="AG163" s="175">
        <f ca="1">IF(AG$7&gt;0,Деятельность_УК!AG$280*CHOOSE(Деятельность_УК!$C$276,1,Параметры!AG$109,Параметры!AG$118)/Параметры!AG$126/AG$7,0)</f>
        <v>4.3065439640316817E-2</v>
      </c>
      <c r="AH163" s="175">
        <f ca="1">IF(AH$7&gt;0,Деятельность_УК!AH$280*CHOOSE(Деятельность_УК!$C$276,1,Параметры!AH$109,Параметры!AH$118)/Параметры!AH$126/AH$7,0)</f>
        <v>4.3027605148175441E-2</v>
      </c>
      <c r="AI163" s="175">
        <f ca="1">IF(AI$7&gt;0,Деятельность_УК!AI$280*CHOOSE(Деятельность_УК!$C$276,1,Параметры!AI$109,Параметры!AI$118)/Параметры!AI$126/AI$7,0)</f>
        <v>4.2989780671719401E-2</v>
      </c>
      <c r="AJ163" s="175">
        <f ca="1">IF(AJ$7&gt;0,Деятельность_УК!AJ$280*CHOOSE(Деятельность_УК!$C$276,1,Параметры!AJ$109,Параметры!AJ$118)/Параметры!AJ$126/AJ$7,0)</f>
        <v>4.2951966248958674E-2</v>
      </c>
      <c r="AK163" s="175">
        <f ca="1">IF(AK$7&gt;0,Деятельность_УК!AK$280*CHOOSE(Деятельность_УК!$C$276,1,Параметры!AK$109,Параметры!AK$118)/Параметры!AK$126/AK$7,0)</f>
        <v>1.6620924309215111E-2</v>
      </c>
      <c r="AL163" s="175">
        <f ca="1">IF(AL$7&gt;0,Деятельность_УК!AL$280*CHOOSE(Деятельность_УК!$C$276,1,Параметры!AL$109,Параметры!AL$118)/Параметры!AL$126/AL$7,0)</f>
        <v>4.267415025919085E-2</v>
      </c>
      <c r="AM163" s="175">
        <f ca="1">IF(AM$7&gt;0,Деятельность_УК!AM$280*CHOOSE(Деятельность_УК!$C$276,1,Параметры!AM$109,Параметры!AM$118)/Параметры!AM$126/AM$7,0)</f>
        <v>4.2563965417573423E-2</v>
      </c>
      <c r="AN163" s="175">
        <f ca="1">IF(AN$7&gt;0,Деятельность_УК!AN$280*CHOOSE(Деятельность_УК!$C$276,1,Параметры!AN$109,Параметры!AN$118)/Параметры!AN$126/AN$7,0)</f>
        <v>4.2525699799989027E-2</v>
      </c>
      <c r="AO163" s="175">
        <f ca="1">IF(AO$7&gt;0,Деятельность_УК!AO$280*CHOOSE(Деятельность_УК!$C$276,1,Параметры!AO$109,Параметры!AO$118)/Параметры!AO$126/AO$7,0)</f>
        <v>5.3365830309947565E-4</v>
      </c>
      <c r="AP163" s="175">
        <f ca="1">IF(AP$7&gt;0,Деятельность_УК!AP$280*CHOOSE(Деятельность_УК!$C$276,1,Параметры!AP$109,Параметры!AP$118)/Параметры!AP$126/AP$7,0)</f>
        <v>2.7578533109279345E-2</v>
      </c>
      <c r="AQ163" s="175">
        <f ca="1">IF(AQ$7&gt;0,Деятельность_УК!AQ$280*CHOOSE(Деятельность_УК!$C$276,1,Параметры!AQ$109,Параметры!AQ$118)/Параметры!AQ$126/AQ$7,0)</f>
        <v>2.6084747896102989E-2</v>
      </c>
      <c r="AR163" s="175">
        <f ca="1">IF(AR$7&gt;0,Деятельность_УК!AR$280*CHOOSE(Деятельность_УК!$C$276,1,Параметры!AR$109,Параметры!AR$118)/Параметры!AR$126/AR$7,0)</f>
        <v>2.6079334055059775E-2</v>
      </c>
    </row>
    <row r="164" spans="1:46" x14ac:dyDescent="0.2">
      <c r="A164" s="63" t="s">
        <v>141</v>
      </c>
      <c r="B164" s="440">
        <f ca="1">IFERROR(AVERAGEIF(Параметры!$E$46:OFFSET(Параметры!$E$46,0,Параметры!$B$24-1),"&gt;=" &amp; Деятельность_УК!$B$9,E164:OFFSET(E164,0,Параметры!$B$24-1)),0)</f>
        <v>1.9825905024301199E-3</v>
      </c>
      <c r="C164" s="12" t="s">
        <v>1</v>
      </c>
      <c r="D164" s="40"/>
      <c r="E164" s="175">
        <f t="shared" ref="E164:AR164" ca="1" si="56">IF(E$7&gt;0,-E18/E$7,0)</f>
        <v>0</v>
      </c>
      <c r="F164" s="175">
        <f t="shared" ca="1" si="56"/>
        <v>0</v>
      </c>
      <c r="G164" s="175">
        <f t="shared" ca="1" si="56"/>
        <v>1.4957327253945591E-2</v>
      </c>
      <c r="H164" s="175">
        <f t="shared" ca="1" si="56"/>
        <v>1.0739820275175158E-2</v>
      </c>
      <c r="I164" s="175">
        <f t="shared" ca="1" si="56"/>
        <v>1.0739820275175158E-2</v>
      </c>
      <c r="J164" s="175">
        <f t="shared" ca="1" si="56"/>
        <v>1.0739988087481384E-2</v>
      </c>
      <c r="K164" s="175">
        <f t="shared" ca="1" si="56"/>
        <v>1.0740155826751932E-2</v>
      </c>
      <c r="L164" s="175">
        <f t="shared" ca="1" si="56"/>
        <v>1.0740323493016226E-2</v>
      </c>
      <c r="M164" s="175">
        <f t="shared" ca="1" si="56"/>
        <v>6.9314849186849353E-3</v>
      </c>
      <c r="N164" s="175">
        <f t="shared" ca="1" si="56"/>
        <v>6.8544229901372654E-3</v>
      </c>
      <c r="O164" s="175">
        <f t="shared" ca="1" si="56"/>
        <v>6.8541349386945808E-3</v>
      </c>
      <c r="P164" s="175">
        <f t="shared" ca="1" si="56"/>
        <v>6.8538465385314471E-3</v>
      </c>
      <c r="Q164" s="175">
        <f t="shared" ca="1" si="56"/>
        <v>5.8167294146151127E-3</v>
      </c>
      <c r="R164" s="175">
        <f t="shared" ca="1" si="56"/>
        <v>5.7863304500993234E-3</v>
      </c>
      <c r="S164" s="175">
        <f t="shared" ca="1" si="56"/>
        <v>5.7844525369128473E-3</v>
      </c>
      <c r="T164" s="175">
        <f t="shared" ca="1" si="56"/>
        <v>5.782571796963426E-3</v>
      </c>
      <c r="U164" s="175">
        <f t="shared" ca="1" si="56"/>
        <v>1.8905143541799866E-3</v>
      </c>
      <c r="V164" s="175">
        <f t="shared" ca="1" si="56"/>
        <v>1.8411509400146386E-3</v>
      </c>
      <c r="W164" s="175">
        <f t="shared" ca="1" si="56"/>
        <v>1.8392404812410839E-3</v>
      </c>
      <c r="X164" s="175">
        <f t="shared" ca="1" si="56"/>
        <v>1.8373306086741259E-3</v>
      </c>
      <c r="Y164" s="175">
        <f t="shared" ca="1" si="56"/>
        <v>1.8354213250350779E-3</v>
      </c>
      <c r="Z164" s="175">
        <f t="shared" ca="1" si="56"/>
        <v>1.8338821306453043E-3</v>
      </c>
      <c r="AA164" s="175">
        <f t="shared" ca="1" si="56"/>
        <v>1.8323433180831821E-3</v>
      </c>
      <c r="AB164" s="175">
        <f t="shared" ca="1" si="56"/>
        <v>1.8308048887749364E-3</v>
      </c>
      <c r="AC164" s="175">
        <f t="shared" ca="1" si="56"/>
        <v>1.8292668441453092E-3</v>
      </c>
      <c r="AD164" s="175">
        <f t="shared" ca="1" si="56"/>
        <v>1.8276887649169773E-3</v>
      </c>
      <c r="AE164" s="175">
        <f t="shared" ca="1" si="56"/>
        <v>1.8261110884265682E-3</v>
      </c>
      <c r="AF164" s="175">
        <f t="shared" ca="1" si="56"/>
        <v>1.8245338162160634E-3</v>
      </c>
      <c r="AG164" s="175">
        <f t="shared" ca="1" si="56"/>
        <v>1.8229569498258045E-3</v>
      </c>
      <c r="AH164" s="175">
        <f t="shared" ca="1" si="56"/>
        <v>1.8213546006560094E-3</v>
      </c>
      <c r="AI164" s="175">
        <f t="shared" ca="1" si="56"/>
        <v>1.8197526768877193E-3</v>
      </c>
      <c r="AJ164" s="175">
        <f t="shared" ca="1" si="56"/>
        <v>1.818151180129321E-3</v>
      </c>
      <c r="AK164" s="175">
        <f t="shared" ca="1" si="56"/>
        <v>7.3575775981117456E-4</v>
      </c>
      <c r="AL164" s="175">
        <f t="shared" ca="1" si="56"/>
        <v>1.8890539571384223E-3</v>
      </c>
      <c r="AM164" s="175">
        <f t="shared" ca="1" si="56"/>
        <v>1.8841755499273887E-3</v>
      </c>
      <c r="AN164" s="175">
        <f t="shared" ca="1" si="56"/>
        <v>1.8824807880862418E-3</v>
      </c>
      <c r="AO164" s="175">
        <f t="shared" ca="1" si="56"/>
        <v>7.88436679173381E-5</v>
      </c>
      <c r="AP164" s="175">
        <f t="shared" ca="1" si="56"/>
        <v>4.0745096686675246E-3</v>
      </c>
      <c r="AQ164" s="175">
        <f t="shared" ca="1" si="56"/>
        <v>3.8538204323744917E-3</v>
      </c>
      <c r="AR164" s="175">
        <f t="shared" ca="1" si="56"/>
        <v>3.8530262665481883E-3</v>
      </c>
    </row>
    <row r="165" spans="1:46" x14ac:dyDescent="0.2">
      <c r="A165" s="247" t="str">
        <f>Деятельность_УК!A$299</f>
        <v>Обеспечение финансово-хозяйственной деятельности</v>
      </c>
      <c r="B165" s="440">
        <f ca="1">IFERROR(AVERAGEIF(Параметры!$E$46:OFFSET(Параметры!$E$46,0,Параметры!$B$24-1),"&gt;=" &amp; Деятельность_УК!$B$9,E165:OFFSET(E165,0,Параметры!$B$24-1)),0)</f>
        <v>1.9825905024301199E-3</v>
      </c>
      <c r="C165" s="12" t="s">
        <v>1</v>
      </c>
      <c r="D165" s="40"/>
      <c r="E165" s="175">
        <f ca="1">IF(E$7&gt;0,Деятельность_УК!E$304*CHOOSE(Деятельность_УК!$C$299,1,Параметры!E$109,Параметры!E$118)/Параметры!E$126/E$7,0)</f>
        <v>0</v>
      </c>
      <c r="F165" s="175">
        <f ca="1">IF(F$7&gt;0,Деятельность_УК!F$304*CHOOSE(Деятельность_УК!$C$299,1,Параметры!F$109,Параметры!F$118)/Параметры!F$126/F$7,0)</f>
        <v>0</v>
      </c>
      <c r="G165" s="175">
        <f ca="1">IF(G$7&gt;0,Деятельность_УК!G$304*CHOOSE(Деятельность_УК!$C$299,1,Параметры!G$109,Параметры!G$118)/Параметры!G$126/G$7,0)</f>
        <v>1.4957327253945591E-2</v>
      </c>
      <c r="H165" s="175">
        <f ca="1">IF(H$7&gt;0,Деятельность_УК!H$304*CHOOSE(Деятельность_УК!$C$299,1,Параметры!H$109,Параметры!H$118)/Параметры!H$126/H$7,0)</f>
        <v>1.0739820275175158E-2</v>
      </c>
      <c r="I165" s="175">
        <f ca="1">IF(I$7&gt;0,Деятельность_УК!I$304*CHOOSE(Деятельность_УК!$C$299,1,Параметры!I$109,Параметры!I$118)/Параметры!I$126/I$7,0)</f>
        <v>1.0739820275175158E-2</v>
      </c>
      <c r="J165" s="175">
        <f ca="1">IF(J$7&gt;0,Деятельность_УК!J$304*CHOOSE(Деятельность_УК!$C$299,1,Параметры!J$109,Параметры!J$118)/Параметры!J$126/J$7,0)</f>
        <v>1.0739988087481384E-2</v>
      </c>
      <c r="K165" s="175">
        <f ca="1">IF(K$7&gt;0,Деятельность_УК!K$304*CHOOSE(Деятельность_УК!$C$299,1,Параметры!K$109,Параметры!K$118)/Параметры!K$126/K$7,0)</f>
        <v>1.0740155826751932E-2</v>
      </c>
      <c r="L165" s="175">
        <f ca="1">IF(L$7&gt;0,Деятельность_УК!L$304*CHOOSE(Деятельность_УК!$C$299,1,Параметры!L$109,Параметры!L$118)/Параметры!L$126/L$7,0)</f>
        <v>1.0740323493016226E-2</v>
      </c>
      <c r="M165" s="175">
        <f ca="1">IF(M$7&gt;0,Деятельность_УК!M$304*CHOOSE(Деятельность_УК!$C$299,1,Параметры!M$109,Параметры!M$118)/Параметры!M$126/M$7,0)</f>
        <v>6.9314849186849353E-3</v>
      </c>
      <c r="N165" s="175">
        <f ca="1">IF(N$7&gt;0,Деятельность_УК!N$304*CHOOSE(Деятельность_УК!$C$299,1,Параметры!N$109,Параметры!N$118)/Параметры!N$126/N$7,0)</f>
        <v>6.8544229901372654E-3</v>
      </c>
      <c r="O165" s="175">
        <f ca="1">IF(O$7&gt;0,Деятельность_УК!O$304*CHOOSE(Деятельность_УК!$C$299,1,Параметры!O$109,Параметры!O$118)/Параметры!O$126/O$7,0)</f>
        <v>6.8541349386945808E-3</v>
      </c>
      <c r="P165" s="175">
        <f ca="1">IF(P$7&gt;0,Деятельность_УК!P$304*CHOOSE(Деятельность_УК!$C$299,1,Параметры!P$109,Параметры!P$118)/Параметры!P$126/P$7,0)</f>
        <v>6.8538465385314471E-3</v>
      </c>
      <c r="Q165" s="175">
        <f ca="1">IF(Q$7&gt;0,Деятельность_УК!Q$304*CHOOSE(Деятельность_УК!$C$299,1,Параметры!Q$109,Параметры!Q$118)/Параметры!Q$126/Q$7,0)</f>
        <v>5.8167294146151127E-3</v>
      </c>
      <c r="R165" s="175">
        <f ca="1">IF(R$7&gt;0,Деятельность_УК!R$304*CHOOSE(Деятельность_УК!$C$299,1,Параметры!R$109,Параметры!R$118)/Параметры!R$126/R$7,0)</f>
        <v>5.7863304500993234E-3</v>
      </c>
      <c r="S165" s="175">
        <f ca="1">IF(S$7&gt;0,Деятельность_УК!S$304*CHOOSE(Деятельность_УК!$C$299,1,Параметры!S$109,Параметры!S$118)/Параметры!S$126/S$7,0)</f>
        <v>5.7844525369128473E-3</v>
      </c>
      <c r="T165" s="175">
        <f ca="1">IF(T$7&gt;0,Деятельность_УК!T$304*CHOOSE(Деятельность_УК!$C$299,1,Параметры!T$109,Параметры!T$118)/Параметры!T$126/T$7,0)</f>
        <v>5.782571796963426E-3</v>
      </c>
      <c r="U165" s="175">
        <f ca="1">IF(U$7&gt;0,Деятельность_УК!U$304*CHOOSE(Деятельность_УК!$C$299,1,Параметры!U$109,Параметры!U$118)/Параметры!U$126/U$7,0)</f>
        <v>1.8905143541799866E-3</v>
      </c>
      <c r="V165" s="175">
        <f ca="1">IF(V$7&gt;0,Деятельность_УК!V$304*CHOOSE(Деятельность_УК!$C$299,1,Параметры!V$109,Параметры!V$118)/Параметры!V$126/V$7,0)</f>
        <v>1.8411509400146386E-3</v>
      </c>
      <c r="W165" s="175">
        <f ca="1">IF(W$7&gt;0,Деятельность_УК!W$304*CHOOSE(Деятельность_УК!$C$299,1,Параметры!W$109,Параметры!W$118)/Параметры!W$126/W$7,0)</f>
        <v>1.8392404812410839E-3</v>
      </c>
      <c r="X165" s="175">
        <f ca="1">IF(X$7&gt;0,Деятельность_УК!X$304*CHOOSE(Деятельность_УК!$C$299,1,Параметры!X$109,Параметры!X$118)/Параметры!X$126/X$7,0)</f>
        <v>1.8373306086741259E-3</v>
      </c>
      <c r="Y165" s="175">
        <f ca="1">IF(Y$7&gt;0,Деятельность_УК!Y$304*CHOOSE(Деятельность_УК!$C$299,1,Параметры!Y$109,Параметры!Y$118)/Параметры!Y$126/Y$7,0)</f>
        <v>1.8354213250350779E-3</v>
      </c>
      <c r="Z165" s="175">
        <f ca="1">IF(Z$7&gt;0,Деятельность_УК!Z$304*CHOOSE(Деятельность_УК!$C$299,1,Параметры!Z$109,Параметры!Z$118)/Параметры!Z$126/Z$7,0)</f>
        <v>1.8338821306453043E-3</v>
      </c>
      <c r="AA165" s="175">
        <f ca="1">IF(AA$7&gt;0,Деятельность_УК!AA$304*CHOOSE(Деятельность_УК!$C$299,1,Параметры!AA$109,Параметры!AA$118)/Параметры!AA$126/AA$7,0)</f>
        <v>1.8323433180831821E-3</v>
      </c>
      <c r="AB165" s="175">
        <f ca="1">IF(AB$7&gt;0,Деятельность_УК!AB$304*CHOOSE(Деятельность_УК!$C$299,1,Параметры!AB$109,Параметры!AB$118)/Параметры!AB$126/AB$7,0)</f>
        <v>1.8308048887749364E-3</v>
      </c>
      <c r="AC165" s="175">
        <f ca="1">IF(AC$7&gt;0,Деятельность_УК!AC$304*CHOOSE(Деятельность_УК!$C$299,1,Параметры!AC$109,Параметры!AC$118)/Параметры!AC$126/AC$7,0)</f>
        <v>1.8292668441453092E-3</v>
      </c>
      <c r="AD165" s="175">
        <f ca="1">IF(AD$7&gt;0,Деятельность_УК!AD$304*CHOOSE(Деятельность_УК!$C$299,1,Параметры!AD$109,Параметры!AD$118)/Параметры!AD$126/AD$7,0)</f>
        <v>1.8276887649169773E-3</v>
      </c>
      <c r="AE165" s="175">
        <f ca="1">IF(AE$7&gt;0,Деятельность_УК!AE$304*CHOOSE(Деятельность_УК!$C$299,1,Параметры!AE$109,Параметры!AE$118)/Параметры!AE$126/AE$7,0)</f>
        <v>1.8261110884265682E-3</v>
      </c>
      <c r="AF165" s="175">
        <f ca="1">IF(AF$7&gt;0,Деятельность_УК!AF$304*CHOOSE(Деятельность_УК!$C$299,1,Параметры!AF$109,Параметры!AF$118)/Параметры!AF$126/AF$7,0)</f>
        <v>1.8245338162160634E-3</v>
      </c>
      <c r="AG165" s="175">
        <f ca="1">IF(AG$7&gt;0,Деятельность_УК!AG$304*CHOOSE(Деятельность_УК!$C$299,1,Параметры!AG$109,Параметры!AG$118)/Параметры!AG$126/AG$7,0)</f>
        <v>1.8229569498258045E-3</v>
      </c>
      <c r="AH165" s="175">
        <f ca="1">IF(AH$7&gt;0,Деятельность_УК!AH$304*CHOOSE(Деятельность_УК!$C$299,1,Параметры!AH$109,Параметры!AH$118)/Параметры!AH$126/AH$7,0)</f>
        <v>1.8213546006560094E-3</v>
      </c>
      <c r="AI165" s="175">
        <f ca="1">IF(AI$7&gt;0,Деятельность_УК!AI$304*CHOOSE(Деятельность_УК!$C$299,1,Параметры!AI$109,Параметры!AI$118)/Параметры!AI$126/AI$7,0)</f>
        <v>1.8197526768877193E-3</v>
      </c>
      <c r="AJ165" s="175">
        <f ca="1">IF(AJ$7&gt;0,Деятельность_УК!AJ$304*CHOOSE(Деятельность_УК!$C$299,1,Параметры!AJ$109,Параметры!AJ$118)/Параметры!AJ$126/AJ$7,0)</f>
        <v>1.818151180129321E-3</v>
      </c>
      <c r="AK165" s="175">
        <f ca="1">IF(AK$7&gt;0,Деятельность_УК!AK$304*CHOOSE(Деятельность_УК!$C$299,1,Параметры!AK$109,Параметры!AK$118)/Параметры!AK$126/AK$7,0)</f>
        <v>7.3575775981117456E-4</v>
      </c>
      <c r="AL165" s="175">
        <f ca="1">IF(AL$7&gt;0,Деятельность_УК!AL$304*CHOOSE(Деятельность_УК!$C$299,1,Параметры!AL$109,Параметры!AL$118)/Параметры!AL$126/AL$7,0)</f>
        <v>1.8890539571384223E-3</v>
      </c>
      <c r="AM165" s="175">
        <f ca="1">IF(AM$7&gt;0,Деятельность_УК!AM$304*CHOOSE(Деятельность_УК!$C$299,1,Параметры!AM$109,Параметры!AM$118)/Параметры!AM$126/AM$7,0)</f>
        <v>1.8841755499273887E-3</v>
      </c>
      <c r="AN165" s="175">
        <f ca="1">IF(AN$7&gt;0,Деятельность_УК!AN$304*CHOOSE(Деятельность_УК!$C$299,1,Параметры!AN$109,Параметры!AN$118)/Параметры!AN$126/AN$7,0)</f>
        <v>1.8824807880862418E-3</v>
      </c>
      <c r="AO165" s="175">
        <f ca="1">IF(AO$7&gt;0,Деятельность_УК!AO$304*CHOOSE(Деятельность_УК!$C$299,1,Параметры!AO$109,Параметры!AO$118)/Параметры!AO$126/AO$7,0)</f>
        <v>7.88436679173381E-5</v>
      </c>
      <c r="AP165" s="175">
        <f ca="1">IF(AP$7&gt;0,Деятельность_УК!AP$304*CHOOSE(Деятельность_УК!$C$299,1,Параметры!AP$109,Параметры!AP$118)/Параметры!AP$126/AP$7,0)</f>
        <v>4.0745096686675246E-3</v>
      </c>
      <c r="AQ165" s="175">
        <f ca="1">IF(AQ$7&gt;0,Деятельность_УК!AQ$304*CHOOSE(Деятельность_УК!$C$299,1,Параметры!AQ$109,Параметры!AQ$118)/Параметры!AQ$126/AQ$7,0)</f>
        <v>3.8538204323744917E-3</v>
      </c>
      <c r="AR165" s="175">
        <f ca="1">IF(AR$7&gt;0,Деятельность_УК!AR$304*CHOOSE(Деятельность_УК!$C$299,1,Параметры!AR$109,Параметры!AR$118)/Параметры!AR$126/AR$7,0)</f>
        <v>3.8530262665481883E-3</v>
      </c>
    </row>
    <row r="166" spans="1:46" x14ac:dyDescent="0.2">
      <c r="A166" s="63" t="s">
        <v>142</v>
      </c>
      <c r="B166" s="440">
        <f ca="1">IFERROR(AVERAGEIF(Параметры!$E$46:OFFSET(Параметры!$E$46,0,Параметры!$B$24-1),"&gt;=" &amp; Деятельность_УК!$B$9,E166:OFFSET(E166,0,Параметры!$B$24-1)),0)</f>
        <v>0</v>
      </c>
      <c r="C166" s="12" t="s">
        <v>1</v>
      </c>
      <c r="D166" s="40"/>
      <c r="E166" s="175">
        <f t="shared" ref="E166:AR166" ca="1" si="57">IF(E$7&gt;0,-E19/E$7,0)</f>
        <v>0</v>
      </c>
      <c r="F166" s="175">
        <f t="shared" ca="1" si="57"/>
        <v>0</v>
      </c>
      <c r="G166" s="175">
        <f t="shared" ca="1" si="57"/>
        <v>1.0802514127849596E-2</v>
      </c>
      <c r="H166" s="175">
        <f t="shared" ca="1" si="57"/>
        <v>7.7565368654042817E-3</v>
      </c>
      <c r="I166" s="175">
        <f t="shared" ca="1" si="57"/>
        <v>7.7565368654042817E-3</v>
      </c>
      <c r="J166" s="175">
        <f t="shared" ca="1" si="57"/>
        <v>7.7566580631809991E-3</v>
      </c>
      <c r="K166" s="175">
        <f t="shared" ca="1" si="57"/>
        <v>7.7567792082097291E-3</v>
      </c>
      <c r="L166" s="175">
        <f t="shared" ca="1" si="57"/>
        <v>7.7569003005117203E-3</v>
      </c>
      <c r="M166" s="175">
        <f t="shared" ca="1" si="57"/>
        <v>5.0060724412724546E-3</v>
      </c>
      <c r="N166" s="175">
        <f t="shared" ca="1" si="57"/>
        <v>4.9504166039880263E-3</v>
      </c>
      <c r="O166" s="175">
        <f t="shared" ca="1" si="57"/>
        <v>4.9502085668349759E-3</v>
      </c>
      <c r="P166" s="175">
        <f t="shared" ca="1" si="57"/>
        <v>4.9500002778282686E-3</v>
      </c>
      <c r="Q166" s="175">
        <f t="shared" ca="1" si="57"/>
        <v>4.2009712438886926E-3</v>
      </c>
      <c r="R166" s="175">
        <f t="shared" ca="1" si="57"/>
        <v>4.1790164361828449E-3</v>
      </c>
      <c r="S166" s="175">
        <f t="shared" ca="1" si="57"/>
        <v>4.1776601655481678E-3</v>
      </c>
      <c r="T166" s="175">
        <f t="shared" ca="1" si="57"/>
        <v>4.1763018533624748E-3</v>
      </c>
      <c r="U166" s="175">
        <f t="shared" ca="1" si="57"/>
        <v>0</v>
      </c>
      <c r="V166" s="175">
        <f t="shared" ca="1" si="57"/>
        <v>0</v>
      </c>
      <c r="W166" s="175">
        <f t="shared" ca="1" si="57"/>
        <v>0</v>
      </c>
      <c r="X166" s="175">
        <f t="shared" ca="1" si="57"/>
        <v>0</v>
      </c>
      <c r="Y166" s="175">
        <f t="shared" ca="1" si="57"/>
        <v>0</v>
      </c>
      <c r="Z166" s="175">
        <f t="shared" ca="1" si="57"/>
        <v>0</v>
      </c>
      <c r="AA166" s="175">
        <f t="shared" ca="1" si="57"/>
        <v>0</v>
      </c>
      <c r="AB166" s="175">
        <f t="shared" ca="1" si="57"/>
        <v>0</v>
      </c>
      <c r="AC166" s="175">
        <f t="shared" ca="1" si="57"/>
        <v>0</v>
      </c>
      <c r="AD166" s="175">
        <f t="shared" ca="1" si="57"/>
        <v>0</v>
      </c>
      <c r="AE166" s="175">
        <f t="shared" ca="1" si="57"/>
        <v>0</v>
      </c>
      <c r="AF166" s="175">
        <f t="shared" ca="1" si="57"/>
        <v>0</v>
      </c>
      <c r="AG166" s="175">
        <f t="shared" ca="1" si="57"/>
        <v>0</v>
      </c>
      <c r="AH166" s="175">
        <f t="shared" ca="1" si="57"/>
        <v>0</v>
      </c>
      <c r="AI166" s="175">
        <f t="shared" ca="1" si="57"/>
        <v>0</v>
      </c>
      <c r="AJ166" s="175">
        <f t="shared" ca="1" si="57"/>
        <v>0</v>
      </c>
      <c r="AK166" s="175">
        <f t="shared" ca="1" si="57"/>
        <v>0</v>
      </c>
      <c r="AL166" s="175">
        <f t="shared" ca="1" si="57"/>
        <v>0</v>
      </c>
      <c r="AM166" s="175">
        <f t="shared" ca="1" si="57"/>
        <v>0</v>
      </c>
      <c r="AN166" s="175">
        <f t="shared" ca="1" si="57"/>
        <v>0</v>
      </c>
      <c r="AO166" s="175">
        <f t="shared" ca="1" si="57"/>
        <v>0</v>
      </c>
      <c r="AP166" s="175">
        <f t="shared" ca="1" si="57"/>
        <v>0</v>
      </c>
      <c r="AQ166" s="175">
        <f t="shared" ca="1" si="57"/>
        <v>0</v>
      </c>
      <c r="AR166" s="175">
        <f t="shared" ca="1" si="57"/>
        <v>0</v>
      </c>
    </row>
    <row r="167" spans="1:46" x14ac:dyDescent="0.2">
      <c r="A167" s="247" t="str">
        <f>Деятельность_УК!A$287</f>
        <v>Мероприятия по привлечению резидентов и маркетинговому продвижению парка до 100% заполнения площадей</v>
      </c>
      <c r="B167" s="440">
        <f ca="1">IFERROR(AVERAGEIF(Параметры!$E$46:OFFSET(Параметры!$E$46,0,Параметры!$B$24-1),"&gt;=" &amp; Деятельность_УК!$B$9,E167:OFFSET(E167,0,Параметры!$B$24-1)),0)</f>
        <v>0</v>
      </c>
      <c r="C167" s="12" t="s">
        <v>1</v>
      </c>
      <c r="D167" s="40"/>
      <c r="E167" s="175">
        <f ca="1">IF(E$7&gt;0,Деятельность_УК!E$292*CHOOSE(Деятельность_УК!$C$287,1,Параметры!E$109,Параметры!E$118)/Параметры!E$126/E$7,0)</f>
        <v>0</v>
      </c>
      <c r="F167" s="175">
        <f ca="1">IF(F$7&gt;0,Деятельность_УК!F$292*CHOOSE(Деятельность_УК!$C$287,1,Параметры!F$109,Параметры!F$118)/Параметры!F$126/F$7,0)</f>
        <v>0</v>
      </c>
      <c r="G167" s="175">
        <f ca="1">IF(G$7&gt;0,Деятельность_УК!G$292*CHOOSE(Деятельность_УК!$C$287,1,Параметры!G$109,Параметры!G$118)/Параметры!G$126/G$7,0)</f>
        <v>1.0802514127849596E-2</v>
      </c>
      <c r="H167" s="175">
        <f ca="1">IF(H$7&gt;0,Деятельность_УК!H$292*CHOOSE(Деятельность_УК!$C$287,1,Параметры!H$109,Параметры!H$118)/Параметры!H$126/H$7,0)</f>
        <v>7.7565368654042817E-3</v>
      </c>
      <c r="I167" s="175">
        <f ca="1">IF(I$7&gt;0,Деятельность_УК!I$292*CHOOSE(Деятельность_УК!$C$287,1,Параметры!I$109,Параметры!I$118)/Параметры!I$126/I$7,0)</f>
        <v>7.7565368654042817E-3</v>
      </c>
      <c r="J167" s="175">
        <f ca="1">IF(J$7&gt;0,Деятельность_УК!J$292*CHOOSE(Деятельность_УК!$C$287,1,Параметры!J$109,Параметры!J$118)/Параметры!J$126/J$7,0)</f>
        <v>7.7566580631809991E-3</v>
      </c>
      <c r="K167" s="175">
        <f ca="1">IF(K$7&gt;0,Деятельность_УК!K$292*CHOOSE(Деятельность_УК!$C$287,1,Параметры!K$109,Параметры!K$118)/Параметры!K$126/K$7,0)</f>
        <v>7.7567792082097291E-3</v>
      </c>
      <c r="L167" s="175">
        <f ca="1">IF(L$7&gt;0,Деятельность_УК!L$292*CHOOSE(Деятельность_УК!$C$287,1,Параметры!L$109,Параметры!L$118)/Параметры!L$126/L$7,0)</f>
        <v>7.7569003005117203E-3</v>
      </c>
      <c r="M167" s="175">
        <f ca="1">IF(M$7&gt;0,Деятельность_УК!M$292*CHOOSE(Деятельность_УК!$C$287,1,Параметры!M$109,Параметры!M$118)/Параметры!M$126/M$7,0)</f>
        <v>5.0060724412724546E-3</v>
      </c>
      <c r="N167" s="175">
        <f ca="1">IF(N$7&gt;0,Деятельность_УК!N$292*CHOOSE(Деятельность_УК!$C$287,1,Параметры!N$109,Параметры!N$118)/Параметры!N$126/N$7,0)</f>
        <v>4.9504166039880263E-3</v>
      </c>
      <c r="O167" s="175">
        <f ca="1">IF(O$7&gt;0,Деятельность_УК!O$292*CHOOSE(Деятельность_УК!$C$287,1,Параметры!O$109,Параметры!O$118)/Параметры!O$126/O$7,0)</f>
        <v>4.9502085668349759E-3</v>
      </c>
      <c r="P167" s="175">
        <f ca="1">IF(P$7&gt;0,Деятельность_УК!P$292*CHOOSE(Деятельность_УК!$C$287,1,Параметры!P$109,Параметры!P$118)/Параметры!P$126/P$7,0)</f>
        <v>4.9500002778282686E-3</v>
      </c>
      <c r="Q167" s="175">
        <f ca="1">IF(Q$7&gt;0,Деятельность_УК!Q$292*CHOOSE(Деятельность_УК!$C$287,1,Параметры!Q$109,Параметры!Q$118)/Параметры!Q$126/Q$7,0)</f>
        <v>4.2009712438886926E-3</v>
      </c>
      <c r="R167" s="175">
        <f ca="1">IF(R$7&gt;0,Деятельность_УК!R$292*CHOOSE(Деятельность_УК!$C$287,1,Параметры!R$109,Параметры!R$118)/Параметры!R$126/R$7,0)</f>
        <v>4.1790164361828449E-3</v>
      </c>
      <c r="S167" s="175">
        <f ca="1">IF(S$7&gt;0,Деятельность_УК!S$292*CHOOSE(Деятельность_УК!$C$287,1,Параметры!S$109,Параметры!S$118)/Параметры!S$126/S$7,0)</f>
        <v>4.1776601655481678E-3</v>
      </c>
      <c r="T167" s="175">
        <f ca="1">IF(T$7&gt;0,Деятельность_УК!T$292*CHOOSE(Деятельность_УК!$C$287,1,Параметры!T$109,Параметры!T$118)/Параметры!T$126/T$7,0)</f>
        <v>4.1763018533624748E-3</v>
      </c>
      <c r="U167" s="175">
        <f ca="1">IF(U$7&gt;0,Деятельность_УК!U$292*CHOOSE(Деятельность_УК!$C$287,1,Параметры!U$109,Параметры!U$118)/Параметры!U$126/U$7,0)</f>
        <v>0</v>
      </c>
      <c r="V167" s="175">
        <f ca="1">IF(V$7&gt;0,Деятельность_УК!V$292*CHOOSE(Деятельность_УК!$C$287,1,Параметры!V$109,Параметры!V$118)/Параметры!V$126/V$7,0)</f>
        <v>0</v>
      </c>
      <c r="W167" s="175">
        <f ca="1">IF(W$7&gt;0,Деятельность_УК!W$292*CHOOSE(Деятельность_УК!$C$287,1,Параметры!W$109,Параметры!W$118)/Параметры!W$126/W$7,0)</f>
        <v>0</v>
      </c>
      <c r="X167" s="175">
        <f ca="1">IF(X$7&gt;0,Деятельность_УК!X$292*CHOOSE(Деятельность_УК!$C$287,1,Параметры!X$109,Параметры!X$118)/Параметры!X$126/X$7,0)</f>
        <v>0</v>
      </c>
      <c r="Y167" s="175">
        <f ca="1">IF(Y$7&gt;0,Деятельность_УК!Y$292*CHOOSE(Деятельность_УК!$C$287,1,Параметры!Y$109,Параметры!Y$118)/Параметры!Y$126/Y$7,0)</f>
        <v>0</v>
      </c>
      <c r="Z167" s="175">
        <f ca="1">IF(Z$7&gt;0,Деятельность_УК!Z$292*CHOOSE(Деятельность_УК!$C$287,1,Параметры!Z$109,Параметры!Z$118)/Параметры!Z$126/Z$7,0)</f>
        <v>0</v>
      </c>
      <c r="AA167" s="175">
        <f ca="1">IF(AA$7&gt;0,Деятельность_УК!AA$292*CHOOSE(Деятельность_УК!$C$287,1,Параметры!AA$109,Параметры!AA$118)/Параметры!AA$126/AA$7,0)</f>
        <v>0</v>
      </c>
      <c r="AB167" s="175">
        <f ca="1">IF(AB$7&gt;0,Деятельность_УК!AB$292*CHOOSE(Деятельность_УК!$C$287,1,Параметры!AB$109,Параметры!AB$118)/Параметры!AB$126/AB$7,0)</f>
        <v>0</v>
      </c>
      <c r="AC167" s="175">
        <f ca="1">IF(AC$7&gt;0,Деятельность_УК!AC$292*CHOOSE(Деятельность_УК!$C$287,1,Параметры!AC$109,Параметры!AC$118)/Параметры!AC$126/AC$7,0)</f>
        <v>0</v>
      </c>
      <c r="AD167" s="175">
        <f ca="1">IF(AD$7&gt;0,Деятельность_УК!AD$292*CHOOSE(Деятельность_УК!$C$287,1,Параметры!AD$109,Параметры!AD$118)/Параметры!AD$126/AD$7,0)</f>
        <v>0</v>
      </c>
      <c r="AE167" s="175">
        <f ca="1">IF(AE$7&gt;0,Деятельность_УК!AE$292*CHOOSE(Деятельность_УК!$C$287,1,Параметры!AE$109,Параметры!AE$118)/Параметры!AE$126/AE$7,0)</f>
        <v>0</v>
      </c>
      <c r="AF167" s="175">
        <f ca="1">IF(AF$7&gt;0,Деятельность_УК!AF$292*CHOOSE(Деятельность_УК!$C$287,1,Параметры!AF$109,Параметры!AF$118)/Параметры!AF$126/AF$7,0)</f>
        <v>0</v>
      </c>
      <c r="AG167" s="175">
        <f ca="1">IF(AG$7&gt;0,Деятельность_УК!AG$292*CHOOSE(Деятельность_УК!$C$287,1,Параметры!AG$109,Параметры!AG$118)/Параметры!AG$126/AG$7,0)</f>
        <v>0</v>
      </c>
      <c r="AH167" s="175">
        <f ca="1">IF(AH$7&gt;0,Деятельность_УК!AH$292*CHOOSE(Деятельность_УК!$C$287,1,Параметры!AH$109,Параметры!AH$118)/Параметры!AH$126/AH$7,0)</f>
        <v>0</v>
      </c>
      <c r="AI167" s="175">
        <f ca="1">IF(AI$7&gt;0,Деятельность_УК!AI$292*CHOOSE(Деятельность_УК!$C$287,1,Параметры!AI$109,Параметры!AI$118)/Параметры!AI$126/AI$7,0)</f>
        <v>0</v>
      </c>
      <c r="AJ167" s="175">
        <f ca="1">IF(AJ$7&gt;0,Деятельность_УК!AJ$292*CHOOSE(Деятельность_УК!$C$287,1,Параметры!AJ$109,Параметры!AJ$118)/Параметры!AJ$126/AJ$7,0)</f>
        <v>0</v>
      </c>
      <c r="AK167" s="175">
        <f ca="1">IF(AK$7&gt;0,Деятельность_УК!AK$292*CHOOSE(Деятельность_УК!$C$287,1,Параметры!AK$109,Параметры!AK$118)/Параметры!AK$126/AK$7,0)</f>
        <v>0</v>
      </c>
      <c r="AL167" s="175">
        <f ca="1">IF(AL$7&gt;0,Деятельность_УК!AL$292*CHOOSE(Деятельность_УК!$C$287,1,Параметры!AL$109,Параметры!AL$118)/Параметры!AL$126/AL$7,0)</f>
        <v>0</v>
      </c>
      <c r="AM167" s="175">
        <f ca="1">IF(AM$7&gt;0,Деятельность_УК!AM$292*CHOOSE(Деятельность_УК!$C$287,1,Параметры!AM$109,Параметры!AM$118)/Параметры!AM$126/AM$7,0)</f>
        <v>0</v>
      </c>
      <c r="AN167" s="175">
        <f ca="1">IF(AN$7&gt;0,Деятельность_УК!AN$292*CHOOSE(Деятельность_УК!$C$287,1,Параметры!AN$109,Параметры!AN$118)/Параметры!AN$126/AN$7,0)</f>
        <v>0</v>
      </c>
      <c r="AO167" s="175">
        <f ca="1">IF(AO$7&gt;0,Деятельность_УК!AO$292*CHOOSE(Деятельность_УК!$C$287,1,Параметры!AO$109,Параметры!AO$118)/Параметры!AO$126/AO$7,0)</f>
        <v>0</v>
      </c>
      <c r="AP167" s="175">
        <f ca="1">IF(AP$7&gt;0,Деятельность_УК!AP$292*CHOOSE(Деятельность_УК!$C$287,1,Параметры!AP$109,Параметры!AP$118)/Параметры!AP$126/AP$7,0)</f>
        <v>0</v>
      </c>
      <c r="AQ167" s="175">
        <f ca="1">IF(AQ$7&gt;0,Деятельность_УК!AQ$292*CHOOSE(Деятельность_УК!$C$287,1,Параметры!AQ$109,Параметры!AQ$118)/Параметры!AQ$126/AQ$7,0)</f>
        <v>0</v>
      </c>
      <c r="AR167" s="175">
        <f ca="1">IF(AR$7&gt;0,Деятельность_УК!AR$292*CHOOSE(Деятельность_УК!$C$287,1,Параметры!AR$109,Параметры!AR$118)/Параметры!AR$126/AR$7,0)</f>
        <v>0</v>
      </c>
    </row>
    <row r="168" spans="1:46" x14ac:dyDescent="0.2">
      <c r="A168" s="63" t="s">
        <v>77</v>
      </c>
      <c r="B168" s="440">
        <f ca="1">IFERROR(AVERAGEIF(Параметры!$E$46:OFFSET(Параметры!$E$46,0,Параметры!$B$24-1),"&gt;=" &amp; Деятельность_УК!$B$9,E168:OFFSET(E168,0,Параметры!$B$24-1)),0)</f>
        <v>1.7037366542494038E-2</v>
      </c>
      <c r="C168" s="12" t="s">
        <v>1</v>
      </c>
      <c r="D168" s="40"/>
      <c r="E168" s="175">
        <f t="shared" ref="E168:AR168" ca="1" si="58">IF(E$7&gt;0,-E12/E$7,0)</f>
        <v>0</v>
      </c>
      <c r="F168" s="175">
        <f t="shared" ca="1" si="58"/>
        <v>0</v>
      </c>
      <c r="G168" s="175">
        <f t="shared" ca="1" si="58"/>
        <v>0</v>
      </c>
      <c r="H168" s="175">
        <f t="shared" ca="1" si="58"/>
        <v>0</v>
      </c>
      <c r="I168" s="175">
        <f t="shared" ca="1" si="58"/>
        <v>0</v>
      </c>
      <c r="J168" s="175">
        <f t="shared" ca="1" si="58"/>
        <v>0</v>
      </c>
      <c r="K168" s="175">
        <f t="shared" ca="1" si="58"/>
        <v>5.2815482603715935E-2</v>
      </c>
      <c r="L168" s="175">
        <f t="shared" ca="1" si="58"/>
        <v>5.3137401009080834E-2</v>
      </c>
      <c r="M168" s="175">
        <f t="shared" ca="1" si="58"/>
        <v>3.4501780342637872E-2</v>
      </c>
      <c r="N168" s="175">
        <f t="shared" ca="1" si="58"/>
        <v>3.4355318316572028E-2</v>
      </c>
      <c r="O168" s="175">
        <f t="shared" ca="1" si="58"/>
        <v>3.4592629679797558E-2</v>
      </c>
      <c r="P168" s="175">
        <f t="shared" ca="1" si="58"/>
        <v>5.2247367677040378E-2</v>
      </c>
      <c r="Q168" s="175">
        <f t="shared" ca="1" si="58"/>
        <v>4.4649515670766846E-2</v>
      </c>
      <c r="R168" s="175">
        <f t="shared" ca="1" si="58"/>
        <v>4.4717145233079889E-2</v>
      </c>
      <c r="S168" s="175">
        <f t="shared" ca="1" si="58"/>
        <v>4.5005547302195102E-2</v>
      </c>
      <c r="T168" s="175">
        <f t="shared" ca="1" si="58"/>
        <v>4.5295782496483597E-2</v>
      </c>
      <c r="U168" s="175">
        <f t="shared" ca="1" si="58"/>
        <v>1.4909039297502777E-2</v>
      </c>
      <c r="V168" s="175">
        <f t="shared" ca="1" si="58"/>
        <v>1.4622344039571354E-2</v>
      </c>
      <c r="W168" s="175">
        <f t="shared" ca="1" si="58"/>
        <v>1.4710385183392488E-2</v>
      </c>
      <c r="X168" s="175">
        <f t="shared" ca="1" si="58"/>
        <v>1.4798945177433609E-2</v>
      </c>
      <c r="Y168" s="175">
        <f t="shared" ca="1" si="58"/>
        <v>1.4888027013778359E-2</v>
      </c>
      <c r="Z168" s="175">
        <f t="shared" ca="1" si="58"/>
        <v>1.4977473028586923E-2</v>
      </c>
      <c r="AA168" s="175">
        <f t="shared" ca="1" si="58"/>
        <v>1.5067448953199723E-2</v>
      </c>
      <c r="AB168" s="175">
        <f t="shared" ca="1" si="58"/>
        <v>1.5157957883297411E-2</v>
      </c>
      <c r="AC168" s="175">
        <f t="shared" ca="1" si="58"/>
        <v>1.5249002932401225E-2</v>
      </c>
      <c r="AD168" s="175">
        <f t="shared" ca="1" si="58"/>
        <v>1.5337959124180974E-2</v>
      </c>
      <c r="AE168" s="175">
        <f t="shared" ca="1" si="58"/>
        <v>1.5427426149645644E-2</v>
      </c>
      <c r="AF168" s="175">
        <f t="shared" ca="1" si="58"/>
        <v>1.5517406896292829E-2</v>
      </c>
      <c r="AG168" s="175">
        <f t="shared" ca="1" si="58"/>
        <v>1.5607904267693637E-2</v>
      </c>
      <c r="AH168" s="175">
        <f t="shared" ca="1" si="58"/>
        <v>1.5698128951219841E-2</v>
      </c>
      <c r="AI168" s="175">
        <f t="shared" ca="1" si="58"/>
        <v>1.5788866667782873E-2</v>
      </c>
      <c r="AJ168" s="175">
        <f t="shared" ca="1" si="58"/>
        <v>1.588012028668543E-2</v>
      </c>
      <c r="AK168" s="175">
        <f t="shared" ca="1" si="58"/>
        <v>6.4690998118990591E-3</v>
      </c>
      <c r="AL168" s="175">
        <f t="shared" ca="1" si="58"/>
        <v>1.6718314874520138E-2</v>
      </c>
      <c r="AM168" s="175">
        <f t="shared" ca="1" si="58"/>
        <v>1.678450888805684E-2</v>
      </c>
      <c r="AN168" s="175">
        <f t="shared" ca="1" si="58"/>
        <v>1.6879398408302122E-2</v>
      </c>
      <c r="AO168" s="175">
        <f t="shared" ca="1" si="58"/>
        <v>7.1159414877594324E-4</v>
      </c>
      <c r="AP168" s="175">
        <f t="shared" ca="1" si="58"/>
        <v>3.701113215727711E-2</v>
      </c>
      <c r="AQ168" s="175">
        <f t="shared" ca="1" si="58"/>
        <v>3.5232216148646141E-2</v>
      </c>
      <c r="AR168" s="175">
        <f t="shared" ca="1" si="58"/>
        <v>3.5452096729714611E-2</v>
      </c>
    </row>
    <row r="169" spans="1:46" x14ac:dyDescent="0.2">
      <c r="A169" s="63" t="s">
        <v>174</v>
      </c>
      <c r="B169" s="440">
        <f ca="1">IFERROR(AVERAGEIF(Параметры!$E$46:OFFSET(Параметры!$E$46,0,Параметры!$B$24-1),"&gt;=" &amp; Деятельность_УК!$B$9,E169:OFFSET(E169,0,Параметры!$B$24-1)),0)</f>
        <v>2.96727905233788E-2</v>
      </c>
      <c r="C169" s="12" t="s">
        <v>1</v>
      </c>
      <c r="D169" s="40"/>
      <c r="E169" s="175">
        <f t="shared" ref="E169:AR169" ca="1" si="59">IF(E$7&gt;0,-E17/E$7,0)</f>
        <v>0</v>
      </c>
      <c r="F169" s="175">
        <f t="shared" ca="1" si="59"/>
        <v>0</v>
      </c>
      <c r="G169" s="175">
        <f t="shared" ca="1" si="59"/>
        <v>5.4239946317502813E-2</v>
      </c>
      <c r="H169" s="175">
        <f t="shared" ca="1" si="59"/>
        <v>8.4382885266807178E-2</v>
      </c>
      <c r="I169" s="175">
        <f t="shared" ca="1" si="59"/>
        <v>8.4382885266807178E-2</v>
      </c>
      <c r="J169" s="175">
        <f t="shared" ca="1" si="59"/>
        <v>8.4897212992025614E-2</v>
      </c>
      <c r="K169" s="175">
        <f t="shared" ca="1" si="59"/>
        <v>0.13797755196929093</v>
      </c>
      <c r="L169" s="175">
        <f t="shared" ca="1" si="59"/>
        <v>0.13881854614971675</v>
      </c>
      <c r="M169" s="175">
        <f t="shared" ca="1" si="59"/>
        <v>9.0134009112025848E-2</v>
      </c>
      <c r="N169" s="175">
        <f t="shared" ca="1" si="59"/>
        <v>8.9751385100717368E-2</v>
      </c>
      <c r="O169" s="175">
        <f t="shared" ca="1" si="59"/>
        <v>9.0371348023295162E-2</v>
      </c>
      <c r="P169" s="175">
        <f t="shared" ca="1" si="59"/>
        <v>9.0995588585360374E-2</v>
      </c>
      <c r="Q169" s="175">
        <f t="shared" ca="1" si="59"/>
        <v>7.7762940778700856E-2</v>
      </c>
      <c r="R169" s="175">
        <f t="shared" ca="1" si="59"/>
        <v>7.788072646058411E-2</v>
      </c>
      <c r="S169" s="175">
        <f t="shared" ca="1" si="59"/>
        <v>7.8383016187228233E-2</v>
      </c>
      <c r="T169" s="175">
        <f t="shared" ca="1" si="59"/>
        <v>7.8888498539864974E-2</v>
      </c>
      <c r="U169" s="175">
        <f t="shared" ca="1" si="59"/>
        <v>2.5966031714832277E-2</v>
      </c>
      <c r="V169" s="175">
        <f t="shared" ca="1" si="59"/>
        <v>2.5466714621933718E-2</v>
      </c>
      <c r="W169" s="175">
        <f t="shared" ca="1" si="59"/>
        <v>2.5620049728713713E-2</v>
      </c>
      <c r="X169" s="175">
        <f t="shared" ca="1" si="59"/>
        <v>2.577428848065812E-2</v>
      </c>
      <c r="Y169" s="175">
        <f t="shared" ca="1" si="59"/>
        <v>2.5929436088869919E-2</v>
      </c>
      <c r="Z169" s="175">
        <f t="shared" ca="1" si="59"/>
        <v>2.6085217961258816E-2</v>
      </c>
      <c r="AA169" s="175">
        <f t="shared" ca="1" si="59"/>
        <v>2.6241922740517041E-2</v>
      </c>
      <c r="AB169" s="175">
        <f t="shared" ca="1" si="59"/>
        <v>2.6399555818175213E-2</v>
      </c>
      <c r="AC169" s="175">
        <f t="shared" ca="1" si="59"/>
        <v>2.655812261683568E-2</v>
      </c>
      <c r="AD169" s="175">
        <f t="shared" ca="1" si="59"/>
        <v>2.6713051398690221E-2</v>
      </c>
      <c r="AE169" s="175">
        <f t="shared" ca="1" si="59"/>
        <v>2.6868869863870375E-2</v>
      </c>
      <c r="AF169" s="175">
        <f t="shared" ca="1" si="59"/>
        <v>2.7025583041328852E-2</v>
      </c>
      <c r="AG169" s="175">
        <f t="shared" ca="1" si="59"/>
        <v>2.7183195988012551E-2</v>
      </c>
      <c r="AH169" s="175">
        <f t="shared" ca="1" si="59"/>
        <v>2.7340334013283868E-2</v>
      </c>
      <c r="AI169" s="175">
        <f t="shared" ca="1" si="59"/>
        <v>2.7498365552338287E-2</v>
      </c>
      <c r="AJ169" s="175">
        <f t="shared" ca="1" si="59"/>
        <v>2.7657295602439763E-2</v>
      </c>
      <c r="AK169" s="175">
        <f t="shared" ca="1" si="59"/>
        <v>1.1266779000999889E-2</v>
      </c>
      <c r="AL169" s="175">
        <f t="shared" ca="1" si="59"/>
        <v>2.9117120532578779E-2</v>
      </c>
      <c r="AM169" s="175">
        <f t="shared" ca="1" si="59"/>
        <v>2.9232406019492337E-2</v>
      </c>
      <c r="AN169" s="175">
        <f t="shared" ca="1" si="59"/>
        <v>2.9397668464840286E-2</v>
      </c>
      <c r="AO169" s="175">
        <f t="shared" ca="1" si="59"/>
        <v>1.2393337938481461E-3</v>
      </c>
      <c r="AP169" s="175">
        <f t="shared" ca="1" si="59"/>
        <v>6.4459702078770179E-2</v>
      </c>
      <c r="AQ169" s="175">
        <f t="shared" ca="1" si="59"/>
        <v>6.1361488399376912E-2</v>
      </c>
      <c r="AR169" s="175">
        <f t="shared" ca="1" si="59"/>
        <v>6.1744439039426287E-2</v>
      </c>
    </row>
    <row r="170" spans="1:46" x14ac:dyDescent="0.2">
      <c r="A170" s="63" t="s">
        <v>145</v>
      </c>
      <c r="B170" s="440">
        <f ca="1">IFERROR(AVERAGEIF(Параметры!$E$46:OFFSET(Параметры!$E$46,0,Параметры!$B$24-1),"&gt;=" &amp; Деятельность_УК!$B$9,E170:OFFSET(E170,0,Параметры!$B$24-1)),0)</f>
        <v>0.25180496582698647</v>
      </c>
      <c r="C170" s="12" t="s">
        <v>1</v>
      </c>
      <c r="D170" s="40"/>
      <c r="E170" s="175">
        <f t="shared" ref="E170:AR170" ca="1" si="60">IF(E$7&gt;0,-E24/E$7,0)</f>
        <v>0</v>
      </c>
      <c r="F170" s="175">
        <f t="shared" ca="1" si="60"/>
        <v>0</v>
      </c>
      <c r="G170" s="175">
        <f t="shared" ca="1" si="60"/>
        <v>0.47918913967859278</v>
      </c>
      <c r="H170" s="175">
        <f t="shared" ca="1" si="60"/>
        <v>0.3440725171408095</v>
      </c>
      <c r="I170" s="175">
        <f t="shared" ca="1" si="60"/>
        <v>0.3440725171408095</v>
      </c>
      <c r="J170" s="175">
        <f t="shared" ca="1" si="60"/>
        <v>0.34071145125250912</v>
      </c>
      <c r="K170" s="175">
        <f t="shared" ca="1" si="60"/>
        <v>0.33738321549623163</v>
      </c>
      <c r="L170" s="175">
        <f t="shared" ca="1" si="60"/>
        <v>0.42044116093665074</v>
      </c>
      <c r="M170" s="175">
        <f t="shared" ca="1" si="60"/>
        <v>0.37080139195181844</v>
      </c>
      <c r="N170" s="175">
        <f t="shared" ca="1" si="60"/>
        <v>0.36310540920575723</v>
      </c>
      <c r="O170" s="175">
        <f t="shared" ca="1" si="60"/>
        <v>0.35955158825388539</v>
      </c>
      <c r="P170" s="175">
        <f t="shared" ca="1" si="60"/>
        <v>0.42257075661732268</v>
      </c>
      <c r="Q170" s="175">
        <f t="shared" ca="1" si="60"/>
        <v>0.40644764790085425</v>
      </c>
      <c r="R170" s="175">
        <f t="shared" ca="1" si="60"/>
        <v>0.40039773091079894</v>
      </c>
      <c r="S170" s="175">
        <f t="shared" ca="1" si="60"/>
        <v>0.3963813933969495</v>
      </c>
      <c r="T170" s="175">
        <f t="shared" ca="1" si="60"/>
        <v>0.39240511005963413</v>
      </c>
      <c r="U170" s="175">
        <f t="shared" ca="1" si="60"/>
        <v>0.31985911130385797</v>
      </c>
      <c r="V170" s="175">
        <f t="shared" ca="1" si="60"/>
        <v>0.30847596108982661</v>
      </c>
      <c r="W170" s="175">
        <f t="shared" ca="1" si="60"/>
        <v>0.30515720889461323</v>
      </c>
      <c r="X170" s="175">
        <f t="shared" ca="1" si="60"/>
        <v>0.30187393224990255</v>
      </c>
      <c r="Y170" s="175">
        <f t="shared" ca="1" si="60"/>
        <v>0.29862575449655859</v>
      </c>
      <c r="Z170" s="175">
        <f t="shared" ca="1" si="60"/>
        <v>0.29546968067728563</v>
      </c>
      <c r="AA170" s="175">
        <f t="shared" ca="1" si="60"/>
        <v>0.29234681730545015</v>
      </c>
      <c r="AB170" s="175">
        <f t="shared" ca="1" si="60"/>
        <v>0.28925681649157237</v>
      </c>
      <c r="AC170" s="175">
        <f t="shared" ca="1" si="60"/>
        <v>0.28619933397353364</v>
      </c>
      <c r="AD170" s="175">
        <f t="shared" ca="1" si="60"/>
        <v>0.28317117043536316</v>
      </c>
      <c r="AE170" s="175">
        <f t="shared" ca="1" si="60"/>
        <v>0.28017489963241426</v>
      </c>
      <c r="AF170" s="175">
        <f t="shared" ca="1" si="60"/>
        <v>0.27721018726829832</v>
      </c>
      <c r="AG170" s="175">
        <f t="shared" ca="1" si="60"/>
        <v>0.27427670253352082</v>
      </c>
      <c r="AH170" s="175">
        <f t="shared" ca="1" si="60"/>
        <v>0.27137809013481023</v>
      </c>
      <c r="AI170" s="175">
        <f t="shared" ca="1" si="60"/>
        <v>0.26850996581586323</v>
      </c>
      <c r="AJ170" s="175">
        <f t="shared" ca="1" si="60"/>
        <v>0.26567201047538125</v>
      </c>
      <c r="AK170" s="175">
        <f t="shared" ca="1" si="60"/>
        <v>0.10112889496633239</v>
      </c>
      <c r="AL170" s="175">
        <f t="shared" ca="1" si="60"/>
        <v>0.25713729600064406</v>
      </c>
      <c r="AM170" s="175">
        <f t="shared" ca="1" si="60"/>
        <v>0.25399336559702551</v>
      </c>
      <c r="AN170" s="175">
        <f t="shared" ca="1" si="60"/>
        <v>0.25131120978893656</v>
      </c>
      <c r="AO170" s="175">
        <f t="shared" ca="1" si="60"/>
        <v>3.8085103894834314E-3</v>
      </c>
      <c r="AP170" s="175">
        <f t="shared" ca="1" si="60"/>
        <v>0.19491817282644153</v>
      </c>
      <c r="AQ170" s="175">
        <f t="shared" ca="1" si="60"/>
        <v>0.1825816418860205</v>
      </c>
      <c r="AR170" s="175">
        <f t="shared" ca="1" si="60"/>
        <v>0.18078244561453852</v>
      </c>
    </row>
    <row r="171" spans="1:46" x14ac:dyDescent="0.2">
      <c r="A171" s="63" t="s">
        <v>144</v>
      </c>
      <c r="B171" s="440">
        <f ca="1">IFERROR(AVERAGEIF(Параметры!$E$46:OFFSET(Параметры!$E$46,0,Параметры!$B$24-1),"&gt;=" &amp; Деятельность_УК!$B$9,E171:OFFSET(E171,0,Параметры!$B$24-1)),0)</f>
        <v>0</v>
      </c>
      <c r="C171" s="12" t="s">
        <v>1</v>
      </c>
      <c r="D171" s="40"/>
      <c r="E171" s="175">
        <f t="shared" ref="E171:AR171" ca="1" si="61">IF(E$7&gt;0,-E23/E$7,0)</f>
        <v>0</v>
      </c>
      <c r="F171" s="175">
        <f t="shared" ca="1" si="61"/>
        <v>0</v>
      </c>
      <c r="G171" s="175">
        <f t="shared" ca="1" si="61"/>
        <v>0</v>
      </c>
      <c r="H171" s="175">
        <f t="shared" ca="1" si="61"/>
        <v>0</v>
      </c>
      <c r="I171" s="175">
        <f t="shared" ca="1" si="61"/>
        <v>0</v>
      </c>
      <c r="J171" s="175">
        <f t="shared" ca="1" si="61"/>
        <v>0</v>
      </c>
      <c r="K171" s="175">
        <f t="shared" ca="1" si="61"/>
        <v>0</v>
      </c>
      <c r="L171" s="175">
        <f t="shared" ca="1" si="61"/>
        <v>0</v>
      </c>
      <c r="M171" s="175">
        <f t="shared" ca="1" si="61"/>
        <v>0</v>
      </c>
      <c r="N171" s="175">
        <f t="shared" ca="1" si="61"/>
        <v>0</v>
      </c>
      <c r="O171" s="175">
        <f t="shared" ca="1" si="61"/>
        <v>0</v>
      </c>
      <c r="P171" s="175">
        <f t="shared" ca="1" si="61"/>
        <v>0</v>
      </c>
      <c r="Q171" s="175">
        <f t="shared" ca="1" si="61"/>
        <v>0</v>
      </c>
      <c r="R171" s="175">
        <f t="shared" ca="1" si="61"/>
        <v>0</v>
      </c>
      <c r="S171" s="175">
        <f t="shared" ca="1" si="61"/>
        <v>0</v>
      </c>
      <c r="T171" s="175">
        <f t="shared" ca="1" si="61"/>
        <v>0</v>
      </c>
      <c r="U171" s="175">
        <f t="shared" ca="1" si="61"/>
        <v>0</v>
      </c>
      <c r="V171" s="175">
        <f t="shared" ca="1" si="61"/>
        <v>0</v>
      </c>
      <c r="W171" s="175">
        <f t="shared" ca="1" si="61"/>
        <v>0</v>
      </c>
      <c r="X171" s="175">
        <f t="shared" ca="1" si="61"/>
        <v>0</v>
      </c>
      <c r="Y171" s="175">
        <f t="shared" ca="1" si="61"/>
        <v>0</v>
      </c>
      <c r="Z171" s="175">
        <f t="shared" ca="1" si="61"/>
        <v>0</v>
      </c>
      <c r="AA171" s="175">
        <f t="shared" ca="1" si="61"/>
        <v>0</v>
      </c>
      <c r="AB171" s="175">
        <f t="shared" ca="1" si="61"/>
        <v>0</v>
      </c>
      <c r="AC171" s="175">
        <f t="shared" ca="1" si="61"/>
        <v>0</v>
      </c>
      <c r="AD171" s="175">
        <f t="shared" ca="1" si="61"/>
        <v>0</v>
      </c>
      <c r="AE171" s="175">
        <f t="shared" ca="1" si="61"/>
        <v>0</v>
      </c>
      <c r="AF171" s="175">
        <f t="shared" ca="1" si="61"/>
        <v>0</v>
      </c>
      <c r="AG171" s="175">
        <f t="shared" ca="1" si="61"/>
        <v>0</v>
      </c>
      <c r="AH171" s="175">
        <f t="shared" ca="1" si="61"/>
        <v>0</v>
      </c>
      <c r="AI171" s="175">
        <f t="shared" ca="1" si="61"/>
        <v>0</v>
      </c>
      <c r="AJ171" s="175">
        <f t="shared" ca="1" si="61"/>
        <v>0</v>
      </c>
      <c r="AK171" s="175">
        <f t="shared" ca="1" si="61"/>
        <v>0</v>
      </c>
      <c r="AL171" s="175">
        <f t="shared" ca="1" si="61"/>
        <v>0</v>
      </c>
      <c r="AM171" s="175">
        <f t="shared" ca="1" si="61"/>
        <v>0</v>
      </c>
      <c r="AN171" s="175">
        <f t="shared" ca="1" si="61"/>
        <v>0</v>
      </c>
      <c r="AO171" s="175">
        <f t="shared" ca="1" si="61"/>
        <v>0</v>
      </c>
      <c r="AP171" s="175">
        <f t="shared" ca="1" si="61"/>
        <v>0</v>
      </c>
      <c r="AQ171" s="175">
        <f t="shared" ca="1" si="61"/>
        <v>0</v>
      </c>
      <c r="AR171" s="175">
        <f t="shared" ca="1" si="61"/>
        <v>0</v>
      </c>
    </row>
    <row r="172" spans="1:46" ht="11.25" customHeight="1" x14ac:dyDescent="0.2">
      <c r="A172" s="63" t="s">
        <v>160</v>
      </c>
      <c r="B172" s="440">
        <f ca="1">IFERROR(AVERAGEIF(Параметры!$E$46:OFFSET(Параметры!$E$46,0,Параметры!$B$24-1),"&gt;=" &amp; Деятельность_УК!$B$9,E172:OFFSET(E172,0,Параметры!$B$24-1)),0)</f>
        <v>0.15428858566371115</v>
      </c>
      <c r="C172" s="12" t="s">
        <v>1</v>
      </c>
      <c r="D172" s="40"/>
      <c r="E172" s="175">
        <f t="shared" ref="E172:AR172" ca="1" si="62">IF(E$7&gt;0,-E27/E$7,0)</f>
        <v>0</v>
      </c>
      <c r="F172" s="175">
        <f t="shared" ca="1" si="62"/>
        <v>0</v>
      </c>
      <c r="G172" s="175">
        <f t="shared" ca="1" si="62"/>
        <v>0.99128182281781851</v>
      </c>
      <c r="H172" s="175">
        <f t="shared" ca="1" si="62"/>
        <v>0.73765681621785573</v>
      </c>
      <c r="I172" s="175">
        <f t="shared" ca="1" si="62"/>
        <v>0.76347101359272118</v>
      </c>
      <c r="J172" s="175">
        <f t="shared" ca="1" si="62"/>
        <v>0.82391486482812037</v>
      </c>
      <c r="K172" s="175">
        <f t="shared" ca="1" si="62"/>
        <v>0.90920663043206362</v>
      </c>
      <c r="L172" s="175">
        <f t="shared" ca="1" si="62"/>
        <v>0.93920831074688094</v>
      </c>
      <c r="M172" s="175">
        <f t="shared" ca="1" si="62"/>
        <v>0.65840940562222861</v>
      </c>
      <c r="N172" s="175">
        <f t="shared" ca="1" si="62"/>
        <v>0.77597447682040666</v>
      </c>
      <c r="O172" s="175">
        <f t="shared" ca="1" si="62"/>
        <v>0.96428485075728498</v>
      </c>
      <c r="P172" s="175">
        <f t="shared" ca="1" si="62"/>
        <v>1.0565419697585543</v>
      </c>
      <c r="Q172" s="175">
        <f t="shared" ca="1" si="62"/>
        <v>0.93107123465198705</v>
      </c>
      <c r="R172" s="175">
        <f t="shared" ca="1" si="62"/>
        <v>1.0686799908770133</v>
      </c>
      <c r="S172" s="175">
        <f t="shared" ca="1" si="62"/>
        <v>1.2255520941813227</v>
      </c>
      <c r="T172" s="175">
        <f t="shared" ca="1" si="62"/>
        <v>1.2713213705795192</v>
      </c>
      <c r="U172" s="175">
        <f t="shared" ca="1" si="62"/>
        <v>0.39462933470096956</v>
      </c>
      <c r="V172" s="175">
        <f t="shared" ca="1" si="62"/>
        <v>0.36385788116566664</v>
      </c>
      <c r="W172" s="175">
        <f t="shared" ca="1" si="62"/>
        <v>0.34303267980326374</v>
      </c>
      <c r="X172" s="175">
        <f t="shared" ca="1" si="62"/>
        <v>0.32224601681723369</v>
      </c>
      <c r="Y172" s="175">
        <f t="shared" ca="1" si="62"/>
        <v>0.30149547489702644</v>
      </c>
      <c r="Z172" s="175">
        <f t="shared" ca="1" si="62"/>
        <v>0.28083317572472311</v>
      </c>
      <c r="AA172" s="175">
        <f t="shared" ca="1" si="62"/>
        <v>0.26019421616551114</v>
      </c>
      <c r="AB172" s="175">
        <f t="shared" ca="1" si="62"/>
        <v>0.23957618691726024</v>
      </c>
      <c r="AC172" s="175">
        <f t="shared" ca="1" si="62"/>
        <v>0.21702997644431285</v>
      </c>
      <c r="AD172" s="175">
        <f t="shared" ca="1" si="62"/>
        <v>0.19662145519111254</v>
      </c>
      <c r="AE172" s="175">
        <f t="shared" ca="1" si="62"/>
        <v>0.17622700559724594</v>
      </c>
      <c r="AF172" s="175">
        <f t="shared" ca="1" si="62"/>
        <v>0.1558442432465918</v>
      </c>
      <c r="AG172" s="175">
        <f t="shared" ca="1" si="62"/>
        <v>0.12410489884127074</v>
      </c>
      <c r="AH172" s="175">
        <f t="shared" ca="1" si="62"/>
        <v>0.10536147151765803</v>
      </c>
      <c r="AI172" s="175">
        <f t="shared" ca="1" si="62"/>
        <v>8.6622403976643586E-2</v>
      </c>
      <c r="AJ172" s="175">
        <f t="shared" ca="1" si="62"/>
        <v>6.7885508929924315E-2</v>
      </c>
      <c r="AK172" s="175">
        <f t="shared" ca="1" si="62"/>
        <v>1.9906669305427418E-2</v>
      </c>
      <c r="AL172" s="175">
        <f t="shared" ca="1" si="62"/>
        <v>3.1652015455780003E-2</v>
      </c>
      <c r="AM172" s="175">
        <f t="shared" ca="1" si="62"/>
        <v>1.5805441231445637E-2</v>
      </c>
      <c r="AN172" s="175">
        <f t="shared" ca="1" si="62"/>
        <v>2.427923444632135E-18</v>
      </c>
      <c r="AO172" s="175">
        <f t="shared" ca="1" si="62"/>
        <v>1.0070512095233677E-19</v>
      </c>
      <c r="AP172" s="175">
        <f t="shared" ca="1" si="62"/>
        <v>5.1540513646748121E-18</v>
      </c>
      <c r="AQ172" s="175">
        <f t="shared" ca="1" si="62"/>
        <v>4.8278472288221449E-18</v>
      </c>
      <c r="AR172" s="175">
        <f t="shared" ca="1" si="62"/>
        <v>4.7802726498904701E-18</v>
      </c>
    </row>
    <row r="173" spans="1:46" ht="11.25" customHeight="1" x14ac:dyDescent="0.2">
      <c r="A173" s="63" t="s">
        <v>148</v>
      </c>
      <c r="B173" s="440">
        <f ca="1">IFERROR(AVERAGEIF(Параметры!$E$46:OFFSET(Параметры!$E$46,0,Параметры!$B$24-1),"&gt;=" &amp; Деятельность_УК!$B$9,E173:OFFSET(E173,0,Параметры!$B$24-1)),0)</f>
        <v>0</v>
      </c>
      <c r="C173" s="12" t="s">
        <v>1</v>
      </c>
      <c r="D173" s="40"/>
      <c r="E173" s="175">
        <f t="shared" ref="E173:AR173" ca="1" si="63">IF(E$7&gt;0,-E33/E$7,0)</f>
        <v>0</v>
      </c>
      <c r="F173" s="175">
        <f t="shared" ca="1" si="63"/>
        <v>0</v>
      </c>
      <c r="G173" s="175">
        <f t="shared" ca="1" si="63"/>
        <v>0</v>
      </c>
      <c r="H173" s="175">
        <f t="shared" ca="1" si="63"/>
        <v>0</v>
      </c>
      <c r="I173" s="175">
        <f t="shared" ca="1" si="63"/>
        <v>0</v>
      </c>
      <c r="J173" s="175">
        <f t="shared" ca="1" si="63"/>
        <v>0</v>
      </c>
      <c r="K173" s="175">
        <f t="shared" ca="1" si="63"/>
        <v>0</v>
      </c>
      <c r="L173" s="175">
        <f t="shared" ca="1" si="63"/>
        <v>0</v>
      </c>
      <c r="M173" s="175">
        <f t="shared" ca="1" si="63"/>
        <v>0</v>
      </c>
      <c r="N173" s="175">
        <f t="shared" ca="1" si="63"/>
        <v>0</v>
      </c>
      <c r="O173" s="175">
        <f t="shared" ca="1" si="63"/>
        <v>0</v>
      </c>
      <c r="P173" s="175">
        <f t="shared" ca="1" si="63"/>
        <v>0</v>
      </c>
      <c r="Q173" s="175">
        <f t="shared" ca="1" si="63"/>
        <v>0</v>
      </c>
      <c r="R173" s="175">
        <f t="shared" ca="1" si="63"/>
        <v>0</v>
      </c>
      <c r="S173" s="175">
        <f t="shared" ca="1" si="63"/>
        <v>0</v>
      </c>
      <c r="T173" s="175">
        <f t="shared" ca="1" si="63"/>
        <v>0</v>
      </c>
      <c r="U173" s="175">
        <f t="shared" ca="1" si="63"/>
        <v>0</v>
      </c>
      <c r="V173" s="175">
        <f t="shared" ca="1" si="63"/>
        <v>0</v>
      </c>
      <c r="W173" s="175">
        <f t="shared" ca="1" si="63"/>
        <v>0</v>
      </c>
      <c r="X173" s="175">
        <f t="shared" ca="1" si="63"/>
        <v>0</v>
      </c>
      <c r="Y173" s="175">
        <f t="shared" ca="1" si="63"/>
        <v>0</v>
      </c>
      <c r="Z173" s="175">
        <f t="shared" ca="1" si="63"/>
        <v>0</v>
      </c>
      <c r="AA173" s="175">
        <f t="shared" ca="1" si="63"/>
        <v>0</v>
      </c>
      <c r="AB173" s="175">
        <f t="shared" ca="1" si="63"/>
        <v>0</v>
      </c>
      <c r="AC173" s="175">
        <f t="shared" ca="1" si="63"/>
        <v>0</v>
      </c>
      <c r="AD173" s="175">
        <f t="shared" ca="1" si="63"/>
        <v>0</v>
      </c>
      <c r="AE173" s="175">
        <f t="shared" ca="1" si="63"/>
        <v>0</v>
      </c>
      <c r="AF173" s="175">
        <f t="shared" ca="1" si="63"/>
        <v>0</v>
      </c>
      <c r="AG173" s="175">
        <f t="shared" ca="1" si="63"/>
        <v>0</v>
      </c>
      <c r="AH173" s="175">
        <f t="shared" ca="1" si="63"/>
        <v>0</v>
      </c>
      <c r="AI173" s="175">
        <f t="shared" ca="1" si="63"/>
        <v>0</v>
      </c>
      <c r="AJ173" s="175">
        <f t="shared" ca="1" si="63"/>
        <v>0</v>
      </c>
      <c r="AK173" s="175">
        <f t="shared" ca="1" si="63"/>
        <v>0</v>
      </c>
      <c r="AL173" s="175">
        <f t="shared" ca="1" si="63"/>
        <v>0</v>
      </c>
      <c r="AM173" s="175">
        <f t="shared" ca="1" si="63"/>
        <v>0</v>
      </c>
      <c r="AN173" s="175">
        <f t="shared" ca="1" si="63"/>
        <v>0</v>
      </c>
      <c r="AO173" s="175">
        <f t="shared" ca="1" si="63"/>
        <v>0</v>
      </c>
      <c r="AP173" s="175">
        <f t="shared" ca="1" si="63"/>
        <v>0</v>
      </c>
      <c r="AQ173" s="175">
        <f t="shared" ca="1" si="63"/>
        <v>0</v>
      </c>
      <c r="AR173" s="175">
        <f t="shared" ca="1" si="63"/>
        <v>0</v>
      </c>
    </row>
    <row r="174" spans="1:46" ht="11.25" customHeight="1" x14ac:dyDescent="0.2">
      <c r="A174" s="63" t="s">
        <v>35</v>
      </c>
      <c r="B174" s="440">
        <f ca="1">IFERROR(AVERAGEIF(Параметры!$E$46:OFFSET(Параметры!$E$46,0,Параметры!$B$24-1),"&gt;=" &amp; Деятельность_УК!$B$9,E174:OFFSET(E174,0,Параметры!$B$24-1)),0)</f>
        <v>9.7779797972090174E-2</v>
      </c>
      <c r="C174" s="12" t="s">
        <v>1</v>
      </c>
      <c r="D174" s="40"/>
      <c r="E174" s="175">
        <f t="shared" ref="E174:AR174" ca="1" si="64">IF(E$7&gt;0,-(E20+E35)/E$7,0)</f>
        <v>0</v>
      </c>
      <c r="F174" s="175">
        <f t="shared" ca="1" si="64"/>
        <v>0</v>
      </c>
      <c r="G174" s="175">
        <f t="shared" ca="1" si="64"/>
        <v>0.15638120786363183</v>
      </c>
      <c r="H174" s="175">
        <f t="shared" ca="1" si="64"/>
        <v>0.18609006429803382</v>
      </c>
      <c r="I174" s="175">
        <f t="shared" ca="1" si="64"/>
        <v>3.7536755022489335E-2</v>
      </c>
      <c r="J174" s="175">
        <f t="shared" ca="1" si="64"/>
        <v>3.7170077939669775E-2</v>
      </c>
      <c r="K174" s="175">
        <f t="shared" ca="1" si="64"/>
        <v>3.6806982475729097E-2</v>
      </c>
      <c r="L174" s="175">
        <f t="shared" ca="1" si="64"/>
        <v>3.6447433648868224E-2</v>
      </c>
      <c r="M174" s="175">
        <f t="shared" ca="1" si="64"/>
        <v>2.3291949198086286E-2</v>
      </c>
      <c r="N174" s="175">
        <f t="shared" ca="1" si="64"/>
        <v>2.2808524801519032E-2</v>
      </c>
      <c r="O174" s="175">
        <f t="shared" ca="1" si="64"/>
        <v>2.2585290965652389E-2</v>
      </c>
      <c r="P174" s="175">
        <f t="shared" ca="1" si="64"/>
        <v>2.2364240808545387E-2</v>
      </c>
      <c r="Q174" s="175">
        <f t="shared" ca="1" si="64"/>
        <v>1.8795132401879026E-2</v>
      </c>
      <c r="R174" s="175">
        <f t="shared" ca="1" si="64"/>
        <v>1.8515369457165899E-2</v>
      </c>
      <c r="S174" s="175">
        <f t="shared" ca="1" si="64"/>
        <v>1.8329644196524587E-2</v>
      </c>
      <c r="T174" s="175">
        <f t="shared" ca="1" si="64"/>
        <v>1.8145771138879396E-2</v>
      </c>
      <c r="U174" s="175">
        <f t="shared" ca="1" si="64"/>
        <v>5.8748529034544188E-3</v>
      </c>
      <c r="V174" s="175">
        <f t="shared" ca="1" si="64"/>
        <v>5.6657785619021123E-3</v>
      </c>
      <c r="W174" s="175">
        <f t="shared" ca="1" si="64"/>
        <v>5.6048230340435571E-3</v>
      </c>
      <c r="X174" s="175">
        <f t="shared" ca="1" si="64"/>
        <v>5.544519085688311E-3</v>
      </c>
      <c r="Y174" s="175">
        <f t="shared" ca="1" si="64"/>
        <v>5.4848597987373114E-3</v>
      </c>
      <c r="Z174" s="175">
        <f t="shared" ca="1" si="64"/>
        <v>5.4268921849179308E-3</v>
      </c>
      <c r="AA174" s="175">
        <f t="shared" ca="1" si="64"/>
        <v>5.3695345474495688E-3</v>
      </c>
      <c r="AB174" s="175">
        <f t="shared" ca="1" si="64"/>
        <v>5.3127804966454908E-3</v>
      </c>
      <c r="AC174" s="175">
        <f t="shared" ca="1" si="64"/>
        <v>3.8243239396049719E-2</v>
      </c>
      <c r="AD174" s="175">
        <f t="shared" ca="1" si="64"/>
        <v>6.4409517197586127E-2</v>
      </c>
      <c r="AE174" s="175">
        <f t="shared" ca="1" si="64"/>
        <v>6.796273150641309E-2</v>
      </c>
      <c r="AF174" s="175">
        <f t="shared" ca="1" si="64"/>
        <v>7.1509511092621436E-2</v>
      </c>
      <c r="AG174" s="175">
        <f t="shared" ca="1" si="64"/>
        <v>0.17444353194874737</v>
      </c>
      <c r="AH174" s="175">
        <f t="shared" ca="1" si="64"/>
        <v>0.17669019186017099</v>
      </c>
      <c r="AI174" s="175">
        <f t="shared" ca="1" si="64"/>
        <v>0.17896382038241834</v>
      </c>
      <c r="AJ174" s="175">
        <f t="shared" ca="1" si="64"/>
        <v>0.18126442494069747</v>
      </c>
      <c r="AK174" s="175">
        <f t="shared" ca="1" si="64"/>
        <v>0.12938145132049381</v>
      </c>
      <c r="AL174" s="175">
        <f t="shared" ca="1" si="64"/>
        <v>0.18509488398607193</v>
      </c>
      <c r="AM174" s="175">
        <f t="shared" ca="1" si="64"/>
        <v>0.18692682355515994</v>
      </c>
      <c r="AN174" s="175">
        <f t="shared" ca="1" si="64"/>
        <v>0.18876148872314058</v>
      </c>
      <c r="AO174" s="175">
        <f t="shared" ca="1" si="64"/>
        <v>0.1298118468240376</v>
      </c>
      <c r="AP174" s="175">
        <f t="shared" ca="1" si="64"/>
        <v>0.1765820967211906</v>
      </c>
      <c r="AQ174" s="175">
        <f t="shared" ca="1" si="64"/>
        <v>0.17673817579672232</v>
      </c>
      <c r="AR174" s="175">
        <f t="shared" ca="1" si="64"/>
        <v>0.17564737546580389</v>
      </c>
    </row>
    <row r="175" spans="1:46" s="60" customFormat="1" ht="11.25" customHeight="1" x14ac:dyDescent="0.2">
      <c r="A175" s="52" t="s">
        <v>414</v>
      </c>
      <c r="B175" s="440">
        <f ca="1">IFERROR(AVERAGEIF(Параметры!$E$46:OFFSET(Параметры!$E$46,0,Параметры!$B$24-1),"&gt;=" &amp; Деятельность_УК!$B$9,E175:OFFSET(E175,0,Параметры!$B$24-1)),0)</f>
        <v>0.6384876017726101</v>
      </c>
      <c r="C175" s="34" t="s">
        <v>1</v>
      </c>
      <c r="D175" s="169"/>
      <c r="E175" s="176">
        <f ca="1">SUM(E157,E158,E164,E166,E168,E169,E170,E171,E172,E173,E174)</f>
        <v>0</v>
      </c>
      <c r="F175" s="176">
        <f t="shared" ref="F175:AR175" ca="1" si="65">SUM(F157,F158,F164,F166,F168,F169,F170,F171,F172,F173,F174)</f>
        <v>0</v>
      </c>
      <c r="G175" s="176">
        <f t="shared" ca="1" si="65"/>
        <v>1.8790850992217702</v>
      </c>
      <c r="H175" s="176">
        <f t="shared" ca="1" si="65"/>
        <v>1.494367324322192</v>
      </c>
      <c r="I175" s="176">
        <f t="shared" ca="1" si="65"/>
        <v>1.3716282124215129</v>
      </c>
      <c r="J175" s="176">
        <f t="shared" ca="1" si="65"/>
        <v>1.4288650072199436</v>
      </c>
      <c r="K175" s="176">
        <f t="shared" ca="1" si="65"/>
        <v>1.6163676214789935</v>
      </c>
      <c r="L175" s="176">
        <f t="shared" ca="1" si="65"/>
        <v>1.7346839053262948</v>
      </c>
      <c r="M175" s="176">
        <f t="shared" ca="1" si="65"/>
        <v>1.2992864154933645</v>
      </c>
      <c r="N175" s="176">
        <f t="shared" ca="1" si="65"/>
        <v>1.4067906249670035</v>
      </c>
      <c r="O175" s="176">
        <f t="shared" ca="1" si="65"/>
        <v>1.5921817731734222</v>
      </c>
      <c r="P175" s="176">
        <f t="shared" ca="1" si="65"/>
        <v>1.7690800737390739</v>
      </c>
      <c r="Q175" s="176">
        <f t="shared" ca="1" si="65"/>
        <v>1.5963676881576174</v>
      </c>
      <c r="R175" s="176">
        <f t="shared" ca="1" si="65"/>
        <v>1.7272171129421043</v>
      </c>
      <c r="S175" s="176">
        <f t="shared" ca="1" si="65"/>
        <v>1.8806396064982729</v>
      </c>
      <c r="T175" s="176">
        <f t="shared" ca="1" si="65"/>
        <v>1.9230061482982843</v>
      </c>
      <c r="U175" s="176">
        <f t="shared" ca="1" si="65"/>
        <v>0.85530565307353246</v>
      </c>
      <c r="V175" s="176">
        <f t="shared" ca="1" si="65"/>
        <v>0.80970574950040497</v>
      </c>
      <c r="W175" s="176">
        <f t="shared" ca="1" si="65"/>
        <v>0.78565313276051141</v>
      </c>
      <c r="X175" s="176">
        <f t="shared" ca="1" si="65"/>
        <v>0.76167662161135652</v>
      </c>
      <c r="Y175" s="176">
        <f t="shared" ca="1" si="65"/>
        <v>0.73777342350699271</v>
      </c>
      <c r="Z175" s="176">
        <f t="shared" ca="1" si="65"/>
        <v>0.71406569545463738</v>
      </c>
      <c r="AA175" s="176">
        <f t="shared" ca="1" si="65"/>
        <v>0.69041659927943222</v>
      </c>
      <c r="AB175" s="176">
        <f t="shared" ca="1" si="65"/>
        <v>0.66682337995825636</v>
      </c>
      <c r="AC175" s="176">
        <f t="shared" ca="1" si="65"/>
        <v>0.67432319966389298</v>
      </c>
      <c r="AD175" s="176">
        <f t="shared" ca="1" si="65"/>
        <v>0.67721811323431313</v>
      </c>
      <c r="AE175" s="176">
        <f t="shared" ca="1" si="65"/>
        <v>0.65754734831051298</v>
      </c>
      <c r="AF175" s="176">
        <f t="shared" ca="1" si="65"/>
        <v>0.63791482294324497</v>
      </c>
      <c r="AG175" s="176">
        <f t="shared" ca="1" si="65"/>
        <v>0.7063456210548289</v>
      </c>
      <c r="AH175" s="176">
        <f t="shared" ca="1" si="65"/>
        <v>0.68711784310581814</v>
      </c>
      <c r="AI175" s="176">
        <f t="shared" ca="1" si="65"/>
        <v>0.66795330937088027</v>
      </c>
      <c r="AJ175" s="176">
        <f t="shared" ca="1" si="65"/>
        <v>0.64884952883222535</v>
      </c>
      <c r="AK175" s="176">
        <f t="shared" ca="1" si="65"/>
        <v>0.30374600394977924</v>
      </c>
      <c r="AL175" s="176">
        <f t="shared" ca="1" si="65"/>
        <v>0.61110473450545155</v>
      </c>
      <c r="AM175" s="176">
        <f t="shared" ca="1" si="65"/>
        <v>0.59389164336259803</v>
      </c>
      <c r="AN175" s="176">
        <f t="shared" ca="1" si="65"/>
        <v>0.57741687030157518</v>
      </c>
      <c r="AO175" s="176">
        <f t="shared" ca="1" si="65"/>
        <v>0.13783664917718494</v>
      </c>
      <c r="AP175" s="176">
        <f t="shared" ca="1" si="65"/>
        <v>0.59004125183504652</v>
      </c>
      <c r="AQ175" s="176">
        <f t="shared" ca="1" si="65"/>
        <v>0.56664266203078351</v>
      </c>
      <c r="AR175" s="176">
        <f t="shared" ca="1" si="65"/>
        <v>0.56433258571938516</v>
      </c>
    </row>
    <row r="176" spans="1:46" ht="11.25" customHeight="1" x14ac:dyDescent="0.2">
      <c r="A176" s="49"/>
      <c r="B176" s="2"/>
      <c r="C176" s="36"/>
      <c r="D176" s="65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41"/>
      <c r="AT176" s="41"/>
    </row>
    <row r="177" spans="1:46" customFormat="1" ht="11.25" customHeight="1" x14ac:dyDescent="0.2">
      <c r="A177" s="49" t="s">
        <v>361</v>
      </c>
      <c r="B177" s="440">
        <f ca="1">IFERROR(AVERAGEIF(Параметры!$E$46:OFFSET(Параметры!$E$46,0,Параметры!$B$24-1),"&gt;=" &amp; Деятельность_УК!$B$9,E177:OFFSET(E177,0,Параметры!$B$24-1)),0)</f>
        <v>0.12320712298459867</v>
      </c>
      <c r="C177" s="36" t="s">
        <v>1</v>
      </c>
      <c r="D177" s="65"/>
      <c r="E177" s="210">
        <f t="shared" ref="E177:AR177" ca="1" si="66">IF(E34&gt;0,-E35/E34,0)</f>
        <v>0</v>
      </c>
      <c r="F177" s="210">
        <f t="shared" ca="1" si="66"/>
        <v>0</v>
      </c>
      <c r="G177" s="210">
        <f t="shared" ca="1" si="66"/>
        <v>0</v>
      </c>
      <c r="H177" s="210">
        <f t="shared" ca="1" si="66"/>
        <v>0</v>
      </c>
      <c r="I177" s="210">
        <f t="shared" ca="1" si="66"/>
        <v>0</v>
      </c>
      <c r="J177" s="210">
        <f t="shared" ca="1" si="66"/>
        <v>0</v>
      </c>
      <c r="K177" s="210">
        <f t="shared" ca="1" si="66"/>
        <v>0</v>
      </c>
      <c r="L177" s="210">
        <f t="shared" ca="1" si="66"/>
        <v>0</v>
      </c>
      <c r="M177" s="210">
        <f t="shared" ca="1" si="66"/>
        <v>0</v>
      </c>
      <c r="N177" s="210">
        <f t="shared" ca="1" si="66"/>
        <v>0</v>
      </c>
      <c r="O177" s="210">
        <f t="shared" ca="1" si="66"/>
        <v>0</v>
      </c>
      <c r="P177" s="210">
        <f t="shared" ca="1" si="66"/>
        <v>0</v>
      </c>
      <c r="Q177" s="210">
        <f t="shared" ca="1" si="66"/>
        <v>0</v>
      </c>
      <c r="R177" s="210">
        <f t="shared" ca="1" si="66"/>
        <v>0</v>
      </c>
      <c r="S177" s="210">
        <f t="shared" ca="1" si="66"/>
        <v>0</v>
      </c>
      <c r="T177" s="210">
        <f t="shared" ca="1" si="66"/>
        <v>0</v>
      </c>
      <c r="U177" s="210">
        <f t="shared" ca="1" si="66"/>
        <v>0</v>
      </c>
      <c r="V177" s="210">
        <f t="shared" ca="1" si="66"/>
        <v>0</v>
      </c>
      <c r="W177" s="210">
        <f t="shared" ca="1" si="66"/>
        <v>0</v>
      </c>
      <c r="X177" s="210">
        <f t="shared" ca="1" si="66"/>
        <v>0</v>
      </c>
      <c r="Y177" s="210">
        <f t="shared" ca="1" si="66"/>
        <v>0</v>
      </c>
      <c r="Z177" s="210">
        <f t="shared" ca="1" si="66"/>
        <v>0</v>
      </c>
      <c r="AA177" s="210">
        <f t="shared" ca="1" si="66"/>
        <v>0</v>
      </c>
      <c r="AB177" s="210">
        <f t="shared" ca="1" si="66"/>
        <v>0</v>
      </c>
      <c r="AC177" s="210">
        <f t="shared" ca="1" si="66"/>
        <v>9.1970951630367323E-2</v>
      </c>
      <c r="AD177" s="210">
        <f t="shared" ca="1" si="66"/>
        <v>0.155</v>
      </c>
      <c r="AE177" s="210">
        <f t="shared" ca="1" si="66"/>
        <v>0.155</v>
      </c>
      <c r="AF177" s="210">
        <f t="shared" ca="1" si="66"/>
        <v>0.155</v>
      </c>
      <c r="AG177" s="210">
        <f t="shared" ca="1" si="66"/>
        <v>0.19999999999999998</v>
      </c>
      <c r="AH177" s="210">
        <f t="shared" ca="1" si="66"/>
        <v>0.2</v>
      </c>
      <c r="AI177" s="210">
        <f t="shared" ca="1" si="66"/>
        <v>0.19999999999999998</v>
      </c>
      <c r="AJ177" s="210">
        <f t="shared" ca="1" si="66"/>
        <v>0.19999999999999998</v>
      </c>
      <c r="AK177" s="210">
        <f t="shared" ca="1" si="66"/>
        <v>0.19999999999999998</v>
      </c>
      <c r="AL177" s="210">
        <f t="shared" ca="1" si="66"/>
        <v>0.19999999999999998</v>
      </c>
      <c r="AM177" s="210">
        <f t="shared" ca="1" si="66"/>
        <v>0.19999999999999998</v>
      </c>
      <c r="AN177" s="210">
        <f t="shared" ca="1" si="66"/>
        <v>0.19999999999999998</v>
      </c>
      <c r="AO177" s="210">
        <f t="shared" ca="1" si="66"/>
        <v>0.19999999999999998</v>
      </c>
      <c r="AP177" s="210">
        <f t="shared" ca="1" si="66"/>
        <v>0.19999999999999998</v>
      </c>
      <c r="AQ177" s="210">
        <f t="shared" ca="1" si="66"/>
        <v>0.19999999999999998</v>
      </c>
      <c r="AR177" s="210">
        <f t="shared" ca="1" si="66"/>
        <v>0.19999999999999998</v>
      </c>
      <c r="AS177" s="209"/>
      <c r="AT177" s="209"/>
    </row>
    <row r="178" spans="1:46" customFormat="1" ht="11.25" customHeight="1" x14ac:dyDescent="0.2">
      <c r="A178" s="49" t="s">
        <v>362</v>
      </c>
      <c r="B178" s="440">
        <f ca="1">IF(B10+B17+B18+B19+B23+B24&lt;0,(B13+B12+B17+B18+B19+B23+B24)/(B10+B17+B18+B19+B23+B24),0)</f>
        <v>0.47787576663957082</v>
      </c>
      <c r="C178" s="36" t="s">
        <v>1</v>
      </c>
      <c r="D178" s="65"/>
      <c r="E178" s="210">
        <f t="shared" ref="E178:AR178" ca="1" si="67">IF(E10+E17+E18+E19+E23+E24&lt;0,(E13+E12+E17+E18+E19+E23+E24)/(E10+E17+E18+E19+E23+E24),0)</f>
        <v>1</v>
      </c>
      <c r="F178" s="210">
        <f t="shared" ca="1" si="67"/>
        <v>1</v>
      </c>
      <c r="G178" s="210">
        <f t="shared" ca="1" si="67"/>
        <v>1</v>
      </c>
      <c r="H178" s="210">
        <f t="shared" ca="1" si="67"/>
        <v>1</v>
      </c>
      <c r="I178" s="210">
        <f t="shared" ca="1" si="67"/>
        <v>1</v>
      </c>
      <c r="J178" s="210">
        <f t="shared" ca="1" si="67"/>
        <v>1</v>
      </c>
      <c r="K178" s="210">
        <f t="shared" ca="1" si="67"/>
        <v>1</v>
      </c>
      <c r="L178" s="210">
        <f t="shared" ca="1" si="67"/>
        <v>1</v>
      </c>
      <c r="M178" s="210">
        <f t="shared" ca="1" si="67"/>
        <v>1</v>
      </c>
      <c r="N178" s="210">
        <f t="shared" ca="1" si="67"/>
        <v>1</v>
      </c>
      <c r="O178" s="210">
        <f t="shared" ca="1" si="67"/>
        <v>1</v>
      </c>
      <c r="P178" s="210">
        <f t="shared" ca="1" si="67"/>
        <v>1</v>
      </c>
      <c r="Q178" s="210">
        <f t="shared" ca="1" si="67"/>
        <v>1</v>
      </c>
      <c r="R178" s="210">
        <f t="shared" ca="1" si="67"/>
        <v>1</v>
      </c>
      <c r="S178" s="210">
        <f t="shared" ca="1" si="67"/>
        <v>1</v>
      </c>
      <c r="T178" s="210">
        <f t="shared" ca="1" si="67"/>
        <v>1</v>
      </c>
      <c r="U178" s="210">
        <f t="shared" ca="1" si="67"/>
        <v>1</v>
      </c>
      <c r="V178" s="210">
        <f t="shared" ca="1" si="67"/>
        <v>1</v>
      </c>
      <c r="W178" s="210">
        <f t="shared" ca="1" si="67"/>
        <v>1</v>
      </c>
      <c r="X178" s="210">
        <f t="shared" ca="1" si="67"/>
        <v>1</v>
      </c>
      <c r="Y178" s="210">
        <f t="shared" ca="1" si="67"/>
        <v>1</v>
      </c>
      <c r="Z178" s="210">
        <f t="shared" ca="1" si="67"/>
        <v>1</v>
      </c>
      <c r="AA178" s="210">
        <f t="shared" ca="1" si="67"/>
        <v>1</v>
      </c>
      <c r="AB178" s="210">
        <f t="shared" ca="1" si="67"/>
        <v>1</v>
      </c>
      <c r="AC178" s="210">
        <f t="shared" ca="1" si="67"/>
        <v>1</v>
      </c>
      <c r="AD178" s="210">
        <f t="shared" ca="1" si="67"/>
        <v>1</v>
      </c>
      <c r="AE178" s="210">
        <f t="shared" ca="1" si="67"/>
        <v>1</v>
      </c>
      <c r="AF178" s="210">
        <f t="shared" ca="1" si="67"/>
        <v>1</v>
      </c>
      <c r="AG178" s="210">
        <f t="shared" ca="1" si="67"/>
        <v>1</v>
      </c>
      <c r="AH178" s="210">
        <f t="shared" ca="1" si="67"/>
        <v>1</v>
      </c>
      <c r="AI178" s="210">
        <f t="shared" ca="1" si="67"/>
        <v>1</v>
      </c>
      <c r="AJ178" s="210">
        <f t="shared" ca="1" si="67"/>
        <v>1</v>
      </c>
      <c r="AK178" s="210">
        <f t="shared" ca="1" si="67"/>
        <v>0.32367847848889358</v>
      </c>
      <c r="AL178" s="210">
        <f t="shared" ca="1" si="67"/>
        <v>1</v>
      </c>
      <c r="AM178" s="210">
        <f t="shared" ca="1" si="67"/>
        <v>1</v>
      </c>
      <c r="AN178" s="210">
        <f t="shared" ca="1" si="67"/>
        <v>1</v>
      </c>
      <c r="AO178" s="210">
        <f t="shared" ca="1" si="67"/>
        <v>2.2248185158037701E-2</v>
      </c>
      <c r="AP178" s="210">
        <f t="shared" ca="1" si="67"/>
        <v>1</v>
      </c>
      <c r="AQ178" s="210">
        <f t="shared" ca="1" si="67"/>
        <v>1</v>
      </c>
      <c r="AR178" s="210">
        <f t="shared" ca="1" si="67"/>
        <v>1</v>
      </c>
      <c r="AS178" s="209"/>
      <c r="AT178" s="209"/>
    </row>
    <row r="179" spans="1:46" customFormat="1" ht="11.25" customHeight="1" x14ac:dyDescent="0.2">
      <c r="A179" s="49" t="s">
        <v>525</v>
      </c>
      <c r="B179" s="23">
        <f ca="1">IF((B10+B17+B18+B19+B23+B24+B20)*(1-B178)=0,0,-B7*B178*(B10+B17+B18+B19+B23+B24+B20)/(B7+(B10+B17+B18+B19+B23+B24+B20)*(1-B178)))</f>
        <v>512948.45355894382</v>
      </c>
      <c r="C179" s="36" t="str">
        <f>Параметры!$C$126</f>
        <v>тыс. руб.</v>
      </c>
      <c r="D179" s="65"/>
      <c r="E179" s="450">
        <f t="shared" ref="E179:AR179" ca="1" si="68">IF((E10+E17+E18+E19+E23+E24+E20)*(1-E178)=0,0,-E7*E178*(E10+E17+E18+E19+E23+E24+E20)/(E7+(E10+E17+E18+E19+E23+E24+E20)*(1-E178)))</f>
        <v>0</v>
      </c>
      <c r="F179" s="450">
        <f t="shared" ca="1" si="68"/>
        <v>0</v>
      </c>
      <c r="G179" s="450">
        <f t="shared" ca="1" si="68"/>
        <v>0</v>
      </c>
      <c r="H179" s="450">
        <f t="shared" ca="1" si="68"/>
        <v>0</v>
      </c>
      <c r="I179" s="450">
        <f t="shared" ca="1" si="68"/>
        <v>0</v>
      </c>
      <c r="J179" s="450">
        <f t="shared" ca="1" si="68"/>
        <v>0</v>
      </c>
      <c r="K179" s="450">
        <f t="shared" ca="1" si="68"/>
        <v>0</v>
      </c>
      <c r="L179" s="450">
        <f t="shared" ca="1" si="68"/>
        <v>0</v>
      </c>
      <c r="M179" s="450">
        <f t="shared" ca="1" si="68"/>
        <v>0</v>
      </c>
      <c r="N179" s="450">
        <f t="shared" ca="1" si="68"/>
        <v>0</v>
      </c>
      <c r="O179" s="450">
        <f t="shared" ca="1" si="68"/>
        <v>0</v>
      </c>
      <c r="P179" s="450">
        <f t="shared" ca="1" si="68"/>
        <v>0</v>
      </c>
      <c r="Q179" s="450">
        <f t="shared" ca="1" si="68"/>
        <v>0</v>
      </c>
      <c r="R179" s="450">
        <f t="shared" ca="1" si="68"/>
        <v>0</v>
      </c>
      <c r="S179" s="450">
        <f t="shared" ca="1" si="68"/>
        <v>0</v>
      </c>
      <c r="T179" s="450">
        <f t="shared" ca="1" si="68"/>
        <v>0</v>
      </c>
      <c r="U179" s="450">
        <f t="shared" ca="1" si="68"/>
        <v>0</v>
      </c>
      <c r="V179" s="450">
        <f t="shared" ca="1" si="68"/>
        <v>0</v>
      </c>
      <c r="W179" s="450">
        <f t="shared" ca="1" si="68"/>
        <v>0</v>
      </c>
      <c r="X179" s="450">
        <f t="shared" ca="1" si="68"/>
        <v>0</v>
      </c>
      <c r="Y179" s="450">
        <f t="shared" ca="1" si="68"/>
        <v>0</v>
      </c>
      <c r="Z179" s="450">
        <f t="shared" ca="1" si="68"/>
        <v>0</v>
      </c>
      <c r="AA179" s="450">
        <f t="shared" ca="1" si="68"/>
        <v>0</v>
      </c>
      <c r="AB179" s="450">
        <f t="shared" ca="1" si="68"/>
        <v>0</v>
      </c>
      <c r="AC179" s="450">
        <f t="shared" ca="1" si="68"/>
        <v>0</v>
      </c>
      <c r="AD179" s="450">
        <f t="shared" ca="1" si="68"/>
        <v>0</v>
      </c>
      <c r="AE179" s="450">
        <f t="shared" ca="1" si="68"/>
        <v>0</v>
      </c>
      <c r="AF179" s="450">
        <f t="shared" ca="1" si="68"/>
        <v>0</v>
      </c>
      <c r="AG179" s="450">
        <f t="shared" ca="1" si="68"/>
        <v>0</v>
      </c>
      <c r="AH179" s="450">
        <f t="shared" ca="1" si="68"/>
        <v>0</v>
      </c>
      <c r="AI179" s="450">
        <f t="shared" ca="1" si="68"/>
        <v>0</v>
      </c>
      <c r="AJ179" s="450">
        <f t="shared" ca="1" si="68"/>
        <v>0</v>
      </c>
      <c r="AK179" s="450">
        <f t="shared" ca="1" si="68"/>
        <v>170520.77927902693</v>
      </c>
      <c r="AL179" s="450">
        <f t="shared" ca="1" si="68"/>
        <v>0</v>
      </c>
      <c r="AM179" s="450">
        <f t="shared" ca="1" si="68"/>
        <v>0</v>
      </c>
      <c r="AN179" s="450">
        <f t="shared" ca="1" si="68"/>
        <v>0</v>
      </c>
      <c r="AO179" s="450">
        <f t="shared" ca="1" si="68"/>
        <v>81455.115328399203</v>
      </c>
      <c r="AP179" s="450">
        <f t="shared" ca="1" si="68"/>
        <v>0</v>
      </c>
      <c r="AQ179" s="450">
        <f t="shared" ca="1" si="68"/>
        <v>0</v>
      </c>
      <c r="AR179" s="450">
        <f t="shared" ca="1" si="68"/>
        <v>0</v>
      </c>
      <c r="AS179" s="209"/>
      <c r="AT179" s="209"/>
    </row>
    <row r="180" spans="1:46" customFormat="1" ht="11.25" customHeight="1" x14ac:dyDescent="0.2">
      <c r="A180" s="49" t="s">
        <v>526</v>
      </c>
      <c r="B180" s="440">
        <f ca="1">IF(AND(B7&gt;0,B179&lt;&gt;0),B179/B7,0)</f>
        <v>0.24941824840133869</v>
      </c>
      <c r="C180" s="36" t="s">
        <v>1</v>
      </c>
      <c r="D180" s="65"/>
      <c r="E180" s="238">
        <f t="shared" ref="E180:AR180" ca="1" si="69">IF(AND(E7&gt;0,E179&lt;&gt;0),E179/E7,0)</f>
        <v>0</v>
      </c>
      <c r="F180" s="238">
        <f t="shared" ca="1" si="69"/>
        <v>0</v>
      </c>
      <c r="G180" s="238">
        <f t="shared" ca="1" si="69"/>
        <v>0</v>
      </c>
      <c r="H180" s="238">
        <f t="shared" ca="1" si="69"/>
        <v>0</v>
      </c>
      <c r="I180" s="238">
        <f t="shared" ca="1" si="69"/>
        <v>0</v>
      </c>
      <c r="J180" s="238">
        <f t="shared" ca="1" si="69"/>
        <v>0</v>
      </c>
      <c r="K180" s="238">
        <f t="shared" ca="1" si="69"/>
        <v>0</v>
      </c>
      <c r="L180" s="238">
        <f t="shared" ca="1" si="69"/>
        <v>0</v>
      </c>
      <c r="M180" s="238">
        <f t="shared" ca="1" si="69"/>
        <v>0</v>
      </c>
      <c r="N180" s="238">
        <f t="shared" ca="1" si="69"/>
        <v>0</v>
      </c>
      <c r="O180" s="238">
        <f t="shared" ca="1" si="69"/>
        <v>0</v>
      </c>
      <c r="P180" s="238">
        <f t="shared" ca="1" si="69"/>
        <v>0</v>
      </c>
      <c r="Q180" s="238">
        <f t="shared" ca="1" si="69"/>
        <v>0</v>
      </c>
      <c r="R180" s="238">
        <f t="shared" ca="1" si="69"/>
        <v>0</v>
      </c>
      <c r="S180" s="238">
        <f t="shared" ca="1" si="69"/>
        <v>0</v>
      </c>
      <c r="T180" s="238">
        <f t="shared" ca="1" si="69"/>
        <v>0</v>
      </c>
      <c r="U180" s="238">
        <f t="shared" ca="1" si="69"/>
        <v>0</v>
      </c>
      <c r="V180" s="238">
        <f t="shared" ca="1" si="69"/>
        <v>0</v>
      </c>
      <c r="W180" s="238">
        <f t="shared" ca="1" si="69"/>
        <v>0</v>
      </c>
      <c r="X180" s="238">
        <f t="shared" ca="1" si="69"/>
        <v>0</v>
      </c>
      <c r="Y180" s="238">
        <f t="shared" ca="1" si="69"/>
        <v>0</v>
      </c>
      <c r="Z180" s="238">
        <f t="shared" ca="1" si="69"/>
        <v>0</v>
      </c>
      <c r="AA180" s="238">
        <f t="shared" ca="1" si="69"/>
        <v>0</v>
      </c>
      <c r="AB180" s="238">
        <f t="shared" ca="1" si="69"/>
        <v>0</v>
      </c>
      <c r="AC180" s="238">
        <f t="shared" ca="1" si="69"/>
        <v>0</v>
      </c>
      <c r="AD180" s="238">
        <f t="shared" ca="1" si="69"/>
        <v>0</v>
      </c>
      <c r="AE180" s="238">
        <f t="shared" ca="1" si="69"/>
        <v>0</v>
      </c>
      <c r="AF180" s="238">
        <f t="shared" ca="1" si="69"/>
        <v>0</v>
      </c>
      <c r="AG180" s="238">
        <f t="shared" ca="1" si="69"/>
        <v>0</v>
      </c>
      <c r="AH180" s="238">
        <f t="shared" ca="1" si="69"/>
        <v>0</v>
      </c>
      <c r="AI180" s="238">
        <f t="shared" ca="1" si="69"/>
        <v>0</v>
      </c>
      <c r="AJ180" s="238">
        <f t="shared" ca="1" si="69"/>
        <v>0</v>
      </c>
      <c r="AK180" s="238">
        <f t="shared" ca="1" si="69"/>
        <v>0.25441518472377289</v>
      </c>
      <c r="AL180" s="238">
        <f t="shared" ca="1" si="69"/>
        <v>0</v>
      </c>
      <c r="AM180" s="238">
        <f t="shared" ca="1" si="69"/>
        <v>0</v>
      </c>
      <c r="AN180" s="238">
        <f t="shared" ca="1" si="69"/>
        <v>0</v>
      </c>
      <c r="AO180" s="238">
        <f t="shared" ca="1" si="69"/>
        <v>1.2526716491498162E-2</v>
      </c>
      <c r="AP180" s="238">
        <f t="shared" ca="1" si="69"/>
        <v>0</v>
      </c>
      <c r="AQ180" s="238">
        <f t="shared" ca="1" si="69"/>
        <v>0</v>
      </c>
      <c r="AR180" s="238">
        <f t="shared" ca="1" si="69"/>
        <v>0</v>
      </c>
      <c r="AS180" s="209"/>
      <c r="AT180" s="209"/>
    </row>
    <row r="181" spans="1:46" ht="11.25" customHeight="1" x14ac:dyDescent="0.2">
      <c r="A181" s="49"/>
      <c r="B181" s="2"/>
      <c r="C181" s="36"/>
      <c r="D181" s="65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41"/>
      <c r="AT181" s="41"/>
    </row>
    <row r="182" spans="1:46" ht="11.25" customHeight="1" x14ac:dyDescent="0.2">
      <c r="A182" s="49" t="s">
        <v>126</v>
      </c>
      <c r="B182" s="440">
        <f ca="1">IFERROR(B36/B7,0)</f>
        <v>0.42264353272234334</v>
      </c>
      <c r="C182" s="36" t="s">
        <v>1</v>
      </c>
      <c r="D182" s="65"/>
      <c r="E182" s="239">
        <f t="shared" ref="E182:AR182" ca="1" si="70">IFERROR(E36/E7,0)</f>
        <v>0</v>
      </c>
      <c r="F182" s="239">
        <f t="shared" ca="1" si="70"/>
        <v>0</v>
      </c>
      <c r="G182" s="239">
        <f t="shared" ca="1" si="70"/>
        <v>-0.87908509922177036</v>
      </c>
      <c r="H182" s="239">
        <f t="shared" ca="1" si="70"/>
        <v>-0.49436732432219216</v>
      </c>
      <c r="I182" s="239">
        <f t="shared" ca="1" si="70"/>
        <v>-0.37162821242151228</v>
      </c>
      <c r="J182" s="239">
        <f t="shared" ca="1" si="70"/>
        <v>-0.42886500721994431</v>
      </c>
      <c r="K182" s="239">
        <f t="shared" ca="1" si="70"/>
        <v>-0.61636762147899349</v>
      </c>
      <c r="L182" s="239">
        <f t="shared" ca="1" si="70"/>
        <v>-0.73468390532629491</v>
      </c>
      <c r="M182" s="239">
        <f t="shared" ca="1" si="70"/>
        <v>-0.29928641549336388</v>
      </c>
      <c r="N182" s="239">
        <f t="shared" ca="1" si="70"/>
        <v>-0.40679062496699953</v>
      </c>
      <c r="O182" s="239">
        <f t="shared" ca="1" si="70"/>
        <v>-0.59218177317343124</v>
      </c>
      <c r="P182" s="239">
        <f t="shared" ca="1" si="70"/>
        <v>-0.76908007373907405</v>
      </c>
      <c r="Q182" s="239">
        <f t="shared" ca="1" si="70"/>
        <v>-0.59636768815761321</v>
      </c>
      <c r="R182" s="239">
        <f t="shared" ca="1" si="70"/>
        <v>-0.72721711294211433</v>
      </c>
      <c r="S182" s="239">
        <f t="shared" ca="1" si="70"/>
        <v>-0.88063960649827766</v>
      </c>
      <c r="T182" s="239">
        <f t="shared" ca="1" si="70"/>
        <v>-0.92300614829828564</v>
      </c>
      <c r="U182" s="239">
        <f t="shared" ca="1" si="70"/>
        <v>0.14469434692646968</v>
      </c>
      <c r="V182" s="239">
        <f t="shared" ca="1" si="70"/>
        <v>0.19029425049959287</v>
      </c>
      <c r="W182" s="239">
        <f t="shared" ca="1" si="70"/>
        <v>0.21434686723948862</v>
      </c>
      <c r="X182" s="239">
        <f t="shared" ca="1" si="70"/>
        <v>0.23832337838864451</v>
      </c>
      <c r="Y182" s="239">
        <f t="shared" ca="1" si="70"/>
        <v>0.2622265764930074</v>
      </c>
      <c r="Z182" s="239">
        <f t="shared" ca="1" si="70"/>
        <v>0.28593430454536256</v>
      </c>
      <c r="AA182" s="239">
        <f t="shared" ca="1" si="70"/>
        <v>0.30958340072056595</v>
      </c>
      <c r="AB182" s="239">
        <f t="shared" ca="1" si="70"/>
        <v>0.33317662004174359</v>
      </c>
      <c r="AC182" s="239">
        <f t="shared" ca="1" si="70"/>
        <v>0.3256768003361033</v>
      </c>
      <c r="AD182" s="239">
        <f t="shared" ca="1" si="70"/>
        <v>0.32278188676568609</v>
      </c>
      <c r="AE182" s="239">
        <f t="shared" ca="1" si="70"/>
        <v>0.34245265168948985</v>
      </c>
      <c r="AF182" s="239">
        <f t="shared" ca="1" si="70"/>
        <v>0.36208517705675691</v>
      </c>
      <c r="AG182" s="239">
        <f t="shared" ca="1" si="70"/>
        <v>0.29365437894516749</v>
      </c>
      <c r="AH182" s="239">
        <f t="shared" ca="1" si="70"/>
        <v>0.31288215689418203</v>
      </c>
      <c r="AI182" s="239">
        <f t="shared" ca="1" si="70"/>
        <v>0.33204669062911985</v>
      </c>
      <c r="AJ182" s="239">
        <f t="shared" ca="1" si="70"/>
        <v>0.35115047116777459</v>
      </c>
      <c r="AK182" s="239">
        <f t="shared" ca="1" si="70"/>
        <v>0.37351647223749379</v>
      </c>
      <c r="AL182" s="239">
        <f t="shared" ca="1" si="70"/>
        <v>0.38889526549454839</v>
      </c>
      <c r="AM182" s="239">
        <f t="shared" ca="1" si="70"/>
        <v>0.40610835663740191</v>
      </c>
      <c r="AN182" s="239">
        <f t="shared" ca="1" si="70"/>
        <v>0.42258312969842388</v>
      </c>
      <c r="AO182" s="239">
        <f t="shared" ca="1" si="70"/>
        <v>0.50949345847866501</v>
      </c>
      <c r="AP182" s="239">
        <f t="shared" ca="1" si="70"/>
        <v>0.40995874816495342</v>
      </c>
      <c r="AQ182" s="239">
        <f t="shared" ca="1" si="70"/>
        <v>0.43335733796921638</v>
      </c>
      <c r="AR182" s="239">
        <f t="shared" ca="1" si="70"/>
        <v>0.43566741428061484</v>
      </c>
    </row>
    <row r="183" spans="1:46" ht="11.25" customHeight="1" x14ac:dyDescent="0.2">
      <c r="A183" s="49" t="s">
        <v>351</v>
      </c>
      <c r="B183" s="440">
        <f ca="1">IFERROR(B15/B7,0)</f>
        <v>0.74765394418832898</v>
      </c>
      <c r="C183" s="36" t="s">
        <v>1</v>
      </c>
      <c r="D183" s="65"/>
      <c r="E183" s="239">
        <f t="shared" ref="E183:AR183" ca="1" si="71">IFERROR(E15/E7,0)</f>
        <v>0</v>
      </c>
      <c r="F183" s="239">
        <f t="shared" ca="1" si="71"/>
        <v>0</v>
      </c>
      <c r="G183" s="239">
        <f t="shared" ca="1" si="71"/>
        <v>0.82776685883757073</v>
      </c>
      <c r="H183" s="239">
        <f t="shared" ca="1" si="71"/>
        <v>0.87633131574189382</v>
      </c>
      <c r="I183" s="239">
        <f t="shared" ca="1" si="71"/>
        <v>0.87633131574189382</v>
      </c>
      <c r="J183" s="239">
        <f t="shared" ca="1" si="71"/>
        <v>0.87632524594304384</v>
      </c>
      <c r="K183" s="239">
        <f t="shared" ca="1" si="71"/>
        <v>0.82350369392928346</v>
      </c>
      <c r="L183" s="239">
        <f t="shared" ca="1" si="71"/>
        <v>0.81872876994934973</v>
      </c>
      <c r="M183" s="239">
        <f t="shared" ca="1" si="71"/>
        <v>0.8552878977507522</v>
      </c>
      <c r="N183" s="239">
        <f t="shared" ca="1" si="71"/>
        <v>0.85665401055552204</v>
      </c>
      <c r="O183" s="239">
        <f t="shared" ca="1" si="71"/>
        <v>0.85641564833222528</v>
      </c>
      <c r="P183" s="239">
        <f t="shared" ca="1" si="71"/>
        <v>0.8351963288470684</v>
      </c>
      <c r="Q183" s="239">
        <f t="shared" ca="1" si="71"/>
        <v>0.84772696823430771</v>
      </c>
      <c r="R183" s="239">
        <f t="shared" ca="1" si="71"/>
        <v>0.84822205164973996</v>
      </c>
      <c r="S183" s="239">
        <f t="shared" ca="1" si="71"/>
        <v>0.84796865416621325</v>
      </c>
      <c r="T183" s="239">
        <f t="shared" ca="1" si="71"/>
        <v>0.84771347566993949</v>
      </c>
      <c r="U183" s="239">
        <f t="shared" ca="1" si="71"/>
        <v>0.89291419190376176</v>
      </c>
      <c r="V183" s="239">
        <f t="shared" ca="1" si="71"/>
        <v>0.89560173687893863</v>
      </c>
      <c r="W183" s="239">
        <f t="shared" ca="1" si="71"/>
        <v>0.89560086918136395</v>
      </c>
      <c r="X183" s="239">
        <f t="shared" ca="1" si="71"/>
        <v>0.89559946563080028</v>
      </c>
      <c r="Y183" s="239">
        <f t="shared" ca="1" si="71"/>
        <v>0.89559752309923468</v>
      </c>
      <c r="Z183" s="239">
        <f t="shared" ca="1" si="71"/>
        <v>0.89558315322419335</v>
      </c>
      <c r="AA183" s="239">
        <f t="shared" ca="1" si="71"/>
        <v>0.89556823479757897</v>
      </c>
      <c r="AB183" s="239">
        <f t="shared" ca="1" si="71"/>
        <v>0.895552764654172</v>
      </c>
      <c r="AC183" s="239">
        <f t="shared" ca="1" si="71"/>
        <v>0.89553673961098412</v>
      </c>
      <c r="AD183" s="239">
        <f t="shared" ca="1" si="71"/>
        <v>0.89552476975335593</v>
      </c>
      <c r="AE183" s="239">
        <f t="shared" ca="1" si="71"/>
        <v>0.89551226937785722</v>
      </c>
      <c r="AF183" s="239">
        <f t="shared" ca="1" si="71"/>
        <v>0.89549923552181143</v>
      </c>
      <c r="AG183" s="239">
        <f t="shared" ca="1" si="71"/>
        <v>0.89548566520654838</v>
      </c>
      <c r="AH183" s="239">
        <f t="shared" ca="1" si="71"/>
        <v>0.89547359902076107</v>
      </c>
      <c r="AI183" s="239">
        <f t="shared" ca="1" si="71"/>
        <v>0.89546099903327092</v>
      </c>
      <c r="AJ183" s="239">
        <f t="shared" ca="1" si="71"/>
        <v>0.89544786229634676</v>
      </c>
      <c r="AK183" s="239">
        <f t="shared" ca="1" si="71"/>
        <v>0.6359360245905582</v>
      </c>
      <c r="AL183" s="239">
        <f t="shared" ca="1" si="71"/>
        <v>0.8937856354267617</v>
      </c>
      <c r="AM183" s="239">
        <f t="shared" ca="1" si="71"/>
        <v>0.89395056859045274</v>
      </c>
      <c r="AN183" s="239">
        <f t="shared" ca="1" si="71"/>
        <v>0.89393597746342846</v>
      </c>
      <c r="AO183" s="239">
        <f t="shared" ca="1" si="71"/>
        <v>0.64443199315395161</v>
      </c>
      <c r="AP183" s="239">
        <f t="shared" ca="1" si="71"/>
        <v>0.8499932294600232</v>
      </c>
      <c r="AQ183" s="239">
        <f t="shared" ca="1" si="71"/>
        <v>0.8578924644837107</v>
      </c>
      <c r="AR183" s="239">
        <f t="shared" ca="1" si="71"/>
        <v>0.85769470066693176</v>
      </c>
    </row>
    <row r="184" spans="1:46" ht="11.25" customHeight="1" x14ac:dyDescent="0.2">
      <c r="A184" s="49" t="s">
        <v>127</v>
      </c>
      <c r="B184" s="440">
        <f ca="1">IFERROR(B21/B7,0)</f>
        <v>0.71237076021490864</v>
      </c>
      <c r="C184" s="36" t="s">
        <v>1</v>
      </c>
      <c r="D184" s="65"/>
      <c r="E184" s="238">
        <f t="shared" ref="E184:AR184" ca="1" si="72">IFERROR(E21/E7,0)</f>
        <v>0</v>
      </c>
      <c r="F184" s="238">
        <f t="shared" ca="1" si="72"/>
        <v>0</v>
      </c>
      <c r="G184" s="238">
        <f t="shared" ca="1" si="72"/>
        <v>0.59138586327464093</v>
      </c>
      <c r="H184" s="238">
        <f t="shared" ca="1" si="72"/>
        <v>0.5873620090364734</v>
      </c>
      <c r="I184" s="238">
        <f t="shared" ca="1" si="72"/>
        <v>0.73591531831201795</v>
      </c>
      <c r="J184" s="238">
        <f t="shared" ca="1" si="72"/>
        <v>0.73576130886068603</v>
      </c>
      <c r="K184" s="238">
        <f t="shared" ca="1" si="72"/>
        <v>0.63022222444930176</v>
      </c>
      <c r="L184" s="238">
        <f t="shared" ca="1" si="72"/>
        <v>0.62496556635723688</v>
      </c>
      <c r="M184" s="238">
        <f t="shared" ca="1" si="72"/>
        <v>0.72992438208068267</v>
      </c>
      <c r="N184" s="238">
        <f t="shared" ca="1" si="72"/>
        <v>0.73228926105916037</v>
      </c>
      <c r="O184" s="238">
        <f t="shared" ca="1" si="72"/>
        <v>0.73165466583774819</v>
      </c>
      <c r="P184" s="238">
        <f t="shared" ca="1" si="72"/>
        <v>0.71003265263680282</v>
      </c>
      <c r="Q184" s="238">
        <f t="shared" ca="1" si="72"/>
        <v>0.74115119439522403</v>
      </c>
      <c r="R184" s="238">
        <f t="shared" ca="1" si="72"/>
        <v>0.74186060884570781</v>
      </c>
      <c r="S184" s="238">
        <f t="shared" ca="1" si="72"/>
        <v>0.74129388107999938</v>
      </c>
      <c r="T184" s="238">
        <f t="shared" ca="1" si="72"/>
        <v>0.7407203323408692</v>
      </c>
      <c r="U184" s="238">
        <f t="shared" ca="1" si="72"/>
        <v>0.85918279293129518</v>
      </c>
      <c r="V184" s="238">
        <f t="shared" ca="1" si="72"/>
        <v>0.86262809275508812</v>
      </c>
      <c r="W184" s="238">
        <f t="shared" ca="1" si="72"/>
        <v>0.86253675593736567</v>
      </c>
      <c r="X184" s="238">
        <f t="shared" ca="1" si="72"/>
        <v>0.86244332745577967</v>
      </c>
      <c r="Y184" s="238">
        <f t="shared" ca="1" si="72"/>
        <v>0.86234780588659232</v>
      </c>
      <c r="Z184" s="238">
        <f t="shared" ca="1" si="72"/>
        <v>0.86223716094737135</v>
      </c>
      <c r="AA184" s="238">
        <f t="shared" ca="1" si="72"/>
        <v>0.86212443419152918</v>
      </c>
      <c r="AB184" s="238">
        <f t="shared" ca="1" si="72"/>
        <v>0.8620096234505763</v>
      </c>
      <c r="AC184" s="238">
        <f t="shared" ca="1" si="72"/>
        <v>0.86189272644056047</v>
      </c>
      <c r="AD184" s="238">
        <f t="shared" ca="1" si="72"/>
        <v>0.86178302416575003</v>
      </c>
      <c r="AE184" s="238">
        <f t="shared" ca="1" si="72"/>
        <v>0.8616713155130773</v>
      </c>
      <c r="AF184" s="238">
        <f t="shared" ca="1" si="72"/>
        <v>0.86155759862939352</v>
      </c>
      <c r="AG184" s="238">
        <f t="shared" ca="1" si="72"/>
        <v>0.76544957505625455</v>
      </c>
      <c r="AH184" s="238">
        <f t="shared" ca="1" si="72"/>
        <v>0.76784225777019577</v>
      </c>
      <c r="AI184" s="238">
        <f t="shared" ca="1" si="72"/>
        <v>0.77019073307890651</v>
      </c>
      <c r="AJ184" s="238">
        <f t="shared" ca="1" si="72"/>
        <v>0.77249560836502384</v>
      </c>
      <c r="AK184" s="238">
        <f t="shared" ca="1" si="72"/>
        <v>0.58793115456862677</v>
      </c>
      <c r="AL184" s="238">
        <f t="shared" ca="1" si="72"/>
        <v>0.77490839332460959</v>
      </c>
      <c r="AM184" s="238">
        <f t="shared" ca="1" si="72"/>
        <v>0.77743425262522359</v>
      </c>
      <c r="AN184" s="238">
        <f t="shared" ca="1" si="72"/>
        <v>0.77954012191196731</v>
      </c>
      <c r="AO184" s="238">
        <f t="shared" ca="1" si="72"/>
        <v>0.64067533348781469</v>
      </c>
      <c r="AP184" s="238">
        <f t="shared" ca="1" si="72"/>
        <v>0.70736660803263329</v>
      </c>
      <c r="AQ184" s="238">
        <f t="shared" ca="1" si="72"/>
        <v>0.72427831434754097</v>
      </c>
      <c r="AR184" s="238">
        <f t="shared" ca="1" si="72"/>
        <v>0.72536671346530712</v>
      </c>
    </row>
    <row r="185" spans="1:46" ht="11.25" customHeight="1" x14ac:dyDescent="0.2">
      <c r="A185" s="49" t="s">
        <v>441</v>
      </c>
      <c r="B185" s="440">
        <f ca="1">IFERROR(B25/B7,0)</f>
        <v>0.58984215460808853</v>
      </c>
      <c r="C185" s="36" t="s">
        <v>1</v>
      </c>
      <c r="D185" s="65"/>
      <c r="E185" s="238">
        <f t="shared" ref="E185:AR185" ca="1" si="73">IFERROR(E25/E7,0)</f>
        <v>0</v>
      </c>
      <c r="F185" s="238">
        <f t="shared" ca="1" si="73"/>
        <v>0</v>
      </c>
      <c r="G185" s="238">
        <f t="shared" ca="1" si="73"/>
        <v>0.11219672359604815</v>
      </c>
      <c r="H185" s="238">
        <f t="shared" ca="1" si="73"/>
        <v>0.24328949189566396</v>
      </c>
      <c r="I185" s="238">
        <f t="shared" ca="1" si="73"/>
        <v>0.39184280117120845</v>
      </c>
      <c r="J185" s="238">
        <f t="shared" ca="1" si="73"/>
        <v>0.39504985760817696</v>
      </c>
      <c r="K185" s="238">
        <f t="shared" ca="1" si="73"/>
        <v>0.29283900895307019</v>
      </c>
      <c r="L185" s="238">
        <f t="shared" ca="1" si="73"/>
        <v>0.20452440542058611</v>
      </c>
      <c r="M185" s="238">
        <f t="shared" ca="1" si="73"/>
        <v>0.35912299012886423</v>
      </c>
      <c r="N185" s="238">
        <f t="shared" ca="1" si="73"/>
        <v>0.36918385185340308</v>
      </c>
      <c r="O185" s="238">
        <f t="shared" ca="1" si="73"/>
        <v>0.3721030775838628</v>
      </c>
      <c r="P185" s="238">
        <f t="shared" ca="1" si="73"/>
        <v>0.28746189601948019</v>
      </c>
      <c r="Q185" s="238">
        <f t="shared" ca="1" si="73"/>
        <v>0.33470354649436973</v>
      </c>
      <c r="R185" s="238">
        <f t="shared" ca="1" si="73"/>
        <v>0.34146287793490882</v>
      </c>
      <c r="S185" s="238">
        <f t="shared" ca="1" si="73"/>
        <v>0.34491248768304988</v>
      </c>
      <c r="T185" s="238">
        <f t="shared" ca="1" si="73"/>
        <v>0.34831522228123507</v>
      </c>
      <c r="U185" s="238">
        <f t="shared" ca="1" si="73"/>
        <v>0.53932368162743716</v>
      </c>
      <c r="V185" s="238">
        <f t="shared" ca="1" si="73"/>
        <v>0.55415213166526156</v>
      </c>
      <c r="W185" s="238">
        <f t="shared" ca="1" si="73"/>
        <v>0.55737954704275239</v>
      </c>
      <c r="X185" s="238">
        <f t="shared" ca="1" si="73"/>
        <v>0.56056939520587723</v>
      </c>
      <c r="Y185" s="238">
        <f t="shared" ca="1" si="73"/>
        <v>0.56372205139003384</v>
      </c>
      <c r="Z185" s="238">
        <f t="shared" ca="1" si="73"/>
        <v>0.56676748027008572</v>
      </c>
      <c r="AA185" s="238">
        <f t="shared" ca="1" si="73"/>
        <v>0.56977761688607897</v>
      </c>
      <c r="AB185" s="238">
        <f t="shared" ca="1" si="73"/>
        <v>0.57275280695900388</v>
      </c>
      <c r="AC185" s="238">
        <f t="shared" ca="1" si="73"/>
        <v>0.57569339246702689</v>
      </c>
      <c r="AD185" s="238">
        <f t="shared" ca="1" si="73"/>
        <v>0.57861185373038693</v>
      </c>
      <c r="AE185" s="238">
        <f t="shared" ca="1" si="73"/>
        <v>0.58149641588066314</v>
      </c>
      <c r="AF185" s="238">
        <f t="shared" ca="1" si="73"/>
        <v>0.58434741136109525</v>
      </c>
      <c r="AG185" s="238">
        <f t="shared" ca="1" si="73"/>
        <v>0.49117287252273378</v>
      </c>
      <c r="AH185" s="238">
        <f t="shared" ca="1" si="73"/>
        <v>0.49646416763538553</v>
      </c>
      <c r="AI185" s="238">
        <f t="shared" ca="1" si="73"/>
        <v>0.50168076726304334</v>
      </c>
      <c r="AJ185" s="238">
        <f t="shared" ca="1" si="73"/>
        <v>0.5068235978896426</v>
      </c>
      <c r="AK185" s="238">
        <f t="shared" ca="1" si="73"/>
        <v>0.4868022596022944</v>
      </c>
      <c r="AL185" s="238">
        <f t="shared" ca="1" si="73"/>
        <v>0.51777109732396542</v>
      </c>
      <c r="AM185" s="238">
        <f t="shared" ca="1" si="73"/>
        <v>0.52344088702819802</v>
      </c>
      <c r="AN185" s="238">
        <f t="shared" ca="1" si="73"/>
        <v>0.52822891212303069</v>
      </c>
      <c r="AO185" s="238">
        <f t="shared" ca="1" si="73"/>
        <v>0.63686682309833131</v>
      </c>
      <c r="AP185" s="238">
        <f t="shared" ca="1" si="73"/>
        <v>0.51244843520619177</v>
      </c>
      <c r="AQ185" s="238">
        <f t="shared" ca="1" si="73"/>
        <v>0.54169667246152042</v>
      </c>
      <c r="AR185" s="238">
        <f t="shared" ca="1" si="73"/>
        <v>0.54458426785076852</v>
      </c>
    </row>
    <row r="186" spans="1:46" ht="11.25" customHeight="1" x14ac:dyDescent="0.2">
      <c r="A186" s="49"/>
      <c r="B186" s="2"/>
      <c r="C186" s="36"/>
      <c r="D186" s="65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</row>
    <row r="187" spans="1:46" ht="11.25" customHeight="1" x14ac:dyDescent="0.2">
      <c r="A187" s="49" t="s">
        <v>128</v>
      </c>
      <c r="B187" s="440">
        <f ca="1">IFERROR(AVERAGEIF(Параметры!$E$46:OFFSET(Параметры!$E$46,0,Параметры!$B$24-1),"&gt;=" &amp; Деятельность_УК!$B$9,E187:OFFSET(E187,0,Параметры!$B$24-1)),0)</f>
        <v>3.3130427214357723E-2</v>
      </c>
      <c r="C187" s="36" t="s">
        <v>14</v>
      </c>
      <c r="D187" s="65"/>
      <c r="E187" s="238">
        <f ca="1">IFERROR(E36/(E114+IF(E2=1,Деятельность_УК!$B$53/Параметры!E$126,D114))/2*12/Параметры!E$40,0)</f>
        <v>-0.49102443807023666</v>
      </c>
      <c r="F187" s="238">
        <f ca="1">IFERROR(F36/(F114+IF(F2=1,Деятельность_УК!$B$53/Параметры!F$126,E114))/2*12/Параметры!F$40,0)</f>
        <v>-0.56396804866064953</v>
      </c>
      <c r="G187" s="238">
        <f ca="1">IFERROR(G36/(G114+IF(G2=1,Деятельность_УК!$B$53/Параметры!G$126,F114))/2*12/Параметры!G$40,0)</f>
        <v>-0.33549111293580064</v>
      </c>
      <c r="H187" s="238">
        <f ca="1">IFERROR(H36/(H114+IF(H2=1,Деятельность_УК!$B$53/Параметры!H$126,G114))/2*12/Параметры!H$40,0)</f>
        <v>-0.19671719148921749</v>
      </c>
      <c r="I187" s="238">
        <f ca="1">IFERROR(I36/(I114+IF(I2=1,Деятельность_УК!$B$53/Параметры!I$126,H114))/2*12/Параметры!I$40,0)</f>
        <v>-0.10261346132995815</v>
      </c>
      <c r="J187" s="238">
        <f ca="1">IFERROR(J36/(J114+IF(J2=1,Деятельность_УК!$B$53/Параметры!J$126,I114))/2*12/Параметры!J$40,0)</f>
        <v>-7.6235500037914086E-2</v>
      </c>
      <c r="K187" s="238">
        <f ca="1">IFERROR(K36/(K114+IF(K2=1,Деятельность_УК!$B$53/Параметры!K$126,J114))/2*12/Параметры!K$40,0)</f>
        <v>-7.4242251187160629E-2</v>
      </c>
      <c r="L187" s="238">
        <f ca="1">IFERROR(L36/(L114+IF(L2=1,Деятельность_УК!$B$53/Параметры!L$126,K114))/2*12/Параметры!L$40,0)</f>
        <v>-6.8873226100977347E-2</v>
      </c>
      <c r="M187" s="238">
        <f ca="1">IFERROR(M36/(M114+IF(M2=1,Деятельность_УК!$B$53/Параметры!M$126,L114))/2*12/Параметры!M$40,0)</f>
        <v>-3.5169087839702476E-2</v>
      </c>
      <c r="N187" s="238">
        <f ca="1">IFERROR(N36/(N114+IF(N2=1,Деятельность_УК!$B$53/Параметры!N$126,M114))/2*12/Параметры!N$40,0)</f>
        <v>-3.6373596450112324E-2</v>
      </c>
      <c r="O187" s="238">
        <f ca="1">IFERROR(O36/(O114+IF(O2=1,Деятельность_УК!$B$53/Параметры!O$126,N114))/2*12/Параметры!O$40,0)</f>
        <v>-3.8706687706453628E-2</v>
      </c>
      <c r="P187" s="238">
        <f ca="1">IFERROR(P36/(P114+IF(P2=1,Деятельность_УК!$B$53/Параметры!P$126,O114))/2*12/Параметры!P$40,0)</f>
        <v>-4.0239474395517297E-2</v>
      </c>
      <c r="Q187" s="238">
        <f ca="1">IFERROR(Q36/(Q114+IF(Q2=1,Деятельность_УК!$B$53/Параметры!Q$126,P114))/2*12/Параметры!Q$40,0)</f>
        <v>-3.0478231140929662E-2</v>
      </c>
      <c r="R187" s="238">
        <f ca="1">IFERROR(R36/(R114+IF(R2=1,Деятельность_УК!$B$53/Параметры!R$126,Q114))/2*12/Параметры!R$40,0)</f>
        <v>-2.9402189092887231E-2</v>
      </c>
      <c r="S187" s="238">
        <f ca="1">IFERROR(S36/(S114+IF(S2=1,Деятельность_УК!$B$53/Параметры!S$126,R114))/2*12/Параметры!S$40,0)</f>
        <v>-2.8213531439907662E-2</v>
      </c>
      <c r="T187" s="238">
        <f ca="1">IFERROR(T36/(T114+IF(T2=1,Деятельность_УК!$B$53/Параметры!T$126,S114))/2*12/Параметры!T$40,0)</f>
        <v>-2.5069991558020435E-2</v>
      </c>
      <c r="U187" s="238">
        <f ca="1">IFERROR(U36/(U114+IF(U2=1,Деятельность_УК!$B$53/Параметры!U$126,T114))/2*12/Параметры!U$40,0)</f>
        <v>1.1094862873306582E-2</v>
      </c>
      <c r="V187" s="238">
        <f ca="1">IFERROR(V36/(V114+IF(V2=1,Деятельность_УК!$B$53/Параметры!V$126,U114))/2*12/Параметры!V$40,0)</f>
        <v>1.4389724420645926E-2</v>
      </c>
      <c r="W187" s="238">
        <f ca="1">IFERROR(W36/(W114+IF(W2=1,Деятельность_УК!$B$53/Параметры!W$126,V114))/2*12/Параметры!W$40,0)</f>
        <v>1.540141147931647E-2</v>
      </c>
      <c r="X187" s="238">
        <f ca="1">IFERROR(X36/(X114+IF(X2=1,Деятельность_УК!$B$53/Параметры!X$126,W114))/2*12/Параметры!X$40,0)</f>
        <v>1.6285037054690407E-2</v>
      </c>
      <c r="Y187" s="238">
        <f ca="1">IFERROR(Y36/(Y114+IF(Y2=1,Деятельность_УК!$B$53/Параметры!Y$126,X114))/2*12/Параметры!Y$40,0)</f>
        <v>1.722556966836658E-2</v>
      </c>
      <c r="Z187" s="238">
        <f ca="1">IFERROR(Z36/(Z114+IF(Z2=1,Деятельность_УК!$B$53/Параметры!Z$126,Y114))/2*12/Параметры!Z$40,0)</f>
        <v>1.8024867246561698E-2</v>
      </c>
      <c r="AA187" s="238">
        <f ca="1">IFERROR(AA36/(AA114+IF(AA2=1,Деятельность_УК!$B$53/Параметры!AA$126,Z114))/2*12/Параметры!AA$40,0)</f>
        <v>1.8743722675412418E-2</v>
      </c>
      <c r="AB187" s="238">
        <f ca="1">IFERROR(AB36/(AB114+IF(AB2=1,Деятельность_УК!$B$53/Параметры!AB$126,AA114))/2*12/Параметры!AB$40,0)</f>
        <v>1.9525923482116844E-2</v>
      </c>
      <c r="AC187" s="238">
        <f ca="1">IFERROR(AC36/(AC114+IF(AC2=1,Деятельность_УК!$B$53/Параметры!AC$126,AB114))/2*12/Параметры!AC$40,0)</f>
        <v>1.8585144219268705E-2</v>
      </c>
      <c r="AD187" s="238">
        <f ca="1">IFERROR(AD36/(AD114+IF(AD2=1,Деятельность_УК!$B$53/Параметры!AD$126,AC114))/2*12/Параметры!AD$40,0)</f>
        <v>1.7962457841149852E-2</v>
      </c>
      <c r="AE187" s="238">
        <f ca="1">IFERROR(AE36/(AE114+IF(AE2=1,Деятельность_УК!$B$53/Параметры!AE$126,AD114))/2*12/Параметры!AE$40,0)</f>
        <v>1.8594942900264543E-2</v>
      </c>
      <c r="AF187" s="238">
        <f ca="1">IFERROR(AF36/(AF114+IF(AF2=1,Деятельность_УК!$B$53/Параметры!AF$126,AE114))/2*12/Параметры!AF$40,0)</f>
        <v>1.9183749785306285E-2</v>
      </c>
      <c r="AG187" s="238">
        <f ca="1">IFERROR(AG36/(AG114+IF(AG2=1,Деятельность_УК!$B$53/Параметры!AG$126,AF114))/2*12/Параметры!AG$40,0)</f>
        <v>1.5216533449062958E-2</v>
      </c>
      <c r="AH187" s="238">
        <f ca="1">IFERROR(AH36/(AH114+IF(AH2=1,Деятельность_УК!$B$53/Параметры!AH$126,AG114))/2*12/Параметры!AH$40,0)</f>
        <v>1.5891182991912691E-2</v>
      </c>
      <c r="AI187" s="238">
        <f ca="1">IFERROR(AI36/(AI114+IF(AI2=1,Деятельность_УК!$B$53/Параметры!AI$126,AH114))/2*12/Параметры!AI$40,0)</f>
        <v>1.6526360254591192E-2</v>
      </c>
      <c r="AJ187" s="238">
        <f ca="1">IFERROR(AJ36/(AJ114+IF(AJ2=1,Деятельность_УК!$B$53/Параметры!AJ$126,AI114))/2*12/Параметры!AJ$40,0)</f>
        <v>1.7123508470364878E-2</v>
      </c>
      <c r="AK187" s="238">
        <f ca="1">IFERROR(AK36/(AK114+IF(AK2=1,Деятельность_УК!$B$53/Параметры!AK$126,AJ114))/2*12/Параметры!AK$40,0)</f>
        <v>4.3479565490832948E-2</v>
      </c>
      <c r="AL187" s="238">
        <f ca="1">IFERROR(AL36/(AL114+IF(AL2=1,Деятельность_УК!$B$53/Параметры!AL$126,AK114))/2*12/Параметры!AL$40,0)</f>
        <v>1.705219673113572E-2</v>
      </c>
      <c r="AM187" s="238">
        <f ca="1">IFERROR(AM36/(AM114+IF(AM2=1,Деятельность_УК!$B$53/Параметры!AM$126,AL114))/2*12/Параметры!AM$40,0)</f>
        <v>1.7515279368709429E-2</v>
      </c>
      <c r="AN187" s="238">
        <f ca="1">IFERROR(AN36/(AN114+IF(AN2=1,Деятельность_УК!$B$53/Параметры!AN$126,AM114))/2*12/Параметры!AN$40,0)</f>
        <v>1.8004958281040477E-2</v>
      </c>
      <c r="AO187" s="238">
        <f ca="1">IFERROR(AO36/(AO114+IF(AO2=1,Деятельность_УК!$B$53/Параметры!AO$126,AN114))/2*12/Параметры!AO$40,0)</f>
        <v>0.41187427058433818</v>
      </c>
      <c r="AP187" s="238">
        <f ca="1">IFERROR(AP36/(AP114+IF(AP2=1,Деятельность_УК!$B$53/Параметры!AP$126,AO114))/2*12/Параметры!AP$40,0)</f>
        <v>5.3552520366314969E-3</v>
      </c>
      <c r="AQ187" s="238">
        <f ca="1">IFERROR(AQ36/(AQ114+IF(AQ2=1,Деятельность_УК!$B$53/Параметры!AQ$126,AP114))/2*12/Параметры!AQ$40,0)</f>
        <v>6.0091490523852369E-3</v>
      </c>
      <c r="AR187" s="238">
        <f ca="1">IFERROR(AR36/(AR114+IF(AR2=1,Деятельность_УК!$B$53/Параметры!AR$126,AQ114))/2*12/Параметры!AR$40,0)</f>
        <v>6.064582787173943E-3</v>
      </c>
    </row>
    <row r="188" spans="1:46" ht="11.25" customHeight="1" x14ac:dyDescent="0.2">
      <c r="A188" s="49" t="s">
        <v>129</v>
      </c>
      <c r="B188" s="440">
        <f ca="1">IFERROR(AVERAGEIF(Параметры!$E$46:OFFSET(Параметры!$E$46,0,Параметры!$B$24-1),"&gt;=" &amp; Деятельность_УК!$B$9,E188:OFFSET(E188,0,Параметры!$B$24-1)),0)</f>
        <v>3.4049086761567739E-2</v>
      </c>
      <c r="C188" s="36" t="s">
        <v>14</v>
      </c>
      <c r="D188" s="65"/>
      <c r="E188" s="238">
        <f ca="1">IFERROR((E36-E27)/((E108+E114+IF(E2=1,(Деятельность_УК!$B$48+Деятельность_УК!$B$53)/Параметры!E$126,D108+D114)))/2*12/Параметры!E$40,0)</f>
        <v>-5.7207280790505495E-3</v>
      </c>
      <c r="F188" s="238">
        <f ca="1">IFERROR((F36-F27)/((F108+F114+IF(F2=1,(Деятельность_УК!$B$48+Деятельность_УК!$B$53)/Параметры!F$126,E108+E114)))/2*12/Параметры!F$40,0)</f>
        <v>-4.0451472846116596E-3</v>
      </c>
      <c r="G188" s="238">
        <f ca="1">IFERROR((G36-G27)/((G108+G114+IF(G2=1,(Деятельность_УК!$B$48+Деятельность_УК!$B$53)/Параметры!G$126,F108+F114)))/2*12/Параметры!G$40,0)</f>
        <v>2.1817078084070537E-3</v>
      </c>
      <c r="H188" s="238">
        <f ca="1">IFERROR((H36-H27)/((H108+H114+IF(H2=1,(Деятельность_УК!$B$48+Деятельность_УК!$B$53)/Параметры!H$126,G108+G114)))/2*12/Параметры!H$40,0)</f>
        <v>6.2786367177629782E-3</v>
      </c>
      <c r="I188" s="238">
        <f ca="1">IFERROR((I36-I27)/((I108+I114+IF(I2=1,(Деятельность_УК!$B$48+Деятельность_УК!$B$53)/Параметры!I$126,H108+H114)))/2*12/Параметры!I$40,0)</f>
        <v>9.5397723188520508E-3</v>
      </c>
      <c r="J188" s="238">
        <f ca="1">IFERROR((J36-J27)/((J108+J114+IF(J2=1,(Деятельность_УК!$B$48+Деятельность_УК!$B$53)/Параметры!J$126,I108+I114)))/2*12/Параметры!J$40,0)</f>
        <v>8.8271957073822547E-3</v>
      </c>
      <c r="K188" s="238">
        <f ca="1">IFERROR((K36-K27)/((K108+K114+IF(K2=1,(Деятельность_УК!$B$48+Деятельность_УК!$B$53)/Параметры!K$126,J108+J114)))/2*12/Параметры!K$40,0)</f>
        <v>5.7929032812959807E-3</v>
      </c>
      <c r="L188" s="238">
        <f ca="1">IFERROR((L36-L27)/((L108+L114+IF(L2=1,(Деятельность_УК!$B$48+Деятельность_УК!$B$53)/Параметры!L$126,K108+K114)))/2*12/Параметры!L$40,0)</f>
        <v>3.6947356396864165E-3</v>
      </c>
      <c r="M188" s="238">
        <f ca="1">IFERROR((M36-M27)/((M108+M114+IF(M2=1,(Деятельность_УК!$B$48+Деятельность_УК!$B$53)/Параметры!M$126,L108+L114)))/2*12/Параметры!M$40,0)</f>
        <v>9.2420917655649613E-3</v>
      </c>
      <c r="N188" s="238">
        <f ca="1">IFERROR((N36-N27)/((N108+N114+IF(N2=1,(Деятельность_УК!$B$48+Деятельность_УК!$B$53)/Параметры!N$126,M108+M114)))/2*12/Параметры!N$40,0)</f>
        <v>8.201471313181663E-3</v>
      </c>
      <c r="O188" s="238">
        <f ca="1">IFERROR((O36-O27)/((O108+O114+IF(O2=1,(Деятельность_УК!$B$48+Деятельность_УК!$B$53)/Параметры!O$126,N108+N114)))/2*12/Параметры!O$40,0)</f>
        <v>6.6483131795990651E-3</v>
      </c>
      <c r="P188" s="238">
        <f ca="1">IFERROR((P36-P27)/((P108+P114+IF(P2=1,(Деятельность_УК!$B$48+Деятельность_УК!$B$53)/Параметры!P$126,O108+O114)))/2*12/Параметры!P$40,0)</f>
        <v>4.3631169843858387E-3</v>
      </c>
      <c r="Q188" s="238">
        <f ca="1">IFERROR((Q36-Q27)/((Q108+Q114+IF(Q2=1,(Деятельность_УК!$B$48+Деятельность_УК!$B$53)/Параметры!Q$126,P108+P114)))/2*12/Параметры!Q$40,0)</f>
        <v>5.4271848996039346E-3</v>
      </c>
      <c r="R188" s="238">
        <f ca="1">IFERROR((R36-R27)/((R108+R114+IF(R2=1,(Деятельность_УК!$B$48+Деятельность_УК!$B$53)/Параметры!R$126,Q108+Q114)))/2*12/Параметры!R$40,0)</f>
        <v>4.8461550827621266E-3</v>
      </c>
      <c r="S188" s="238">
        <f ca="1">IFERROR((S36-S27)/((S108+S114+IF(S2=1,(Деятельность_УК!$B$48+Деятельность_УК!$B$53)/Параметры!S$126,R108+R114)))/2*12/Параметры!S$40,0)</f>
        <v>4.1318522438010827E-3</v>
      </c>
      <c r="T188" s="238">
        <f ca="1">IFERROR((T36-T27)/((T108+T114+IF(T2=1,(Деятельность_УК!$B$48+Деятельность_УК!$B$53)/Параметры!T$126,S108+S114)))/2*12/Параметры!T$40,0)</f>
        <v>3.726460497111317E-3</v>
      </c>
      <c r="U188" s="238">
        <f ca="1">IFERROR((U36-U27)/((U108+U114+IF(U2=1,(Деятельность_УК!$B$48+Деятельность_УК!$B$53)/Параметры!U$126,T108+T114)))/2*12/Параметры!U$40,0)</f>
        <v>1.7173917711176843E-2</v>
      </c>
      <c r="V188" s="238">
        <f ca="1">IFERROR((V36-V27)/((V108+V114+IF(V2=1,(Деятельность_УК!$B$48+Деятельность_УК!$B$53)/Параметры!V$126,U108+U114)))/2*12/Параметры!V$40,0)</f>
        <v>1.8363270219965623E-2</v>
      </c>
      <c r="W188" s="238">
        <f ca="1">IFERROR((W36-W27)/((W108+W114+IF(W2=1,(Деятельность_УК!$B$48+Деятельность_УК!$B$53)/Параметры!W$126,V108+V114)))/2*12/Параметры!W$40,0)</f>
        <v>1.8626577666576574E-2</v>
      </c>
      <c r="X188" s="238">
        <f ca="1">IFERROR((X36-X27)/((X108+X114+IF(X2=1,(Деятельность_УК!$B$48+Деятельность_УК!$B$53)/Параметры!X$126,W108+W114)))/2*12/Параметры!X$40,0)</f>
        <v>1.8876604765575216E-2</v>
      </c>
      <c r="Y188" s="238">
        <f ca="1">IFERROR((Y36-Y27)/((Y108+Y114+IF(Y2=1,(Деятельность_УК!$B$48+Деятельность_УК!$B$53)/Параметры!Y$126,X108+X114)))/2*12/Параметры!Y$40,0)</f>
        <v>1.9211904255302645E-2</v>
      </c>
      <c r="Z188" s="238">
        <f ca="1">IFERROR((Z36-Z27)/((Z108+Z114+IF(Z2=1,(Деятельность_УК!$B$48+Деятельность_УК!$B$53)/Параметры!Z$126,Y108+Y114)))/2*12/Параметры!Z$40,0)</f>
        <v>1.9514132288680854E-2</v>
      </c>
      <c r="AA188" s="238">
        <f ca="1">IFERROR((AA36-AA27)/((AA108+AA114+IF(AA2=1,(Деятельность_УК!$B$48+Деятельность_УК!$B$53)/Параметры!AA$126,Z108+Z114)))/2*12/Параметры!AA$40,0)</f>
        <v>1.981158695028051E-2</v>
      </c>
      <c r="AB188" s="238">
        <f ca="1">IFERROR((AB36-AB27)/((AB108+AB114+IF(AB2=1,(Деятельность_УК!$B$48+Деятельность_УК!$B$53)/Параметры!AB$126,AA108+AA114)))/2*12/Параметры!AB$40,0)</f>
        <v>2.0188637325952649E-2</v>
      </c>
      <c r="AC188" s="238">
        <f ca="1">IFERROR((AC36-AC27)/((AC108+AC114+IF(AC2=1,(Деятельность_УК!$B$48+Деятельность_УК!$B$53)/Параметры!AC$126,AB108+AB114)))/2*12/Параметры!AC$40,0)</f>
        <v>1.9455492831505137E-2</v>
      </c>
      <c r="AD188" s="238">
        <f ca="1">IFERROR((AD36-AD27)/((AD108+AD114+IF(AD2=1,(Деятельность_УК!$B$48+Деятельность_УК!$B$53)/Параметры!AD$126,AC108+AC114)))/2*12/Параметры!AD$40,0)</f>
        <v>1.8951941335274454E-2</v>
      </c>
      <c r="AE188" s="238">
        <f ca="1">IFERROR((AE36-AE27)/((AE108+AE114+IF(AE2=1,(Деятельность_УК!$B$48+Деятельность_УК!$B$53)/Параметры!AE$126,AD108+AD114)))/2*12/Параметры!AE$40,0)</f>
        <v>1.9268192278710777E-2</v>
      </c>
      <c r="AF188" s="238">
        <f ca="1">IFERROR((AF36-AF27)/((AF108+AF114+IF(AF2=1,(Деятельность_УК!$B$48+Деятельность_УК!$B$53)/Параметры!AF$126,AE108+AE114)))/2*12/Параметры!AF$40,0)</f>
        <v>1.9586113901341025E-2</v>
      </c>
      <c r="AG188" s="238">
        <f ca="1">IFERROR((AG36-AG27)/((AG108+AG114+IF(AG2=1,(Деятельность_УК!$B$48+Деятельность_УК!$B$53)/Параметры!AG$126,AF108+AF114)))/2*12/Параметры!AG$40,0)</f>
        <v>1.6108164871383862E-2</v>
      </c>
      <c r="AH188" s="238">
        <f ca="1">IFERROR((AH36-AH27)/((AH108+AH114+IF(AH2=1,(Деятельность_УК!$B$48+Деятельность_УК!$B$53)/Параметры!AH$126,AG108+AG114)))/2*12/Параметры!AH$40,0)</f>
        <v>1.6470881304838529E-2</v>
      </c>
      <c r="AI188" s="238">
        <f ca="1">IFERROR((AI36-AI27)/((AI108+AI114+IF(AI2=1,(Деятельность_УК!$B$48+Деятельность_УК!$B$53)/Параметры!AI$126,AH108+AH114)))/2*12/Параметры!AI$40,0)</f>
        <v>1.6838566582394569E-2</v>
      </c>
      <c r="AJ188" s="238">
        <f ca="1">IFERROR((AJ36-AJ27)/((AJ108+AJ114+IF(AJ2=1,(Деятельность_УК!$B$48+Деятельность_УК!$B$53)/Параметры!AJ$126,AI108+AI114)))/2*12/Параметры!AJ$40,0)</f>
        <v>1.7211179360647887E-2</v>
      </c>
      <c r="AK188" s="238">
        <f ca="1">IFERROR((AK36-AK27)/((AK108+AK114+IF(AK2=1,(Деятельность_УК!$B$48+Деятельность_УК!$B$53)/Параметры!AK$126,AJ108+AJ114)))/2*12/Параметры!AK$40,0)</f>
        <v>4.0275025969735777E-2</v>
      </c>
      <c r="AL188" s="238">
        <f ca="1">IFERROR((AL36-AL27)/((AL108+AL114+IF(AL2=1,(Деятельность_УК!$B$48+Деятельность_УК!$B$53)/Параметры!AL$126,AK108+AK114)))/2*12/Параметры!AL$40,0)</f>
        <v>1.6914671437401184E-2</v>
      </c>
      <c r="AM188" s="238">
        <f ca="1">IFERROR((AM36-AM27)/((AM108+AM114+IF(AM2=1,(Деятельность_УК!$B$48+Деятельность_УК!$B$53)/Параметры!AM$126,AL108+AL114)))/2*12/Параметры!AM$40,0)</f>
        <v>1.7318016234637634E-2</v>
      </c>
      <c r="AN188" s="238">
        <f ca="1">IFERROR((AN36-AN27)/((AN108+AN114+IF(AN2=1,(Деятельность_УК!$B$48+Деятельность_УК!$B$53)/Параметры!AN$126,AM108+AM114)))/2*12/Параметры!AN$40,0)</f>
        <v>1.7709950525715192E-2</v>
      </c>
      <c r="AO188" s="238">
        <f ca="1">IFERROR((AO36-AO27)/((AO108+AO114+IF(AO2=1,(Деятельность_УК!$B$48+Деятельность_УК!$B$53)/Параметры!AO$126,AN108+AN114)))/2*12/Параметры!AO$40,0)</f>
        <v>0.41187427058433818</v>
      </c>
      <c r="AP188" s="238">
        <f ca="1">IFERROR((AP36-AP27)/((AP108+AP114+IF(AP2=1,(Деятельность_УК!$B$48+Деятельность_УК!$B$53)/Параметры!AP$126,AO108+AO114)))/2*12/Параметры!AP$40,0)</f>
        <v>5.3552520366314969E-3</v>
      </c>
      <c r="AQ188" s="238">
        <f ca="1">IFERROR((AQ36-AQ27)/((AQ108+AQ114+IF(AQ2=1,(Деятельность_УК!$B$48+Деятельность_УК!$B$53)/Параметры!AQ$126,AP108+AP114)))/2*12/Параметры!AQ$40,0)</f>
        <v>6.0091490523852369E-3</v>
      </c>
      <c r="AR188" s="238">
        <f ca="1">IFERROR((AR36-AR27)/((AR108+AR114+IF(AR2=1,(Деятельность_УК!$B$48+Деятельность_УК!$B$53)/Параметры!AR$126,AQ108+AQ114)))/2*12/Параметры!AR$40,0)</f>
        <v>6.064582787173943E-3</v>
      </c>
    </row>
    <row r="189" spans="1:46" x14ac:dyDescent="0.2">
      <c r="A189" s="49" t="s">
        <v>352</v>
      </c>
      <c r="B189" s="440">
        <f ca="1">IFERROR(AVERAGEIF(Параметры!$E$46:OFFSET(Параметры!$E$46,0,Параметры!$B$24-1),"&gt;=" &amp; Деятельность_УК!$B$9,E189:OFFSET(E189,0,Параметры!$B$24-1)),0)</f>
        <v>4.0317169539730399E-2</v>
      </c>
      <c r="C189" s="36" t="s">
        <v>14</v>
      </c>
      <c r="D189" s="65"/>
      <c r="E189" s="238">
        <f ca="1">IFERROR(E25/(E114+IF(E2=1,Деятельность_УК!$B$53/Параметры!E$126,D114)+E108+IF(E2=1,Деятельность_УК!$B$48/Параметры!E$126,D108))/2*12/Параметры!E$40,0)</f>
        <v>-5.7207280790505478E-3</v>
      </c>
      <c r="F189" s="238">
        <f ca="1">IFERROR(F25/(F114+IF(F2=1,Деятельность_УК!$B$53/Параметры!F$126,E114)+F108+IF(F2=1,Деятельность_УК!$B$48/Параметры!F$126,E108))/2*12/Параметры!F$40,0)</f>
        <v>-4.0451472846116613E-3</v>
      </c>
      <c r="G189" s="238">
        <f ca="1">IFERROR(G25/(G114+IF(G2=1,Деятельность_УК!$B$53/Параметры!G$126,F114)+G108+IF(G2=1,Деятельность_УК!$B$48/Параметры!G$126,F108))/2*12/Параметры!G$40,0)</f>
        <v>2.1817078084070537E-3</v>
      </c>
      <c r="H189" s="238">
        <f ca="1">IFERROR(H25/(H114+IF(H2=1,Деятельность_УК!$B$53/Параметры!H$126,G114)+H108+IF(H2=1,Деятельность_УК!$B$48/Параметры!H$126,G108))/2*12/Параметры!H$40,0)</f>
        <v>6.2786367177629886E-3</v>
      </c>
      <c r="I189" s="238">
        <f ca="1">IFERROR(I25/(I114+IF(I2=1,Деятельность_УК!$B$53/Параметры!I$126,H114)+I108+IF(I2=1,Деятельность_УК!$B$48/Параметры!I$126,H108))/2*12/Параметры!I$40,0)</f>
        <v>9.5397723188520404E-3</v>
      </c>
      <c r="J189" s="238">
        <f ca="1">IFERROR(J25/(J114+IF(J2=1,Деятельность_УК!$B$53/Параметры!J$126,I114)+J108+IF(J2=1,Деятельность_УК!$B$48/Параметры!J$126,I108))/2*12/Параметры!J$40,0)</f>
        <v>8.8271957073822738E-3</v>
      </c>
      <c r="K189" s="238">
        <f ca="1">IFERROR(K25/(K114+IF(K2=1,Деятельность_УК!$B$53/Параметры!K$126,J114)+K108+IF(K2=1,Деятельность_УК!$B$48/Параметры!K$126,J108))/2*12/Параметры!K$40,0)</f>
        <v>5.7929032812959807E-3</v>
      </c>
      <c r="L189" s="238">
        <f ca="1">IFERROR(L25/(L114+IF(L2=1,Деятельность_УК!$B$53/Параметры!L$126,K114)+L108+IF(L2=1,Деятельность_УК!$B$48/Параметры!L$126,K108))/2*12/Параметры!L$40,0)</f>
        <v>3.6947356396864173E-3</v>
      </c>
      <c r="M189" s="238">
        <f ca="1">IFERROR(M25/(M114+IF(M2=1,Деятельность_УК!$B$53/Параметры!M$126,L114)+M108+IF(M2=1,Деятельность_УК!$B$48/Параметры!M$126,L108))/2*12/Параметры!M$40,0)</f>
        <v>9.2420917655649457E-3</v>
      </c>
      <c r="N189" s="238">
        <f ca="1">IFERROR(N25/(N114+IF(N2=1,Деятельность_УК!$B$53/Параметры!N$126,M114)+N108+IF(N2=1,Деятельность_УК!$B$48/Параметры!N$126,M108))/2*12/Параметры!N$40,0)</f>
        <v>8.2014713131815711E-3</v>
      </c>
      <c r="O189" s="238">
        <f ca="1">IFERROR(O25/(O114+IF(O2=1,Деятельность_УК!$B$53/Параметры!O$126,N114)+O108+IF(O2=1,Деятельность_УК!$B$48/Параметры!O$126,N108))/2*12/Параметры!O$40,0)</f>
        <v>6.6483131795992273E-3</v>
      </c>
      <c r="P189" s="238">
        <f ca="1">IFERROR(P25/(P114+IF(P2=1,Деятельность_УК!$B$53/Параметры!P$126,O114)+P108+IF(P2=1,Деятельность_УК!$B$48/Параметры!P$126,O108))/2*12/Параметры!P$40,0)</f>
        <v>4.3631169843858378E-3</v>
      </c>
      <c r="Q189" s="238">
        <f ca="1">IFERROR(Q25/(Q114+IF(Q2=1,Деятельность_УК!$B$53/Параметры!Q$126,P114)+Q108+IF(Q2=1,Деятельность_УК!$B$48/Параметры!Q$126,P108))/2*12/Параметры!Q$40,0)</f>
        <v>5.4271848996038661E-3</v>
      </c>
      <c r="R189" s="238">
        <f ca="1">IFERROR(R25/(R114+IF(R2=1,Деятельность_УК!$B$53/Параметры!R$126,Q114)+R108+IF(R2=1,Деятельность_УК!$B$48/Параметры!R$126,Q108))/2*12/Параметры!R$40,0)</f>
        <v>4.8461550827622654E-3</v>
      </c>
      <c r="S189" s="238">
        <f ca="1">IFERROR(S25/(S114+IF(S2=1,Деятельность_УК!$B$53/Параметры!S$126,R114)+S108+IF(S2=1,Деятельность_УК!$B$48/Параметры!S$126,R108))/2*12/Параметры!S$40,0)</f>
        <v>4.1318522438011408E-3</v>
      </c>
      <c r="T189" s="238">
        <f ca="1">IFERROR(T25/(T114+IF(T2=1,Деятельность_УК!$B$53/Параметры!T$126,S114)+T108+IF(T2=1,Деятельность_УК!$B$48/Параметры!T$126,S108))/2*12/Параметры!T$40,0)</f>
        <v>3.7264604971113343E-3</v>
      </c>
      <c r="U189" s="238">
        <f ca="1">IFERROR(U25/(U114+IF(U2=1,Деятельность_УК!$B$53/Параметры!U$126,T114)+U108+IF(U2=1,Деятельность_УК!$B$48/Параметры!U$126,T108))/2*12/Параметры!U$40,0)</f>
        <v>1.7173917711176778E-2</v>
      </c>
      <c r="V189" s="238">
        <f ca="1">IFERROR(V25/(V114+IF(V2=1,Деятельность_УК!$B$53/Параметры!V$126,U114)+V108+IF(V2=1,Деятельность_УК!$B$48/Параметры!V$126,U108))/2*12/Параметры!V$40,0)</f>
        <v>1.8363270219965692E-2</v>
      </c>
      <c r="W189" s="238">
        <f ca="1">IFERROR(W25/(W114+IF(W2=1,Деятельность_УК!$B$53/Параметры!W$126,V114)+W108+IF(W2=1,Деятельность_УК!$B$48/Параметры!W$126,V108))/2*12/Параметры!W$40,0)</f>
        <v>1.8626577666576574E-2</v>
      </c>
      <c r="X189" s="238">
        <f ca="1">IFERROR(X25/(X114+IF(X2=1,Деятельность_УК!$B$53/Параметры!X$126,W114)+X108+IF(X2=1,Деятельность_УК!$B$48/Параметры!X$126,W108))/2*12/Параметры!X$40,0)</f>
        <v>1.8876604765575178E-2</v>
      </c>
      <c r="Y189" s="238">
        <f ca="1">IFERROR(Y25/(Y114+IF(Y2=1,Деятельность_УК!$B$53/Параметры!Y$126,X114)+Y108+IF(Y2=1,Деятельность_УК!$B$48/Параметры!Y$126,X108))/2*12/Параметры!Y$40,0)</f>
        <v>1.9211904255302645E-2</v>
      </c>
      <c r="Z189" s="238">
        <f ca="1">IFERROR(Z25/(Z114+IF(Z2=1,Деятельность_УК!$B$53/Параметры!Z$126,Y114)+Z108+IF(Z2=1,Деятельность_УК!$B$48/Параметры!Z$126,Y108))/2*12/Параметры!Z$40,0)</f>
        <v>1.9514132288680854E-2</v>
      </c>
      <c r="AA189" s="238">
        <f ca="1">IFERROR(AA25/(AA114+IF(AA2=1,Деятельность_УК!$B$53/Параметры!AA$126,Z114)+AA108+IF(AA2=1,Деятельность_УК!$B$48/Параметры!AA$126,Z108))/2*12/Параметры!AA$40,0)</f>
        <v>1.9811586950280576E-2</v>
      </c>
      <c r="AB189" s="238">
        <f ca="1">IFERROR(AB25/(AB114+IF(AB2=1,Деятельность_УК!$B$53/Параметры!AB$126,AA114)+AB108+IF(AB2=1,Деятельность_УК!$B$48/Параметры!AB$126,AA108))/2*12/Параметры!AB$40,0)</f>
        <v>2.0188637325952649E-2</v>
      </c>
      <c r="AC189" s="238">
        <f ca="1">IFERROR(AC25/(AC114+IF(AC2=1,Деятельность_УК!$B$53/Параметры!AC$126,AB114)+AC108+IF(AC2=1,Деятельность_УК!$B$48/Параметры!AC$126,AB108))/2*12/Параметры!AC$40,0)</f>
        <v>2.0638029870813455E-2</v>
      </c>
      <c r="AD189" s="238">
        <f ca="1">IFERROR(AD25/(AD114+IF(AD2=1,Деятельность_УК!$B$53/Параметры!AD$126,AC114)+AD108+IF(AD2=1,Деятельность_УК!$B$48/Параметры!AD$126,AC108))/2*12/Параметры!AD$40,0)</f>
        <v>2.1112336063299302E-2</v>
      </c>
      <c r="AE189" s="238">
        <f ca="1">IFERROR(AE25/(AE114+IF(AE2=1,Деятельность_УК!$B$53/Параметры!AE$126,AD114)+AE108+IF(AE2=1,Деятельность_УК!$B$48/Параметры!AE$126,AD108))/2*12/Параметры!AE$40,0)</f>
        <v>2.1601743182258239E-2</v>
      </c>
      <c r="AF189" s="238">
        <f ca="1">IFERROR(AF25/(AF114+IF(AF2=1,Деятельность_УК!$B$53/Параметры!AF$126,AE114)+AF108+IF(AF2=1,Деятельность_УК!$B$48/Параметры!AF$126,AE108))/2*12/Параметры!AF$40,0)</f>
        <v>2.2097788826456032E-2</v>
      </c>
      <c r="AG189" s="238">
        <f ca="1">IFERROR(AG25/(AG114+IF(AG2=1,Деятельность_УК!$B$53/Параметры!AG$126,AF114)+AG108+IF(AG2=1,Деятельность_УК!$B$48/Параметры!AG$126,AF108))/2*12/Параметры!AG$40,0)</f>
        <v>1.8938881867255678E-2</v>
      </c>
      <c r="AH189" s="238">
        <f ca="1">IFERROR(AH25/(AH114+IF(AH2=1,Деятельность_УК!$B$53/Параметры!AH$126,AG114)+AH108+IF(AH2=1,Деятельность_УК!$B$48/Параметры!AH$126,AG108))/2*12/Параметры!AH$40,0)</f>
        <v>1.9551289778826926E-2</v>
      </c>
      <c r="AI189" s="238">
        <f ca="1">IFERROR(AI25/(AI114+IF(AI2=1,Деятельность_УК!$B$53/Параметры!AI$126,AH114)+AI108+IF(AI2=1,Деятельность_УК!$B$48/Параметры!AI$126,AH108))/2*12/Параметры!AI$40,0)</f>
        <v>2.017723570119298E-2</v>
      </c>
      <c r="AJ189" s="238">
        <f ca="1">IFERROR(AJ25/(AJ114+IF(AJ2=1,Деятельность_УК!$B$53/Параметры!AJ$126,AI114)+AJ108+IF(AJ2=1,Деятельность_УК!$B$48/Параметры!AJ$126,AI108))/2*12/Параметры!AJ$40,0)</f>
        <v>2.0816904184346487E-2</v>
      </c>
      <c r="AK189" s="238">
        <f ca="1">IFERROR(AK25/(AK114+IF(AK2=1,Деятельность_УК!$B$53/Параметры!AK$126,AJ114)+AK108+IF(AK2=1,Деятельность_УК!$B$48/Параметры!AK$126,AJ108))/2*12/Параметры!AK$40,0)</f>
        <v>4.9834317246103106E-2</v>
      </c>
      <c r="AL189" s="238">
        <f ca="1">IFERROR(AL25/(AL114+IF(AL2=1,Деятельность_УК!$B$53/Параметры!AL$126,AK114)+AL108+IF(AL2=1,Деятельность_УК!$B$48/Параметры!AL$126,AK108))/2*12/Параметры!AL$40,0)</f>
        <v>2.0825073393000874E-2</v>
      </c>
      <c r="AM189" s="238">
        <f ca="1">IFERROR(AM25/(AM114+IF(AM2=1,Деятельность_УК!$B$53/Параметры!AM$126,AL114)+AM108+IF(AM2=1,Деятельность_УК!$B$48/Параметры!AM$126,AL108))/2*12/Параметры!AM$40,0)</f>
        <v>2.1485331423660409E-2</v>
      </c>
      <c r="AN189" s="238">
        <f ca="1">IFERROR(AN25/(AN114+IF(AN2=1,Деятельность_УК!$B$53/Параметры!AN$126,AM114)+AN108+IF(AN2=1,Деятельность_УК!$B$48/Параметры!AN$126,AM108))/2*12/Параметры!AN$40,0)</f>
        <v>2.2137438157144029E-2</v>
      </c>
      <c r="AO189" s="238">
        <f ca="1">IFERROR(AO25/(AO114+IF(AO2=1,Деятельность_УК!$B$53/Параметры!AO$126,AN114)+AO108+IF(AO2=1,Деятельность_УК!$B$48/Параметры!AO$126,AN108))/2*12/Параметры!AO$40,0)</f>
        <v>0.51484283823042276</v>
      </c>
      <c r="AP189" s="238">
        <f ca="1">IFERROR(AP25/(AP114+IF(AP2=1,Деятельность_УК!$B$53/Параметры!AP$126,AO114)+AP108+IF(AP2=1,Деятельность_УК!$B$48/Параметры!AP$126,AO108))/2*12/Параметры!AP$40,0)</f>
        <v>6.6940650457893713E-3</v>
      </c>
      <c r="AQ189" s="238">
        <f ca="1">IFERROR(AQ25/(AQ114+IF(AQ2=1,Деятельность_УК!$B$53/Параметры!AQ$126,AP114)+AQ108+IF(AQ2=1,Деятельность_УК!$B$48/Параметры!AQ$126,AP108))/2*12/Параметры!AQ$40,0)</f>
        <v>7.5114363154815461E-3</v>
      </c>
      <c r="AR189" s="238">
        <f ca="1">IFERROR(AR25/(AR114+IF(AR2=1,Деятельность_УК!$B$53/Параметры!AR$126,AQ114)+AR108+IF(AR2=1,Деятельность_УК!$B$48/Параметры!AR$126,AQ108))/2*12/Параметры!AR$40,0)</f>
        <v>7.5807284839674279E-3</v>
      </c>
    </row>
    <row r="190" spans="1:46" x14ac:dyDescent="0.2">
      <c r="A190" s="49" t="s">
        <v>130</v>
      </c>
      <c r="B190" s="440">
        <f ca="1">IFERROR(AVERAGEIF(Параметры!$E$46:OFFSET(Параметры!$E$46,0,Параметры!$B$24-1),"&gt;=" &amp; Деятельность_УК!$B$9,E190:OFFSET(E190,0,Параметры!$B$24-1)),0)</f>
        <v>3.7650611013197742E-2</v>
      </c>
      <c r="C190" s="36" t="s">
        <v>14</v>
      </c>
      <c r="D190" s="65"/>
      <c r="E190" s="238">
        <f ca="1">IFERROR((E21+E23+E24)/((E99+IF(E2=1,Деятельность_УК!$B$35/Параметры!E$126,D99)))/2*12/Параметры!E$40,0)</f>
        <v>-5.714841404394288E-3</v>
      </c>
      <c r="F190" s="238">
        <f ca="1">IFERROR((F21+F23+F24)/((F99+IF(F2=1,Деятельность_УК!$B$35/Параметры!F$126,E99)))/2*12/Параметры!F$40,0)</f>
        <v>-4.0392631712554148E-3</v>
      </c>
      <c r="G190" s="238">
        <f ca="1">IFERROR((G21+G23+G24)/((G99+IF(G2=1,Деятельность_УК!$B$35/Параметры!G$126,F99)))/2*12/Параметры!G$40,0)</f>
        <v>2.1768193343217703E-3</v>
      </c>
      <c r="H190" s="238">
        <f ca="1">IFERROR((H21+H23+H24)/((H99+IF(H2=1,Деятельность_УК!$B$35/Параметры!H$126,G99)))/2*12/Параметры!H$40,0)</f>
        <v>6.2525167156599511E-3</v>
      </c>
      <c r="I190" s="238">
        <f ca="1">IFERROR((I21+I23+I24)/((I99+IF(I2=1,Деятельность_УК!$B$35/Параметры!I$126,H99)))/2*12/Параметры!I$40,0)</f>
        <v>9.5098654937955506E-3</v>
      </c>
      <c r="J190" s="238">
        <f ca="1">IFERROR((J21+J23+J24)/((J99+IF(J2=1,Деятельность_УК!$B$35/Параметры!J$126,I99)))/2*12/Параметры!J$40,0)</f>
        <v>8.8164597861168318E-3</v>
      </c>
      <c r="K190" s="238">
        <f ca="1">IFERROR((K21+K23+K24)/((K99+IF(K2=1,Деятельность_УК!$B$35/Параметры!K$126,J99)))/2*12/Параметры!K$40,0)</f>
        <v>5.785455200558111E-3</v>
      </c>
      <c r="L190" s="238">
        <f ca="1">IFERROR((L21+L23+L24)/((L99+IF(L2=1,Деятельность_УК!$B$35/Параметры!L$126,K99)))/2*12/Параметры!L$40,0)</f>
        <v>3.6896949185921224E-3</v>
      </c>
      <c r="M190" s="238">
        <f ca="1">IFERROR((M21+M23+M24)/((M99+IF(M2=1,Деятельность_УК!$B$35/Параметры!M$126,L99)))/2*12/Параметры!M$40,0)</f>
        <v>9.2305161167738677E-3</v>
      </c>
      <c r="N190" s="238">
        <f ca="1">IFERROR((N21+N23+N24)/((N99+IF(N2=1,Деятельность_УК!$B$35/Параметры!N$126,M99)))/2*12/Параметры!N$40,0)</f>
        <v>8.1927119537172754E-3</v>
      </c>
      <c r="O190" s="238">
        <f ca="1">IFERROR((O21+O23+O24)/((O99+IF(O2=1,Деятельность_УК!$B$35/Параметры!O$126,N99)))/2*12/Параметры!O$40,0)</f>
        <v>6.6426069935376642E-3</v>
      </c>
      <c r="P190" s="238">
        <f ca="1">IFERROR((P21+P23+P24)/((P99+IF(P2=1,Деятельность_УК!$B$35/Параметры!P$126,O99)))/2*12/Параметры!P$40,0)</f>
        <v>4.3598198273009205E-3</v>
      </c>
      <c r="Q190" s="238">
        <f ca="1">IFERROR((Q21+Q23+Q24)/((Q99+IF(Q2=1,Деятельность_УК!$B$35/Параметры!Q$126,P99)))/2*12/Параметры!Q$40,0)</f>
        <v>5.4233359289175042E-3</v>
      </c>
      <c r="R190" s="238">
        <f ca="1">IFERROR((R21+R23+R24)/((R99+IF(R2=1,Деятельность_УК!$B$35/Параметры!R$126,Q99)))/2*12/Параметры!R$40,0)</f>
        <v>4.8431630572210588E-3</v>
      </c>
      <c r="S190" s="238">
        <f ca="1">IFERROR((S21+S23+S24)/((S99+IF(S2=1,Деятельность_УК!$B$35/Параметры!S$126,R99)))/2*12/Параметры!S$40,0)</f>
        <v>4.1296999910495078E-3</v>
      </c>
      <c r="T190" s="238">
        <f ca="1">IFERROR((T21+T23+T24)/((T99+IF(T2=1,Деятельность_УК!$B$35/Параметры!T$126,S99)))/2*12/Параметры!T$40,0)</f>
        <v>3.7247277203352387E-3</v>
      </c>
      <c r="U190" s="238">
        <f ca="1">IFERROR((U21+U23+U24)/((U99+IF(U2=1,Деятельность_УК!$B$35/Параметры!U$126,T99)))/2*12/Параметры!U$40,0)</f>
        <v>1.7166147535754128E-2</v>
      </c>
      <c r="V190" s="238">
        <f ca="1">IFERROR((V21+V23+V24)/((V99+IF(V2=1,Деятельность_УК!$B$35/Параметры!V$126,U99)))/2*12/Параметры!V$40,0)</f>
        <v>1.8354849799232395E-2</v>
      </c>
      <c r="W190" s="238">
        <f ca="1">IFERROR((W21+W23+W24)/((W99+IF(W2=1,Деятельность_УК!$B$35/Параметры!W$126,V99)))/2*12/Параметры!W$40,0)</f>
        <v>1.8617971520790141E-2</v>
      </c>
      <c r="X190" s="238">
        <f ca="1">IFERROR((X21+X23+X24)/((X99+IF(X2=1,Деятельность_УК!$B$35/Параметры!X$126,W99)))/2*12/Параметры!X$40,0)</f>
        <v>1.8867823194230054E-2</v>
      </c>
      <c r="Y190" s="238">
        <f ca="1">IFERROR((Y21+Y23+Y24)/((Y99+IF(Y2=1,Деятельность_УК!$B$35/Параметры!Y$126,X99)))/2*12/Параметры!Y$40,0)</f>
        <v>1.9202865301086631E-2</v>
      </c>
      <c r="Z190" s="238">
        <f ca="1">IFERROR((Z21+Z23+Z24)/((Z99+IF(Z2=1,Деятельность_УК!$B$35/Параметры!Z$126,Y99)))/2*12/Параметры!Z$40,0)</f>
        <v>1.9504861621784022E-2</v>
      </c>
      <c r="AA190" s="238">
        <f ca="1">IFERROR((AA21+AA23+AA24)/((AA99+IF(AA2=1,Деятельность_УК!$B$35/Параметры!AA$126,Z99)))/2*12/Параметры!AA$40,0)</f>
        <v>1.9802086866706873E-2</v>
      </c>
      <c r="AB190" s="238">
        <f ca="1">IFERROR((AB21+AB23+AB24)/((AB99+IF(AB2=1,Деятельность_УК!$B$35/Параметры!AB$126,AA99)))/2*12/Параметры!AB$40,0)</f>
        <v>2.0178827859517447E-2</v>
      </c>
      <c r="AC190" s="238">
        <f ca="1">IFERROR((AC21+AC23+AC24)/((AC99+IF(AC2=1,Деятельность_УК!$B$35/Параметры!AC$126,AB99)))/2*12/Параметры!AC$40,0)</f>
        <v>2.0615651779748875E-2</v>
      </c>
      <c r="AD190" s="238">
        <f ca="1">IFERROR((AD21+AD23+AD24)/((AD99+IF(AD2=1,Деятельность_УК!$B$35/Параметры!AD$126,AC99)))/2*12/Параметры!AD$40,0)</f>
        <v>2.1066443292778833E-2</v>
      </c>
      <c r="AE190" s="238">
        <f ca="1">IFERROR((AE21+AE23+AE24)/((AE99+IF(AE2=1,Деятельность_УК!$B$35/Параметры!AE$126,AD99)))/2*12/Параметры!AE$40,0)</f>
        <v>2.1542143526032845E-2</v>
      </c>
      <c r="AF190" s="238">
        <f ca="1">IFERROR((AF21+AF23+AF24)/((AF99+IF(AF2=1,Деятельность_УК!$B$35/Параметры!AF$126,AE99)))/2*12/Параметры!AF$40,0)</f>
        <v>2.2032752191844415E-2</v>
      </c>
      <c r="AG190" s="238">
        <f ca="1">IFERROR((AG21+AG23+AG24)/((AG99+IF(AG2=1,Деятельность_УК!$B$35/Параметры!AG$126,AF99)))/2*12/Параметры!AG$40,0)</f>
        <v>1.8843461313558376E-2</v>
      </c>
      <c r="AH190" s="238">
        <f ca="1">IFERROR((AH21+AH23+AH24)/((AH99+IF(AH2=1,Деятельность_УК!$B$35/Параметры!AH$126,AG99)))/2*12/Параметры!AH$40,0)</f>
        <v>1.941107298874533E-2</v>
      </c>
      <c r="AI190" s="238">
        <f ca="1">IFERROR((AI21+AI23+AI24)/((AI99+IF(AI2=1,Деятельность_УК!$B$35/Параметры!AI$126,AH99)))/2*12/Параметры!AI$40,0)</f>
        <v>2.0027634097192739E-2</v>
      </c>
      <c r="AJ190" s="238">
        <f ca="1">IFERROR((AJ21+AJ23+AJ24)/((AJ99+IF(AJ2=1,Деятельность_УК!$B$35/Параметры!AJ$126,AI99)))/2*12/Параметры!AJ$40,0)</f>
        <v>2.0657348685909814E-2</v>
      </c>
      <c r="AK190" s="238">
        <f ca="1">IFERROR((AK21+AK23+AK24)/((AK99+IF(AK2=1,Деятельность_УК!$B$35/Параметры!AK$126,AJ99)))/2*12/Параметры!AK$40,0)</f>
        <v>4.9306193835141961E-2</v>
      </c>
      <c r="AL190" s="238">
        <f ca="1">IFERROR((AL21+AL23+AL24)/((AL99+IF(AL2=1,Деятельность_УК!$B$35/Параметры!AL$126,AK99)))/2*12/Параметры!AL$40,0)</f>
        <v>2.0604313085285531E-2</v>
      </c>
      <c r="AM190" s="238">
        <f ca="1">IFERROR((AM21+AM23+AM24)/((AM99+IF(AM2=1,Деятельность_УК!$B$35/Параметры!AM$126,AL99)))/2*12/Параметры!AM$40,0)</f>
        <v>2.1315361659521758E-2</v>
      </c>
      <c r="AN190" s="238">
        <f ca="1">IFERROR((AN21+AN23+AN24)/((AN99+IF(AN2=1,Деятельность_УК!$B$35/Параметры!AN$126,AM99)))/2*12/Параметры!AN$40,0)</f>
        <v>2.1956805772798096E-2</v>
      </c>
      <c r="AO190" s="238">
        <f ca="1">IFERROR((AO21+AO23+AO24)/((AO99+IF(AO2=1,Деятельность_УК!$B$35/Параметры!AO$126,AN99)))/2*12/Параметры!AO$40,0)</f>
        <v>0.4535022580315356</v>
      </c>
      <c r="AP190" s="238">
        <f ca="1">IFERROR((AP21+AP23+AP24)/((AP99+IF(AP2=1,Деятельность_УК!$B$35/Параметры!AP$126,AO99)))/2*12/Параметры!AP$40,0)</f>
        <v>6.0222526284967283E-3</v>
      </c>
      <c r="AQ190" s="238">
        <f ca="1">IFERROR((AQ21+AQ23+AQ24)/((AQ99+IF(AQ2=1,Деятельность_УК!$B$35/Параметры!AQ$126,AP99)))/2*12/Параметры!AQ$40,0)</f>
        <v>7.4738767752489119E-3</v>
      </c>
      <c r="AR190" s="238">
        <f ca="1">IFERROR((AR21+AR23+AR24)/((AR99+IF(AR2=1,Деятельность_УК!$B$35/Параметры!AR$126,AQ99)))/2*12/Параметры!AR$40,0)</f>
        <v>7.5416609538045366E-3</v>
      </c>
    </row>
    <row r="191" spans="1:46" x14ac:dyDescent="0.2">
      <c r="A191" s="49" t="s">
        <v>131</v>
      </c>
      <c r="B191" s="440">
        <f ca="1">IFERROR(AVERAGEIF(Параметры!$E$46:OFFSET(Параметры!$E$46,0,Параметры!$B$24-1),"&gt;=" &amp; Деятельность_УК!$B$9,E191:OFFSET(E191,0,Параметры!$B$24-1)),0)</f>
        <v>9.6453484570191914E-2</v>
      </c>
      <c r="C191" s="36" t="s">
        <v>14</v>
      </c>
      <c r="D191" s="65"/>
      <c r="E191" s="238">
        <f ca="1">IFERROR((E21+E23+E24)/((E97+IF(E2=1,Деятельность_УК!$B$33/Параметры!E$126,D97)))/2*12/Параметры!E$40,0)</f>
        <v>-6.8072552077301238E-3</v>
      </c>
      <c r="F191" s="238">
        <f ca="1">IFERROR((F21+F23+F24)/((F97+IF(F2=1,Деятельность_УК!$B$33/Параметры!F$126,E97)))/2*12/Параметры!F$40,0)</f>
        <v>-4.8509194754311246E-3</v>
      </c>
      <c r="G191" s="238">
        <f ca="1">IFERROR((G21+G23+G24)/((G97+IF(G2=1,Деятельность_УК!$B$33/Параметры!G$126,F97)))/2*12/Параметры!G$40,0)</f>
        <v>2.635589426557393E-3</v>
      </c>
      <c r="H191" s="238">
        <f ca="1">IFERROR((H21+H23+H24)/((H97+IF(H2=1,Деятельность_УК!$B$33/Параметры!H$126,G97)))/2*12/Параметры!H$40,0)</f>
        <v>7.6400357324809204E-3</v>
      </c>
      <c r="I191" s="238">
        <f ca="1">IFERROR((I21+I23+I24)/((I97+IF(I2=1,Деятельность_УК!$B$33/Параметры!I$126,H97)))/2*12/Параметры!I$40,0)</f>
        <v>1.1717856118635477E-2</v>
      </c>
      <c r="J191" s="238">
        <f ca="1">IFERROR((J21+J23+J24)/((J97+IF(J2=1,Деятельность_УК!$B$33/Параметры!J$126,I97)))/2*12/Параметры!J$40,0)</f>
        <v>1.0941914932308573E-2</v>
      </c>
      <c r="K191" s="238">
        <f ca="1">IFERROR((K21+K23+K24)/((K97+IF(K2=1,Деятельность_УК!$B$33/Параметры!K$126,J97)))/2*12/Параметры!K$40,0)</f>
        <v>7.2148102751521089E-3</v>
      </c>
      <c r="L191" s="238">
        <f ca="1">IFERROR((L21+L23+L24)/((L97+IF(L2=1,Деятельность_УК!$B$33/Параметры!L$126,K97)))/2*12/Параметры!L$40,0)</f>
        <v>4.6246463987612138E-3</v>
      </c>
      <c r="M191" s="238">
        <f ca="1">IFERROR((M21+M23+M24)/((M97+IF(M2=1,Деятельность_УК!$B$33/Параметры!M$126,L97)))/2*12/Параметры!M$40,0)</f>
        <v>1.1625390598384305E-2</v>
      </c>
      <c r="N191" s="238">
        <f ca="1">IFERROR((N21+N23+N24)/((N97+IF(N2=1,Деятельность_УК!$B$33/Параметры!N$126,M97)))/2*12/Параметры!N$40,0)</f>
        <v>1.0325097422654257E-2</v>
      </c>
      <c r="O191" s="238">
        <f ca="1">IFERROR((O21+O23+O24)/((O97+IF(O2=1,Деятельность_УК!$B$33/Параметры!O$126,N97)))/2*12/Параметры!O$40,0)</f>
        <v>8.349523135135874E-3</v>
      </c>
      <c r="P191" s="238">
        <f ca="1">IFERROR((P21+P23+P24)/((P97+IF(P2=1,Деятельность_УК!$B$33/Параметры!P$126,O97)))/2*12/Параметры!P$40,0)</f>
        <v>5.4784809379441234E-3</v>
      </c>
      <c r="Q191" s="238">
        <f ca="1">IFERROR((Q21+Q23+Q24)/((Q97+IF(Q2=1,Деятельность_УК!$B$33/Параметры!Q$126,P97)))/2*12/Параметры!Q$40,0)</f>
        <v>6.8556698267229097E-3</v>
      </c>
      <c r="R191" s="238">
        <f ca="1">IFERROR((R21+R23+R24)/((R97+IF(R2=1,Деятельность_УК!$B$33/Параметры!R$126,Q97)))/2*12/Параметры!R$40,0)</f>
        <v>6.1581432876002653E-3</v>
      </c>
      <c r="S191" s="238">
        <f ca="1">IFERROR((S21+S23+S24)/((S97+IF(S2=1,Деятельность_УК!$B$33/Параметры!S$126,R97)))/2*12/Параметры!S$40,0)</f>
        <v>5.2617534623607297E-3</v>
      </c>
      <c r="T191" s="238">
        <f ca="1">IFERROR((T21+T23+T24)/((T97+IF(T2=1,Деятельность_УК!$B$33/Параметры!T$126,S97)))/2*12/Параметры!T$40,0)</f>
        <v>4.7641921094833698E-3</v>
      </c>
      <c r="U191" s="238">
        <f ca="1">IFERROR((U21+U23+U24)/((U97+IF(U2=1,Деятельность_УК!$B$33/Параметры!U$126,T97)))/2*12/Параметры!U$40,0)</f>
        <v>2.2118320125449873E-2</v>
      </c>
      <c r="V191" s="238">
        <f ca="1">IFERROR((V21+V23+V24)/((V97+IF(V2=1,Деятельность_УК!$B$33/Параметры!V$126,U97)))/2*12/Параметры!V$40,0)</f>
        <v>2.387831881562073E-2</v>
      </c>
      <c r="W191" s="238">
        <f ca="1">IFERROR((W21+W23+W24)/((W97+IF(W2=1,Деятельность_УК!$B$33/Параметры!W$126,V97)))/2*12/Параметры!W$40,0)</f>
        <v>2.4605652508418372E-2</v>
      </c>
      <c r="X191" s="238">
        <f ca="1">IFERROR((X21+X23+X24)/((X97+IF(X2=1,Деятельность_УК!$B$33/Параметры!X$126,W97)))/2*12/Параметры!X$40,0)</f>
        <v>2.5357212593816902E-2</v>
      </c>
      <c r="Y191" s="238">
        <f ca="1">IFERROR((Y21+Y23+Y24)/((Y97+IF(Y2=1,Деятельность_УК!$B$33/Параметры!Y$126,X97)))/2*12/Параметры!Y$40,0)</f>
        <v>2.6134051354121186E-2</v>
      </c>
      <c r="Z191" s="238">
        <f ca="1">IFERROR((Z21+Z23+Z24)/((Z97+IF(Z2=1,Деятельность_УК!$B$33/Параметры!Z$126,Y97)))/2*12/Параметры!Z$40,0)</f>
        <v>2.6928704430666587E-2</v>
      </c>
      <c r="AA191" s="238">
        <f ca="1">IFERROR((AA21+AA23+AA24)/((AA97+IF(AA2=1,Деятельность_УК!$B$33/Параметры!AA$126,Z97)))/2*12/Параметры!AA$40,0)</f>
        <v>2.7750483571782992E-2</v>
      </c>
      <c r="AB191" s="238">
        <f ca="1">IFERROR((AB21+AB23+AB24)/((AB97+IF(AB2=1,Деятельность_УК!$B$33/Параметры!AB$126,AA97)))/2*12/Параметры!AB$40,0)</f>
        <v>2.8600610456612521E-2</v>
      </c>
      <c r="AC191" s="238">
        <f ca="1">IFERROR((AC21+AC23+AC24)/((AC97+IF(AC2=1,Деятельность_УК!$B$33/Параметры!AC$126,AB97)))/2*12/Параметры!AC$40,0)</f>
        <v>2.9480378839099101E-2</v>
      </c>
      <c r="AD191" s="238">
        <f ca="1">IFERROR((AD21+AD23+AD24)/((AD97+IF(AD2=1,Деятельность_УК!$B$33/Параметры!AD$126,AC97)))/2*12/Параметры!AD$40,0)</f>
        <v>3.0392104486151861E-2</v>
      </c>
      <c r="AE191" s="238">
        <f ca="1">IFERROR((AE21+AE23+AE24)/((AE97+IF(AE2=1,Деятельность_УК!$B$33/Параметры!AE$126,AD97)))/2*12/Параметры!AE$40,0)</f>
        <v>3.133635213569589E-2</v>
      </c>
      <c r="AF191" s="238">
        <f ca="1">IFERROR((AF21+AF23+AF24)/((AF97+IF(AF2=1,Деятельность_УК!$B$33/Параметры!AF$126,AE97)))/2*12/Параметры!AF$40,0)</f>
        <v>3.2314669032205465E-2</v>
      </c>
      <c r="AG191" s="238">
        <f ca="1">IFERROR((AG21+AG23+AG24)/((AG97+IF(AG2=1,Деятельность_УК!$B$33/Параметры!AG$126,AF97)))/2*12/Параметры!AG$40,0)</f>
        <v>2.7879979653946826E-2</v>
      </c>
      <c r="AH191" s="238">
        <f ca="1">IFERROR((AH21+AH23+AH24)/((AH97+IF(AH2=1,Деятельность_УК!$B$33/Параметры!AH$126,AG97)))/2*12/Параметры!AH$40,0)</f>
        <v>2.893174496069122E-2</v>
      </c>
      <c r="AI191" s="238">
        <f ca="1">IFERROR((AI21+AI23+AI24)/((AI97+IF(AI2=1,Деятельность_УК!$B$33/Параметры!AI$126,AH97)))/2*12/Параметры!AI$40,0)</f>
        <v>3.0022833547881735E-2</v>
      </c>
      <c r="AJ191" s="238">
        <f ca="1">IFERROR((AJ21+AJ23+AJ24)/((AJ97+IF(AJ2=1,Деятельность_УК!$B$33/Параметры!AJ$126,AI97)))/2*12/Параметры!AJ$40,0)</f>
        <v>3.1155229045988251E-2</v>
      </c>
      <c r="AK191" s="238">
        <f ca="1">IFERROR((AK21+AK23+AK24)/((AK97+IF(AK2=1,Деятельность_УК!$B$33/Параметры!AK$126,AJ97)))/2*12/Параметры!AK$40,0)</f>
        <v>7.7837350856535106E-2</v>
      </c>
      <c r="AL191" s="238">
        <f ca="1">IFERROR((AL21+AL23+AL24)/((AL97+IF(AL2=1,Деятельность_УК!$B$33/Параметры!AL$126,AK97)))/2*12/Параметры!AL$40,0)</f>
        <v>3.3986411046572525E-2</v>
      </c>
      <c r="AM191" s="238">
        <f ca="1">IFERROR((AM21+AM23+AM24)/((AM97+IF(AM2=1,Деятельность_УК!$B$33/Параметры!AM$126,AL97)))/2*12/Параметры!AM$40,0)</f>
        <v>3.538104281904788E-2</v>
      </c>
      <c r="AN191" s="238">
        <f ca="1">IFERROR((AN21+AN23+AN24)/((AN97+IF(AN2=1,Деятельность_УК!$B$33/Параметры!AN$126,AM97)))/2*12/Параметры!AN$40,0)</f>
        <v>3.6716094305238568E-2</v>
      </c>
      <c r="AO191" s="238">
        <f ca="1">IFERROR((AO21+AO23+AO24)/((AO97+IF(AO2=1,Деятельность_УК!$B$33/Параметры!AO$126,AN97)))/2*12/Параметры!AO$40,0)</f>
        <v>1.5409874104721981</v>
      </c>
      <c r="AP191" s="238">
        <f ca="1">IFERROR((AP21+AP23+AP24)/((AP97+IF(AP2=1,Деятельность_УК!$B$33/Параметры!AP$126,AO97)))/2*12/Параметры!AP$40,0)</f>
        <v>4.2947066938630464E-2</v>
      </c>
      <c r="AQ191" s="238">
        <f ca="1">IFERROR((AQ21+AQ23+AQ24)/((AQ97+IF(AQ2=1,Деятельность_УК!$B$33/Параметры!AQ$126,AP97)))/2*12/Параметры!AQ$40,0)</f>
        <v>4.9270592469663331E-2</v>
      </c>
      <c r="AR191" s="238">
        <f ca="1">IFERROR((AR21+AR23+AR24)/((AR97+IF(AR2=1,Деятельность_УК!$B$33/Параметры!AR$126,AQ97)))/2*12/Параметры!AR$40,0)</f>
        <v>5.0871015218570355E-2</v>
      </c>
    </row>
    <row r="192" spans="1:46" x14ac:dyDescent="0.2">
      <c r="A192" s="49"/>
      <c r="B192" s="2"/>
      <c r="C192" s="36"/>
      <c r="D192" s="65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</row>
    <row r="193" spans="1:46" x14ac:dyDescent="0.2">
      <c r="A193" s="49" t="s">
        <v>385</v>
      </c>
      <c r="B193" s="441">
        <f ca="1">IFERROR(AVERAGEIF(Параметры!$E$46:OFFSET(Параметры!$E$46,0,Параметры!$B$24-1),"&gt;=" &amp; Деятельность_УК!$B$9,E193:OFFSET(E193,0,Параметры!$B$24-1)),0)</f>
        <v>244.2861687159743</v>
      </c>
      <c r="C193" s="36" t="s">
        <v>133</v>
      </c>
      <c r="D193" s="65"/>
      <c r="E193" s="411">
        <f t="shared" ref="E193:AR193" ca="1" si="74">IF(E105&gt;0,E91/E105,0)</f>
        <v>95.52225443129916</v>
      </c>
      <c r="F193" s="411">
        <f t="shared" ca="1" si="74"/>
        <v>134.53260149278285</v>
      </c>
      <c r="G193" s="411">
        <f t="shared" ca="1" si="74"/>
        <v>56.161623024097636</v>
      </c>
      <c r="H193" s="411">
        <f t="shared" ca="1" si="74"/>
        <v>36.26017352781308</v>
      </c>
      <c r="I193" s="411">
        <f t="shared" ca="1" si="74"/>
        <v>148.48027111576229</v>
      </c>
      <c r="J193" s="411">
        <f t="shared" ca="1" si="74"/>
        <v>170.89041866900493</v>
      </c>
      <c r="K193" s="411">
        <f t="shared" ca="1" si="74"/>
        <v>142.13490071045655</v>
      </c>
      <c r="L193" s="411">
        <f t="shared" ca="1" si="74"/>
        <v>154.18345146885832</v>
      </c>
      <c r="M193" s="411">
        <f t="shared" ca="1" si="74"/>
        <v>174.68170225375852</v>
      </c>
      <c r="N193" s="411">
        <f t="shared" ca="1" si="74"/>
        <v>211.89631029849255</v>
      </c>
      <c r="O193" s="411">
        <f t="shared" ca="1" si="74"/>
        <v>264.243460747104</v>
      </c>
      <c r="P193" s="411">
        <f t="shared" ca="1" si="74"/>
        <v>275.70776116900629</v>
      </c>
      <c r="Q193" s="411">
        <f t="shared" ca="1" si="74"/>
        <v>313.30159534455925</v>
      </c>
      <c r="R193" s="411">
        <f t="shared" ca="1" si="74"/>
        <v>378.11272622958319</v>
      </c>
      <c r="S193" s="411">
        <f t="shared" ca="1" si="74"/>
        <v>447.62730100884494</v>
      </c>
      <c r="T193" s="411">
        <f t="shared" ca="1" si="74"/>
        <v>490.60110133147606</v>
      </c>
      <c r="U193" s="411">
        <f t="shared" ca="1" si="74"/>
        <v>499.07747117085421</v>
      </c>
      <c r="V193" s="411">
        <f t="shared" ca="1" si="74"/>
        <v>509.78393434556625</v>
      </c>
      <c r="W193" s="411">
        <f t="shared" ca="1" si="74"/>
        <v>543.41103572699865</v>
      </c>
      <c r="X193" s="411">
        <f t="shared" ca="1" si="74"/>
        <v>556.75300081627734</v>
      </c>
      <c r="Y193" s="411">
        <f t="shared" ca="1" si="74"/>
        <v>570.58984797900962</v>
      </c>
      <c r="Z193" s="411">
        <f t="shared" ca="1" si="74"/>
        <v>589.91009196797927</v>
      </c>
      <c r="AA193" s="411">
        <f t="shared" ca="1" si="74"/>
        <v>604.63801378315111</v>
      </c>
      <c r="AB193" s="411">
        <f t="shared" ca="1" si="74"/>
        <v>607.39734671946326</v>
      </c>
      <c r="AC193" s="411">
        <f t="shared" ca="1" si="74"/>
        <v>180.67367087886407</v>
      </c>
      <c r="AD193" s="411">
        <f t="shared" ca="1" si="74"/>
        <v>116.09281737010627</v>
      </c>
      <c r="AE193" s="411">
        <f t="shared" ca="1" si="74"/>
        <v>110.63420983867702</v>
      </c>
      <c r="AF193" s="411">
        <f t="shared" ca="1" si="74"/>
        <v>105.72408984090906</v>
      </c>
      <c r="AG193" s="411">
        <f t="shared" ca="1" si="74"/>
        <v>46.392980270772654</v>
      </c>
      <c r="AH193" s="411">
        <f t="shared" ca="1" si="74"/>
        <v>45.388116781092464</v>
      </c>
      <c r="AI193" s="411">
        <f t="shared" ca="1" si="74"/>
        <v>44.426874268154883</v>
      </c>
      <c r="AJ193" s="411">
        <f t="shared" ca="1" si="74"/>
        <v>43.507245542990837</v>
      </c>
      <c r="AK193" s="411">
        <f t="shared" ca="1" si="74"/>
        <v>29.47683411735634</v>
      </c>
      <c r="AL193" s="411">
        <f t="shared" ca="1" si="74"/>
        <v>50.475189263615441</v>
      </c>
      <c r="AM193" s="411">
        <f t="shared" ca="1" si="74"/>
        <v>50.035280184718545</v>
      </c>
      <c r="AN193" s="411">
        <f t="shared" ca="1" si="74"/>
        <v>48.510607012230615</v>
      </c>
      <c r="AO193" s="411">
        <f t="shared" ca="1" si="74"/>
        <v>4.8500886475199243</v>
      </c>
      <c r="AP193" s="411">
        <f t="shared" ca="1" si="74"/>
        <v>174.57124066922813</v>
      </c>
      <c r="AQ193" s="411">
        <f t="shared" ca="1" si="74"/>
        <v>165.04785373893174</v>
      </c>
      <c r="AR193" s="411">
        <f t="shared" ca="1" si="74"/>
        <v>165.50020824891476</v>
      </c>
    </row>
    <row r="194" spans="1:46" x14ac:dyDescent="0.2">
      <c r="A194" s="49" t="s">
        <v>386</v>
      </c>
      <c r="B194" s="441">
        <f ca="1">IFERROR(AVERAGEIF(Параметры!$E$46:OFFSET(Параметры!$E$46,0,Параметры!$B$24-1),"&gt;=" &amp; Деятельность_УК!$B$9,E194:OFFSET(E194,0,Параметры!$B$24-1)),0)</f>
        <v>153.35403273364167</v>
      </c>
      <c r="C194" s="36" t="s">
        <v>133</v>
      </c>
      <c r="D194" s="65"/>
      <c r="E194" s="411">
        <f t="shared" ref="E194:AR194" ca="1" si="75">IF(E105&gt;0,(E83+E84+E90)/E105,0)</f>
        <v>3.3116771638272731</v>
      </c>
      <c r="F194" s="411">
        <f t="shared" ca="1" si="75"/>
        <v>7.8562196737104628</v>
      </c>
      <c r="G194" s="411">
        <f t="shared" ca="1" si="75"/>
        <v>6.6121110911556009</v>
      </c>
      <c r="H194" s="411">
        <f t="shared" ca="1" si="75"/>
        <v>6.1207420029529063</v>
      </c>
      <c r="I194" s="411">
        <f t="shared" ca="1" si="75"/>
        <v>32.013526856227124</v>
      </c>
      <c r="J194" s="411">
        <f t="shared" ca="1" si="75"/>
        <v>41.610075706089923</v>
      </c>
      <c r="K194" s="411">
        <f t="shared" ca="1" si="75"/>
        <v>36.982222289789263</v>
      </c>
      <c r="L194" s="411">
        <f t="shared" ca="1" si="75"/>
        <v>44.231110716289152</v>
      </c>
      <c r="M194" s="411">
        <f t="shared" ca="1" si="75"/>
        <v>52.964228073046634</v>
      </c>
      <c r="N194" s="411">
        <f t="shared" ca="1" si="75"/>
        <v>62.436993076178474</v>
      </c>
      <c r="O194" s="411">
        <f t="shared" ca="1" si="75"/>
        <v>73.056246946239369</v>
      </c>
      <c r="P194" s="411">
        <f t="shared" ca="1" si="75"/>
        <v>78.394206920443338</v>
      </c>
      <c r="Q194" s="411">
        <f t="shared" ca="1" si="75"/>
        <v>99.514241031843142</v>
      </c>
      <c r="R194" s="411">
        <f t="shared" ca="1" si="75"/>
        <v>121.60780291491278</v>
      </c>
      <c r="S194" s="411">
        <f t="shared" ca="1" si="75"/>
        <v>144.75640172128135</v>
      </c>
      <c r="T194" s="411">
        <f t="shared" ca="1" si="75"/>
        <v>168.18599216433046</v>
      </c>
      <c r="U194" s="411">
        <f t="shared" ca="1" si="75"/>
        <v>192.45534451095554</v>
      </c>
      <c r="V194" s="411">
        <f t="shared" ca="1" si="75"/>
        <v>219.25156198020917</v>
      </c>
      <c r="W194" s="411">
        <f t="shared" ca="1" si="75"/>
        <v>268.84088198987371</v>
      </c>
      <c r="X194" s="411">
        <f t="shared" ca="1" si="75"/>
        <v>298.01570195679932</v>
      </c>
      <c r="Y194" s="411">
        <f t="shared" ca="1" si="75"/>
        <v>327.55426547510922</v>
      </c>
      <c r="Z194" s="411">
        <f t="shared" ca="1" si="75"/>
        <v>362.41225774102008</v>
      </c>
      <c r="AA194" s="411">
        <f t="shared" ca="1" si="75"/>
        <v>392.54420264241327</v>
      </c>
      <c r="AB194" s="411">
        <f t="shared" ca="1" si="75"/>
        <v>410.57226972422234</v>
      </c>
      <c r="AC194" s="411">
        <f t="shared" ca="1" si="75"/>
        <v>126.92609803955062</v>
      </c>
      <c r="AD194" s="411">
        <f t="shared" ca="1" si="75"/>
        <v>84.484769963517252</v>
      </c>
      <c r="AE194" s="411">
        <f t="shared" ca="1" si="75"/>
        <v>83.202353209979137</v>
      </c>
      <c r="AF194" s="411">
        <f t="shared" ca="1" si="75"/>
        <v>82.064645447441407</v>
      </c>
      <c r="AG194" s="411">
        <f t="shared" ca="1" si="75"/>
        <v>37.132281943771162</v>
      </c>
      <c r="AH194" s="411">
        <f t="shared" ca="1" si="75"/>
        <v>37.318948020594902</v>
      </c>
      <c r="AI194" s="411">
        <f t="shared" ca="1" si="75"/>
        <v>37.50993879487978</v>
      </c>
      <c r="AJ194" s="411">
        <f t="shared" ca="1" si="75"/>
        <v>37.704308061177372</v>
      </c>
      <c r="AK194" s="411">
        <f t="shared" ca="1" si="75"/>
        <v>27.601457573130251</v>
      </c>
      <c r="AL194" s="411">
        <f t="shared" ca="1" si="75"/>
        <v>48.1483527487012</v>
      </c>
      <c r="AM194" s="411">
        <f t="shared" ca="1" si="75"/>
        <v>48.684310860233829</v>
      </c>
      <c r="AN194" s="411">
        <f t="shared" ca="1" si="75"/>
        <v>48.103443619226447</v>
      </c>
      <c r="AO194" s="411">
        <f t="shared" ca="1" si="75"/>
        <v>4.8500886475199243</v>
      </c>
      <c r="AP194" s="411">
        <f t="shared" ca="1" si="75"/>
        <v>174.57124066922813</v>
      </c>
      <c r="AQ194" s="411">
        <f t="shared" ca="1" si="75"/>
        <v>165.04785373893174</v>
      </c>
      <c r="AR194" s="411">
        <f t="shared" ca="1" si="75"/>
        <v>165.50020824891476</v>
      </c>
    </row>
    <row r="195" spans="1:46" x14ac:dyDescent="0.2">
      <c r="A195" s="49"/>
      <c r="B195" s="441"/>
      <c r="C195" s="36"/>
      <c r="D195" s="65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</row>
    <row r="196" spans="1:46" x14ac:dyDescent="0.2">
      <c r="A196" s="49" t="s">
        <v>354</v>
      </c>
      <c r="B196" s="441">
        <f ca="1">IFERROR(AVERAGEIF(Параметры!$E$46:OFFSET(Параметры!$E$46,0,Параметры!$B$24-1),"&gt;=" &amp; Деятельность_УК!$B$9,E196:OFFSET(E196,0,Параметры!$B$24-1)),0)</f>
        <v>0</v>
      </c>
      <c r="C196" s="36" t="s">
        <v>65</v>
      </c>
      <c r="D196" s="65"/>
      <c r="E196" s="411">
        <f ca="1">IFERROR((E84+IF(E$2=1,Деятельность_УК!$B$16/Параметры!E$126,D84))/(2*(1+Деятельность_УК!E$159/Деятельность_УК!E$158))/E7*Параметры!E$39,0)</f>
        <v>0</v>
      </c>
      <c r="F196" s="411">
        <f ca="1">IFERROR((F84+IF(F$2=1,Деятельность_УК!$B$16/Параметры!F$126,E84))/(2*(1+Деятельность_УК!F$159/Деятельность_УК!F$158))/F7*Параметры!F$39,0)</f>
        <v>0</v>
      </c>
      <c r="G196" s="411">
        <f ca="1">IFERROR((G84+IF(G$2=1,Деятельность_УК!$B$16/Параметры!G$126,F84))/(2*(1+Деятельность_УК!G$159/Деятельность_УК!G$158))/G7*Параметры!G$39,0)</f>
        <v>0</v>
      </c>
      <c r="H196" s="411">
        <f ca="1">IFERROR((H84+IF(H$2=1,Деятельность_УК!$B$16/Параметры!H$126,G84))/(2*(1+Деятельность_УК!H$159/Деятельность_УК!H$158))/H7*Параметры!H$39,0)</f>
        <v>0</v>
      </c>
      <c r="I196" s="411">
        <f ca="1">IFERROR((I84+IF(I$2=1,Деятельность_УК!$B$16/Параметры!I$126,H84))/(2*(1+Деятельность_УК!I$159/Деятельность_УК!I$158))/I7*Параметры!I$39,0)</f>
        <v>0</v>
      </c>
      <c r="J196" s="411">
        <f ca="1">IFERROR((J84+IF(J$2=1,Деятельность_УК!$B$16/Параметры!J$126,I84))/(2*(1+Деятельность_УК!J$159/Деятельность_УК!J$158))/J7*Параметры!J$39,0)</f>
        <v>0</v>
      </c>
      <c r="K196" s="411">
        <f ca="1">IFERROR((K84+IF(K$2=1,Деятельность_УК!$B$16/Параметры!K$126,J84))/(2*(1+Деятельность_УК!K$159/Деятельность_УК!K$158))/K7*Параметры!K$39,0)</f>
        <v>0</v>
      </c>
      <c r="L196" s="411">
        <f ca="1">IFERROR((L84+IF(L$2=1,Деятельность_УК!$B$16/Параметры!L$126,K84))/(2*(1+Деятельность_УК!L$159/Деятельность_УК!L$158))/L7*Параметры!L$39,0)</f>
        <v>0</v>
      </c>
      <c r="M196" s="411">
        <f ca="1">IFERROR((M84+IF(M$2=1,Деятельность_УК!$B$16/Параметры!M$126,L84))/(2*(1+Деятельность_УК!M$159/Деятельность_УК!M$158))/M7*Параметры!M$39,0)</f>
        <v>0</v>
      </c>
      <c r="N196" s="411">
        <f ca="1">IFERROR((N84+IF(N$2=1,Деятельность_УК!$B$16/Параметры!N$126,M84))/(2*(1+Деятельность_УК!N$159/Деятельность_УК!N$158))/N7*Параметры!N$39,0)</f>
        <v>0</v>
      </c>
      <c r="O196" s="411">
        <f ca="1">IFERROR((O84+IF(O$2=1,Деятельность_УК!$B$16/Параметры!O$126,N84))/(2*(1+Деятельность_УК!O$159/Деятельность_УК!O$158))/O7*Параметры!O$39,0)</f>
        <v>0</v>
      </c>
      <c r="P196" s="411">
        <f ca="1">IFERROR((P84+IF(P$2=1,Деятельность_УК!$B$16/Параметры!P$126,O84))/(2*(1+Деятельность_УК!P$159/Деятельность_УК!P$158))/P7*Параметры!P$39,0)</f>
        <v>0</v>
      </c>
      <c r="Q196" s="411">
        <f ca="1">IFERROR((Q84+IF(Q$2=1,Деятельность_УК!$B$16/Параметры!Q$126,P84))/(2*(1+Деятельность_УК!Q$159/Деятельность_УК!Q$158))/Q7*Параметры!Q$39,0)</f>
        <v>0</v>
      </c>
      <c r="R196" s="411">
        <f ca="1">IFERROR((R84+IF(R$2=1,Деятельность_УК!$B$16/Параметры!R$126,Q84))/(2*(1+Деятельность_УК!R$159/Деятельность_УК!R$158))/R7*Параметры!R$39,0)</f>
        <v>0</v>
      </c>
      <c r="S196" s="411">
        <f ca="1">IFERROR((S84+IF(S$2=1,Деятельность_УК!$B$16/Параметры!S$126,R84))/(2*(1+Деятельность_УК!S$159/Деятельность_УК!S$158))/S7*Параметры!S$39,0)</f>
        <v>0</v>
      </c>
      <c r="T196" s="411">
        <f ca="1">IFERROR((T84+IF(T$2=1,Деятельность_УК!$B$16/Параметры!T$126,S84))/(2*(1+Деятельность_УК!T$159/Деятельность_УК!T$158))/T7*Параметры!T$39,0)</f>
        <v>0</v>
      </c>
      <c r="U196" s="411">
        <f ca="1">IFERROR((U84+IF(U$2=1,Деятельность_УК!$B$16/Параметры!U$126,T84))/(2*(1+Деятельность_УК!U$159/Деятельность_УК!U$158))/U7*Параметры!U$39,0)</f>
        <v>0</v>
      </c>
      <c r="V196" s="411">
        <f ca="1">IFERROR((V84+IF(V$2=1,Деятельность_УК!$B$16/Параметры!V$126,U84))/(2*(1+Деятельность_УК!V$159/Деятельность_УК!V$158))/V7*Параметры!V$39,0)</f>
        <v>0</v>
      </c>
      <c r="W196" s="411">
        <f ca="1">IFERROR((W84+IF(W$2=1,Деятельность_УК!$B$16/Параметры!W$126,V84))/(2*(1+Деятельность_УК!W$159/Деятельность_УК!W$158))/W7*Параметры!W$39,0)</f>
        <v>0</v>
      </c>
      <c r="X196" s="411">
        <f ca="1">IFERROR((X84+IF(X$2=1,Деятельность_УК!$B$16/Параметры!X$126,W84))/(2*(1+Деятельность_УК!X$159/Деятельность_УК!X$158))/X7*Параметры!X$39,0)</f>
        <v>0</v>
      </c>
      <c r="Y196" s="411">
        <f ca="1">IFERROR((Y84+IF(Y$2=1,Деятельность_УК!$B$16/Параметры!Y$126,X84))/(2*(1+Деятельность_УК!Y$159/Деятельность_УК!Y$158))/Y7*Параметры!Y$39,0)</f>
        <v>0</v>
      </c>
      <c r="Z196" s="411">
        <f ca="1">IFERROR((Z84+IF(Z$2=1,Деятельность_УК!$B$16/Параметры!Z$126,Y84))/(2*(1+Деятельность_УК!Z$159/Деятельность_УК!Z$158))/Z7*Параметры!Z$39,0)</f>
        <v>0</v>
      </c>
      <c r="AA196" s="411">
        <f ca="1">IFERROR((AA84+IF(AA$2=1,Деятельность_УК!$B$16/Параметры!AA$126,Z84))/(2*(1+Деятельность_УК!AA$159/Деятельность_УК!AA$158))/AA7*Параметры!AA$39,0)</f>
        <v>0</v>
      </c>
      <c r="AB196" s="411">
        <f ca="1">IFERROR((AB84+IF(AB$2=1,Деятельность_УК!$B$16/Параметры!AB$126,AA84))/(2*(1+Деятельность_УК!AB$159/Деятельность_УК!AB$158))/AB7*Параметры!AB$39,0)</f>
        <v>0</v>
      </c>
      <c r="AC196" s="411">
        <f ca="1">IFERROR((AC84+IF(AC$2=1,Деятельность_УК!$B$16/Параметры!AC$126,AB84))/(2*(1+Деятельность_УК!AC$159/Деятельность_УК!AC$158))/AC7*Параметры!AC$39,0)</f>
        <v>0</v>
      </c>
      <c r="AD196" s="411">
        <f ca="1">IFERROR((AD84+IF(AD$2=1,Деятельность_УК!$B$16/Параметры!AD$126,AC84))/(2*(1+Деятельность_УК!AD$159/Деятельность_УК!AD$158))/AD7*Параметры!AD$39,0)</f>
        <v>0</v>
      </c>
      <c r="AE196" s="411">
        <f ca="1">IFERROR((AE84+IF(AE$2=1,Деятельность_УК!$B$16/Параметры!AE$126,AD84))/(2*(1+Деятельность_УК!AE$159/Деятельность_УК!AE$158))/AE7*Параметры!AE$39,0)</f>
        <v>0</v>
      </c>
      <c r="AF196" s="411">
        <f ca="1">IFERROR((AF84+IF(AF$2=1,Деятельность_УК!$B$16/Параметры!AF$126,AE84))/(2*(1+Деятельность_УК!AF$159/Деятельность_УК!AF$158))/AF7*Параметры!AF$39,0)</f>
        <v>0</v>
      </c>
      <c r="AG196" s="411">
        <f ca="1">IFERROR((AG84+IF(AG$2=1,Деятельность_УК!$B$16/Параметры!AG$126,AF84))/(2*(1+Деятельность_УК!AG$159/Деятельность_УК!AG$158))/AG7*Параметры!AG$39,0)</f>
        <v>0</v>
      </c>
      <c r="AH196" s="411">
        <f ca="1">IFERROR((AH84+IF(AH$2=1,Деятельность_УК!$B$16/Параметры!AH$126,AG84))/(2*(1+Деятельность_УК!AH$159/Деятельность_УК!AH$158))/AH7*Параметры!AH$39,0)</f>
        <v>0</v>
      </c>
      <c r="AI196" s="411">
        <f ca="1">IFERROR((AI84+IF(AI$2=1,Деятельность_УК!$B$16/Параметры!AI$126,AH84))/(2*(1+Деятельность_УК!AI$159/Деятельность_УК!AI$158))/AI7*Параметры!AI$39,0)</f>
        <v>0</v>
      </c>
      <c r="AJ196" s="411">
        <f ca="1">IFERROR((AJ84+IF(AJ$2=1,Деятельность_УК!$B$16/Параметры!AJ$126,AI84))/(2*(1+Деятельность_УК!AJ$159/Деятельность_УК!AJ$158))/AJ7*Параметры!AJ$39,0)</f>
        <v>0</v>
      </c>
      <c r="AK196" s="411">
        <f ca="1">IFERROR((AK84+IF(AK$2=1,Деятельность_УК!$B$16/Параметры!AK$126,AJ84))/(2*(1+Деятельность_УК!AK$159/Деятельность_УК!AK$158))/AK7*Параметры!AK$39,0)</f>
        <v>0</v>
      </c>
      <c r="AL196" s="411">
        <f ca="1">IFERROR((AL84+IF(AL$2=1,Деятельность_УК!$B$16/Параметры!AL$126,AK84))/(2*(1+Деятельность_УК!AL$159/Деятельность_УК!AL$158))/AL7*Параметры!AL$39,0)</f>
        <v>0</v>
      </c>
      <c r="AM196" s="411">
        <f ca="1">IFERROR((AM84+IF(AM$2=1,Деятельность_УК!$B$16/Параметры!AM$126,AL84))/(2*(1+Деятельность_УК!AM$159/Деятельность_УК!AM$158))/AM7*Параметры!AM$39,0)</f>
        <v>0</v>
      </c>
      <c r="AN196" s="411">
        <f ca="1">IFERROR((AN84+IF(AN$2=1,Деятельность_УК!$B$16/Параметры!AN$126,AM84))/(2*(1+Деятельность_УК!AN$159/Деятельность_УК!AN$158))/AN7*Параметры!AN$39,0)</f>
        <v>0</v>
      </c>
      <c r="AO196" s="411">
        <f ca="1">IFERROR((AO84+IF(AO$2=1,Деятельность_УК!$B$16/Параметры!AO$126,AN84))/(2*(1+Деятельность_УК!AO$159/Деятельность_УК!AO$158))/AO7*Параметры!AO$39,0)</f>
        <v>0</v>
      </c>
      <c r="AP196" s="411">
        <f ca="1">IFERROR((AP84+IF(AP$2=1,Деятельность_УК!$B$16/Параметры!AP$126,AO84))/(2*(1+Деятельность_УК!AP$159/Деятельность_УК!AP$158))/AP7*Параметры!AP$39,0)</f>
        <v>0</v>
      </c>
      <c r="AQ196" s="411">
        <f ca="1">IFERROR((AQ84+IF(AQ$2=1,Деятельность_УК!$B$16/Параметры!AQ$126,AP84))/(2*(1+Деятельность_УК!AQ$159/Деятельность_УК!AQ$158))/AQ7*Параметры!AQ$39,0)</f>
        <v>0</v>
      </c>
      <c r="AR196" s="411">
        <f ca="1">IFERROR((AR84+IF(AR$2=1,Деятельность_УК!$B$16/Параметры!AR$126,AQ84))/(2*(1+Деятельность_УК!AR$159/Деятельность_УК!AR$158))/AR7*Параметры!AR$39,0)</f>
        <v>0</v>
      </c>
    </row>
    <row r="197" spans="1:46" x14ac:dyDescent="0.2">
      <c r="A197" s="49" t="s">
        <v>353</v>
      </c>
      <c r="B197" s="441">
        <f ca="1">IFERROR(AVERAGEIF(Параметры!$E$46:OFFSET(Параметры!$E$46,0,Параметры!$B$24-1),"&gt;=" &amp; Деятельность_УК!$B$9,E197:OFFSET(E197,0,Параметры!$B$24-1)),0)</f>
        <v>0</v>
      </c>
      <c r="C197" s="36" t="s">
        <v>65</v>
      </c>
      <c r="D197" s="65"/>
      <c r="E197" s="411">
        <f>IFERROR((IF(E$2=1,Деятельность_УК!$B$37/Параметры!E$126,0))/(-E11)/2*Параметры!E$39,0)</f>
        <v>0</v>
      </c>
      <c r="F197" s="411">
        <f>IFERROR((IF(F$2=1,Деятельность_УК!$B$37/Параметры!F$126,0))/(-F11)/2*Параметры!F$39,0)</f>
        <v>0</v>
      </c>
      <c r="G197" s="411">
        <f>IFERROR((IF(G$2=1,Деятельность_УК!$B$37/Параметры!G$126,0))/(-G11)/2*Параметры!G$39,0)</f>
        <v>0</v>
      </c>
      <c r="H197" s="411">
        <f>IFERROR((IF(H$2=1,Деятельность_УК!$B$37/Параметры!H$126,0))/(-H11)/2*Параметры!H$39,0)</f>
        <v>0</v>
      </c>
      <c r="I197" s="411">
        <f>IFERROR((IF(I$2=1,Деятельность_УК!$B$37/Параметры!I$126,0))/(-I11)/2*Параметры!I$39,0)</f>
        <v>0</v>
      </c>
      <c r="J197" s="411">
        <f>IFERROR((IF(J$2=1,Деятельность_УК!$B$37/Параметры!J$126,0))/(-J11)/2*Параметры!J$39,0)</f>
        <v>0</v>
      </c>
      <c r="K197" s="411">
        <f>IFERROR((IF(K$2=1,Деятельность_УК!$B$37/Параметры!K$126,0))/(-K11)/2*Параметры!K$39,0)</f>
        <v>0</v>
      </c>
      <c r="L197" s="411">
        <f>IFERROR((IF(L$2=1,Деятельность_УК!$B$37/Параметры!L$126,0))/(-L11)/2*Параметры!L$39,0)</f>
        <v>0</v>
      </c>
      <c r="M197" s="411">
        <f>IFERROR((IF(M$2=1,Деятельность_УК!$B$37/Параметры!M$126,0))/(-M11)/2*Параметры!M$39,0)</f>
        <v>0</v>
      </c>
      <c r="N197" s="411">
        <f>IFERROR((IF(N$2=1,Деятельность_УК!$B$37/Параметры!N$126,0))/(-N11)/2*Параметры!N$39,0)</f>
        <v>0</v>
      </c>
      <c r="O197" s="411">
        <f>IFERROR((IF(O$2=1,Деятельность_УК!$B$37/Параметры!O$126,0))/(-O11)/2*Параметры!O$39,0)</f>
        <v>0</v>
      </c>
      <c r="P197" s="411">
        <f>IFERROR((IF(P$2=1,Деятельность_УК!$B$37/Параметры!P$126,0))/(-P11)/2*Параметры!P$39,0)</f>
        <v>0</v>
      </c>
      <c r="Q197" s="411">
        <f>IFERROR((IF(Q$2=1,Деятельность_УК!$B$37/Параметры!Q$126,0))/(-Q11)/2*Параметры!Q$39,0)</f>
        <v>0</v>
      </c>
      <c r="R197" s="411">
        <f>IFERROR((IF(R$2=1,Деятельность_УК!$B$37/Параметры!R$126,0))/(-R11)/2*Параметры!R$39,0)</f>
        <v>0</v>
      </c>
      <c r="S197" s="411">
        <f>IFERROR((IF(S$2=1,Деятельность_УК!$B$37/Параметры!S$126,0))/(-S11)/2*Параметры!S$39,0)</f>
        <v>0</v>
      </c>
      <c r="T197" s="411">
        <f>IFERROR((IF(T$2=1,Деятельность_УК!$B$37/Параметры!T$126,0))/(-T11)/2*Параметры!T$39,0)</f>
        <v>0</v>
      </c>
      <c r="U197" s="411">
        <f>IFERROR((IF(U$2=1,Деятельность_УК!$B$37/Параметры!U$126,0))/(-U11)/2*Параметры!U$39,0)</f>
        <v>0</v>
      </c>
      <c r="V197" s="411">
        <f>IFERROR((IF(V$2=1,Деятельность_УК!$B$37/Параметры!V$126,0))/(-V11)/2*Параметры!V$39,0)</f>
        <v>0</v>
      </c>
      <c r="W197" s="411">
        <f>IFERROR((IF(W$2=1,Деятельность_УК!$B$37/Параметры!W$126,0))/(-W11)/2*Параметры!W$39,0)</f>
        <v>0</v>
      </c>
      <c r="X197" s="411">
        <f>IFERROR((IF(X$2=1,Деятельность_УК!$B$37/Параметры!X$126,0))/(-X11)/2*Параметры!X$39,0)</f>
        <v>0</v>
      </c>
      <c r="Y197" s="411">
        <f>IFERROR((IF(Y$2=1,Деятельность_УК!$B$37/Параметры!Y$126,0))/(-Y11)/2*Параметры!Y$39,0)</f>
        <v>0</v>
      </c>
      <c r="Z197" s="411">
        <f>IFERROR((IF(Z$2=1,Деятельность_УК!$B$37/Параметры!Z$126,0))/(-Z11)/2*Параметры!Z$39,0)</f>
        <v>0</v>
      </c>
      <c r="AA197" s="411">
        <f>IFERROR((IF(AA$2=1,Деятельность_УК!$B$37/Параметры!AA$126,0))/(-AA11)/2*Параметры!AA$39,0)</f>
        <v>0</v>
      </c>
      <c r="AB197" s="411">
        <f>IFERROR((IF(AB$2=1,Деятельность_УК!$B$37/Параметры!AB$126,0))/(-AB11)/2*Параметры!AB$39,0)</f>
        <v>0</v>
      </c>
      <c r="AC197" s="411">
        <f>IFERROR((IF(AC$2=1,Деятельность_УК!$B$37/Параметры!AC$126,0))/(-AC11)/2*Параметры!AC$39,0)</f>
        <v>0</v>
      </c>
      <c r="AD197" s="411">
        <f>IFERROR((IF(AD$2=1,Деятельность_УК!$B$37/Параметры!AD$126,0))/(-AD11)/2*Параметры!AD$39,0)</f>
        <v>0</v>
      </c>
      <c r="AE197" s="411">
        <f>IFERROR((IF(AE$2=1,Деятельность_УК!$B$37/Параметры!AE$126,0))/(-AE11)/2*Параметры!AE$39,0)</f>
        <v>0</v>
      </c>
      <c r="AF197" s="411">
        <f>IFERROR((IF(AF$2=1,Деятельность_УК!$B$37/Параметры!AF$126,0))/(-AF11)/2*Параметры!AF$39,0)</f>
        <v>0</v>
      </c>
      <c r="AG197" s="411">
        <f>IFERROR((IF(AG$2=1,Деятельность_УК!$B$37/Параметры!AG$126,0))/(-AG11)/2*Параметры!AG$39,0)</f>
        <v>0</v>
      </c>
      <c r="AH197" s="411">
        <f>IFERROR((IF(AH$2=1,Деятельность_УК!$B$37/Параметры!AH$126,0))/(-AH11)/2*Параметры!AH$39,0)</f>
        <v>0</v>
      </c>
      <c r="AI197" s="411">
        <f>IFERROR((IF(AI$2=1,Деятельность_УК!$B$37/Параметры!AI$126,0))/(-AI11)/2*Параметры!AI$39,0)</f>
        <v>0</v>
      </c>
      <c r="AJ197" s="411">
        <f>IFERROR((IF(AJ$2=1,Деятельность_УК!$B$37/Параметры!AJ$126,0))/(-AJ11)/2*Параметры!AJ$39,0)</f>
        <v>0</v>
      </c>
      <c r="AK197" s="411">
        <f>IFERROR((IF(AK$2=1,Деятельность_УК!$B$37/Параметры!AK$126,0))/(-AK11)/2*Параметры!AK$39,0)</f>
        <v>0</v>
      </c>
      <c r="AL197" s="411">
        <f>IFERROR((IF(AL$2=1,Деятельность_УК!$B$37/Параметры!AL$126,0))/(-AL11)/2*Параметры!AL$39,0)</f>
        <v>0</v>
      </c>
      <c r="AM197" s="411">
        <f>IFERROR((IF(AM$2=1,Деятельность_УК!$B$37/Параметры!AM$126,0))/(-AM11)/2*Параметры!AM$39,0)</f>
        <v>0</v>
      </c>
      <c r="AN197" s="411">
        <f>IFERROR((IF(AN$2=1,Деятельность_УК!$B$37/Параметры!AN$126,0))/(-AN11)/2*Параметры!AN$39,0)</f>
        <v>0</v>
      </c>
      <c r="AO197" s="411">
        <f>IFERROR((IF(AO$2=1,Деятельность_УК!$B$37/Параметры!AO$126,0))/(-AO11)/2*Параметры!AO$39,0)</f>
        <v>0</v>
      </c>
      <c r="AP197" s="411">
        <f>IFERROR((IF(AP$2=1,Деятельность_УК!$B$37/Параметры!AP$126,0))/(-AP11)/2*Параметры!AP$39,0)</f>
        <v>0</v>
      </c>
      <c r="AQ197" s="411">
        <f>IFERROR((IF(AQ$2=1,Деятельность_УК!$B$37/Параметры!AQ$126,0))/(-AQ11)/2*Параметры!AQ$39,0)</f>
        <v>0</v>
      </c>
      <c r="AR197" s="411">
        <f>IFERROR((IF(AR$2=1,Деятельность_УК!$B$37/Параметры!AR$126,0))/(-AR11)/2*Параметры!AR$39,0)</f>
        <v>0</v>
      </c>
    </row>
    <row r="198" spans="1:46" x14ac:dyDescent="0.2">
      <c r="A198" s="49" t="s">
        <v>430</v>
      </c>
      <c r="B198" s="441">
        <f ca="1">IFERROR(AVERAGEIF(Параметры!$E$46:OFFSET(Параметры!$E$46,0,Параметры!$B$24-1),"&gt;=" &amp; Деятельность_УК!$B$9,E198:OFFSET(E198,0,Параметры!$B$24-1)),0)</f>
        <v>0</v>
      </c>
      <c r="C198" s="36" t="s">
        <v>65</v>
      </c>
      <c r="D198" s="65"/>
      <c r="E198" s="411">
        <f>IFERROR((E86+IF(E$2=1,Деятельность_УК!$B$18/Параметры!E$126,D86))/2/-E11*Параметры!E$39,0)</f>
        <v>0</v>
      </c>
      <c r="F198" s="411">
        <f>IFERROR((F86+IF(F$2=1,Деятельность_УК!$B$18/Параметры!F$126,E86))/2/-F11*Параметры!F$39,0)</f>
        <v>0</v>
      </c>
      <c r="G198" s="411">
        <f>IFERROR((G86+IF(G$2=1,Деятельность_УК!$B$18/Параметры!G$126,F86))/2/-G11*Параметры!G$39,0)</f>
        <v>0</v>
      </c>
      <c r="H198" s="411">
        <f>IFERROR((H86+IF(H$2=1,Деятельность_УК!$B$18/Параметры!H$126,G86))/2/-H11*Параметры!H$39,0)</f>
        <v>0</v>
      </c>
      <c r="I198" s="411">
        <f>IFERROR((I86+IF(I$2=1,Деятельность_УК!$B$18/Параметры!I$126,H86))/2/-I11*Параметры!I$39,0)</f>
        <v>0</v>
      </c>
      <c r="J198" s="411">
        <f>IFERROR((J86+IF(J$2=1,Деятельность_УК!$B$18/Параметры!J$126,I86))/2/-J11*Параметры!J$39,0)</f>
        <v>0</v>
      </c>
      <c r="K198" s="411">
        <f>IFERROR((K86+IF(K$2=1,Деятельность_УК!$B$18/Параметры!K$126,J86))/2/-K11*Параметры!K$39,0)</f>
        <v>0</v>
      </c>
      <c r="L198" s="411">
        <f>IFERROR((L86+IF(L$2=1,Деятельность_УК!$B$18/Параметры!L$126,K86))/2/-L11*Параметры!L$39,0)</f>
        <v>0</v>
      </c>
      <c r="M198" s="411">
        <f>IFERROR((M86+IF(M$2=1,Деятельность_УК!$B$18/Параметры!M$126,L86))/2/-M11*Параметры!M$39,0)</f>
        <v>0</v>
      </c>
      <c r="N198" s="411">
        <f>IFERROR((N86+IF(N$2=1,Деятельность_УК!$B$18/Параметры!N$126,M86))/2/-N11*Параметры!N$39,0)</f>
        <v>0</v>
      </c>
      <c r="O198" s="411">
        <f>IFERROR((O86+IF(O$2=1,Деятельность_УК!$B$18/Параметры!O$126,N86))/2/-O11*Параметры!O$39,0)</f>
        <v>0</v>
      </c>
      <c r="P198" s="411">
        <f>IFERROR((P86+IF(P$2=1,Деятельность_УК!$B$18/Параметры!P$126,O86))/2/-P11*Параметры!P$39,0)</f>
        <v>0</v>
      </c>
      <c r="Q198" s="411">
        <f>IFERROR((Q86+IF(Q$2=1,Деятельность_УК!$B$18/Параметры!Q$126,P86))/2/-Q11*Параметры!Q$39,0)</f>
        <v>0</v>
      </c>
      <c r="R198" s="411">
        <f>IFERROR((R86+IF(R$2=1,Деятельность_УК!$B$18/Параметры!R$126,Q86))/2/-R11*Параметры!R$39,0)</f>
        <v>0</v>
      </c>
      <c r="S198" s="411">
        <f>IFERROR((S86+IF(S$2=1,Деятельность_УК!$B$18/Параметры!S$126,R86))/2/-S11*Параметры!S$39,0)</f>
        <v>0</v>
      </c>
      <c r="T198" s="411">
        <f>IFERROR((T86+IF(T$2=1,Деятельность_УК!$B$18/Параметры!T$126,S86))/2/-T11*Параметры!T$39,0)</f>
        <v>0</v>
      </c>
      <c r="U198" s="411">
        <f>IFERROR((U86+IF(U$2=1,Деятельность_УК!$B$18/Параметры!U$126,T86))/2/-U11*Параметры!U$39,0)</f>
        <v>0</v>
      </c>
      <c r="V198" s="411">
        <f>IFERROR((V86+IF(V$2=1,Деятельность_УК!$B$18/Параметры!V$126,U86))/2/-V11*Параметры!V$39,0)</f>
        <v>0</v>
      </c>
      <c r="W198" s="411">
        <f>IFERROR((W86+IF(W$2=1,Деятельность_УК!$B$18/Параметры!W$126,V86))/2/-W11*Параметры!W$39,0)</f>
        <v>0</v>
      </c>
      <c r="X198" s="411">
        <f>IFERROR((X86+IF(X$2=1,Деятельность_УК!$B$18/Параметры!X$126,W86))/2/-X11*Параметры!X$39,0)</f>
        <v>0</v>
      </c>
      <c r="Y198" s="411">
        <f>IFERROR((Y86+IF(Y$2=1,Деятельность_УК!$B$18/Параметры!Y$126,X86))/2/-Y11*Параметры!Y$39,0)</f>
        <v>0</v>
      </c>
      <c r="Z198" s="411">
        <f>IFERROR((Z86+IF(Z$2=1,Деятельность_УК!$B$18/Параметры!Z$126,Y86))/2/-Z11*Параметры!Z$39,0)</f>
        <v>0</v>
      </c>
      <c r="AA198" s="411">
        <f>IFERROR((AA86+IF(AA$2=1,Деятельность_УК!$B$18/Параметры!AA$126,Z86))/2/-AA11*Параметры!AA$39,0)</f>
        <v>0</v>
      </c>
      <c r="AB198" s="411">
        <f>IFERROR((AB86+IF(AB$2=1,Деятельность_УК!$B$18/Параметры!AB$126,AA86))/2/-AB11*Параметры!AB$39,0)</f>
        <v>0</v>
      </c>
      <c r="AC198" s="411">
        <f>IFERROR((AC86+IF(AC$2=1,Деятельность_УК!$B$18/Параметры!AC$126,AB86))/2/-AC11*Параметры!AC$39,0)</f>
        <v>0</v>
      </c>
      <c r="AD198" s="411">
        <f>IFERROR((AD86+IF(AD$2=1,Деятельность_УК!$B$18/Параметры!AD$126,AC86))/2/-AD11*Параметры!AD$39,0)</f>
        <v>0</v>
      </c>
      <c r="AE198" s="411">
        <f>IFERROR((AE86+IF(AE$2=1,Деятельность_УК!$B$18/Параметры!AE$126,AD86))/2/-AE11*Параметры!AE$39,0)</f>
        <v>0</v>
      </c>
      <c r="AF198" s="411">
        <f>IFERROR((AF86+IF(AF$2=1,Деятельность_УК!$B$18/Параметры!AF$126,AE86))/2/-AF11*Параметры!AF$39,0)</f>
        <v>0</v>
      </c>
      <c r="AG198" s="411">
        <f>IFERROR((AG86+IF(AG$2=1,Деятельность_УК!$B$18/Параметры!AG$126,AF86))/2/-AG11*Параметры!AG$39,0)</f>
        <v>0</v>
      </c>
      <c r="AH198" s="411">
        <f>IFERROR((AH86+IF(AH$2=1,Деятельность_УК!$B$18/Параметры!AH$126,AG86))/2/-AH11*Параметры!AH$39,0)</f>
        <v>0</v>
      </c>
      <c r="AI198" s="411">
        <f>IFERROR((AI86+IF(AI$2=1,Деятельность_УК!$B$18/Параметры!AI$126,AH86))/2/-AI11*Параметры!AI$39,0)</f>
        <v>0</v>
      </c>
      <c r="AJ198" s="411">
        <f>IFERROR((AJ86+IF(AJ$2=1,Деятельность_УК!$B$18/Параметры!AJ$126,AI86))/2/-AJ11*Параметры!AJ$39,0)</f>
        <v>0</v>
      </c>
      <c r="AK198" s="411">
        <f>IFERROR((AK86+IF(AK$2=1,Деятельность_УК!$B$18/Параметры!AK$126,AJ86))/2/-AK11*Параметры!AK$39,0)</f>
        <v>0</v>
      </c>
      <c r="AL198" s="411">
        <f>IFERROR((AL86+IF(AL$2=1,Деятельность_УК!$B$18/Параметры!AL$126,AK86))/2/-AL11*Параметры!AL$39,0)</f>
        <v>0</v>
      </c>
      <c r="AM198" s="411">
        <f>IFERROR((AM86+IF(AM$2=1,Деятельность_УК!$B$18/Параметры!AM$126,AL86))/2/-AM11*Параметры!AM$39,0)</f>
        <v>0</v>
      </c>
      <c r="AN198" s="411">
        <f>IFERROR((AN86+IF(AN$2=1,Деятельность_УК!$B$18/Параметры!AN$126,AM86))/2/-AN11*Параметры!AN$39,0)</f>
        <v>0</v>
      </c>
      <c r="AO198" s="411">
        <f>IFERROR((AO86+IF(AO$2=1,Деятельность_УК!$B$18/Параметры!AO$126,AN86))/2/-AO11*Параметры!AO$39,0)</f>
        <v>0</v>
      </c>
      <c r="AP198" s="411">
        <f>IFERROR((AP86+IF(AP$2=1,Деятельность_УК!$B$18/Параметры!AP$126,AO86))/2/-AP11*Параметры!AP$39,0)</f>
        <v>0</v>
      </c>
      <c r="AQ198" s="411">
        <f>IFERROR((AQ86+IF(AQ$2=1,Деятельность_УК!$B$18/Параметры!AQ$126,AP86))/2/-AQ11*Параметры!AQ$39,0)</f>
        <v>0</v>
      </c>
      <c r="AR198" s="411">
        <f>IFERROR((AR86+IF(AR$2=1,Деятельность_УК!$B$18/Параметры!AR$126,AQ86))/2/-AR11*Параметры!AR$39,0)</f>
        <v>0</v>
      </c>
    </row>
    <row r="199" spans="1:46" x14ac:dyDescent="0.2">
      <c r="A199" s="49" t="s">
        <v>431</v>
      </c>
      <c r="B199" s="441">
        <f ca="1">IFERROR(AVERAGEIF(Параметры!$E$46:OFFSET(Параметры!$E$46,0,Параметры!$B$24-1),"&gt;=" &amp; Деятельность_УК!$B$9,E199:OFFSET(E199,0,Параметры!$B$24-1)),0)</f>
        <v>0</v>
      </c>
      <c r="C199" s="36" t="s">
        <v>65</v>
      </c>
      <c r="D199" s="65"/>
      <c r="E199" s="411">
        <f>IFERROR((E88+IF(E$2=1,Деятельность_УК!$B$20/Параметры!E$126,D88))/2/-E11*Параметры!E$39,0)</f>
        <v>0</v>
      </c>
      <c r="F199" s="411">
        <f>IFERROR((F88+IF(F$2=1,Деятельность_УК!$B$20/Параметры!F$126,E88))/2/-F11*Параметры!F$39,0)</f>
        <v>0</v>
      </c>
      <c r="G199" s="411">
        <f>IFERROR((G88+IF(G$2=1,Деятельность_УК!$B$20/Параметры!G$126,F88))/2/-G11*Параметры!G$39,0)</f>
        <v>0</v>
      </c>
      <c r="H199" s="411">
        <f>IFERROR((H88+IF(H$2=1,Деятельность_УК!$B$20/Параметры!H$126,G88))/2/-H11*Параметры!H$39,0)</f>
        <v>0</v>
      </c>
      <c r="I199" s="411">
        <f>IFERROR((I88+IF(I$2=1,Деятельность_УК!$B$20/Параметры!I$126,H88))/2/-I11*Параметры!I$39,0)</f>
        <v>0</v>
      </c>
      <c r="J199" s="411">
        <f>IFERROR((J88+IF(J$2=1,Деятельность_УК!$B$20/Параметры!J$126,I88))/2/-J11*Параметры!J$39,0)</f>
        <v>0</v>
      </c>
      <c r="K199" s="411">
        <f>IFERROR((K88+IF(K$2=1,Деятельность_УК!$B$20/Параметры!K$126,J88))/2/-K11*Параметры!K$39,0)</f>
        <v>0</v>
      </c>
      <c r="L199" s="411">
        <f>IFERROR((L88+IF(L$2=1,Деятельность_УК!$B$20/Параметры!L$126,K88))/2/-L11*Параметры!L$39,0)</f>
        <v>0</v>
      </c>
      <c r="M199" s="411">
        <f>IFERROR((M88+IF(M$2=1,Деятельность_УК!$B$20/Параметры!M$126,L88))/2/-M11*Параметры!M$39,0)</f>
        <v>0</v>
      </c>
      <c r="N199" s="411">
        <f>IFERROR((N88+IF(N$2=1,Деятельность_УК!$B$20/Параметры!N$126,M88))/2/-N11*Параметры!N$39,0)</f>
        <v>0</v>
      </c>
      <c r="O199" s="411">
        <f>IFERROR((O88+IF(O$2=1,Деятельность_УК!$B$20/Параметры!O$126,N88))/2/-O11*Параметры!O$39,0)</f>
        <v>0</v>
      </c>
      <c r="P199" s="411">
        <f>IFERROR((P88+IF(P$2=1,Деятельность_УК!$B$20/Параметры!P$126,O88))/2/-P11*Параметры!P$39,0)</f>
        <v>0</v>
      </c>
      <c r="Q199" s="411">
        <f>IFERROR((Q88+IF(Q$2=1,Деятельность_УК!$B$20/Параметры!Q$126,P88))/2/-Q11*Параметры!Q$39,0)</f>
        <v>0</v>
      </c>
      <c r="R199" s="411">
        <f>IFERROR((R88+IF(R$2=1,Деятельность_УК!$B$20/Параметры!R$126,Q88))/2/-R11*Параметры!R$39,0)</f>
        <v>0</v>
      </c>
      <c r="S199" s="411">
        <f>IFERROR((S88+IF(S$2=1,Деятельность_УК!$B$20/Параметры!S$126,R88))/2/-S11*Параметры!S$39,0)</f>
        <v>0</v>
      </c>
      <c r="T199" s="411">
        <f>IFERROR((T88+IF(T$2=1,Деятельность_УК!$B$20/Параметры!T$126,S88))/2/-T11*Параметры!T$39,0)</f>
        <v>0</v>
      </c>
      <c r="U199" s="411">
        <f>IFERROR((U88+IF(U$2=1,Деятельность_УК!$B$20/Параметры!U$126,T88))/2/-U11*Параметры!U$39,0)</f>
        <v>0</v>
      </c>
      <c r="V199" s="411">
        <f>IFERROR((V88+IF(V$2=1,Деятельность_УК!$B$20/Параметры!V$126,U88))/2/-V11*Параметры!V$39,0)</f>
        <v>0</v>
      </c>
      <c r="W199" s="411">
        <f>IFERROR((W88+IF(W$2=1,Деятельность_УК!$B$20/Параметры!W$126,V88))/2/-W11*Параметры!W$39,0)</f>
        <v>0</v>
      </c>
      <c r="X199" s="411">
        <f>IFERROR((X88+IF(X$2=1,Деятельность_УК!$B$20/Параметры!X$126,W88))/2/-X11*Параметры!X$39,0)</f>
        <v>0</v>
      </c>
      <c r="Y199" s="411">
        <f>IFERROR((Y88+IF(Y$2=1,Деятельность_УК!$B$20/Параметры!Y$126,X88))/2/-Y11*Параметры!Y$39,0)</f>
        <v>0</v>
      </c>
      <c r="Z199" s="411">
        <f>IFERROR((Z88+IF(Z$2=1,Деятельность_УК!$B$20/Параметры!Z$126,Y88))/2/-Z11*Параметры!Z$39,0)</f>
        <v>0</v>
      </c>
      <c r="AA199" s="411">
        <f>IFERROR((AA88+IF(AA$2=1,Деятельность_УК!$B$20/Параметры!AA$126,Z88))/2/-AA11*Параметры!AA$39,0)</f>
        <v>0</v>
      </c>
      <c r="AB199" s="411">
        <f>IFERROR((AB88+IF(AB$2=1,Деятельность_УК!$B$20/Параметры!AB$126,AA88))/2/-AB11*Параметры!AB$39,0)</f>
        <v>0</v>
      </c>
      <c r="AC199" s="411">
        <f>IFERROR((AC88+IF(AC$2=1,Деятельность_УК!$B$20/Параметры!AC$126,AB88))/2/-AC11*Параметры!AC$39,0)</f>
        <v>0</v>
      </c>
      <c r="AD199" s="411">
        <f>IFERROR((AD88+IF(AD$2=1,Деятельность_УК!$B$20/Параметры!AD$126,AC88))/2/-AD11*Параметры!AD$39,0)</f>
        <v>0</v>
      </c>
      <c r="AE199" s="411">
        <f>IFERROR((AE88+IF(AE$2=1,Деятельность_УК!$B$20/Параметры!AE$126,AD88))/2/-AE11*Параметры!AE$39,0)</f>
        <v>0</v>
      </c>
      <c r="AF199" s="411">
        <f>IFERROR((AF88+IF(AF$2=1,Деятельность_УК!$B$20/Параметры!AF$126,AE88))/2/-AF11*Параметры!AF$39,0)</f>
        <v>0</v>
      </c>
      <c r="AG199" s="411">
        <f>IFERROR((AG88+IF(AG$2=1,Деятельность_УК!$B$20/Параметры!AG$126,AF88))/2/-AG11*Параметры!AG$39,0)</f>
        <v>0</v>
      </c>
      <c r="AH199" s="411">
        <f>IFERROR((AH88+IF(AH$2=1,Деятельность_УК!$B$20/Параметры!AH$126,AG88))/2/-AH11*Параметры!AH$39,0)</f>
        <v>0</v>
      </c>
      <c r="AI199" s="411">
        <f>IFERROR((AI88+IF(AI$2=1,Деятельность_УК!$B$20/Параметры!AI$126,AH88))/2/-AI11*Параметры!AI$39,0)</f>
        <v>0</v>
      </c>
      <c r="AJ199" s="411">
        <f>IFERROR((AJ88+IF(AJ$2=1,Деятельность_УК!$B$20/Параметры!AJ$126,AI88))/2/-AJ11*Параметры!AJ$39,0)</f>
        <v>0</v>
      </c>
      <c r="AK199" s="411">
        <f>IFERROR((AK88+IF(AK$2=1,Деятельность_УК!$B$20/Параметры!AK$126,AJ88))/2/-AK11*Параметры!AK$39,0)</f>
        <v>0</v>
      </c>
      <c r="AL199" s="411">
        <f>IFERROR((AL88+IF(AL$2=1,Деятельность_УК!$B$20/Параметры!AL$126,AK88))/2/-AL11*Параметры!AL$39,0)</f>
        <v>0</v>
      </c>
      <c r="AM199" s="411">
        <f>IFERROR((AM88+IF(AM$2=1,Деятельность_УК!$B$20/Параметры!AM$126,AL88))/2/-AM11*Параметры!AM$39,0)</f>
        <v>0</v>
      </c>
      <c r="AN199" s="411">
        <f>IFERROR((AN88+IF(AN$2=1,Деятельность_УК!$B$20/Параметры!AN$126,AM88))/2/-AN11*Параметры!AN$39,0)</f>
        <v>0</v>
      </c>
      <c r="AO199" s="411">
        <f>IFERROR((AO88+IF(AO$2=1,Деятельность_УК!$B$20/Параметры!AO$126,AN88))/2/-AO11*Параметры!AO$39,0)</f>
        <v>0</v>
      </c>
      <c r="AP199" s="411">
        <f>IFERROR((AP88+IF(AP$2=1,Деятельность_УК!$B$20/Параметры!AP$126,AO88))/2/-AP11*Параметры!AP$39,0)</f>
        <v>0</v>
      </c>
      <c r="AQ199" s="411">
        <f>IFERROR((AQ88+IF(AQ$2=1,Деятельность_УК!$B$20/Параметры!AQ$126,AP88))/2/-AQ11*Параметры!AQ$39,0)</f>
        <v>0</v>
      </c>
      <c r="AR199" s="411">
        <f>IFERROR((AR88+IF(AR$2=1,Деятельность_УК!$B$20/Параметры!AR$126,AQ88))/2/-AR11*Параметры!AR$39,0)</f>
        <v>0</v>
      </c>
    </row>
    <row r="200" spans="1:46" x14ac:dyDescent="0.2">
      <c r="A200" s="49" t="s">
        <v>387</v>
      </c>
      <c r="B200" s="441">
        <f ca="1">IFERROR(AVERAGEIF(Параметры!$E$46:OFFSET(Параметры!$E$46,0,Параметры!$B$24-1),"&gt;=" &amp; Деятельность_УК!$B$9,E200:OFFSET(E200,0,Параметры!$B$24-1)),0)</f>
        <v>0</v>
      </c>
      <c r="C200" s="36" t="s">
        <v>65</v>
      </c>
      <c r="D200" s="65"/>
      <c r="E200" s="411">
        <f t="shared" ref="E200:AR200" ca="1" si="76">IF(AND(E196&lt;&gt;0,E197&lt;&gt;0,E198&lt;&gt;0),E198+E196-E197,0)</f>
        <v>0</v>
      </c>
      <c r="F200" s="411">
        <f t="shared" ca="1" si="76"/>
        <v>0</v>
      </c>
      <c r="G200" s="411">
        <f t="shared" ca="1" si="76"/>
        <v>0</v>
      </c>
      <c r="H200" s="411">
        <f t="shared" ca="1" si="76"/>
        <v>0</v>
      </c>
      <c r="I200" s="411">
        <f t="shared" ca="1" si="76"/>
        <v>0</v>
      </c>
      <c r="J200" s="411">
        <f t="shared" ca="1" si="76"/>
        <v>0</v>
      </c>
      <c r="K200" s="411">
        <f t="shared" ca="1" si="76"/>
        <v>0</v>
      </c>
      <c r="L200" s="411">
        <f t="shared" ca="1" si="76"/>
        <v>0</v>
      </c>
      <c r="M200" s="411">
        <f t="shared" ca="1" si="76"/>
        <v>0</v>
      </c>
      <c r="N200" s="411">
        <f t="shared" ca="1" si="76"/>
        <v>0</v>
      </c>
      <c r="O200" s="411">
        <f t="shared" ca="1" si="76"/>
        <v>0</v>
      </c>
      <c r="P200" s="411">
        <f t="shared" ca="1" si="76"/>
        <v>0</v>
      </c>
      <c r="Q200" s="411">
        <f t="shared" ca="1" si="76"/>
        <v>0</v>
      </c>
      <c r="R200" s="411">
        <f t="shared" ca="1" si="76"/>
        <v>0</v>
      </c>
      <c r="S200" s="411">
        <f t="shared" ca="1" si="76"/>
        <v>0</v>
      </c>
      <c r="T200" s="411">
        <f t="shared" ca="1" si="76"/>
        <v>0</v>
      </c>
      <c r="U200" s="411">
        <f t="shared" ca="1" si="76"/>
        <v>0</v>
      </c>
      <c r="V200" s="411">
        <f t="shared" ca="1" si="76"/>
        <v>0</v>
      </c>
      <c r="W200" s="411">
        <f t="shared" ca="1" si="76"/>
        <v>0</v>
      </c>
      <c r="X200" s="411">
        <f t="shared" ca="1" si="76"/>
        <v>0</v>
      </c>
      <c r="Y200" s="411">
        <f t="shared" ca="1" si="76"/>
        <v>0</v>
      </c>
      <c r="Z200" s="411">
        <f t="shared" ca="1" si="76"/>
        <v>0</v>
      </c>
      <c r="AA200" s="411">
        <f t="shared" ca="1" si="76"/>
        <v>0</v>
      </c>
      <c r="AB200" s="411">
        <f t="shared" ca="1" si="76"/>
        <v>0</v>
      </c>
      <c r="AC200" s="411">
        <f t="shared" ca="1" si="76"/>
        <v>0</v>
      </c>
      <c r="AD200" s="411">
        <f t="shared" ca="1" si="76"/>
        <v>0</v>
      </c>
      <c r="AE200" s="411">
        <f t="shared" ca="1" si="76"/>
        <v>0</v>
      </c>
      <c r="AF200" s="411">
        <f t="shared" ca="1" si="76"/>
        <v>0</v>
      </c>
      <c r="AG200" s="411">
        <f t="shared" ca="1" si="76"/>
        <v>0</v>
      </c>
      <c r="AH200" s="411">
        <f t="shared" ca="1" si="76"/>
        <v>0</v>
      </c>
      <c r="AI200" s="411">
        <f t="shared" ca="1" si="76"/>
        <v>0</v>
      </c>
      <c r="AJ200" s="411">
        <f t="shared" ca="1" si="76"/>
        <v>0</v>
      </c>
      <c r="AK200" s="411">
        <f t="shared" ca="1" si="76"/>
        <v>0</v>
      </c>
      <c r="AL200" s="411">
        <f t="shared" ca="1" si="76"/>
        <v>0</v>
      </c>
      <c r="AM200" s="411">
        <f t="shared" ca="1" si="76"/>
        <v>0</v>
      </c>
      <c r="AN200" s="411">
        <f t="shared" ca="1" si="76"/>
        <v>0</v>
      </c>
      <c r="AO200" s="411">
        <f t="shared" ca="1" si="76"/>
        <v>0</v>
      </c>
      <c r="AP200" s="411">
        <f t="shared" ca="1" si="76"/>
        <v>0</v>
      </c>
      <c r="AQ200" s="411">
        <f t="shared" ca="1" si="76"/>
        <v>0</v>
      </c>
      <c r="AR200" s="411">
        <f t="shared" ca="1" si="76"/>
        <v>0</v>
      </c>
    </row>
    <row r="201" spans="1:46" x14ac:dyDescent="0.2">
      <c r="A201" s="49"/>
      <c r="B201" s="441"/>
      <c r="C201" s="36"/>
      <c r="D201" s="65"/>
      <c r="E201" s="411"/>
      <c r="F201" s="411"/>
      <c r="G201" s="411"/>
      <c r="H201" s="411"/>
      <c r="I201" s="411"/>
      <c r="J201" s="411"/>
      <c r="K201" s="411"/>
      <c r="L201" s="411"/>
      <c r="M201" s="411"/>
      <c r="N201" s="411"/>
      <c r="O201" s="411"/>
      <c r="P201" s="411"/>
      <c r="Q201" s="411"/>
      <c r="R201" s="411"/>
      <c r="S201" s="411"/>
      <c r="T201" s="411"/>
      <c r="U201" s="411"/>
      <c r="V201" s="411"/>
      <c r="W201" s="411"/>
      <c r="X201" s="411"/>
      <c r="Y201" s="411"/>
      <c r="Z201" s="411"/>
      <c r="AA201" s="411"/>
      <c r="AB201" s="411"/>
      <c r="AC201" s="411"/>
      <c r="AD201" s="411"/>
      <c r="AE201" s="411"/>
      <c r="AF201" s="411"/>
      <c r="AG201" s="411"/>
      <c r="AH201" s="411"/>
      <c r="AI201" s="411"/>
      <c r="AJ201" s="411"/>
      <c r="AK201" s="411"/>
      <c r="AL201" s="411"/>
      <c r="AM201" s="411"/>
      <c r="AN201" s="411"/>
      <c r="AO201" s="411"/>
      <c r="AP201" s="411"/>
      <c r="AQ201" s="411"/>
      <c r="AR201" s="411"/>
    </row>
    <row r="202" spans="1:46" x14ac:dyDescent="0.2">
      <c r="A202" s="49" t="s">
        <v>132</v>
      </c>
      <c r="B202" s="441">
        <f ca="1">IFERROR(AVERAGEIF(Параметры!$E$46:OFFSET(Параметры!$E$46,0,Параметры!$B$24-1),"&gt;=" &amp; Деятельность_УК!$B$9,E202:OFFSET(E202,0,Параметры!$B$24-1)),0)</f>
        <v>0.16107172726418947</v>
      </c>
      <c r="C202" s="36" t="s">
        <v>151</v>
      </c>
      <c r="D202" s="65"/>
      <c r="E202" s="411">
        <f ca="1">IFERROR(E7/((E97+IF(E$2=1,Деятельность_УК!$B$33/Параметры!E$126,D97)))/2*12/Параметры!E$40,0)</f>
        <v>0</v>
      </c>
      <c r="F202" s="411">
        <f ca="1">IFERROR(F7/((F97+IF(F$2=1,Деятельность_УК!$B$33/Параметры!F$126,E97)))/2*12/Параметры!F$40,0)</f>
        <v>0</v>
      </c>
      <c r="G202" s="411">
        <f ca="1">IFERROR(G7/((G97+IF(G$2=1,Деятельность_УК!$B$33/Параметры!G$126,F97)))/2*12/Параметры!G$40,0)</f>
        <v>2.3490787806304758E-2</v>
      </c>
      <c r="H202" s="411">
        <f ca="1">IFERROR(H7/((H97+IF(H$2=1,Деятельность_УК!$B$33/Параметры!H$126,G97)))/2*12/Параметры!H$40,0)</f>
        <v>3.1403065019172269E-2</v>
      </c>
      <c r="I202" s="411">
        <f ca="1">IFERROR(I7/((I97+IF(I$2=1,Деятельность_УК!$B$33/Параметры!I$126,H97)))/2*12/Параметры!I$40,0)</f>
        <v>2.9904482316916614E-2</v>
      </c>
      <c r="J202" s="411">
        <f ca="1">IFERROR(J7/((J97+IF(J$2=1,Деятельность_УК!$B$33/Параметры!J$126,I97)))/2*12/Параметры!J$40,0)</f>
        <v>2.7697554426563326E-2</v>
      </c>
      <c r="K202" s="411">
        <f ca="1">IFERROR(K7/((K97+IF(K$2=1,Деятельность_УК!$B$33/Параметры!K$126,J97)))/2*12/Параметры!K$40,0)</f>
        <v>2.4637463092590722E-2</v>
      </c>
      <c r="L202" s="411">
        <f ca="1">IFERROR(L7/((L97+IF(L$2=1,Деятельность_УК!$B$33/Параметры!L$126,K97)))/2*12/Параметры!L$40,0)</f>
        <v>2.2611709293328796E-2</v>
      </c>
      <c r="M202" s="411">
        <f ca="1">IFERROR(M7/((M97+IF(M$2=1,Деятельность_УК!$B$33/Параметры!M$126,L97)))/2*12/Параметры!M$40,0)</f>
        <v>3.2371613396883228E-2</v>
      </c>
      <c r="N202" s="411">
        <f ca="1">IFERROR(N7/((N97+IF(N$2=1,Деятельность_УК!$B$33/Параметры!N$126,M97)))/2*12/Параметры!N$40,0)</f>
        <v>2.7967359273217033E-2</v>
      </c>
      <c r="O202" s="411">
        <f ca="1">IFERROR(O7/((O97+IF(O$2=1,Деятельность_УК!$B$33/Параметры!O$126,N97)))/2*12/Параметры!O$40,0)</f>
        <v>2.2438737108413459E-2</v>
      </c>
      <c r="P202" s="411">
        <f ca="1">IFERROR(P7/((P97+IF(P$2=1,Деятельность_УК!$B$33/Параметры!P$126,O97)))/2*12/Параметры!P$40,0)</f>
        <v>1.905811174908854E-2</v>
      </c>
      <c r="Q202" s="411">
        <f ca="1">IFERROR(Q7/((Q97+IF(Q$2=1,Деятельность_УК!$B$33/Параметры!Q$126,P97)))/2*12/Параметры!Q$40,0)</f>
        <v>2.0482812024336387E-2</v>
      </c>
      <c r="R202" s="411">
        <f ca="1">IFERROR(R7/((R97+IF(R$2=1,Деятельность_УК!$B$33/Параметры!R$126,Q97)))/2*12/Параметры!R$40,0)</f>
        <v>1.8034590831200566E-2</v>
      </c>
      <c r="S202" s="411">
        <f ca="1">IFERROR(S7/((S97+IF(S$2=1,Деятельность_УК!$B$33/Параметры!S$126,R97)))/2*12/Параметры!S$40,0)</f>
        <v>1.5255328960996933E-2</v>
      </c>
      <c r="T202" s="411">
        <f ca="1">IFERROR(T7/((T97+IF(T$2=1,Деятельность_УК!$B$33/Параметры!T$126,S97)))/2*12/Параметры!T$40,0)</f>
        <v>1.3677817691345939E-2</v>
      </c>
      <c r="U202" s="411">
        <f ca="1">IFERROR(U7/((U97+IF(U$2=1,Деятельность_УК!$B$33/Параметры!U$126,T97)))/2*12/Параметры!U$40,0)</f>
        <v>4.1011216230495751E-2</v>
      </c>
      <c r="V202" s="411">
        <f ca="1">IFERROR(V7/((V97+IF(V$2=1,Деятельность_УК!$B$33/Параметры!V$126,U97)))/2*12/Параметры!V$40,0)</f>
        <v>4.3089825791818026E-2</v>
      </c>
      <c r="W202" s="411">
        <f ca="1">IFERROR(W7/((W97+IF(W$2=1,Деятельность_УК!$B$33/Параметры!W$126,V97)))/2*12/Параметры!W$40,0)</f>
        <v>4.414523754767604E-2</v>
      </c>
      <c r="X202" s="411">
        <f ca="1">IFERROR(X7/((X97+IF(X$2=1,Деятельность_УК!$B$33/Параметры!X$126,W97)))/2*12/Параметры!X$40,0)</f>
        <v>4.5234743121329517E-2</v>
      </c>
      <c r="Y202" s="411">
        <f ca="1">IFERROR(Y7/((Y97+IF(Y$2=1,Деятельность_УК!$B$33/Параметры!Y$126,X97)))/2*12/Параметры!Y$40,0)</f>
        <v>4.6359817377516932E-2</v>
      </c>
      <c r="Z202" s="411">
        <f ca="1">IFERROR(Z7/((Z97+IF(Z$2=1,Деятельность_УК!$B$33/Параметры!Z$126,Y97)))/2*12/Параметры!Z$40,0)</f>
        <v>4.7512790285416627E-2</v>
      </c>
      <c r="AA202" s="411">
        <f ca="1">IFERROR(AA7/((AA97+IF(AA$2=1,Деятельность_УК!$B$33/Параметры!AA$126,Z97)))/2*12/Параметры!AA$40,0)</f>
        <v>4.8704060583221208E-2</v>
      </c>
      <c r="AB202" s="411">
        <f ca="1">IFERROR(AB7/((AB97+IF(AB$2=1,Деятельность_УК!$B$33/Параметры!AB$126,AA97)))/2*12/Параметры!AB$40,0)</f>
        <v>4.9935347516611439E-2</v>
      </c>
      <c r="AC202" s="411">
        <f ca="1">IFERROR(AC7/((AC97+IF(AC$2=1,Деятельность_УК!$B$33/Параметры!AC$126,AB97)))/2*12/Параметры!AC$40,0)</f>
        <v>5.1208471774821705E-2</v>
      </c>
      <c r="AD202" s="411">
        <f ca="1">IFERROR(AD7/((AD97+IF(AD$2=1,Деятельность_УК!$B$33/Параметры!AD$126,AC97)))/2*12/Параметры!AD$40,0)</f>
        <v>5.2525893291348859E-2</v>
      </c>
      <c r="AE202" s="411">
        <f ca="1">IFERROR(AE7/((AE97+IF(AE$2=1,Деятельность_УК!$B$33/Параметры!AE$126,AD97)))/2*12/Параметры!AE$40,0)</f>
        <v>5.3889157834683642E-2</v>
      </c>
      <c r="AF202" s="411">
        <f ca="1">IFERROR(AF7/((AF97+IF(AF$2=1,Деятельность_УК!$B$33/Параметры!AF$126,AE97)))/2*12/Параметры!AF$40,0)</f>
        <v>5.5300440121632953E-2</v>
      </c>
      <c r="AG202" s="411">
        <f ca="1">IFERROR(AG7/((AG97+IF(AG$2=1,Деятельность_УК!$B$33/Параметры!AG$126,AF97)))/2*12/Параметры!AG$40,0)</f>
        <v>5.6762051028492855E-2</v>
      </c>
      <c r="AH202" s="411">
        <f ca="1">IFERROR(AH7/((AH97+IF(AH$2=1,Деятельность_УК!$B$33/Параметры!AH$126,AG97)))/2*12/Параметры!AH$40,0)</f>
        <v>5.8275595393904332E-2</v>
      </c>
      <c r="AI202" s="411">
        <f ca="1">IFERROR(AI7/((AI97+IF(AI$2=1,Деятельность_УК!$B$33/Параметры!AI$126,AH97)))/2*12/Параметры!AI$40,0)</f>
        <v>5.9844497750379248E-2</v>
      </c>
      <c r="AJ202" s="411">
        <f ca="1">IFERROR(AJ7/((AJ97+IF(AJ$2=1,Деятельность_УК!$B$33/Параметры!AJ$126,AI97)))/2*12/Параметры!AJ$40,0)</f>
        <v>6.1471543897551696E-2</v>
      </c>
      <c r="AK202" s="411">
        <f ca="1">IFERROR(AK7/((AK97+IF(AK$2=1,Деятельность_УК!$B$33/Параметры!AK$126,AJ97)))/2*12/Параметры!AK$40,0)</f>
        <v>0.1598952127299621</v>
      </c>
      <c r="AL202" s="411">
        <f ca="1">IFERROR(AL7/((AL97+IF(AL$2=1,Деятельность_УК!$B$33/Параметры!AL$126,AK97)))/2*12/Параметры!AL$40,0)</f>
        <v>6.563983818762191E-2</v>
      </c>
      <c r="AM202" s="411">
        <f ca="1">IFERROR(AM7/((AM97+IF(AM$2=1,Деятельность_УК!$B$33/Параметры!AM$126,AL97)))/2*12/Параметры!AM$40,0)</f>
        <v>6.7593196664329142E-2</v>
      </c>
      <c r="AN202" s="411">
        <f ca="1">IFERROR(AN7/((AN97+IF(AN$2=1,Деятельность_УК!$B$33/Параметры!AN$126,AM97)))/2*12/Параметры!AN$40,0)</f>
        <v>6.9507922536218472E-2</v>
      </c>
      <c r="AO202" s="411">
        <f ca="1">IFERROR(AO7/((AO97+IF(AO$2=1,Деятельность_УК!$B$33/Параметры!AO$126,AN97)))/2*12/Параметры!AO$40,0)</f>
        <v>2.4196383836974844</v>
      </c>
      <c r="AP202" s="411">
        <f ca="1">IFERROR(AP7/((AP97+IF(AP$2=1,Деятельность_УК!$B$33/Параметры!AP$126,AO97)))/2*12/Параметры!AP$40,0)</f>
        <v>8.3807587238216533E-2</v>
      </c>
      <c r="AQ202" s="411">
        <f ca="1">IFERROR(AQ7/((AQ97+IF(AQ$2=1,Деятельность_УК!$B$33/Параметры!AQ$126,AP97)))/2*12/Параметры!AQ$40,0)</f>
        <v>9.0956055250945397E-2</v>
      </c>
      <c r="AR202" s="411">
        <f ca="1">IFERROR(AR7/((AR97+IF(AR$2=1,Деятельность_УК!$B$33/Параметры!AR$126,AQ97)))/2*12/Параметры!AR$40,0)</f>
        <v>9.3412568488868739E-2</v>
      </c>
    </row>
    <row r="203" spans="1:46" x14ac:dyDescent="0.2">
      <c r="A203" s="49" t="s">
        <v>193</v>
      </c>
      <c r="B203" s="441">
        <f ca="1">IFERROR(AVERAGEIF(Параметры!$E$46:OFFSET(Параметры!$E$46,0,Параметры!$B$24-1),"&gt;=" &amp; Деятельность_УК!$B$9,E203:OFFSET(E203,0,Параметры!$B$24-1)),0)</f>
        <v>6.4601581572787128E-2</v>
      </c>
      <c r="C203" s="36" t="s">
        <v>151</v>
      </c>
      <c r="D203" s="65"/>
      <c r="E203" s="411">
        <f ca="1">IFERROR(E7/((E99+IF(E$2=1,Деятельность_УК!$B$35/Параметры!E$126,D99)))/2*12/Параметры!E$40,0)</f>
        <v>0</v>
      </c>
      <c r="F203" s="411">
        <f ca="1">IFERROR(F7/((F99+IF(F$2=1,Деятельность_УК!$B$35/Параметры!F$126,E99)))/2*12/Параметры!F$40,0)</f>
        <v>0</v>
      </c>
      <c r="G203" s="411">
        <f ca="1">IFERROR(G7/((G99+IF(G$2=1,Деятельность_УК!$B$35/Параметры!G$126,F99)))/2*12/Параметры!G$40,0)</f>
        <v>1.940180840003106E-2</v>
      </c>
      <c r="H203" s="411">
        <f ca="1">IFERROR(H7/((H99+IF(H$2=1,Деятельность_УК!$B$35/Параметры!H$126,G99)))/2*12/Параметры!H$40,0)</f>
        <v>2.5699904533243789E-2</v>
      </c>
      <c r="I203" s="411">
        <f ca="1">IFERROR(I7/((I99+IF(I$2=1,Деятельность_УК!$B$35/Параметры!I$126,H99)))/2*12/Параметры!I$40,0)</f>
        <v>2.4269593483332592E-2</v>
      </c>
      <c r="J203" s="411">
        <f ca="1">IFERROR(J7/((J99+IF(J$2=1,Деятельность_УК!$B$35/Параметры!J$126,I99)))/2*12/Параметры!J$40,0)</f>
        <v>2.2317334423295188E-2</v>
      </c>
      <c r="K203" s="411">
        <f ca="1">IFERROR(K7/((K99+IF(K$2=1,Деятельность_УК!$B$35/Параметры!K$126,J99)))/2*12/Параметры!K$40,0)</f>
        <v>1.9756436211287948E-2</v>
      </c>
      <c r="L203" s="411">
        <f ca="1">IFERROR(L7/((L99+IF(L$2=1,Деятельность_УК!$B$35/Параметры!L$126,K99)))/2*12/Параметры!L$40,0)</f>
        <v>1.8040364967714221E-2</v>
      </c>
      <c r="M203" s="411">
        <f ca="1">IFERROR(M7/((M99+IF(M$2=1,Деятельность_УК!$B$35/Параметры!M$126,L99)))/2*12/Параметры!M$40,0)</f>
        <v>2.5702938465347703E-2</v>
      </c>
      <c r="N203" s="411">
        <f ca="1">IFERROR(N7/((N99+IF(N$2=1,Деятельность_УК!$B$35/Параметры!N$126,M99)))/2*12/Параметры!N$40,0)</f>
        <v>2.2191414691047944E-2</v>
      </c>
      <c r="O203" s="411">
        <f ca="1">IFERROR(O7/((O99+IF(O$2=1,Деятельность_УК!$B$35/Параметры!O$126,N99)))/2*12/Параметры!O$40,0)</f>
        <v>1.7851523928986007E-2</v>
      </c>
      <c r="P203" s="411">
        <f ca="1">IFERROR(P7/((P99+IF(P$2=1,Деятельность_УК!$B$35/Параметры!P$126,O99)))/2*12/Параметры!P$40,0)</f>
        <v>1.5166600817958403E-2</v>
      </c>
      <c r="Q203" s="411">
        <f ca="1">IFERROR(Q7/((Q99+IF(Q$2=1,Деятельность_УК!$B$35/Параметры!Q$126,P99)))/2*12/Параметры!Q$40,0)</f>
        <v>1.6203401445011978E-2</v>
      </c>
      <c r="R203" s="411">
        <f ca="1">IFERROR(R7/((R99+IF(R$2=1,Деятельность_УК!$B$35/Параметры!R$126,Q99)))/2*12/Параметры!R$40,0)</f>
        <v>1.41835712464893E-2</v>
      </c>
      <c r="S203" s="411">
        <f ca="1">IFERROR(S7/((S99+IF(S$2=1,Деятельность_УК!$B$35/Параметры!S$126,R99)))/2*12/Параметры!S$40,0)</f>
        <v>1.197318200564663E-2</v>
      </c>
      <c r="T203" s="411">
        <f ca="1">IFERROR(T7/((T99+IF(T$2=1,Деятельность_УК!$B$35/Параметры!T$126,S99)))/2*12/Параметры!T$40,0)</f>
        <v>1.0693554234984989E-2</v>
      </c>
      <c r="U203" s="411">
        <f ca="1">IFERROR(U7/((U99+IF(U$2=1,Деятельность_УК!$B$35/Параметры!U$126,T99)))/2*12/Параметры!U$40,0)</f>
        <v>3.1829026094226734E-2</v>
      </c>
      <c r="V203" s="411">
        <f ca="1">IFERROR(V7/((V99+IF(V$2=1,Деятельность_УК!$B$35/Параметры!V$126,U99)))/2*12/Параметры!V$40,0)</f>
        <v>3.3122402225675709E-2</v>
      </c>
      <c r="W203" s="411">
        <f ca="1">IFERROR(W7/((W99+IF(W$2=1,Деятельность_УК!$B$35/Параметры!W$126,V99)))/2*12/Параметры!W$40,0)</f>
        <v>3.3402681565138405E-2</v>
      </c>
      <c r="X203" s="411">
        <f ca="1">IFERROR(X7/((X99+IF(X$2=1,Деятельность_УК!$B$35/Параметры!X$126,W99)))/2*12/Параметры!X$40,0)</f>
        <v>3.3658318409089338E-2</v>
      </c>
      <c r="Y203" s="411">
        <f ca="1">IFERROR(Y7/((Y99+IF(Y$2=1,Деятельность_УК!$B$35/Параметры!Y$126,X99)))/2*12/Параметры!Y$40,0)</f>
        <v>3.4064421027589629E-2</v>
      </c>
      <c r="Z203" s="411">
        <f ca="1">IFERROR(Z7/((Z99+IF(Z$2=1,Деятельность_УК!$B$35/Параметры!Z$126,Y99)))/2*12/Параметры!Z$40,0)</f>
        <v>3.4414221529593107E-2</v>
      </c>
      <c r="AA203" s="411">
        <f ca="1">IFERROR(AA7/((AA99+IF(AA$2=1,Деятельность_УК!$B$35/Параметры!AA$126,Z99)))/2*12/Параметры!AA$40,0)</f>
        <v>3.475406242689609E-2</v>
      </c>
      <c r="AB203" s="411">
        <f ca="1">IFERROR(AB7/((AB99+IF(AB$2=1,Деятельность_УК!$B$35/Параметры!AB$126,AA99)))/2*12/Параметры!AB$40,0)</f>
        <v>3.5231303302825707E-2</v>
      </c>
      <c r="AC203" s="411">
        <f ca="1">IFERROR(AC7/((AC99+IF(AC$2=1,Деятельность_УК!$B$35/Параметры!AC$126,AB99)))/2*12/Параметры!AC$40,0)</f>
        <v>3.5810124016543488E-2</v>
      </c>
      <c r="AD203" s="411">
        <f ca="1">IFERROR(AD7/((AD99+IF(AD$2=1,Деятельность_УК!$B$35/Параметры!AD$126,AC99)))/2*12/Параметры!AD$40,0)</f>
        <v>3.6408592663563139E-2</v>
      </c>
      <c r="AE203" s="411">
        <f ca="1">IFERROR(AE7/((AE99+IF(AE$2=1,Деятельность_УК!$B$35/Параметры!AE$126,AD99)))/2*12/Параметры!AE$40,0)</f>
        <v>3.704604695354443E-2</v>
      </c>
      <c r="AF203" s="411">
        <f ca="1">IFERROR(AF7/((AF99+IF(AF$2=1,Деятельность_УК!$B$35/Параметры!AF$126,AE99)))/2*12/Параметры!AF$40,0)</f>
        <v>3.7704885421712533E-2</v>
      </c>
      <c r="AG203" s="411">
        <f ca="1">IFERROR(AG7/((AG99+IF(AG$2=1,Деятельность_УК!$B$35/Параметры!AG$126,AF99)))/2*12/Параметры!AG$40,0)</f>
        <v>3.8364214246555756E-2</v>
      </c>
      <c r="AH203" s="411">
        <f ca="1">IFERROR(AH7/((AH99+IF(AH$2=1,Деятельность_УК!$B$35/Параметры!AH$126,AG99)))/2*12/Параметры!AH$40,0)</f>
        <v>3.9098638439907026E-2</v>
      </c>
      <c r="AI203" s="411">
        <f ca="1">IFERROR(AI7/((AI99+IF(AI$2=1,Деятельность_УК!$B$35/Параметры!AI$126,AH99)))/2*12/Параметры!AI$40,0)</f>
        <v>3.9921072132095045E-2</v>
      </c>
      <c r="AJ203" s="411">
        <f ca="1">IFERROR(AJ7/((AJ99+IF(AJ$2=1,Деятельность_УК!$B$35/Параметры!AJ$126,AI99)))/2*12/Параметры!AJ$40,0)</f>
        <v>4.0758458706194281E-2</v>
      </c>
      <c r="AK203" s="411">
        <f ca="1">IFERROR(AK7/((AK99+IF(AK$2=1,Деятельность_УК!$B$35/Параметры!AK$126,AJ99)))/2*12/Параметры!AK$40,0)</f>
        <v>0.10128587709396403</v>
      </c>
      <c r="AL203" s="411">
        <f ca="1">IFERROR(AL7/((AL99+IF(AL$2=1,Деятельность_УК!$B$35/Параметры!AL$126,AK99)))/2*12/Параметры!AL$40,0)</f>
        <v>3.9794251150317816E-2</v>
      </c>
      <c r="AM203" s="411">
        <f ca="1">IFERROR(AM7/((AM99+IF(AM$2=1,Деятельность_УК!$B$35/Параметры!AM$126,AL99)))/2*12/Параметры!AM$40,0)</f>
        <v>4.072162146243171E-2</v>
      </c>
      <c r="AN203" s="411">
        <f ca="1">IFERROR(AN7/((AN99+IF(AN$2=1,Деятельность_УК!$B$35/Параметры!AN$126,AM99)))/2*12/Параметры!AN$40,0)</f>
        <v>4.1566838294690121E-2</v>
      </c>
      <c r="AO203" s="411">
        <f ca="1">IFERROR(AO7/((AO99+IF(AO$2=1,Деятельность_УК!$B$35/Параметры!AO$126,AN99)))/2*12/Параметры!AO$40,0)</f>
        <v>0.71208334550269947</v>
      </c>
      <c r="AP203" s="411">
        <f ca="1">IFERROR(AP7/((AP99+IF(AP$2=1,Деятельность_УК!$B$35/Параметры!AP$126,AO99)))/2*12/Параметры!AP$40,0)</f>
        <v>1.1751919246418574E-2</v>
      </c>
      <c r="AQ203" s="411">
        <f ca="1">IFERROR(AQ7/((AQ99+IF(AQ$2=1,Деятельность_УК!$B$35/Параметры!AQ$126,AP99)))/2*12/Параметры!AQ$40,0)</f>
        <v>1.3797162056187119E-2</v>
      </c>
      <c r="AR203" s="411">
        <f ca="1">IFERROR(AR7/((AR99+IF(AR$2=1,Деятельность_УК!$B$35/Параметры!AR$126,AQ99)))/2*12/Параметры!AR$40,0)</f>
        <v>1.3848473779031685E-2</v>
      </c>
    </row>
    <row r="204" spans="1:46" x14ac:dyDescent="0.2">
      <c r="A204" s="45"/>
      <c r="B204" s="170"/>
      <c r="C204" s="14"/>
      <c r="D204" s="47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</row>
    <row r="205" spans="1:46" x14ac:dyDescent="0.2">
      <c r="D205" s="40"/>
    </row>
    <row r="206" spans="1:46" ht="12" thickBot="1" x14ac:dyDescent="0.25">
      <c r="D206" s="40"/>
    </row>
    <row r="207" spans="1:46" s="43" customFormat="1" ht="25.5" customHeight="1" thickBot="1" x14ac:dyDescent="0.25">
      <c r="A207" s="481" t="s">
        <v>480</v>
      </c>
      <c r="B207" s="479"/>
      <c r="C207" s="485"/>
      <c r="D207" s="486"/>
      <c r="E207" s="479" t="str">
        <f>CHOOSE($D$2,Параметры!E$53,Параметры!E$54)</f>
        <v>1 кв. 2020</v>
      </c>
      <c r="F207" s="479" t="str">
        <f>CHOOSE($D$2,Параметры!F$53,Параметры!F$54)</f>
        <v>2 кв. 2020</v>
      </c>
      <c r="G207" s="479" t="str">
        <f>CHOOSE($D$2,Параметры!G$53,Параметры!G$54)</f>
        <v>3 кв. 2020</v>
      </c>
      <c r="H207" s="479" t="str">
        <f>CHOOSE($D$2,Параметры!H$53,Параметры!H$54)</f>
        <v>4 кв. 2020</v>
      </c>
      <c r="I207" s="479" t="str">
        <f>CHOOSE($D$2,Параметры!I$53,Параметры!I$54)</f>
        <v>1 кв. 2021</v>
      </c>
      <c r="J207" s="479" t="str">
        <f>CHOOSE($D$2,Параметры!J$53,Параметры!J$54)</f>
        <v>2 кв. 2021</v>
      </c>
      <c r="K207" s="479" t="str">
        <f>CHOOSE($D$2,Параметры!K$53,Параметры!K$54)</f>
        <v>3 кв. 2021</v>
      </c>
      <c r="L207" s="479" t="str">
        <f>CHOOSE($D$2,Параметры!L$53,Параметры!L$54)</f>
        <v>4 кв. 2021</v>
      </c>
      <c r="M207" s="479" t="str">
        <f>CHOOSE($D$2,Параметры!M$53,Параметры!M$54)</f>
        <v>1 кв. 2022</v>
      </c>
      <c r="N207" s="479" t="str">
        <f>CHOOSE($D$2,Параметры!N$53,Параметры!N$54)</f>
        <v>2 кв. 2022</v>
      </c>
      <c r="O207" s="479" t="str">
        <f>CHOOSE($D$2,Параметры!O$53,Параметры!O$54)</f>
        <v>3 кв. 2022</v>
      </c>
      <c r="P207" s="479" t="str">
        <f>CHOOSE($D$2,Параметры!P$53,Параметры!P$54)</f>
        <v>4 кв. 2022</v>
      </c>
      <c r="Q207" s="479" t="str">
        <f>CHOOSE($D$2,Параметры!Q$53,Параметры!Q$54)</f>
        <v>1 кв. 2023</v>
      </c>
      <c r="R207" s="479" t="str">
        <f>CHOOSE($D$2,Параметры!R$53,Параметры!R$54)</f>
        <v>2 кв. 2023</v>
      </c>
      <c r="S207" s="479" t="str">
        <f>CHOOSE($D$2,Параметры!S$53,Параметры!S$54)</f>
        <v>3 кв. 2023</v>
      </c>
      <c r="T207" s="479" t="str">
        <f>CHOOSE($D$2,Параметры!T$53,Параметры!T$54)</f>
        <v>4 кв. 2023</v>
      </c>
      <c r="U207" s="479" t="str">
        <f>CHOOSE($D$2,Параметры!U$53,Параметры!U$54)</f>
        <v>1 кв. 2024</v>
      </c>
      <c r="V207" s="479" t="str">
        <f>CHOOSE($D$2,Параметры!V$53,Параметры!V$54)</f>
        <v>2 кв. 2024</v>
      </c>
      <c r="W207" s="479" t="str">
        <f>CHOOSE($D$2,Параметры!W$53,Параметры!W$54)</f>
        <v>3 кв. 2024</v>
      </c>
      <c r="X207" s="479" t="str">
        <f>CHOOSE($D$2,Параметры!X$53,Параметры!X$54)</f>
        <v>4 кв. 2024</v>
      </c>
      <c r="Y207" s="479" t="str">
        <f>CHOOSE($D$2,Параметры!Y$53,Параметры!Y$54)</f>
        <v>1 кв. 2025</v>
      </c>
      <c r="Z207" s="479" t="str">
        <f>CHOOSE($D$2,Параметры!Z$53,Параметры!Z$54)</f>
        <v>2 кв. 2025</v>
      </c>
      <c r="AA207" s="479" t="str">
        <f>CHOOSE($D$2,Параметры!AA$53,Параметры!AA$54)</f>
        <v>3 кв. 2025</v>
      </c>
      <c r="AB207" s="479" t="str">
        <f>CHOOSE($D$2,Параметры!AB$53,Параметры!AB$54)</f>
        <v>4 кв. 2025</v>
      </c>
      <c r="AC207" s="479" t="str">
        <f>CHOOSE($D$2,Параметры!AC$53,Параметры!AC$54)</f>
        <v>1 кв. 2026</v>
      </c>
      <c r="AD207" s="479" t="str">
        <f>CHOOSE($D$2,Параметры!AD$53,Параметры!AD$54)</f>
        <v>2 кв. 2026</v>
      </c>
      <c r="AE207" s="479" t="str">
        <f>CHOOSE($D$2,Параметры!AE$53,Параметры!AE$54)</f>
        <v>3 кв. 2026</v>
      </c>
      <c r="AF207" s="479" t="str">
        <f>CHOOSE($D$2,Параметры!AF$53,Параметры!AF$54)</f>
        <v>4 кв. 2026</v>
      </c>
      <c r="AG207" s="479" t="str">
        <f>CHOOSE($D$2,Параметры!AG$53,Параметры!AG$54)</f>
        <v>1 кв. 2027</v>
      </c>
      <c r="AH207" s="479" t="str">
        <f>CHOOSE($D$2,Параметры!AH$53,Параметры!AH$54)</f>
        <v>2 кв. 2027</v>
      </c>
      <c r="AI207" s="479" t="str">
        <f>CHOOSE($D$2,Параметры!AI$53,Параметры!AI$54)</f>
        <v>3 кв. 2027</v>
      </c>
      <c r="AJ207" s="479" t="str">
        <f>CHOOSE($D$2,Параметры!AJ$53,Параметры!AJ$54)</f>
        <v>4 кв. 2027</v>
      </c>
      <c r="AK207" s="479" t="str">
        <f>CHOOSE($D$2,Параметры!AK$53,Параметры!AK$54)</f>
        <v>1 кв. 2028</v>
      </c>
      <c r="AL207" s="479" t="str">
        <f>CHOOSE($D$2,Параметры!AL$53,Параметры!AL$54)</f>
        <v>2 кв. 2028</v>
      </c>
      <c r="AM207" s="479" t="str">
        <f>CHOOSE($D$2,Параметры!AM$53,Параметры!AM$54)</f>
        <v>3 кв. 2028</v>
      </c>
      <c r="AN207" s="479" t="str">
        <f>CHOOSE($D$2,Параметры!AN$53,Параметры!AN$54)</f>
        <v>4 кв. 2028</v>
      </c>
      <c r="AO207" s="479" t="str">
        <f>CHOOSE($D$2,Параметры!AO$53,Параметры!AO$54)</f>
        <v>1 кв. 2029</v>
      </c>
      <c r="AP207" s="479" t="str">
        <f>CHOOSE($D$2,Параметры!AP$53,Параметры!AP$54)</f>
        <v>2 кв. 2029</v>
      </c>
      <c r="AQ207" s="479" t="str">
        <f>CHOOSE($D$2,Параметры!AQ$53,Параметры!AQ$54)</f>
        <v>3 кв. 2029</v>
      </c>
      <c r="AR207" s="479" t="str">
        <f>CHOOSE($D$2,Параметры!AR$53,Параметры!AR$54)</f>
        <v>4 кв. 2029</v>
      </c>
      <c r="AS207" s="485"/>
      <c r="AT207" s="485" t="s">
        <v>0</v>
      </c>
    </row>
    <row r="208" spans="1:46" x14ac:dyDescent="0.2">
      <c r="A208" s="44"/>
      <c r="D208" s="40"/>
    </row>
    <row r="209" spans="1:46" x14ac:dyDescent="0.2">
      <c r="A209" s="44" t="s">
        <v>809</v>
      </c>
      <c r="B209" s="373">
        <f ca="1">Параметры!$B$239*Графики_УК!$D$403</f>
        <v>0.10128364613285909</v>
      </c>
      <c r="C209" s="12" t="s">
        <v>1</v>
      </c>
      <c r="D209" s="40"/>
    </row>
    <row r="210" spans="1:46" outlineLevel="1" x14ac:dyDescent="0.2">
      <c r="A210" s="63" t="s">
        <v>57</v>
      </c>
      <c r="C210" s="12" t="s">
        <v>1</v>
      </c>
      <c r="D210" s="40"/>
      <c r="E210" s="67">
        <f ca="1">((1+$B209)/IF(Параметры!$B$62,1,1+CHOOSE(Параметры!$B$126,Параметры!E$65,Параметры!E$113,Параметры!E$122)))^(Параметры!E$40/12)-1</f>
        <v>2.4412331059534331E-2</v>
      </c>
      <c r="F210" s="67">
        <f ca="1">((1+$B209)/IF(Параметры!$B$62,1,1+CHOOSE(Параметры!$B$126,Параметры!F$65,Параметры!F$113,Параметры!F$122)))^(Параметры!F$40/12)-1</f>
        <v>2.4412331059534331E-2</v>
      </c>
      <c r="G210" s="67">
        <f ca="1">((1+$B209)/IF(Параметры!$B$62,1,1+CHOOSE(Параметры!$B$126,Параметры!G$65,Параметры!G$113,Параметры!G$122)))^(Параметры!G$40/12)-1</f>
        <v>2.4412331059534331E-2</v>
      </c>
      <c r="H210" s="67">
        <f ca="1">((1+$B209)/IF(Параметры!$B$62,1,1+CHOOSE(Параметры!$B$126,Параметры!H$65,Параметры!H$113,Параметры!H$122)))^(Параметры!H$40/12)-1</f>
        <v>2.4412331059534331E-2</v>
      </c>
      <c r="I210" s="67">
        <f ca="1">((1+$B209)/IF(Параметры!$B$62,1,1+CHOOSE(Параметры!$B$126,Параметры!I$65,Параметры!I$113,Параметры!I$122)))^(Параметры!I$40/12)-1</f>
        <v>2.4412331059534331E-2</v>
      </c>
      <c r="J210" s="67">
        <f ca="1">((1+$B209)/IF(Параметры!$B$62,1,1+CHOOSE(Параметры!$B$126,Параметры!J$65,Параметры!J$113,Параметры!J$122)))^(Параметры!J$40/12)-1</f>
        <v>2.4412331059534331E-2</v>
      </c>
      <c r="K210" s="67">
        <f ca="1">((1+$B209)/IF(Параметры!$B$62,1,1+CHOOSE(Параметры!$B$126,Параметры!K$65,Параметры!K$113,Параметры!K$122)))^(Параметры!K$40/12)-1</f>
        <v>2.4412331059534331E-2</v>
      </c>
      <c r="L210" s="67">
        <f ca="1">((1+$B209)/IF(Параметры!$B$62,1,1+CHOOSE(Параметры!$B$126,Параметры!L$65,Параметры!L$113,Параметры!L$122)))^(Параметры!L$40/12)-1</f>
        <v>2.4412331059534331E-2</v>
      </c>
      <c r="M210" s="67">
        <f ca="1">((1+$B209)/IF(Параметры!$B$62,1,1+CHOOSE(Параметры!$B$126,Параметры!M$65,Параметры!M$113,Параметры!M$122)))^(Параметры!M$40/12)-1</f>
        <v>2.4412331059534331E-2</v>
      </c>
      <c r="N210" s="67">
        <f ca="1">((1+$B209)/IF(Параметры!$B$62,1,1+CHOOSE(Параметры!$B$126,Параметры!N$65,Параметры!N$113,Параметры!N$122)))^(Параметры!N$40/12)-1</f>
        <v>2.4412331059534331E-2</v>
      </c>
      <c r="O210" s="67">
        <f ca="1">((1+$B209)/IF(Параметры!$B$62,1,1+CHOOSE(Параметры!$B$126,Параметры!O$65,Параметры!O$113,Параметры!O$122)))^(Параметры!O$40/12)-1</f>
        <v>2.4412331059534331E-2</v>
      </c>
      <c r="P210" s="67">
        <f ca="1">((1+$B209)/IF(Параметры!$B$62,1,1+CHOOSE(Параметры!$B$126,Параметры!P$65,Параметры!P$113,Параметры!P$122)))^(Параметры!P$40/12)-1</f>
        <v>2.4412331059534331E-2</v>
      </c>
      <c r="Q210" s="67">
        <f ca="1">((1+$B209)/IF(Параметры!$B$62,1,1+CHOOSE(Параметры!$B$126,Параметры!Q$65,Параметры!Q$113,Параметры!Q$122)))^(Параметры!Q$40/12)-1</f>
        <v>2.4412331059534331E-2</v>
      </c>
      <c r="R210" s="67">
        <f ca="1">((1+$B209)/IF(Параметры!$B$62,1,1+CHOOSE(Параметры!$B$126,Параметры!R$65,Параметры!R$113,Параметры!R$122)))^(Параметры!R$40/12)-1</f>
        <v>2.4412331059534331E-2</v>
      </c>
      <c r="S210" s="67">
        <f ca="1">((1+$B209)/IF(Параметры!$B$62,1,1+CHOOSE(Параметры!$B$126,Параметры!S$65,Параметры!S$113,Параметры!S$122)))^(Параметры!S$40/12)-1</f>
        <v>2.4412331059534331E-2</v>
      </c>
      <c r="T210" s="67">
        <f ca="1">((1+$B209)/IF(Параметры!$B$62,1,1+CHOOSE(Параметры!$B$126,Параметры!T$65,Параметры!T$113,Параметры!T$122)))^(Параметры!T$40/12)-1</f>
        <v>2.4412331059534331E-2</v>
      </c>
      <c r="U210" s="67">
        <f ca="1">((1+$B209)/IF(Параметры!$B$62,1,1+CHOOSE(Параметры!$B$126,Параметры!U$65,Параметры!U$113,Параметры!U$122)))^(Параметры!U$40/12)-1</f>
        <v>2.4412331059534331E-2</v>
      </c>
      <c r="V210" s="67">
        <f ca="1">((1+$B209)/IF(Параметры!$B$62,1,1+CHOOSE(Параметры!$B$126,Параметры!V$65,Параметры!V$113,Параметры!V$122)))^(Параметры!V$40/12)-1</f>
        <v>2.4412331059534331E-2</v>
      </c>
      <c r="W210" s="67">
        <f ca="1">((1+$B209)/IF(Параметры!$B$62,1,1+CHOOSE(Параметры!$B$126,Параметры!W$65,Параметры!W$113,Параметры!W$122)))^(Параметры!W$40/12)-1</f>
        <v>2.4412331059534331E-2</v>
      </c>
      <c r="X210" s="67">
        <f ca="1">((1+$B209)/IF(Параметры!$B$62,1,1+CHOOSE(Параметры!$B$126,Параметры!X$65,Параметры!X$113,Параметры!X$122)))^(Параметры!X$40/12)-1</f>
        <v>2.4412331059534331E-2</v>
      </c>
      <c r="Y210" s="67">
        <f ca="1">((1+$B209)/IF(Параметры!$B$62,1,1+CHOOSE(Параметры!$B$126,Параметры!Y$65,Параметры!Y$113,Параметры!Y$122)))^(Параметры!Y$40/12)-1</f>
        <v>2.4412331059534331E-2</v>
      </c>
      <c r="Z210" s="67">
        <f ca="1">((1+$B209)/IF(Параметры!$B$62,1,1+CHOOSE(Параметры!$B$126,Параметры!Z$65,Параметры!Z$113,Параметры!Z$122)))^(Параметры!Z$40/12)-1</f>
        <v>2.4412331059534331E-2</v>
      </c>
      <c r="AA210" s="67">
        <f ca="1">((1+$B209)/IF(Параметры!$B$62,1,1+CHOOSE(Параметры!$B$126,Параметры!AA$65,Параметры!AA$113,Параметры!AA$122)))^(Параметры!AA$40/12)-1</f>
        <v>2.4412331059534331E-2</v>
      </c>
      <c r="AB210" s="67">
        <f ca="1">((1+$B209)/IF(Параметры!$B$62,1,1+CHOOSE(Параметры!$B$126,Параметры!AB$65,Параметры!AB$113,Параметры!AB$122)))^(Параметры!AB$40/12)-1</f>
        <v>2.4412331059534331E-2</v>
      </c>
      <c r="AC210" s="67">
        <f ca="1">((1+$B209)/IF(Параметры!$B$62,1,1+CHOOSE(Параметры!$B$126,Параметры!AC$65,Параметры!AC$113,Параметры!AC$122)))^(Параметры!AC$40/12)-1</f>
        <v>2.4412331059534331E-2</v>
      </c>
      <c r="AD210" s="67">
        <f ca="1">((1+$B209)/IF(Параметры!$B$62,1,1+CHOOSE(Параметры!$B$126,Параметры!AD$65,Параметры!AD$113,Параметры!AD$122)))^(Параметры!AD$40/12)-1</f>
        <v>2.4412331059534331E-2</v>
      </c>
      <c r="AE210" s="67">
        <f ca="1">((1+$B209)/IF(Параметры!$B$62,1,1+CHOOSE(Параметры!$B$126,Параметры!AE$65,Параметры!AE$113,Параметры!AE$122)))^(Параметры!AE$40/12)-1</f>
        <v>2.4412331059534331E-2</v>
      </c>
      <c r="AF210" s="67">
        <f ca="1">((1+$B209)/IF(Параметры!$B$62,1,1+CHOOSE(Параметры!$B$126,Параметры!AF$65,Параметры!AF$113,Параметры!AF$122)))^(Параметры!AF$40/12)-1</f>
        <v>2.4412331059534331E-2</v>
      </c>
      <c r="AG210" s="67">
        <f ca="1">((1+$B209)/IF(Параметры!$B$62,1,1+CHOOSE(Параметры!$B$126,Параметры!AG$65,Параметры!AG$113,Параметры!AG$122)))^(Параметры!AG$40/12)-1</f>
        <v>2.4412331059534331E-2</v>
      </c>
      <c r="AH210" s="67">
        <f ca="1">((1+$B209)/IF(Параметры!$B$62,1,1+CHOOSE(Параметры!$B$126,Параметры!AH$65,Параметры!AH$113,Параметры!AH$122)))^(Параметры!AH$40/12)-1</f>
        <v>2.4412331059534331E-2</v>
      </c>
      <c r="AI210" s="67">
        <f ca="1">((1+$B209)/IF(Параметры!$B$62,1,1+CHOOSE(Параметры!$B$126,Параметры!AI$65,Параметры!AI$113,Параметры!AI$122)))^(Параметры!AI$40/12)-1</f>
        <v>2.4412331059534331E-2</v>
      </c>
      <c r="AJ210" s="67">
        <f ca="1">((1+$B209)/IF(Параметры!$B$62,1,1+CHOOSE(Параметры!$B$126,Параметры!AJ$65,Параметры!AJ$113,Параметры!AJ$122)))^(Параметры!AJ$40/12)-1</f>
        <v>2.4412331059534331E-2</v>
      </c>
      <c r="AK210" s="67">
        <f ca="1">((1+$B209)/IF(Параметры!$B$62,1,1+CHOOSE(Параметры!$B$126,Параметры!AK$65,Параметры!AK$113,Параметры!AK$122)))^(Параметры!AK$40/12)-1</f>
        <v>2.4412331059534331E-2</v>
      </c>
      <c r="AL210" s="67">
        <f ca="1">((1+$B209)/IF(Параметры!$B$62,1,1+CHOOSE(Параметры!$B$126,Параметры!AL$65,Параметры!AL$113,Параметры!AL$122)))^(Параметры!AL$40/12)-1</f>
        <v>2.4412331059534331E-2</v>
      </c>
      <c r="AM210" s="67">
        <f ca="1">((1+$B209)/IF(Параметры!$B$62,1,1+CHOOSE(Параметры!$B$126,Параметры!AM$65,Параметры!AM$113,Параметры!AM$122)))^(Параметры!AM$40/12)-1</f>
        <v>2.4412331059534331E-2</v>
      </c>
      <c r="AN210" s="67">
        <f ca="1">((1+$B209)/IF(Параметры!$B$62,1,1+CHOOSE(Параметры!$B$126,Параметры!AN$65,Параметры!AN$113,Параметры!AN$122)))^(Параметры!AN$40/12)-1</f>
        <v>2.4412331059534331E-2</v>
      </c>
      <c r="AO210" s="67">
        <f ca="1">((1+$B209)/IF(Параметры!$B$62,1,1+CHOOSE(Параметры!$B$126,Параметры!AO$65,Параметры!AO$113,Параметры!AO$122)))^(Параметры!AO$40/12)-1</f>
        <v>2.4412331059534331E-2</v>
      </c>
      <c r="AP210" s="67">
        <f ca="1">((1+$B209)/IF(Параметры!$B$62,1,1+CHOOSE(Параметры!$B$126,Параметры!AP$65,Параметры!AP$113,Параметры!AP$122)))^(Параметры!AP$40/12)-1</f>
        <v>2.4412331059534331E-2</v>
      </c>
      <c r="AQ210" s="67">
        <f ca="1">((1+$B209)/IF(Параметры!$B$62,1,1+CHOOSE(Параметры!$B$126,Параметры!AQ$65,Параметры!AQ$113,Параметры!AQ$122)))^(Параметры!AQ$40/12)-1</f>
        <v>2.4412331059534331E-2</v>
      </c>
      <c r="AR210" s="67">
        <f ca="1">((1+$B209)/IF(Параметры!$B$62,1,1+CHOOSE(Параметры!$B$126,Параметры!AR$65,Параметры!AR$113,Параметры!AR$122)))^(Параметры!AR$40/12)-1</f>
        <v>2.4412331059534331E-2</v>
      </c>
    </row>
    <row r="211" spans="1:46" outlineLevel="1" x14ac:dyDescent="0.2">
      <c r="A211" s="63" t="s">
        <v>419</v>
      </c>
      <c r="C211" s="12" t="s">
        <v>133</v>
      </c>
      <c r="D211" s="40"/>
      <c r="E211" s="68">
        <f>IF(E$2=1,1,D211*(1+D210))</f>
        <v>1</v>
      </c>
      <c r="F211" s="68">
        <f t="shared" ref="F211:AR211" ca="1" si="77">IF(F$2=1,1,E211*(1+E210))</f>
        <v>1.0244123310595343</v>
      </c>
      <c r="G211" s="68">
        <f t="shared" ca="1" si="77"/>
        <v>1.0494206240268289</v>
      </c>
      <c r="H211" s="68">
        <f t="shared" ca="1" si="77"/>
        <v>1.0750394277212749</v>
      </c>
      <c r="I211" s="68">
        <f t="shared" ca="1" si="77"/>
        <v>1.101283646132859</v>
      </c>
      <c r="J211" s="68">
        <f t="shared" ca="1" si="77"/>
        <v>1.1281685470927054</v>
      </c>
      <c r="K211" s="68">
        <f t="shared" ca="1" si="77"/>
        <v>1.1557097711552864</v>
      </c>
      <c r="L211" s="68">
        <f t="shared" ca="1" si="77"/>
        <v>1.1839233406974679</v>
      </c>
      <c r="M211" s="68">
        <f t="shared" ca="1" si="77"/>
        <v>1.2128256692396844</v>
      </c>
      <c r="N211" s="68">
        <f t="shared" ca="1" si="77"/>
        <v>1.2424335709946648</v>
      </c>
      <c r="O211" s="68">
        <f t="shared" ca="1" si="77"/>
        <v>1.2727642706492659</v>
      </c>
      <c r="P211" s="68">
        <f t="shared" ca="1" si="77"/>
        <v>1.3038354133851024</v>
      </c>
      <c r="Q211" s="68">
        <f t="shared" ca="1" si="77"/>
        <v>1.3356650751438044</v>
      </c>
      <c r="R211" s="68">
        <f t="shared" ca="1" si="77"/>
        <v>1.3682717731428728</v>
      </c>
      <c r="S211" s="68">
        <f t="shared" ca="1" si="77"/>
        <v>1.4016744766482527</v>
      </c>
      <c r="T211" s="68">
        <f t="shared" ca="1" si="77"/>
        <v>1.4358926180098894</v>
      </c>
      <c r="U211" s="68">
        <f t="shared" ca="1" si="77"/>
        <v>1.4709461039666882</v>
      </c>
      <c r="V211" s="68">
        <f t="shared" ca="1" si="77"/>
        <v>1.5068553272274552</v>
      </c>
      <c r="W211" s="68">
        <f t="shared" ca="1" si="77"/>
        <v>1.5436411783345547</v>
      </c>
      <c r="X211" s="68">
        <f t="shared" ca="1" si="77"/>
        <v>1.5813250578171876</v>
      </c>
      <c r="Y211" s="68">
        <f t="shared" ca="1" si="77"/>
        <v>1.6199288886413581</v>
      </c>
      <c r="Z211" s="68">
        <f t="shared" ca="1" si="77"/>
        <v>1.6594751289637744</v>
      </c>
      <c r="AA211" s="68">
        <f t="shared" ca="1" si="77"/>
        <v>1.6999867851971016</v>
      </c>
      <c r="AB211" s="68">
        <f t="shared" ca="1" si="77"/>
        <v>1.7414874253941668</v>
      </c>
      <c r="AC211" s="68">
        <f t="shared" ca="1" si="77"/>
        <v>1.7840011929589052</v>
      </c>
      <c r="AD211" s="68">
        <f t="shared" ca="1" si="77"/>
        <v>1.8275528206920222</v>
      </c>
      <c r="AE211" s="68">
        <f t="shared" ca="1" si="77"/>
        <v>1.8721676451795417</v>
      </c>
      <c r="AF211" s="68">
        <f t="shared" ca="1" si="77"/>
        <v>1.9178716215326135</v>
      </c>
      <c r="AG211" s="68">
        <f t="shared" ca="1" si="77"/>
        <v>1.9646913384871536</v>
      </c>
      <c r="AH211" s="68">
        <f t="shared" ca="1" si="77"/>
        <v>2.0126540338721015</v>
      </c>
      <c r="AI211" s="68">
        <f t="shared" ca="1" si="77"/>
        <v>2.0617876104552946</v>
      </c>
      <c r="AJ211" s="68">
        <f t="shared" ca="1" si="77"/>
        <v>2.1121206521761753</v>
      </c>
      <c r="AK211" s="68">
        <f t="shared" ca="1" si="77"/>
        <v>2.1636824407747794</v>
      </c>
      <c r="AL211" s="68">
        <f t="shared" ca="1" si="77"/>
        <v>2.2165029728266745</v>
      </c>
      <c r="AM211" s="68">
        <f t="shared" ca="1" si="77"/>
        <v>2.2706129771937613</v>
      </c>
      <c r="AN211" s="68">
        <f t="shared" ca="1" si="77"/>
        <v>2.3260439329010905</v>
      </c>
      <c r="AO211" s="68">
        <f t="shared" ca="1" si="77"/>
        <v>2.3828280874500933</v>
      </c>
      <c r="AP211" s="68">
        <f t="shared" ca="1" si="77"/>
        <v>2.4409984755788821</v>
      </c>
      <c r="AQ211" s="68">
        <f t="shared" ca="1" si="77"/>
        <v>2.5005889384805324</v>
      </c>
      <c r="AR211" s="68">
        <f t="shared" ca="1" si="77"/>
        <v>2.5616341434905285</v>
      </c>
    </row>
    <row r="212" spans="1:46" x14ac:dyDescent="0.2">
      <c r="A212" s="44"/>
      <c r="D212" s="40"/>
    </row>
    <row r="213" spans="1:46" ht="19.5" x14ac:dyDescent="0.2">
      <c r="A213" s="52" t="s">
        <v>367</v>
      </c>
      <c r="B213" s="438" t="s">
        <v>1097</v>
      </c>
      <c r="C213" s="20"/>
      <c r="D213" s="40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2"/>
      <c r="AP213" s="82"/>
      <c r="AQ213" s="82"/>
      <c r="AR213" s="82"/>
      <c r="AS213" s="82"/>
      <c r="AT213" s="82"/>
    </row>
    <row r="214" spans="1:46" outlineLevel="1" x14ac:dyDescent="0.2">
      <c r="A214" s="63" t="s">
        <v>36</v>
      </c>
      <c r="B214" s="102">
        <f ca="1">IFERROR(AVERAGEIF(Параметры!$E$46:OFFSET(Параметры!$E$46,0,Параметры!$B$24-1),"&gt;=" &amp; Деятельность_УК!$B$9,E214:OFFSET(E214,0,Параметры!$B$24-1))*Параметры!$B$13/Параметры!$B$12,0)</f>
        <v>220390.16897623631</v>
      </c>
      <c r="C214" s="12" t="str">
        <f>Параметры!$C$126</f>
        <v>тыс. руб.</v>
      </c>
      <c r="D214" s="40"/>
      <c r="E214" s="82">
        <f ca="1">Деятельность_УК!E$665/Параметры!E$126</f>
        <v>0</v>
      </c>
      <c r="F214" s="82">
        <f ca="1">Деятельность_УК!F$665/Параметры!F$126</f>
        <v>0</v>
      </c>
      <c r="G214" s="82">
        <f ca="1">Деятельность_УК!G$665/Параметры!G$126</f>
        <v>0</v>
      </c>
      <c r="H214" s="82">
        <f ca="1">Деятельность_УК!H$665/Параметры!H$126</f>
        <v>0</v>
      </c>
      <c r="I214" s="82">
        <f ca="1">Деятельность_УК!I$665/Параметры!I$126</f>
        <v>0</v>
      </c>
      <c r="J214" s="82">
        <f ca="1">Деятельность_УК!J$665/Параметры!J$126</f>
        <v>0</v>
      </c>
      <c r="K214" s="82">
        <f ca="1">Деятельность_УК!K$665/Параметры!K$126</f>
        <v>0</v>
      </c>
      <c r="L214" s="82">
        <f ca="1">Деятельность_УК!L$665/Параметры!L$126</f>
        <v>0</v>
      </c>
      <c r="M214" s="82">
        <f ca="1">Деятельность_УК!M$665/Параметры!M$126</f>
        <v>0</v>
      </c>
      <c r="N214" s="82">
        <f ca="1">Деятельность_УК!N$665/Параметры!N$126</f>
        <v>0</v>
      </c>
      <c r="O214" s="82">
        <f ca="1">Деятельность_УК!O$665/Параметры!O$126</f>
        <v>0</v>
      </c>
      <c r="P214" s="82">
        <f ca="1">Деятельность_УК!P$665/Параметры!P$126</f>
        <v>0</v>
      </c>
      <c r="Q214" s="82">
        <f ca="1">Деятельность_УК!Q$665/Параметры!Q$126</f>
        <v>0</v>
      </c>
      <c r="R214" s="82">
        <f ca="1">Деятельность_УК!R$665/Параметры!R$126</f>
        <v>0</v>
      </c>
      <c r="S214" s="82">
        <f ca="1">Деятельность_УК!S$665/Параметры!S$126</f>
        <v>0</v>
      </c>
      <c r="T214" s="82">
        <f ca="1">Деятельность_УК!T$665/Параметры!T$126</f>
        <v>0</v>
      </c>
      <c r="U214" s="82">
        <f ca="1">Деятельность_УК!U$665/Параметры!U$126</f>
        <v>0</v>
      </c>
      <c r="V214" s="82">
        <f ca="1">Деятельность_УК!V$665/Параметры!V$126</f>
        <v>0</v>
      </c>
      <c r="W214" s="82">
        <f ca="1">Деятельность_УК!W$665/Параметры!W$126</f>
        <v>0</v>
      </c>
      <c r="X214" s="82">
        <f ca="1">Деятельность_УК!X$665/Параметры!X$126</f>
        <v>0</v>
      </c>
      <c r="Y214" s="82">
        <f ca="1">Деятельность_УК!Y$665/Параметры!Y$126</f>
        <v>0</v>
      </c>
      <c r="Z214" s="82">
        <f ca="1">Деятельность_УК!Z$665/Параметры!Z$126</f>
        <v>0</v>
      </c>
      <c r="AA214" s="82">
        <f ca="1">Деятельность_УК!AA$665/Параметры!AA$126</f>
        <v>0</v>
      </c>
      <c r="AB214" s="82">
        <f ca="1">Деятельность_УК!AB$665/Параметры!AB$126</f>
        <v>0</v>
      </c>
      <c r="AC214" s="82">
        <f ca="1">Деятельность_УК!AC$665/Параметры!AC$126</f>
        <v>0</v>
      </c>
      <c r="AD214" s="82">
        <f ca="1">Деятельность_УК!AD$665/Параметры!AD$126</f>
        <v>0</v>
      </c>
      <c r="AE214" s="82">
        <f ca="1">Деятельность_УК!AE$665/Параметры!AE$126</f>
        <v>0</v>
      </c>
      <c r="AF214" s="82">
        <f ca="1">Деятельность_УК!AF$665/Параметры!AF$126</f>
        <v>0</v>
      </c>
      <c r="AG214" s="82">
        <f ca="1">Деятельность_УК!AG$665/Параметры!AG$126</f>
        <v>0</v>
      </c>
      <c r="AH214" s="82">
        <f ca="1">Деятельность_УК!AH$665/Параметры!AH$126</f>
        <v>0</v>
      </c>
      <c r="AI214" s="82">
        <f ca="1">Деятельность_УК!AI$665/Параметры!AI$126</f>
        <v>0</v>
      </c>
      <c r="AJ214" s="82">
        <f ca="1">Деятельность_УК!AJ$665/Параметры!AJ$126</f>
        <v>0</v>
      </c>
      <c r="AK214" s="82">
        <f ca="1">Деятельность_УК!AK$665/Параметры!AK$126</f>
        <v>0</v>
      </c>
      <c r="AL214" s="82">
        <f ca="1">Деятельность_УК!AL$665/Параметры!AL$126</f>
        <v>0</v>
      </c>
      <c r="AM214" s="82">
        <f ca="1">Деятельность_УК!AM$665/Параметры!AM$126</f>
        <v>0</v>
      </c>
      <c r="AN214" s="82">
        <f ca="1">Деятельность_УК!AN$665/Параметры!AN$126</f>
        <v>0</v>
      </c>
      <c r="AO214" s="82">
        <f ca="1">Деятельность_УК!AO$665/Параметры!AO$126</f>
        <v>0</v>
      </c>
      <c r="AP214" s="82">
        <f ca="1">Деятельность_УК!AP$665/Параметры!AP$126</f>
        <v>1275781.6275359434</v>
      </c>
      <c r="AQ214" s="82">
        <f ca="1">Деятельность_УК!AQ$665/Параметры!AQ$126</f>
        <v>22435.72580900243</v>
      </c>
      <c r="AR214" s="82">
        <f ca="1">Деятельность_УК!AR$665/Параметры!AR$126</f>
        <v>24123.66051247179</v>
      </c>
      <c r="AS214" s="82"/>
      <c r="AT214" s="30">
        <f t="shared" ref="AT214:AT219" ca="1" si="78">SUM(E214:AS214)</f>
        <v>1322341.0138574177</v>
      </c>
    </row>
    <row r="215" spans="1:46" outlineLevel="1" x14ac:dyDescent="0.2">
      <c r="A215" s="63" t="s">
        <v>37</v>
      </c>
      <c r="B215" s="102">
        <f ca="1">IFERROR(AVERAGEIF(Параметры!$E$46:OFFSET(Параметры!$E$46,0,Параметры!$B$24-1),"&gt;=" &amp; Деятельность_УК!$B$9,E215:OFFSET(E215,0,Параметры!$B$24-1))*Параметры!$B$13/Параметры!$B$12,0)</f>
        <v>190219.59264313793</v>
      </c>
      <c r="C215" s="12" t="str">
        <f>Параметры!$C$126</f>
        <v>тыс. руб.</v>
      </c>
      <c r="D215" s="40"/>
      <c r="E215" s="82">
        <f ca="1">Деятельность_УК!E$688/Параметры!E$126</f>
        <v>0</v>
      </c>
      <c r="F215" s="82">
        <f ca="1">Деятельность_УК!F$688/Параметры!F$126</f>
        <v>0</v>
      </c>
      <c r="G215" s="82">
        <f ca="1">Деятельность_УК!G$688/Параметры!G$126</f>
        <v>0</v>
      </c>
      <c r="H215" s="82">
        <f ca="1">Деятельность_УК!H$688/Параметры!H$126</f>
        <v>0</v>
      </c>
      <c r="I215" s="82">
        <f ca="1">Деятельность_УК!I$688/Параметры!I$126</f>
        <v>0</v>
      </c>
      <c r="J215" s="82">
        <f ca="1">Деятельность_УК!J$688/Параметры!J$126</f>
        <v>0</v>
      </c>
      <c r="K215" s="82">
        <f ca="1">Деятельность_УК!K$688/Параметры!K$126</f>
        <v>0</v>
      </c>
      <c r="L215" s="82">
        <f ca="1">Деятельность_УК!L$688/Параметры!L$126</f>
        <v>0</v>
      </c>
      <c r="M215" s="82">
        <f ca="1">Деятельность_УК!M$688/Параметры!M$126</f>
        <v>0</v>
      </c>
      <c r="N215" s="82">
        <f ca="1">Деятельность_УК!N$688/Параметры!N$126</f>
        <v>0</v>
      </c>
      <c r="O215" s="82">
        <f ca="1">Деятельность_УК!O$688/Параметры!O$126</f>
        <v>0</v>
      </c>
      <c r="P215" s="82">
        <f ca="1">Деятельность_УК!P$688/Параметры!P$126</f>
        <v>0</v>
      </c>
      <c r="Q215" s="82">
        <f ca="1">Деятельность_УК!Q$688/Параметры!Q$126</f>
        <v>0</v>
      </c>
      <c r="R215" s="82">
        <f ca="1">Деятельность_УК!R$688/Параметры!R$126</f>
        <v>0</v>
      </c>
      <c r="S215" s="82">
        <f ca="1">Деятельность_УК!S$688/Параметры!S$126</f>
        <v>0</v>
      </c>
      <c r="T215" s="82">
        <f ca="1">Деятельность_УК!T$688/Параметры!T$126</f>
        <v>0</v>
      </c>
      <c r="U215" s="82">
        <f ca="1">Деятельность_УК!U$688/Параметры!U$126</f>
        <v>0</v>
      </c>
      <c r="V215" s="82">
        <f ca="1">Деятельность_УК!V$688/Параметры!V$126</f>
        <v>0</v>
      </c>
      <c r="W215" s="82">
        <f ca="1">Деятельность_УК!W$688/Параметры!W$126</f>
        <v>0</v>
      </c>
      <c r="X215" s="82">
        <f ca="1">Деятельность_УК!X$688/Параметры!X$126</f>
        <v>0</v>
      </c>
      <c r="Y215" s="82">
        <f ca="1">Деятельность_УК!Y$688/Параметры!Y$126</f>
        <v>0</v>
      </c>
      <c r="Z215" s="82">
        <f ca="1">Деятельность_УК!Z$688/Параметры!Z$126</f>
        <v>0</v>
      </c>
      <c r="AA215" s="82">
        <f ca="1">Деятельность_УК!AA$688/Параметры!AA$126</f>
        <v>0</v>
      </c>
      <c r="AB215" s="82">
        <f ca="1">Деятельность_УК!AB$688/Параметры!AB$126</f>
        <v>0</v>
      </c>
      <c r="AC215" s="82">
        <f ca="1">Деятельность_УК!AC$688/Параметры!AC$126</f>
        <v>0</v>
      </c>
      <c r="AD215" s="82">
        <f ca="1">Деятельность_УК!AD$688/Параметры!AD$126</f>
        <v>8224.7338109090142</v>
      </c>
      <c r="AE215" s="82">
        <f ca="1">Деятельность_УК!AE$688/Параметры!AE$126</f>
        <v>14920.652587709479</v>
      </c>
      <c r="AF215" s="82">
        <f ca="1">Деятельность_УК!AF$688/Параметры!AF$126</f>
        <v>15999.227239058984</v>
      </c>
      <c r="AG215" s="82">
        <f ca="1">Деятельность_УК!AG$688/Параметры!AG$126</f>
        <v>17097.367955913538</v>
      </c>
      <c r="AH215" s="82">
        <f ca="1">Деятельность_УК!AH$688/Параметры!AH$126</f>
        <v>19100.304007260733</v>
      </c>
      <c r="AI215" s="82">
        <f ca="1">Деятельность_УК!AI$688/Параметры!AI$126</f>
        <v>20568.315858738686</v>
      </c>
      <c r="AJ215" s="82">
        <f ca="1">Деятельность_УК!AJ$688/Параметры!AJ$126</f>
        <v>22061.318507601507</v>
      </c>
      <c r="AK215" s="82">
        <f ca="1">Деятельность_УК!AK$688/Параметры!AK$126</f>
        <v>23579.802925847878</v>
      </c>
      <c r="AL215" s="82">
        <f ca="1">Деятельность_УК!AL$688/Параметры!AL$126</f>
        <v>62586.987475456073</v>
      </c>
      <c r="AM215" s="82">
        <f ca="1">Деятельность_УК!AM$688/Параметры!AM$126</f>
        <v>25628.14272258036</v>
      </c>
      <c r="AN215" s="82">
        <f ca="1">Деятельность_УК!AN$688/Параметры!AN$126</f>
        <v>27093.749052001149</v>
      </c>
      <c r="AO215" s="82">
        <f ca="1">Деятельность_УК!AO$688/Параметры!AO$126</f>
        <v>28493.765446530655</v>
      </c>
      <c r="AP215" s="82">
        <f ca="1">Деятельность_УК!AP$688/Параметры!AP$126</f>
        <v>828246.7406285418</v>
      </c>
      <c r="AQ215" s="82">
        <f ca="1">Деятельность_УК!AQ$688/Параметры!AQ$126</f>
        <v>13021.59232487629</v>
      </c>
      <c r="AR215" s="82">
        <f ca="1">Деятельность_УК!AR$688/Параметры!AR$126</f>
        <v>14694.855315801791</v>
      </c>
      <c r="AS215" s="82"/>
      <c r="AT215" s="30">
        <f ca="1">SUM(E215:AS215)</f>
        <v>1141317.5558588277</v>
      </c>
    </row>
    <row r="216" spans="1:46" outlineLevel="1" x14ac:dyDescent="0.2">
      <c r="A216" s="63" t="s">
        <v>38</v>
      </c>
      <c r="B216" s="102">
        <f ca="1">IFERROR(AVERAGEIF(Параметры!$E$46:OFFSET(Параметры!$E$46,0,Параметры!$B$24-1),"&gt;=" &amp; Деятельность_УК!$B$9,E216:OFFSET(E216,0,Параметры!$B$24-1))*Параметры!$B$13/Параметры!$B$12,0)</f>
        <v>35902.820518638298</v>
      </c>
      <c r="C216" s="12" t="str">
        <f>Параметры!$C$126</f>
        <v>тыс. руб.</v>
      </c>
      <c r="D216" s="40"/>
      <c r="E216" s="82">
        <f ca="1">Деятельность_УК!E$679/Параметры!E$126</f>
        <v>0</v>
      </c>
      <c r="F216" s="82">
        <f ca="1">Деятельность_УК!F$679/Параметры!F$126</f>
        <v>0</v>
      </c>
      <c r="G216" s="82">
        <f ca="1">Деятельность_УК!G$679/Параметры!G$126</f>
        <v>0</v>
      </c>
      <c r="H216" s="82">
        <f ca="1">Деятельность_УК!H$679/Параметры!H$126</f>
        <v>2610.0211328124997</v>
      </c>
      <c r="I216" s="82">
        <f ca="1">Деятельность_УК!I$679/Параметры!I$126</f>
        <v>5187.0040234375001</v>
      </c>
      <c r="J216" s="82">
        <f ca="1">Деятельность_УК!J$679/Параметры!J$126</f>
        <v>0</v>
      </c>
      <c r="K216" s="82">
        <f ca="1">Деятельность_УК!K$679/Параметры!K$126</f>
        <v>0</v>
      </c>
      <c r="L216" s="82">
        <f ca="1">Деятельность_УК!L$679/Параметры!L$126</f>
        <v>0</v>
      </c>
      <c r="M216" s="82">
        <f ca="1">Деятельность_УК!M$679/Параметры!M$126</f>
        <v>0</v>
      </c>
      <c r="N216" s="82">
        <f ca="1">Деятельность_УК!N$679/Параметры!N$126</f>
        <v>0</v>
      </c>
      <c r="O216" s="82">
        <f ca="1">Деятельность_УК!O$679/Параметры!O$126</f>
        <v>0</v>
      </c>
      <c r="P216" s="82">
        <f ca="1">Деятельность_УК!P$679/Параметры!P$126</f>
        <v>0</v>
      </c>
      <c r="Q216" s="82">
        <f ca="1">Деятельность_УК!Q$679/Параметры!Q$126</f>
        <v>0</v>
      </c>
      <c r="R216" s="82">
        <f ca="1">Деятельность_УК!R$679/Параметры!R$126</f>
        <v>0</v>
      </c>
      <c r="S216" s="82">
        <f ca="1">Деятельность_УК!S$679/Параметры!S$126</f>
        <v>0</v>
      </c>
      <c r="T216" s="82">
        <f ca="1">Деятельность_УК!T$679/Параметры!T$126</f>
        <v>0</v>
      </c>
      <c r="U216" s="82">
        <f ca="1">Деятельность_УК!U$679/Параметры!U$126</f>
        <v>0</v>
      </c>
      <c r="V216" s="82">
        <f ca="1">Деятельность_УК!V$679/Параметры!V$126</f>
        <v>0</v>
      </c>
      <c r="W216" s="82">
        <f ca="1">Деятельность_УК!W$679/Параметры!W$126</f>
        <v>0</v>
      </c>
      <c r="X216" s="82">
        <f ca="1">Деятельность_УК!X$679/Параметры!X$126</f>
        <v>0</v>
      </c>
      <c r="Y216" s="82">
        <f ca="1">Деятельность_УК!Y$679/Параметры!Y$126</f>
        <v>0</v>
      </c>
      <c r="Z216" s="82">
        <f ca="1">Деятельность_УК!Z$679/Параметры!Z$126</f>
        <v>0</v>
      </c>
      <c r="AA216" s="82">
        <f ca="1">Деятельность_УК!AA$679/Параметры!AA$126</f>
        <v>0</v>
      </c>
      <c r="AB216" s="82">
        <f ca="1">Деятельность_УК!AB$679/Параметры!AB$126</f>
        <v>0</v>
      </c>
      <c r="AC216" s="82">
        <f ca="1">Деятельность_УК!AC$679/Параметры!AC$126</f>
        <v>0</v>
      </c>
      <c r="AD216" s="82">
        <f ca="1">Деятельность_УК!AD$679/Параметры!AD$126</f>
        <v>0</v>
      </c>
      <c r="AE216" s="82">
        <f ca="1">Деятельность_УК!AE$679/Параметры!AE$126</f>
        <v>0</v>
      </c>
      <c r="AF216" s="82">
        <f ca="1">Деятельность_УК!AF$679/Параметры!AF$126</f>
        <v>0</v>
      </c>
      <c r="AG216" s="82">
        <f ca="1">Деятельность_УК!AG$679/Параметры!AG$126</f>
        <v>0</v>
      </c>
      <c r="AH216" s="82">
        <f ca="1">Деятельность_УК!AH$679/Параметры!AH$126</f>
        <v>24974.693747648522</v>
      </c>
      <c r="AI216" s="82">
        <f ca="1">Деятельность_УК!AI$679/Параметры!AI$126</f>
        <v>24582.215674530784</v>
      </c>
      <c r="AJ216" s="82">
        <f ca="1">Деятельность_УК!AJ$679/Параметры!AJ$126</f>
        <v>24189.737601413053</v>
      </c>
      <c r="AK216" s="82">
        <f ca="1">Деятельность_УК!AK$679/Параметры!AK$126</f>
        <v>23797.259528295319</v>
      </c>
      <c r="AL216" s="82">
        <f ca="1">Деятельность_УК!AL$679/Параметры!AL$126</f>
        <v>22819.75978071817</v>
      </c>
      <c r="AM216" s="82">
        <f ca="1">Деятельность_УК!AM$679/Параметры!AM$126</f>
        <v>21852.100645843911</v>
      </c>
      <c r="AN216" s="82">
        <f ca="1">Деятельность_УК!AN$679/Параметры!AN$126</f>
        <v>21479.303798131979</v>
      </c>
      <c r="AO216" s="82">
        <f ca="1">Деятельность_УК!AO$679/Параметры!AO$126</f>
        <v>21106.506950420044</v>
      </c>
      <c r="AP216" s="82">
        <f ca="1">Деятельность_УК!AP$679/Параметры!AP$126</f>
        <v>14545.595227507445</v>
      </c>
      <c r="AQ216" s="82">
        <f ca="1">Деятельность_УК!AQ$679/Параметры!AQ$126</f>
        <v>8102.9785035555415</v>
      </c>
      <c r="AR216" s="82">
        <f ca="1">Деятельность_УК!AR$679/Параметры!AR$126</f>
        <v>7966.7716537649931</v>
      </c>
      <c r="AS216" s="82"/>
      <c r="AT216" s="30">
        <f ca="1">SUM(E216:AS216)</f>
        <v>223213.94826807978</v>
      </c>
    </row>
    <row r="217" spans="1:46" outlineLevel="1" x14ac:dyDescent="0.2">
      <c r="A217" s="63" t="s">
        <v>274</v>
      </c>
      <c r="B217" s="102">
        <f ca="1">IFERROR(AVERAGEIF(Параметры!$E$46:OFFSET(Параметры!$E$46,0,Параметры!$B$24-1),"&gt;=" &amp; Деятельность_УК!$B$9,E217:OFFSET(E217,0,Параметры!$B$24-1))*Параметры!$B$13/Параметры!$B$12,0)</f>
        <v>10352.001833561795</v>
      </c>
      <c r="C217" s="12" t="str">
        <f>Параметры!$C$126</f>
        <v>тыс. руб.</v>
      </c>
      <c r="D217" s="40"/>
      <c r="E217" s="82">
        <f>Деятельность_УК!E$684/Параметры!E$126</f>
        <v>212.41418400000001</v>
      </c>
      <c r="F217" s="82">
        <f ca="1">Деятельность_УК!F$684/Параметры!F$126</f>
        <v>318.62127600000002</v>
      </c>
      <c r="G217" s="82">
        <f ca="1">Деятельность_УК!G$684/Параметры!G$126</f>
        <v>318.62127600000002</v>
      </c>
      <c r="H217" s="82">
        <f ca="1">Деятельность_УК!H$684/Параметры!H$126</f>
        <v>566.43782399999998</v>
      </c>
      <c r="I217" s="82">
        <f ca="1">Деятельность_УК!I$684/Параметры!I$126</f>
        <v>690.34609799999998</v>
      </c>
      <c r="J217" s="82">
        <f ca="1">Деятельность_УК!J$684/Параметры!J$126</f>
        <v>697.71905872916216</v>
      </c>
      <c r="K217" s="82">
        <f ca="1">Деятельность_УК!K$684/Параметры!K$126</f>
        <v>1295.0336864218657</v>
      </c>
      <c r="L217" s="82">
        <f ca="1">Деятельность_УК!L$684/Параметры!L$126</f>
        <v>1608.8488426674328</v>
      </c>
      <c r="M217" s="82">
        <f ca="1">Деятельность_УК!M$684/Параметры!M$126</f>
        <v>1634.6228262616985</v>
      </c>
      <c r="N217" s="82">
        <f ca="1">Деятельность_УК!N$684/Параметры!N$126</f>
        <v>1661.7296413617373</v>
      </c>
      <c r="O217" s="82">
        <f ca="1">Деятельность_УК!O$684/Параметры!O$126</f>
        <v>1689.7461856510195</v>
      </c>
      <c r="P217" s="82">
        <f ca="1">Деятельность_УК!P$684/Параметры!P$126</f>
        <v>1877.6639561939774</v>
      </c>
      <c r="Q217" s="82">
        <f ca="1">Деятельность_УК!Q$684/Параметры!Q$126</f>
        <v>1989.0355602645366</v>
      </c>
      <c r="R217" s="82">
        <f ca="1">Деятельность_УК!R$684/Параметры!R$126</f>
        <v>2022.2870427826551</v>
      </c>
      <c r="S217" s="82">
        <f ca="1">Деятельность_УК!S$684/Параметры!S$126</f>
        <v>2055.9527247800197</v>
      </c>
      <c r="T217" s="82">
        <f ca="1">Деятельность_УК!T$684/Параметры!T$126</f>
        <v>2090.1788505325831</v>
      </c>
      <c r="U217" s="82">
        <f ca="1">Деятельность_УК!U$684/Параметры!U$126</f>
        <v>2124.974749933107</v>
      </c>
      <c r="V217" s="82">
        <f ca="1">Деятельность_УК!V$684/Параметры!V$126</f>
        <v>2160.7981751341963</v>
      </c>
      <c r="W217" s="82">
        <f ca="1">Деятельность_УК!W$684/Параметры!W$126</f>
        <v>2197.4497017450312</v>
      </c>
      <c r="X217" s="82">
        <f ca="1">Деятельность_УК!X$684/Параметры!X$126</f>
        <v>2234.72291270305</v>
      </c>
      <c r="Y217" s="82">
        <f ca="1">Деятельность_УК!Y$684/Параметры!Y$126</f>
        <v>2272.6283530377041</v>
      </c>
      <c r="Z217" s="82">
        <f ca="1">Деятельность_УК!Z$684/Параметры!Z$126</f>
        <v>2310.8592484546198</v>
      </c>
      <c r="AA217" s="82">
        <f ca="1">Деятельность_УК!AA$684/Параметры!AA$126</f>
        <v>2349.5745491776956</v>
      </c>
      <c r="AB217" s="82">
        <f ca="1">Деятельность_УК!AB$684/Параметры!AB$126</f>
        <v>2388.938472057695</v>
      </c>
      <c r="AC217" s="82">
        <f ca="1">Деятельность_УК!AC$684/Параметры!AC$126</f>
        <v>2428.961883875827</v>
      </c>
      <c r="AD217" s="82">
        <f ca="1">Деятельность_УК!AD$684/Параметры!AD$126</f>
        <v>2469.3889224106251</v>
      </c>
      <c r="AE217" s="82">
        <f ca="1">Деятельность_УК!AE$684/Параметры!AE$126</f>
        <v>2510.3553774305756</v>
      </c>
      <c r="AF217" s="82">
        <f ca="1">Деятельность_УК!AF$684/Параметры!AF$126</f>
        <v>2552.0014542070144</v>
      </c>
      <c r="AG217" s="82">
        <f ca="1">Деятельность_УК!AG$684/Параметры!AG$126</f>
        <v>2594.3384274702466</v>
      </c>
      <c r="AH217" s="82">
        <f ca="1">Деятельность_УК!AH$684/Параметры!AH$126</f>
        <v>2637.2626706943925</v>
      </c>
      <c r="AI217" s="82">
        <f ca="1">Деятельность_УК!AI$684/Параметры!AI$126</f>
        <v>2680.8395690048801</v>
      </c>
      <c r="AJ217" s="82">
        <f ca="1">Деятельность_УК!AJ$684/Параметры!AJ$126</f>
        <v>2725.136511658111</v>
      </c>
      <c r="AK217" s="82">
        <f ca="1">Деятельность_УК!AK$684/Параметры!AK$126</f>
        <v>2770.1653963309655</v>
      </c>
      <c r="AL217" s="82">
        <f ca="1">Деятельность_УК!AL$684/Параметры!AL$126</f>
        <v>2815.6836496218393</v>
      </c>
      <c r="AM217" s="82">
        <f ca="1">Деятельность_УК!AM$684/Параметры!AM$126</f>
        <v>2861.8225183827944</v>
      </c>
      <c r="AN217" s="82">
        <f ca="1">Деятельность_УК!AN$684/Параметры!AN$126</f>
        <v>2908.7174362868514</v>
      </c>
      <c r="AO217" s="82">
        <f ca="1">Деятельность_УК!AO$684/Параметры!AO$126</f>
        <v>2956.3807922443166</v>
      </c>
      <c r="AP217" s="82">
        <f ca="1">Деятельность_УК!AP$684/Параметры!AP$126</f>
        <v>3004.5653893261288</v>
      </c>
      <c r="AQ217" s="82">
        <f ca="1">Деятельность_УК!AQ$684/Параметры!AQ$126</f>
        <v>3053.405440272611</v>
      </c>
      <c r="AR217" s="82">
        <f ca="1">Деятельность_УК!AR$684/Параметры!AR$126</f>
        <v>3103.0393999104895</v>
      </c>
      <c r="AS217" s="82"/>
      <c r="AT217" s="30">
        <f t="shared" ca="1" si="78"/>
        <v>82841.270035017471</v>
      </c>
    </row>
    <row r="218" spans="1:46" outlineLevel="1" x14ac:dyDescent="0.2">
      <c r="A218" s="66" t="s">
        <v>319</v>
      </c>
      <c r="B218" s="102">
        <f ca="1">IFERROR(AVERAGEIF(Параметры!$E$46:OFFSET(Параметры!$E$46,0,Параметры!$B$24-1),"&gt;=" &amp; Деятельность_УК!$B$9,E218:OFFSET(E218,0,Параметры!$B$24-1))*Параметры!$B$13/Параметры!$B$12,0)</f>
        <v>5242.6512819662321</v>
      </c>
      <c r="C218" s="36" t="str">
        <f>Параметры!$C$126</f>
        <v>тыс. руб.</v>
      </c>
      <c r="D218" s="40"/>
      <c r="E218" s="158">
        <f>Деятельность_УК!E$702/Параметры!E$126</f>
        <v>0</v>
      </c>
      <c r="F218" s="158">
        <f>Деятельность_УК!F$702/Параметры!F$126</f>
        <v>1310.6628204915587</v>
      </c>
      <c r="G218" s="158">
        <f>Деятельность_УК!G$702/Параметры!G$126</f>
        <v>1310.6628204915587</v>
      </c>
      <c r="H218" s="158">
        <f>Деятельность_УК!H$702/Параметры!H$126</f>
        <v>1310.6628204915587</v>
      </c>
      <c r="I218" s="158">
        <f>Деятельность_УК!I$702/Параметры!I$126</f>
        <v>1310.6628204915587</v>
      </c>
      <c r="J218" s="158">
        <f>Деятельность_УК!J$702/Параметры!J$126</f>
        <v>1310.6628204915587</v>
      </c>
      <c r="K218" s="158">
        <f>Деятельность_УК!K$702/Параметры!K$126</f>
        <v>1310.6628204915587</v>
      </c>
      <c r="L218" s="158">
        <f>Деятельность_УК!L$702/Параметры!L$126</f>
        <v>1310.6628204915587</v>
      </c>
      <c r="M218" s="158">
        <f>Деятельность_УК!M$702/Параметры!M$126</f>
        <v>1310.6628204915587</v>
      </c>
      <c r="N218" s="158">
        <f>Деятельность_УК!N$702/Параметры!N$126</f>
        <v>1310.6628204915587</v>
      </c>
      <c r="O218" s="158">
        <f>Деятельность_УК!O$702/Параметры!O$126</f>
        <v>1310.6628204915587</v>
      </c>
      <c r="P218" s="158">
        <f>Деятельность_УК!P$702/Параметры!P$126</f>
        <v>1310.6628204915587</v>
      </c>
      <c r="Q218" s="158">
        <f>Деятельность_УК!Q$702/Параметры!Q$126</f>
        <v>1310.6628204915587</v>
      </c>
      <c r="R218" s="158">
        <f>Деятельность_УК!R$702/Параметры!R$126</f>
        <v>1310.6628204915587</v>
      </c>
      <c r="S218" s="158">
        <f>Деятельность_УК!S$702/Параметры!S$126</f>
        <v>1310.6628204915587</v>
      </c>
      <c r="T218" s="158">
        <f>Деятельность_УК!T$702/Параметры!T$126</f>
        <v>1310.6628204915587</v>
      </c>
      <c r="U218" s="158">
        <f>Деятельность_УК!U$702/Параметры!U$126</f>
        <v>1310.6628204915587</v>
      </c>
      <c r="V218" s="158">
        <f>Деятельность_УК!V$702/Параметры!V$126</f>
        <v>1310.6628204915587</v>
      </c>
      <c r="W218" s="158">
        <f>Деятельность_УК!W$702/Параметры!W$126</f>
        <v>1310.6628204915587</v>
      </c>
      <c r="X218" s="158">
        <f>Деятельность_УК!X$702/Параметры!X$126</f>
        <v>1310.6628204915587</v>
      </c>
      <c r="Y218" s="158">
        <f>Деятельность_УК!Y$702/Параметры!Y$126</f>
        <v>1310.6628204915587</v>
      </c>
      <c r="Z218" s="158">
        <f>Деятельность_УК!Z$702/Параметры!Z$126</f>
        <v>1310.6628204915587</v>
      </c>
      <c r="AA218" s="158">
        <f>Деятельность_УК!AA$702/Параметры!AA$126</f>
        <v>1310.6628204915587</v>
      </c>
      <c r="AB218" s="158">
        <f>Деятельность_УК!AB$702/Параметры!AB$126</f>
        <v>1310.6628204915587</v>
      </c>
      <c r="AC218" s="158">
        <f>Деятельность_УК!AC$702/Параметры!AC$126</f>
        <v>1310.6628204915587</v>
      </c>
      <c r="AD218" s="158">
        <f>Деятельность_УК!AD$702/Параметры!AD$126</f>
        <v>1310.6628204915587</v>
      </c>
      <c r="AE218" s="158">
        <f>Деятельность_УК!AE$702/Параметры!AE$126</f>
        <v>1310.6628204915587</v>
      </c>
      <c r="AF218" s="158">
        <f>Деятельность_УК!AF$702/Параметры!AF$126</f>
        <v>1310.6628204915587</v>
      </c>
      <c r="AG218" s="158">
        <f>Деятельность_УК!AG$702/Параметры!AG$126</f>
        <v>1310.6628204915587</v>
      </c>
      <c r="AH218" s="158">
        <f>Деятельность_УК!AH$702/Параметры!AH$126</f>
        <v>1310.6628204915587</v>
      </c>
      <c r="AI218" s="158">
        <f>Деятельность_УК!AI$702/Параметры!AI$126</f>
        <v>1310.6628204915587</v>
      </c>
      <c r="AJ218" s="158">
        <f>Деятельность_УК!AJ$702/Параметры!AJ$126</f>
        <v>1310.6628204915587</v>
      </c>
      <c r="AK218" s="158">
        <f>Деятельность_УК!AK$702/Параметры!AK$126</f>
        <v>1310.6628204915587</v>
      </c>
      <c r="AL218" s="158">
        <f>Деятельность_УК!AL$702/Параметры!AL$126</f>
        <v>1310.6628204915587</v>
      </c>
      <c r="AM218" s="158">
        <f>Деятельность_УК!AM$702/Параметры!AM$126</f>
        <v>1310.6628204915587</v>
      </c>
      <c r="AN218" s="158">
        <f>Деятельность_УК!AN$702/Параметры!AN$126</f>
        <v>1310.6628204915587</v>
      </c>
      <c r="AO218" s="158">
        <f>Деятельность_УК!AO$702/Параметры!AO$126</f>
        <v>1310.6628204915587</v>
      </c>
      <c r="AP218" s="158">
        <f>Деятельность_УК!AP$702/Параметры!AP$126</f>
        <v>1310.6628204915587</v>
      </c>
      <c r="AQ218" s="158">
        <f>Деятельность_УК!AQ$702/Параметры!AQ$126</f>
        <v>1310.6628204915587</v>
      </c>
      <c r="AR218" s="158">
        <f>Деятельность_УК!AR$702/Параметры!AR$126</f>
        <v>1310.6628204915587</v>
      </c>
      <c r="AS218" s="158"/>
      <c r="AT218" s="84">
        <f t="shared" si="78"/>
        <v>51115.849999170809</v>
      </c>
    </row>
    <row r="219" spans="1:46" outlineLevel="1" x14ac:dyDescent="0.2">
      <c r="A219" s="66" t="s">
        <v>323</v>
      </c>
      <c r="B219" s="102">
        <f ca="1">IFERROR(AVERAGEIF(Параметры!$E$46:OFFSET(Параметры!$E$46,0,Параметры!$B$24-1),"&gt;=" &amp; Деятельность_УК!$B$9,E219:OFFSET(E219,0,Параметры!$B$24-1))*Параметры!$B$13/Параметры!$B$12,0)</f>
        <v>4421.9366782985007</v>
      </c>
      <c r="C219" s="36" t="str">
        <f>Параметры!$C$126</f>
        <v>тыс. руб.</v>
      </c>
      <c r="D219" s="65"/>
      <c r="E219" s="158">
        <f>Деятельность_УК!E$222*Параметры!E$190/Параметры!E$126</f>
        <v>135.36198000000002</v>
      </c>
      <c r="F219" s="158">
        <f ca="1">Деятельность_УК!F$222*Параметры!F$190/Параметры!F$126</f>
        <v>135.36198000000002</v>
      </c>
      <c r="G219" s="158">
        <f ca="1">Деятельность_УК!G$222*Параметры!G$190/Параметры!G$126</f>
        <v>135.36198000000002</v>
      </c>
      <c r="H219" s="158">
        <f ca="1">Деятельность_УК!H$222*Параметры!H$190/Параметры!H$126</f>
        <v>293.28429</v>
      </c>
      <c r="I219" s="158">
        <f ca="1">Деятельность_УК!I$222*Параметры!I$190/Параметры!I$126</f>
        <v>293.28429</v>
      </c>
      <c r="J219" s="158">
        <f ca="1">Деятельность_УК!J$222*Параметры!J$190/Параметры!J$126</f>
        <v>297.98274536662296</v>
      </c>
      <c r="K219" s="158">
        <f ca="1">Деятельность_УК!K$222*Параметры!K$190/Параметры!K$126</f>
        <v>676.27519219336773</v>
      </c>
      <c r="L219" s="158">
        <f ca="1">Деятельность_УК!L$222*Параметры!L$190/Параметры!L$126</f>
        <v>687.10921540707227</v>
      </c>
      <c r="M219" s="158">
        <f ca="1">Деятельность_УК!M$222*Параметры!M$190/Параметры!M$126</f>
        <v>698.11680118872277</v>
      </c>
      <c r="N219" s="158">
        <f ca="1">Деятельность_УК!N$222*Параметры!N$190/Параметры!N$126</f>
        <v>709.88695909694184</v>
      </c>
      <c r="O219" s="158">
        <f ca="1">Деятельность_УК!O$222*Параметры!O$190/Параметры!O$126</f>
        <v>721.85556032717875</v>
      </c>
      <c r="P219" s="158">
        <f ca="1">Деятельность_УК!P$222*Параметры!P$190/Параметры!P$126</f>
        <v>835.62278015610218</v>
      </c>
      <c r="Q219" s="158">
        <f ca="1">Деятельность_УК!Q$222*Параметры!Q$190/Параметры!Q$126</f>
        <v>849.7112708748399</v>
      </c>
      <c r="R219" s="158">
        <f ca="1">Деятельность_УК!R$222*Параметры!R$190/Параметры!R$126</f>
        <v>863.85669574760539</v>
      </c>
      <c r="S219" s="158">
        <f ca="1">Деятельность_УК!S$222*Параметры!S$190/Параметры!S$126</f>
        <v>878.23760419189625</v>
      </c>
      <c r="T219" s="158">
        <f ca="1">Деятельность_УК!T$222*Параметры!T$190/Параметры!T$126</f>
        <v>892.85791638069816</v>
      </c>
      <c r="U219" s="158">
        <f ca="1">Деятельность_УК!U$222*Параметры!U$190/Параметры!U$126</f>
        <v>907.72161774741494</v>
      </c>
      <c r="V219" s="158">
        <f ca="1">Деятельность_УК!V$222*Параметры!V$190/Параметры!V$126</f>
        <v>923.11842037847657</v>
      </c>
      <c r="W219" s="158">
        <f ca="1">Деятельность_УК!W$222*Параметры!W$190/Параметры!W$126</f>
        <v>938.77638406004644</v>
      </c>
      <c r="X219" s="158">
        <f ca="1">Деятельность_УК!X$222*Параметры!X$190/Параметры!X$126</f>
        <v>954.69993861407727</v>
      </c>
      <c r="Y219" s="158">
        <f ca="1">Деятельность_УК!Y$222*Параметры!Y$190/Параметры!Y$126</f>
        <v>970.89358900130208</v>
      </c>
      <c r="Z219" s="158">
        <f ca="1">Деятельность_УК!Z$222*Параметры!Z$190/Параметры!Z$126</f>
        <v>987.15958931846933</v>
      </c>
      <c r="AA219" s="158">
        <f ca="1">Деятельность_УК!AA$222*Параметры!AA$190/Параметры!AA$126</f>
        <v>1003.6981043265519</v>
      </c>
      <c r="AB219" s="158">
        <f ca="1">Деятельность_УК!AB$222*Параметры!AB$190/Параметры!AB$126</f>
        <v>1020.5136996381963</v>
      </c>
      <c r="AC219" s="158">
        <f ca="1">Деятельность_УК!AC$222*Параметры!AC$190/Параметры!AC$126</f>
        <v>1037.611017356674</v>
      </c>
      <c r="AD219" s="158">
        <f ca="1">Деятельность_УК!AD$222*Параметры!AD$190/Параметры!AD$126</f>
        <v>1054.8246869754926</v>
      </c>
      <c r="AE219" s="158">
        <f ca="1">Деятельность_УК!AE$222*Параметры!AE$190/Параметры!AE$126</f>
        <v>1072.3239264435028</v>
      </c>
      <c r="AF219" s="158">
        <f ca="1">Деятельность_УК!AF$222*Параметры!AF$190/Параметры!AF$126</f>
        <v>1090.1134732827186</v>
      </c>
      <c r="AG219" s="158">
        <f ca="1">Деятельность_УК!AG$222*Параметры!AG$190/Параметры!AG$126</f>
        <v>1108.1981436092879</v>
      </c>
      <c r="AH219" s="158">
        <f ca="1">Деятельность_УК!AH$222*Параметры!AH$190/Параметры!AH$126</f>
        <v>1126.509492853547</v>
      </c>
      <c r="AI219" s="158">
        <f ca="1">Деятельность_УК!AI$222*Параметры!AI$190/Параметры!AI$126</f>
        <v>1145.1234102920223</v>
      </c>
      <c r="AJ219" s="158">
        <f ca="1">Деятельность_УК!AJ$222*Параметры!AJ$190/Параметры!AJ$126</f>
        <v>1164.0448954204321</v>
      </c>
      <c r="AK219" s="158">
        <f ca="1">Деятельность_УК!AK$222*Параметры!AK$190/Параметры!AK$126</f>
        <v>1183.2790303438308</v>
      </c>
      <c r="AL219" s="158">
        <f ca="1">Деятельность_УК!AL$222*Параметры!AL$190/Параметры!AL$126</f>
        <v>1202.6686929204334</v>
      </c>
      <c r="AM219" s="158">
        <f ca="1">Деятельность_УК!AM$222*Параметры!AM$190/Параметры!AM$126</f>
        <v>1222.376081920976</v>
      </c>
      <c r="AN219" s="158">
        <f ca="1">Деятельность_УК!AN$222*Параметры!AN$190/Параметры!AN$126</f>
        <v>1242.4064037321134</v>
      </c>
      <c r="AO219" s="158">
        <f ca="1">Деятельность_УК!AO$222*Параметры!AO$190/Параметры!AO$126</f>
        <v>1262.7649500543414</v>
      </c>
      <c r="AP219" s="158">
        <f ca="1">Деятельность_УК!AP$222*Параметры!AP$190/Параметры!AP$126</f>
        <v>1283.2915475826173</v>
      </c>
      <c r="AQ219" s="158">
        <f ca="1">Деятельность_УК!AQ$222*Параметры!AQ$190/Параметры!AQ$126</f>
        <v>1304.1518106961396</v>
      </c>
      <c r="AR219" s="158">
        <f ca="1">Деятельность_УК!AR$222*Параметры!AR$190/Параметры!AR$126</f>
        <v>1325.3511632223403</v>
      </c>
      <c r="AS219" s="158"/>
      <c r="AT219" s="84">
        <f t="shared" ca="1" si="78"/>
        <v>35635.787330722051</v>
      </c>
    </row>
    <row r="220" spans="1:46" outlineLevel="1" x14ac:dyDescent="0.2">
      <c r="A220" s="50" t="s">
        <v>476</v>
      </c>
      <c r="B220" s="446">
        <f ca="1">IFERROR(AVERAGEIF(Параметры!$E$46:OFFSET(Параметры!$E$46,0,Параметры!$B$24-1),"&gt;=" &amp; Деятельность_УК!$B$9,E220:OFFSET(E220,0,Параметры!$B$24-1))*Параметры!$B$13/Параметры!$B$12,0)</f>
        <v>466529.17193183908</v>
      </c>
      <c r="C220" s="36" t="str">
        <f>Параметры!$C$126</f>
        <v>тыс. руб.</v>
      </c>
      <c r="D220" s="65"/>
      <c r="E220" s="158">
        <f t="shared" ref="E220:AR220" ca="1" si="79">SUM(E214:E219)</f>
        <v>347.77616399999999</v>
      </c>
      <c r="F220" s="158">
        <f t="shared" ca="1" si="79"/>
        <v>1764.6460764915587</v>
      </c>
      <c r="G220" s="158">
        <f t="shared" ca="1" si="79"/>
        <v>1764.6460764915587</v>
      </c>
      <c r="H220" s="158">
        <f t="shared" ca="1" si="79"/>
        <v>4780.4060673040585</v>
      </c>
      <c r="I220" s="158">
        <f t="shared" ca="1" si="79"/>
        <v>7481.2972319290584</v>
      </c>
      <c r="J220" s="158">
        <f t="shared" ca="1" si="79"/>
        <v>2306.3646245873438</v>
      </c>
      <c r="K220" s="158">
        <f t="shared" ca="1" si="79"/>
        <v>3281.9716991067921</v>
      </c>
      <c r="L220" s="158">
        <f t="shared" ca="1" si="79"/>
        <v>3606.6208785660638</v>
      </c>
      <c r="M220" s="158">
        <f t="shared" ca="1" si="79"/>
        <v>3643.4024479419804</v>
      </c>
      <c r="N220" s="158">
        <f t="shared" ca="1" si="79"/>
        <v>3682.2794209502381</v>
      </c>
      <c r="O220" s="158">
        <f t="shared" ca="1" si="79"/>
        <v>3722.264566469757</v>
      </c>
      <c r="P220" s="158">
        <f t="shared" ca="1" si="79"/>
        <v>4023.9495568416382</v>
      </c>
      <c r="Q220" s="158">
        <f t="shared" ca="1" si="79"/>
        <v>4149.4096516309355</v>
      </c>
      <c r="R220" s="158">
        <f t="shared" ca="1" si="79"/>
        <v>4196.8065590218193</v>
      </c>
      <c r="S220" s="158">
        <f t="shared" ca="1" si="79"/>
        <v>4244.8531494634744</v>
      </c>
      <c r="T220" s="158">
        <f t="shared" ca="1" si="79"/>
        <v>4293.6995874048398</v>
      </c>
      <c r="U220" s="158">
        <f t="shared" ca="1" si="79"/>
        <v>4343.3591881720804</v>
      </c>
      <c r="V220" s="158">
        <f t="shared" ca="1" si="79"/>
        <v>4394.5794160042315</v>
      </c>
      <c r="W220" s="158">
        <f t="shared" ca="1" si="79"/>
        <v>4446.8889062966364</v>
      </c>
      <c r="X220" s="158">
        <f t="shared" ca="1" si="79"/>
        <v>4500.0856718086861</v>
      </c>
      <c r="Y220" s="158">
        <f t="shared" ca="1" si="79"/>
        <v>4554.1847625305645</v>
      </c>
      <c r="Z220" s="158">
        <f t="shared" ca="1" si="79"/>
        <v>4608.6816582646479</v>
      </c>
      <c r="AA220" s="158">
        <f t="shared" ca="1" si="79"/>
        <v>4663.9354739958062</v>
      </c>
      <c r="AB220" s="158">
        <f t="shared" ca="1" si="79"/>
        <v>4720.1149921874503</v>
      </c>
      <c r="AC220" s="158">
        <f t="shared" ca="1" si="79"/>
        <v>4777.2357217240597</v>
      </c>
      <c r="AD220" s="158">
        <f t="shared" ca="1" si="79"/>
        <v>13059.610240786691</v>
      </c>
      <c r="AE220" s="158">
        <f t="shared" ca="1" si="79"/>
        <v>19813.994712075117</v>
      </c>
      <c r="AF220" s="158">
        <f t="shared" ca="1" si="79"/>
        <v>20952.004987040276</v>
      </c>
      <c r="AG220" s="158">
        <f t="shared" ca="1" si="79"/>
        <v>22110.56734748463</v>
      </c>
      <c r="AH220" s="158">
        <f t="shared" ca="1" si="79"/>
        <v>49149.432738948759</v>
      </c>
      <c r="AI220" s="158">
        <f t="shared" ca="1" si="79"/>
        <v>50287.157333057934</v>
      </c>
      <c r="AJ220" s="158">
        <f t="shared" ca="1" si="79"/>
        <v>51450.900336584673</v>
      </c>
      <c r="AK220" s="158">
        <f t="shared" ca="1" si="79"/>
        <v>52641.169701309555</v>
      </c>
      <c r="AL220" s="158">
        <f t="shared" ca="1" si="79"/>
        <v>90735.762419208084</v>
      </c>
      <c r="AM220" s="158">
        <f t="shared" ca="1" si="79"/>
        <v>52875.104789219607</v>
      </c>
      <c r="AN220" s="158">
        <f t="shared" ca="1" si="79"/>
        <v>54034.839510643658</v>
      </c>
      <c r="AO220" s="158">
        <f t="shared" ca="1" si="79"/>
        <v>55130.080959740917</v>
      </c>
      <c r="AP220" s="158">
        <f t="shared" ca="1" si="79"/>
        <v>2124172.483149393</v>
      </c>
      <c r="AQ220" s="158">
        <f t="shared" ca="1" si="79"/>
        <v>49228.516708894567</v>
      </c>
      <c r="AR220" s="158">
        <f t="shared" ca="1" si="79"/>
        <v>52524.340865662962</v>
      </c>
      <c r="AS220" s="158"/>
      <c r="AT220" s="84">
        <f ca="1">SUM(E220:AS220)</f>
        <v>2856465.4253492355</v>
      </c>
    </row>
    <row r="221" spans="1:46" outlineLevel="1" x14ac:dyDescent="0.2">
      <c r="A221" s="49"/>
      <c r="B221" s="447"/>
      <c r="C221" s="36"/>
      <c r="D221" s="65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1:46" s="60" customFormat="1" outlineLevel="1" x14ac:dyDescent="0.2">
      <c r="A222" s="50" t="s">
        <v>320</v>
      </c>
      <c r="B222" s="446">
        <f ca="1">IFERROR(AVERAGEIF(Параметры!$E$46:OFFSET(Параметры!$E$46,0,Параметры!$B$24-1),"&gt;=" &amp; Деятельность_УК!$B$9,E222:OFFSET(E222,0,Параметры!$B$24-1))*Параметры!$B$13/Параметры!$B$12,0)</f>
        <v>239601.53766137754</v>
      </c>
      <c r="C222" s="39" t="str">
        <f>Параметры!$C$126</f>
        <v>тыс. руб.</v>
      </c>
      <c r="D222" s="159"/>
      <c r="E222" s="160">
        <f t="shared" ref="E222:AR222" ca="1" si="80">SUM(E223:E224)</f>
        <v>0</v>
      </c>
      <c r="F222" s="160">
        <f t="shared" ca="1" si="80"/>
        <v>0</v>
      </c>
      <c r="G222" s="160">
        <f t="shared" ca="1" si="80"/>
        <v>0</v>
      </c>
      <c r="H222" s="160">
        <f t="shared" ca="1" si="80"/>
        <v>0</v>
      </c>
      <c r="I222" s="160">
        <f t="shared" ca="1" si="80"/>
        <v>0</v>
      </c>
      <c r="J222" s="160">
        <f t="shared" ca="1" si="80"/>
        <v>0</v>
      </c>
      <c r="K222" s="160">
        <f t="shared" ca="1" si="80"/>
        <v>0</v>
      </c>
      <c r="L222" s="160">
        <f t="shared" ca="1" si="80"/>
        <v>0</v>
      </c>
      <c r="M222" s="160">
        <f t="shared" ca="1" si="80"/>
        <v>0</v>
      </c>
      <c r="N222" s="160">
        <f t="shared" ca="1" si="80"/>
        <v>0</v>
      </c>
      <c r="O222" s="160">
        <f t="shared" ca="1" si="80"/>
        <v>0</v>
      </c>
      <c r="P222" s="160">
        <f t="shared" ca="1" si="80"/>
        <v>0</v>
      </c>
      <c r="Q222" s="160">
        <f t="shared" ca="1" si="80"/>
        <v>0</v>
      </c>
      <c r="R222" s="160">
        <f t="shared" ca="1" si="80"/>
        <v>0</v>
      </c>
      <c r="S222" s="160">
        <f t="shared" ca="1" si="80"/>
        <v>0</v>
      </c>
      <c r="T222" s="160">
        <f t="shared" ca="1" si="80"/>
        <v>0</v>
      </c>
      <c r="U222" s="160">
        <f t="shared" ca="1" si="80"/>
        <v>0</v>
      </c>
      <c r="V222" s="160">
        <f t="shared" ca="1" si="80"/>
        <v>0</v>
      </c>
      <c r="W222" s="160">
        <f t="shared" ca="1" si="80"/>
        <v>0</v>
      </c>
      <c r="X222" s="160">
        <f t="shared" ca="1" si="80"/>
        <v>0</v>
      </c>
      <c r="Y222" s="160">
        <f t="shared" ca="1" si="80"/>
        <v>0</v>
      </c>
      <c r="Z222" s="160">
        <f t="shared" ca="1" si="80"/>
        <v>0</v>
      </c>
      <c r="AA222" s="160">
        <f t="shared" ca="1" si="80"/>
        <v>0</v>
      </c>
      <c r="AB222" s="160">
        <f t="shared" ca="1" si="80"/>
        <v>0</v>
      </c>
      <c r="AC222" s="160">
        <f t="shared" ca="1" si="80"/>
        <v>0</v>
      </c>
      <c r="AD222" s="160">
        <f t="shared" ca="1" si="80"/>
        <v>1061.2559756011631</v>
      </c>
      <c r="AE222" s="160">
        <f t="shared" ca="1" si="80"/>
        <v>1925.2454951883199</v>
      </c>
      <c r="AF222" s="160">
        <f t="shared" ca="1" si="80"/>
        <v>2064.4164179430945</v>
      </c>
      <c r="AG222" s="160">
        <f t="shared" ca="1" si="80"/>
        <v>1709.7367955913539</v>
      </c>
      <c r="AH222" s="160">
        <f t="shared" ca="1" si="80"/>
        <v>1910.0304007260734</v>
      </c>
      <c r="AI222" s="160">
        <f t="shared" ca="1" si="80"/>
        <v>2056.8315858738688</v>
      </c>
      <c r="AJ222" s="160">
        <f t="shared" ca="1" si="80"/>
        <v>2206.1318507601509</v>
      </c>
      <c r="AK222" s="160">
        <f t="shared" ca="1" si="80"/>
        <v>2357.980292584788</v>
      </c>
      <c r="AL222" s="160">
        <f t="shared" ca="1" si="80"/>
        <v>6258.6987475456081</v>
      </c>
      <c r="AM222" s="160">
        <f t="shared" ca="1" si="80"/>
        <v>2562.814272258036</v>
      </c>
      <c r="AN222" s="160">
        <f t="shared" ca="1" si="80"/>
        <v>2709.3749052001149</v>
      </c>
      <c r="AO222" s="160">
        <f t="shared" ca="1" si="80"/>
        <v>2849.3765446530656</v>
      </c>
      <c r="AP222" s="160">
        <f t="shared" ca="1" si="80"/>
        <v>1358606.3015987976</v>
      </c>
      <c r="AQ222" s="160">
        <f t="shared" ca="1" si="80"/>
        <v>23737.885041490059</v>
      </c>
      <c r="AR222" s="160">
        <f t="shared" ca="1" si="80"/>
        <v>25593.14604405197</v>
      </c>
      <c r="AS222" s="160"/>
      <c r="AT222" s="137">
        <f ca="1">SUM(E222:AS222)</f>
        <v>1437609.2259682652</v>
      </c>
    </row>
    <row r="223" spans="1:46" s="60" customFormat="1" outlineLevel="1" x14ac:dyDescent="0.2">
      <c r="A223" s="405" t="s">
        <v>36</v>
      </c>
      <c r="B223" s="102">
        <f ca="1">IFERROR(AVERAGEIF(Параметры!$E$46:OFFSET(Параметры!$E$46,0,Параметры!$B$24-1),"&gt;=" &amp; Деятельность_УК!$B$9,E223:OFFSET(E223,0,Параметры!$B$24-1))*Параметры!$B$13/Параметры!$B$12,0)</f>
        <v>220390.16897623631</v>
      </c>
      <c r="C223" s="406" t="str">
        <f>Параметры!$C$126</f>
        <v>тыс. руб.</v>
      </c>
      <c r="D223" s="397"/>
      <c r="E223" s="407">
        <f t="shared" ref="E223:AR223" ca="1" si="81">E214</f>
        <v>0</v>
      </c>
      <c r="F223" s="407">
        <f t="shared" ca="1" si="81"/>
        <v>0</v>
      </c>
      <c r="G223" s="407">
        <f t="shared" ca="1" si="81"/>
        <v>0</v>
      </c>
      <c r="H223" s="407">
        <f t="shared" ca="1" si="81"/>
        <v>0</v>
      </c>
      <c r="I223" s="407">
        <f t="shared" ca="1" si="81"/>
        <v>0</v>
      </c>
      <c r="J223" s="407">
        <f t="shared" ca="1" si="81"/>
        <v>0</v>
      </c>
      <c r="K223" s="407">
        <f t="shared" ca="1" si="81"/>
        <v>0</v>
      </c>
      <c r="L223" s="407">
        <f t="shared" ca="1" si="81"/>
        <v>0</v>
      </c>
      <c r="M223" s="407">
        <f t="shared" ca="1" si="81"/>
        <v>0</v>
      </c>
      <c r="N223" s="407">
        <f t="shared" ca="1" si="81"/>
        <v>0</v>
      </c>
      <c r="O223" s="407">
        <f t="shared" ca="1" si="81"/>
        <v>0</v>
      </c>
      <c r="P223" s="407">
        <f t="shared" ca="1" si="81"/>
        <v>0</v>
      </c>
      <c r="Q223" s="407">
        <f t="shared" ca="1" si="81"/>
        <v>0</v>
      </c>
      <c r="R223" s="407">
        <f t="shared" ca="1" si="81"/>
        <v>0</v>
      </c>
      <c r="S223" s="407">
        <f t="shared" ca="1" si="81"/>
        <v>0</v>
      </c>
      <c r="T223" s="407">
        <f t="shared" ca="1" si="81"/>
        <v>0</v>
      </c>
      <c r="U223" s="407">
        <f t="shared" ca="1" si="81"/>
        <v>0</v>
      </c>
      <c r="V223" s="407">
        <f t="shared" ca="1" si="81"/>
        <v>0</v>
      </c>
      <c r="W223" s="407">
        <f t="shared" ca="1" si="81"/>
        <v>0</v>
      </c>
      <c r="X223" s="407">
        <f t="shared" ca="1" si="81"/>
        <v>0</v>
      </c>
      <c r="Y223" s="407">
        <f t="shared" ca="1" si="81"/>
        <v>0</v>
      </c>
      <c r="Z223" s="407">
        <f t="shared" ca="1" si="81"/>
        <v>0</v>
      </c>
      <c r="AA223" s="407">
        <f t="shared" ca="1" si="81"/>
        <v>0</v>
      </c>
      <c r="AB223" s="407">
        <f t="shared" ca="1" si="81"/>
        <v>0</v>
      </c>
      <c r="AC223" s="407">
        <f t="shared" ca="1" si="81"/>
        <v>0</v>
      </c>
      <c r="AD223" s="407">
        <f t="shared" ca="1" si="81"/>
        <v>0</v>
      </c>
      <c r="AE223" s="407">
        <f t="shared" ca="1" si="81"/>
        <v>0</v>
      </c>
      <c r="AF223" s="407">
        <f t="shared" ca="1" si="81"/>
        <v>0</v>
      </c>
      <c r="AG223" s="407">
        <f t="shared" ca="1" si="81"/>
        <v>0</v>
      </c>
      <c r="AH223" s="407">
        <f t="shared" ca="1" si="81"/>
        <v>0</v>
      </c>
      <c r="AI223" s="407">
        <f t="shared" ca="1" si="81"/>
        <v>0</v>
      </c>
      <c r="AJ223" s="407">
        <f t="shared" ca="1" si="81"/>
        <v>0</v>
      </c>
      <c r="AK223" s="407">
        <f t="shared" ca="1" si="81"/>
        <v>0</v>
      </c>
      <c r="AL223" s="407">
        <f t="shared" ca="1" si="81"/>
        <v>0</v>
      </c>
      <c r="AM223" s="407">
        <f t="shared" ca="1" si="81"/>
        <v>0</v>
      </c>
      <c r="AN223" s="407">
        <f t="shared" ca="1" si="81"/>
        <v>0</v>
      </c>
      <c r="AO223" s="407">
        <f t="shared" ca="1" si="81"/>
        <v>0</v>
      </c>
      <c r="AP223" s="407">
        <f t="shared" ca="1" si="81"/>
        <v>1275781.6275359434</v>
      </c>
      <c r="AQ223" s="407">
        <f t="shared" ca="1" si="81"/>
        <v>22435.72580900243</v>
      </c>
      <c r="AR223" s="407">
        <f t="shared" ca="1" si="81"/>
        <v>24123.66051247179</v>
      </c>
      <c r="AS223" s="408"/>
      <c r="AT223" s="409">
        <f t="shared" ref="AT223" ca="1" si="82">SUM(E223:AS223)</f>
        <v>1322341.0138574177</v>
      </c>
    </row>
    <row r="224" spans="1:46" s="60" customFormat="1" outlineLevel="1" x14ac:dyDescent="0.2">
      <c r="A224" s="405" t="s">
        <v>37</v>
      </c>
      <c r="B224" s="102">
        <f ca="1">IFERROR(AVERAGEIF(Параметры!$E$46:OFFSET(Параметры!$E$46,0,Параметры!$B$24-1),"&gt;=" &amp; Деятельность_УК!$B$9,E224:OFFSET(E224,0,Параметры!$B$24-1))*Параметры!$B$13/Параметры!$B$12,0)</f>
        <v>19211.368685141275</v>
      </c>
      <c r="C224" s="406" t="str">
        <f>Параметры!$C$126</f>
        <v>тыс. руб.</v>
      </c>
      <c r="D224" s="397"/>
      <c r="E224" s="407">
        <f ca="1">IFERROR(E215*CHOOSE(Параметры!$B$132+1,Параметры!E$144/Параметры!E$146,Параметры!E$151/Параметры!E$153),0)</f>
        <v>0</v>
      </c>
      <c r="F224" s="407">
        <f ca="1">IFERROR(F215*CHOOSE(Параметры!$B$132+1,Параметры!F$144/Параметры!F$146,Параметры!F$151/Параметры!F$153),0)</f>
        <v>0</v>
      </c>
      <c r="G224" s="407">
        <f ca="1">IFERROR(G215*CHOOSE(Параметры!$B$132+1,Параметры!G$144/Параметры!G$146,Параметры!G$151/Параметры!G$153),0)</f>
        <v>0</v>
      </c>
      <c r="H224" s="407">
        <f ca="1">IFERROR(H215*CHOOSE(Параметры!$B$132+1,Параметры!H$144/Параметры!H$146,Параметры!H$151/Параметры!H$153),0)</f>
        <v>0</v>
      </c>
      <c r="I224" s="407">
        <f ca="1">IFERROR(I215*CHOOSE(Параметры!$B$132+1,Параметры!I$144/Параметры!I$146,Параметры!I$151/Параметры!I$153),0)</f>
        <v>0</v>
      </c>
      <c r="J224" s="407">
        <f ca="1">IFERROR(J215*CHOOSE(Параметры!$B$132+1,Параметры!J$144/Параметры!J$146,Параметры!J$151/Параметры!J$153),0)</f>
        <v>0</v>
      </c>
      <c r="K224" s="407">
        <f ca="1">IFERROR(K215*CHOOSE(Параметры!$B$132+1,Параметры!K$144/Параметры!K$146,Параметры!K$151/Параметры!K$153),0)</f>
        <v>0</v>
      </c>
      <c r="L224" s="407">
        <f ca="1">IFERROR(L215*CHOOSE(Параметры!$B$132+1,Параметры!L$144/Параметры!L$146,Параметры!L$151/Параметры!L$153),0)</f>
        <v>0</v>
      </c>
      <c r="M224" s="407">
        <f ca="1">IFERROR(M215*CHOOSE(Параметры!$B$132+1,Параметры!M$144/Параметры!M$146,Параметры!M$151/Параметры!M$153),0)</f>
        <v>0</v>
      </c>
      <c r="N224" s="407">
        <f ca="1">IFERROR(N215*CHOOSE(Параметры!$B$132+1,Параметры!N$144/Параметры!N$146,Параметры!N$151/Параметры!N$153),0)</f>
        <v>0</v>
      </c>
      <c r="O224" s="407">
        <f ca="1">IFERROR(O215*CHOOSE(Параметры!$B$132+1,Параметры!O$144/Параметры!O$146,Параметры!O$151/Параметры!O$153),0)</f>
        <v>0</v>
      </c>
      <c r="P224" s="407">
        <f ca="1">IFERROR(P215*CHOOSE(Параметры!$B$132+1,Параметры!P$144/Параметры!P$146,Параметры!P$151/Параметры!P$153),0)</f>
        <v>0</v>
      </c>
      <c r="Q224" s="407">
        <f ca="1">IFERROR(Q215*CHOOSE(Параметры!$B$132+1,Параметры!Q$144/Параметры!Q$146,Параметры!Q$151/Параметры!Q$153),0)</f>
        <v>0</v>
      </c>
      <c r="R224" s="407">
        <f ca="1">IFERROR(R215*CHOOSE(Параметры!$B$132+1,Параметры!R$144/Параметры!R$146,Параметры!R$151/Параметры!R$153),0)</f>
        <v>0</v>
      </c>
      <c r="S224" s="407">
        <f ca="1">IFERROR(S215*CHOOSE(Параметры!$B$132+1,Параметры!S$144/Параметры!S$146,Параметры!S$151/Параметры!S$153),0)</f>
        <v>0</v>
      </c>
      <c r="T224" s="407">
        <f ca="1">IFERROR(T215*CHOOSE(Параметры!$B$132+1,Параметры!T$144/Параметры!T$146,Параметры!T$151/Параметры!T$153),0)</f>
        <v>0</v>
      </c>
      <c r="U224" s="407">
        <f ca="1">IFERROR(U215*CHOOSE(Параметры!$B$132+1,Параметры!U$144/Параметры!U$146,Параметры!U$151/Параметры!U$153),0)</f>
        <v>0</v>
      </c>
      <c r="V224" s="407">
        <f ca="1">IFERROR(V215*CHOOSE(Параметры!$B$132+1,Параметры!V$144/Параметры!V$146,Параметры!V$151/Параметры!V$153),0)</f>
        <v>0</v>
      </c>
      <c r="W224" s="407">
        <f ca="1">IFERROR(W215*CHOOSE(Параметры!$B$132+1,Параметры!W$144/Параметры!W$146,Параметры!W$151/Параметры!W$153),0)</f>
        <v>0</v>
      </c>
      <c r="X224" s="407">
        <f ca="1">IFERROR(X215*CHOOSE(Параметры!$B$132+1,Параметры!X$144/Параметры!X$146,Параметры!X$151/Параметры!X$153),0)</f>
        <v>0</v>
      </c>
      <c r="Y224" s="407">
        <f ca="1">IFERROR(Y215*CHOOSE(Параметры!$B$132+1,Параметры!Y$144/Параметры!Y$146,Параметры!Y$151/Параметры!Y$153),0)</f>
        <v>0</v>
      </c>
      <c r="Z224" s="407">
        <f ca="1">IFERROR(Z215*CHOOSE(Параметры!$B$132+1,Параметры!Z$144/Параметры!Z$146,Параметры!Z$151/Параметры!Z$153),0)</f>
        <v>0</v>
      </c>
      <c r="AA224" s="407">
        <f ca="1">IFERROR(AA215*CHOOSE(Параметры!$B$132+1,Параметры!AA$144/Параметры!AA$146,Параметры!AA$151/Параметры!AA$153),0)</f>
        <v>0</v>
      </c>
      <c r="AB224" s="407">
        <f ca="1">IFERROR(AB215*CHOOSE(Параметры!$B$132+1,Параметры!AB$144/Параметры!AB$146,Параметры!AB$151/Параметры!AB$153),0)</f>
        <v>0</v>
      </c>
      <c r="AC224" s="407">
        <f ca="1">IFERROR(AC215*CHOOSE(Параметры!$B$132+1,Параметры!AC$144/Параметры!AC$146,Параметры!AC$151/Параметры!AC$153),0)</f>
        <v>0</v>
      </c>
      <c r="AD224" s="407">
        <f ca="1">IFERROR(AD215*CHOOSE(Параметры!$B$132+1,Параметры!AD$144/Параметры!AD$146,Параметры!AD$151/Параметры!AD$153),0)</f>
        <v>1061.2559756011631</v>
      </c>
      <c r="AE224" s="407">
        <f ca="1">IFERROR(AE215*CHOOSE(Параметры!$B$132+1,Параметры!AE$144/Параметры!AE$146,Параметры!AE$151/Параметры!AE$153),0)</f>
        <v>1925.2454951883199</v>
      </c>
      <c r="AF224" s="407">
        <f ca="1">IFERROR(AF215*CHOOSE(Параметры!$B$132+1,Параметры!AF$144/Параметры!AF$146,Параметры!AF$151/Параметры!AF$153),0)</f>
        <v>2064.4164179430945</v>
      </c>
      <c r="AG224" s="407">
        <f ca="1">IFERROR(AG215*CHOOSE(Параметры!$B$132+1,Параметры!AG$144/Параметры!AG$146,Параметры!AG$151/Параметры!AG$153),0)</f>
        <v>1709.7367955913539</v>
      </c>
      <c r="AH224" s="407">
        <f ca="1">IFERROR(AH215*CHOOSE(Параметры!$B$132+1,Параметры!AH$144/Параметры!AH$146,Параметры!AH$151/Параметры!AH$153),0)</f>
        <v>1910.0304007260734</v>
      </c>
      <c r="AI224" s="407">
        <f ca="1">IFERROR(AI215*CHOOSE(Параметры!$B$132+1,Параметры!AI$144/Параметры!AI$146,Параметры!AI$151/Параметры!AI$153),0)</f>
        <v>2056.8315858738688</v>
      </c>
      <c r="AJ224" s="407">
        <f ca="1">IFERROR(AJ215*CHOOSE(Параметры!$B$132+1,Параметры!AJ$144/Параметры!AJ$146,Параметры!AJ$151/Параметры!AJ$153),0)</f>
        <v>2206.1318507601509</v>
      </c>
      <c r="AK224" s="407">
        <f ca="1">IFERROR(AK215*CHOOSE(Параметры!$B$132+1,Параметры!AK$144/Параметры!AK$146,Параметры!AK$151/Параметры!AK$153),0)</f>
        <v>2357.980292584788</v>
      </c>
      <c r="AL224" s="407">
        <f ca="1">IFERROR(AL215*CHOOSE(Параметры!$B$132+1,Параметры!AL$144/Параметры!AL$146,Параметры!AL$151/Параметры!AL$153),0)</f>
        <v>6258.6987475456081</v>
      </c>
      <c r="AM224" s="407">
        <f ca="1">IFERROR(AM215*CHOOSE(Параметры!$B$132+1,Параметры!AM$144/Параметры!AM$146,Параметры!AM$151/Параметры!AM$153),0)</f>
        <v>2562.814272258036</v>
      </c>
      <c r="AN224" s="407">
        <f ca="1">IFERROR(AN215*CHOOSE(Параметры!$B$132+1,Параметры!AN$144/Параметры!AN$146,Параметры!AN$151/Параметры!AN$153),0)</f>
        <v>2709.3749052001149</v>
      </c>
      <c r="AO224" s="407">
        <f ca="1">IFERROR(AO215*CHOOSE(Параметры!$B$132+1,Параметры!AO$144/Параметры!AO$146,Параметры!AO$151/Параметры!AO$153),0)</f>
        <v>2849.3765446530656</v>
      </c>
      <c r="AP224" s="407">
        <f ca="1">IFERROR(AP215*CHOOSE(Параметры!$B$132+1,Параметры!AP$144/Параметры!AP$146,Параметры!AP$151/Параметры!AP$153),0)</f>
        <v>82824.674062854188</v>
      </c>
      <c r="AQ224" s="407">
        <f ca="1">IFERROR(AQ215*CHOOSE(Параметры!$B$132+1,Параметры!AQ$144/Параметры!AQ$146,Параметры!AQ$151/Параметры!AQ$153),0)</f>
        <v>1302.1592324876292</v>
      </c>
      <c r="AR224" s="407">
        <f ca="1">IFERROR(AR215*CHOOSE(Параметры!$B$132+1,Параметры!AR$144/Параметры!AR$146,Параметры!AR$151/Параметры!AR$153),0)</f>
        <v>1469.4855315801792</v>
      </c>
      <c r="AS224" s="408"/>
      <c r="AT224" s="409">
        <f ca="1">SUM(E224:AS224)</f>
        <v>115268.21211084764</v>
      </c>
    </row>
    <row r="225" spans="1:46" s="60" customFormat="1" outlineLevel="1" x14ac:dyDescent="0.2">
      <c r="A225" s="50" t="s">
        <v>321</v>
      </c>
      <c r="B225" s="446">
        <f ca="1">IFERROR(AVERAGEIF(Параметры!$E$46:OFFSET(Параметры!$E$46,0,Параметры!$B$24-1),"&gt;=" &amp; Деятельность_УК!$B$9,E225:OFFSET(E225,0,Параметры!$B$24-1))*Параметры!$B$13/Параметры!$B$12,0)</f>
        <v>210669.69065318874</v>
      </c>
      <c r="C225" s="39" t="str">
        <f>Параметры!$C$126</f>
        <v>тыс. руб.</v>
      </c>
      <c r="D225" s="159"/>
      <c r="E225" s="160">
        <f t="shared" ref="E225:AR225" ca="1" si="83">SUM(E226:E228)</f>
        <v>115.05768300000001</v>
      </c>
      <c r="F225" s="160">
        <f t="shared" ca="1" si="83"/>
        <v>115.05768300000001</v>
      </c>
      <c r="G225" s="160">
        <f t="shared" ca="1" si="83"/>
        <v>115.05768300000001</v>
      </c>
      <c r="H225" s="160">
        <f t="shared" ca="1" si="83"/>
        <v>2859.3127793124995</v>
      </c>
      <c r="I225" s="160">
        <f t="shared" ca="1" si="83"/>
        <v>5436.2956699375</v>
      </c>
      <c r="J225" s="160">
        <f t="shared" ca="1" si="83"/>
        <v>253.2853335616295</v>
      </c>
      <c r="K225" s="160">
        <f t="shared" ca="1" si="83"/>
        <v>574.8339133643625</v>
      </c>
      <c r="L225" s="160">
        <f t="shared" ca="1" si="83"/>
        <v>584.04283309601146</v>
      </c>
      <c r="M225" s="160">
        <f t="shared" ca="1" si="83"/>
        <v>593.39928101041437</v>
      </c>
      <c r="N225" s="160">
        <f t="shared" ca="1" si="83"/>
        <v>603.40391523240055</v>
      </c>
      <c r="O225" s="160">
        <f t="shared" ca="1" si="83"/>
        <v>613.57722627810188</v>
      </c>
      <c r="P225" s="160">
        <f t="shared" ca="1" si="83"/>
        <v>710.27936313268685</v>
      </c>
      <c r="Q225" s="160">
        <f t="shared" ca="1" si="83"/>
        <v>722.25458024361387</v>
      </c>
      <c r="R225" s="160">
        <f t="shared" ca="1" si="83"/>
        <v>734.27819138546454</v>
      </c>
      <c r="S225" s="160">
        <f t="shared" ca="1" si="83"/>
        <v>746.50196356311176</v>
      </c>
      <c r="T225" s="160">
        <f t="shared" ca="1" si="83"/>
        <v>758.92922892359343</v>
      </c>
      <c r="U225" s="160">
        <f t="shared" ca="1" si="83"/>
        <v>771.56337508530271</v>
      </c>
      <c r="V225" s="160">
        <f t="shared" ca="1" si="83"/>
        <v>784.65065732170501</v>
      </c>
      <c r="W225" s="160">
        <f t="shared" ca="1" si="83"/>
        <v>797.95992645103945</v>
      </c>
      <c r="X225" s="160">
        <f t="shared" ca="1" si="83"/>
        <v>811.49494782196564</v>
      </c>
      <c r="Y225" s="160">
        <f t="shared" ca="1" si="83"/>
        <v>825.25955065110679</v>
      </c>
      <c r="Z225" s="160">
        <f t="shared" ca="1" si="83"/>
        <v>839.08565092069887</v>
      </c>
      <c r="AA225" s="160">
        <f t="shared" ca="1" si="83"/>
        <v>853.14338867756908</v>
      </c>
      <c r="AB225" s="160">
        <f t="shared" ca="1" si="83"/>
        <v>867.43664469246676</v>
      </c>
      <c r="AC225" s="160">
        <f t="shared" ca="1" si="83"/>
        <v>881.96936475317284</v>
      </c>
      <c r="AD225" s="160">
        <f t="shared" ca="1" si="83"/>
        <v>8060.0788192370201</v>
      </c>
      <c r="AE225" s="160">
        <f t="shared" ca="1" si="83"/>
        <v>13906.882429998139</v>
      </c>
      <c r="AF225" s="160">
        <f t="shared" ca="1" si="83"/>
        <v>14861.407273406201</v>
      </c>
      <c r="AG225" s="160">
        <f t="shared" ca="1" si="83"/>
        <v>16329.599582390078</v>
      </c>
      <c r="AH225" s="160">
        <f t="shared" ca="1" si="83"/>
        <v>43122.5004231087</v>
      </c>
      <c r="AI225" s="160">
        <f t="shared" ca="1" si="83"/>
        <v>44067.054846143823</v>
      </c>
      <c r="AJ225" s="160">
        <f t="shared" ca="1" si="83"/>
        <v>45034.36241936178</v>
      </c>
      <c r="AK225" s="160">
        <f t="shared" ca="1" si="83"/>
        <v>46024.869337350669</v>
      </c>
      <c r="AL225" s="160">
        <f t="shared" ca="1" si="83"/>
        <v>80170.316897611003</v>
      </c>
      <c r="AM225" s="160">
        <f t="shared" ca="1" si="83"/>
        <v>45956.448765799061</v>
      </c>
      <c r="AN225" s="160">
        <f t="shared" ca="1" si="83"/>
        <v>46919.723388105311</v>
      </c>
      <c r="AO225" s="160">
        <f t="shared" ca="1" si="83"/>
        <v>47824.246059843819</v>
      </c>
      <c r="AP225" s="160">
        <f t="shared" ca="1" si="83"/>
        <v>761058.45960864029</v>
      </c>
      <c r="AQ225" s="160">
        <f t="shared" ca="1" si="83"/>
        <v>20930.94063503592</v>
      </c>
      <c r="AR225" s="160">
        <f t="shared" ca="1" si="83"/>
        <v>22318.689926725594</v>
      </c>
      <c r="AS225" s="160"/>
      <c r="AT225" s="137">
        <f ca="1">SUM(E225:AS225)</f>
        <v>1279553.7112471738</v>
      </c>
    </row>
    <row r="226" spans="1:46" s="60" customFormat="1" outlineLevel="1" x14ac:dyDescent="0.2">
      <c r="A226" s="405" t="s">
        <v>37</v>
      </c>
      <c r="B226" s="102">
        <f ca="1">IFERROR(AVERAGEIF(Параметры!$E$46:OFFSET(Параметры!$E$46,0,Параметры!$B$24-1),"&gt;=" &amp; Деятельность_УК!$B$9,E226:OFFSET(E226,0,Параметры!$B$24-1))*Параметры!$B$13/Параметры!$B$12,0)</f>
        <v>171008.22395799673</v>
      </c>
      <c r="C226" s="406" t="str">
        <f>Параметры!$C$126</f>
        <v>тыс. руб.</v>
      </c>
      <c r="D226" s="397"/>
      <c r="E226" s="407">
        <f ca="1">IFERROR(E215*CHOOSE(Параметры!$B$132+1,Параметры!E$145/Параметры!E$146,Параметры!E$152/Параметры!E$153),0)</f>
        <v>0</v>
      </c>
      <c r="F226" s="407">
        <f ca="1">IFERROR(F215*CHOOSE(Параметры!$B$132+1,Параметры!F$145/Параметры!F$146,Параметры!F$152/Параметры!F$153),0)</f>
        <v>0</v>
      </c>
      <c r="G226" s="407">
        <f ca="1">IFERROR(G215*CHOOSE(Параметры!$B$132+1,Параметры!G$145/Параметры!G$146,Параметры!G$152/Параметры!G$153),0)</f>
        <v>0</v>
      </c>
      <c r="H226" s="407">
        <f ca="1">IFERROR(H215*CHOOSE(Параметры!$B$132+1,Параметры!H$145/Параметры!H$146,Параметры!H$152/Параметры!H$153),0)</f>
        <v>0</v>
      </c>
      <c r="I226" s="407">
        <f ca="1">IFERROR(I215*CHOOSE(Параметры!$B$132+1,Параметры!I$145/Параметры!I$146,Параметры!I$152/Параметры!I$153),0)</f>
        <v>0</v>
      </c>
      <c r="J226" s="407">
        <f ca="1">IFERROR(J215*CHOOSE(Параметры!$B$132+1,Параметры!J$145/Параметры!J$146,Параметры!J$152/Параметры!J$153),0)</f>
        <v>0</v>
      </c>
      <c r="K226" s="407">
        <f ca="1">IFERROR(K215*CHOOSE(Параметры!$B$132+1,Параметры!K$145/Параметры!K$146,Параметры!K$152/Параметры!K$153),0)</f>
        <v>0</v>
      </c>
      <c r="L226" s="407">
        <f ca="1">IFERROR(L215*CHOOSE(Параметры!$B$132+1,Параметры!L$145/Параметры!L$146,Параметры!L$152/Параметры!L$153),0)</f>
        <v>0</v>
      </c>
      <c r="M226" s="407">
        <f ca="1">IFERROR(M215*CHOOSE(Параметры!$B$132+1,Параметры!M$145/Параметры!M$146,Параметры!M$152/Параметры!M$153),0)</f>
        <v>0</v>
      </c>
      <c r="N226" s="407">
        <f ca="1">IFERROR(N215*CHOOSE(Параметры!$B$132+1,Параметры!N$145/Параметры!N$146,Параметры!N$152/Параметры!N$153),0)</f>
        <v>0</v>
      </c>
      <c r="O226" s="407">
        <f ca="1">IFERROR(O215*CHOOSE(Параметры!$B$132+1,Параметры!O$145/Параметры!O$146,Параметры!O$152/Параметры!O$153),0)</f>
        <v>0</v>
      </c>
      <c r="P226" s="407">
        <f ca="1">IFERROR(P215*CHOOSE(Параметры!$B$132+1,Параметры!P$145/Параметры!P$146,Параметры!P$152/Параметры!P$153),0)</f>
        <v>0</v>
      </c>
      <c r="Q226" s="407">
        <f ca="1">IFERROR(Q215*CHOOSE(Параметры!$B$132+1,Параметры!Q$145/Параметры!Q$146,Параметры!Q$152/Параметры!Q$153),0)</f>
        <v>0</v>
      </c>
      <c r="R226" s="407">
        <f ca="1">IFERROR(R215*CHOOSE(Параметры!$B$132+1,Параметры!R$145/Параметры!R$146,Параметры!R$152/Параметры!R$153),0)</f>
        <v>0</v>
      </c>
      <c r="S226" s="407">
        <f ca="1">IFERROR(S215*CHOOSE(Параметры!$B$132+1,Параметры!S$145/Параметры!S$146,Параметры!S$152/Параметры!S$153),0)</f>
        <v>0</v>
      </c>
      <c r="T226" s="407">
        <f ca="1">IFERROR(T215*CHOOSE(Параметры!$B$132+1,Параметры!T$145/Параметры!T$146,Параметры!T$152/Параметры!T$153),0)</f>
        <v>0</v>
      </c>
      <c r="U226" s="407">
        <f ca="1">IFERROR(U215*CHOOSE(Параметры!$B$132+1,Параметры!U$145/Параметры!U$146,Параметры!U$152/Параметры!U$153),0)</f>
        <v>0</v>
      </c>
      <c r="V226" s="407">
        <f ca="1">IFERROR(V215*CHOOSE(Параметры!$B$132+1,Параметры!V$145/Параметры!V$146,Параметры!V$152/Параметры!V$153),0)</f>
        <v>0</v>
      </c>
      <c r="W226" s="407">
        <f ca="1">IFERROR(W215*CHOOSE(Параметры!$B$132+1,Параметры!W$145/Параметры!W$146,Параметры!W$152/Параметры!W$153),0)</f>
        <v>0</v>
      </c>
      <c r="X226" s="407">
        <f ca="1">IFERROR(X215*CHOOSE(Параметры!$B$132+1,Параметры!X$145/Параметры!X$146,Параметры!X$152/Параметры!X$153),0)</f>
        <v>0</v>
      </c>
      <c r="Y226" s="407">
        <f ca="1">IFERROR(Y215*CHOOSE(Параметры!$B$132+1,Параметры!Y$145/Параметры!Y$146,Параметры!Y$152/Параметры!Y$153),0)</f>
        <v>0</v>
      </c>
      <c r="Z226" s="407">
        <f ca="1">IFERROR(Z215*CHOOSE(Параметры!$B$132+1,Параметры!Z$145/Параметры!Z$146,Параметры!Z$152/Параметры!Z$153),0)</f>
        <v>0</v>
      </c>
      <c r="AA226" s="407">
        <f ca="1">IFERROR(AA215*CHOOSE(Параметры!$B$132+1,Параметры!AA$145/Параметры!AA$146,Параметры!AA$152/Параметры!AA$153),0)</f>
        <v>0</v>
      </c>
      <c r="AB226" s="407">
        <f ca="1">IFERROR(AB215*CHOOSE(Параметры!$B$132+1,Параметры!AB$145/Параметры!AB$146,Параметры!AB$152/Параметры!AB$153),0)</f>
        <v>0</v>
      </c>
      <c r="AC226" s="407">
        <f ca="1">IFERROR(AC215*CHOOSE(Параметры!$B$132+1,Параметры!AC$145/Параметры!AC$146,Параметры!AC$152/Параметры!AC$153),0)</f>
        <v>0</v>
      </c>
      <c r="AD226" s="407">
        <f ca="1">IFERROR(AD215*CHOOSE(Параметры!$B$132+1,Параметры!AD$145/Параметры!AD$146,Параметры!AD$152/Параметры!AD$153),0)</f>
        <v>7163.4778353078518</v>
      </c>
      <c r="AE226" s="407">
        <f ca="1">IFERROR(AE215*CHOOSE(Параметры!$B$132+1,Параметры!AE$145/Параметры!AE$146,Параметры!AE$152/Параметры!AE$153),0)</f>
        <v>12995.407092521162</v>
      </c>
      <c r="AF226" s="407">
        <f ca="1">IFERROR(AF215*CHOOSE(Параметры!$B$132+1,Параметры!AF$145/Параметры!AF$146,Параметры!AF$152/Параметры!AF$153),0)</f>
        <v>13934.810821115891</v>
      </c>
      <c r="AG226" s="407">
        <f ca="1">IFERROR(AG215*CHOOSE(Параметры!$B$132+1,Параметры!AG$145/Параметры!AG$146,Параметры!AG$152/Параметры!AG$153),0)</f>
        <v>15387.631160322184</v>
      </c>
      <c r="AH226" s="407">
        <f ca="1">IFERROR(AH215*CHOOSE(Параметры!$B$132+1,Параметры!AH$145/Параметры!AH$146,Параметры!AH$152/Параметры!AH$153),0)</f>
        <v>17190.273606534662</v>
      </c>
      <c r="AI226" s="407">
        <f ca="1">IFERROR(AI215*CHOOSE(Параметры!$B$132+1,Параметры!AI$145/Параметры!AI$146,Параметры!AI$152/Параметры!AI$153),0)</f>
        <v>18511.484272864818</v>
      </c>
      <c r="AJ226" s="407">
        <f ca="1">IFERROR(AJ215*CHOOSE(Параметры!$B$132+1,Параметры!AJ$145/Параметры!AJ$146,Параметры!AJ$152/Параметры!AJ$153),0)</f>
        <v>19855.186656841357</v>
      </c>
      <c r="AK226" s="407">
        <f ca="1">IFERROR(AK215*CHOOSE(Параметры!$B$132+1,Параметры!AK$145/Параметры!AK$146,Параметры!AK$152/Параметры!AK$153),0)</f>
        <v>21221.822633263091</v>
      </c>
      <c r="AL226" s="407">
        <f ca="1">IFERROR(AL215*CHOOSE(Параметры!$B$132+1,Параметры!AL$145/Параметры!AL$146,Параметры!AL$152/Параметры!AL$153),0)</f>
        <v>56328.288727910469</v>
      </c>
      <c r="AM226" s="407">
        <f ca="1">IFERROR(AM215*CHOOSE(Параметры!$B$132+1,Параметры!AM$145/Параметры!AM$146,Параметры!AM$152/Параметры!AM$153),0)</f>
        <v>23065.328450322326</v>
      </c>
      <c r="AN226" s="407">
        <f ca="1">IFERROR(AN215*CHOOSE(Параметры!$B$132+1,Параметры!AN$145/Параметры!AN$146,Параметры!AN$152/Параметры!AN$153),0)</f>
        <v>24384.374146801034</v>
      </c>
      <c r="AO226" s="407">
        <f ca="1">IFERROR(AO215*CHOOSE(Параметры!$B$132+1,Параметры!AO$145/Параметры!AO$146,Параметры!AO$152/Параметры!AO$153),0)</f>
        <v>25644.388901877592</v>
      </c>
      <c r="AP226" s="407">
        <f ca="1">IFERROR(AP215*CHOOSE(Параметры!$B$132+1,Параметры!AP$145/Параметры!AP$146,Параметры!AP$152/Параметры!AP$153),0)</f>
        <v>745422.06656568765</v>
      </c>
      <c r="AQ226" s="407">
        <f ca="1">IFERROR(AQ215*CHOOSE(Параметры!$B$132+1,Параметры!AQ$145/Параметры!AQ$146,Параметры!AQ$152/Параметры!AQ$153),0)</f>
        <v>11719.433092388661</v>
      </c>
      <c r="AR226" s="407">
        <f ca="1">IFERROR(AR215*CHOOSE(Параметры!$B$132+1,Параметры!AR$145/Параметры!AR$146,Параметры!AR$152/Параметры!AR$153),0)</f>
        <v>13225.369784221612</v>
      </c>
      <c r="AS226" s="160"/>
      <c r="AT226" s="137">
        <f ca="1">SUM(E226:AS226)</f>
        <v>1026049.3437479804</v>
      </c>
    </row>
    <row r="227" spans="1:46" s="60" customFormat="1" outlineLevel="1" x14ac:dyDescent="0.2">
      <c r="A227" s="405" t="s">
        <v>38</v>
      </c>
      <c r="B227" s="102">
        <f ca="1">IFERROR(AVERAGEIF(Параметры!$E$46:OFFSET(Параметры!$E$46,0,Параметры!$B$24-1),"&gt;=" &amp; Деятельность_УК!$B$9,E227:OFFSET(E227,0,Параметры!$B$24-1))*Параметры!$B$13/Параметры!$B$12,0)</f>
        <v>35902.820518638298</v>
      </c>
      <c r="C227" s="406" t="str">
        <f>Параметры!$C$126</f>
        <v>тыс. руб.</v>
      </c>
      <c r="D227" s="397"/>
      <c r="E227" s="407">
        <f t="shared" ref="E227:AR227" ca="1" si="84">E216</f>
        <v>0</v>
      </c>
      <c r="F227" s="407">
        <f t="shared" ca="1" si="84"/>
        <v>0</v>
      </c>
      <c r="G227" s="407">
        <f t="shared" ca="1" si="84"/>
        <v>0</v>
      </c>
      <c r="H227" s="407">
        <f t="shared" ca="1" si="84"/>
        <v>2610.0211328124997</v>
      </c>
      <c r="I227" s="407">
        <f t="shared" ca="1" si="84"/>
        <v>5187.0040234375001</v>
      </c>
      <c r="J227" s="407">
        <f t="shared" ca="1" si="84"/>
        <v>0</v>
      </c>
      <c r="K227" s="407">
        <f t="shared" ca="1" si="84"/>
        <v>0</v>
      </c>
      <c r="L227" s="407">
        <f t="shared" ca="1" si="84"/>
        <v>0</v>
      </c>
      <c r="M227" s="407">
        <f t="shared" ca="1" si="84"/>
        <v>0</v>
      </c>
      <c r="N227" s="407">
        <f t="shared" ca="1" si="84"/>
        <v>0</v>
      </c>
      <c r="O227" s="407">
        <f t="shared" ca="1" si="84"/>
        <v>0</v>
      </c>
      <c r="P227" s="407">
        <f t="shared" ca="1" si="84"/>
        <v>0</v>
      </c>
      <c r="Q227" s="407">
        <f t="shared" ca="1" si="84"/>
        <v>0</v>
      </c>
      <c r="R227" s="407">
        <f t="shared" ca="1" si="84"/>
        <v>0</v>
      </c>
      <c r="S227" s="407">
        <f t="shared" ca="1" si="84"/>
        <v>0</v>
      </c>
      <c r="T227" s="407">
        <f t="shared" ca="1" si="84"/>
        <v>0</v>
      </c>
      <c r="U227" s="407">
        <f t="shared" ca="1" si="84"/>
        <v>0</v>
      </c>
      <c r="V227" s="407">
        <f t="shared" ca="1" si="84"/>
        <v>0</v>
      </c>
      <c r="W227" s="407">
        <f t="shared" ca="1" si="84"/>
        <v>0</v>
      </c>
      <c r="X227" s="407">
        <f t="shared" ca="1" si="84"/>
        <v>0</v>
      </c>
      <c r="Y227" s="407">
        <f t="shared" ca="1" si="84"/>
        <v>0</v>
      </c>
      <c r="Z227" s="407">
        <f t="shared" ca="1" si="84"/>
        <v>0</v>
      </c>
      <c r="AA227" s="407">
        <f t="shared" ca="1" si="84"/>
        <v>0</v>
      </c>
      <c r="AB227" s="407">
        <f t="shared" ca="1" si="84"/>
        <v>0</v>
      </c>
      <c r="AC227" s="407">
        <f t="shared" ca="1" si="84"/>
        <v>0</v>
      </c>
      <c r="AD227" s="407">
        <f t="shared" ca="1" si="84"/>
        <v>0</v>
      </c>
      <c r="AE227" s="407">
        <f t="shared" ca="1" si="84"/>
        <v>0</v>
      </c>
      <c r="AF227" s="407">
        <f t="shared" ca="1" si="84"/>
        <v>0</v>
      </c>
      <c r="AG227" s="407">
        <f t="shared" ca="1" si="84"/>
        <v>0</v>
      </c>
      <c r="AH227" s="407">
        <f t="shared" ca="1" si="84"/>
        <v>24974.693747648522</v>
      </c>
      <c r="AI227" s="407">
        <f t="shared" ca="1" si="84"/>
        <v>24582.215674530784</v>
      </c>
      <c r="AJ227" s="407">
        <f t="shared" ca="1" si="84"/>
        <v>24189.737601413053</v>
      </c>
      <c r="AK227" s="407">
        <f t="shared" ca="1" si="84"/>
        <v>23797.259528295319</v>
      </c>
      <c r="AL227" s="407">
        <f t="shared" ca="1" si="84"/>
        <v>22819.75978071817</v>
      </c>
      <c r="AM227" s="407">
        <f t="shared" ca="1" si="84"/>
        <v>21852.100645843911</v>
      </c>
      <c r="AN227" s="407">
        <f t="shared" ca="1" si="84"/>
        <v>21479.303798131979</v>
      </c>
      <c r="AO227" s="407">
        <f t="shared" ca="1" si="84"/>
        <v>21106.506950420044</v>
      </c>
      <c r="AP227" s="407">
        <f t="shared" ca="1" si="84"/>
        <v>14545.595227507445</v>
      </c>
      <c r="AQ227" s="407">
        <f t="shared" ca="1" si="84"/>
        <v>8102.9785035555415</v>
      </c>
      <c r="AR227" s="407">
        <f t="shared" ca="1" si="84"/>
        <v>7966.7716537649931</v>
      </c>
      <c r="AS227" s="160"/>
      <c r="AT227" s="137">
        <f ca="1">SUM(E227:AS227)</f>
        <v>223213.94826807978</v>
      </c>
    </row>
    <row r="228" spans="1:46" s="60" customFormat="1" outlineLevel="1" x14ac:dyDescent="0.2">
      <c r="A228" s="405" t="s">
        <v>323</v>
      </c>
      <c r="B228" s="102">
        <f ca="1">IFERROR(AVERAGEIF(Параметры!$E$46:OFFSET(Параметры!$E$46,0,Параметры!$B$24-1),"&gt;=" &amp; Деятельность_УК!$B$9,E228:OFFSET(E228,0,Параметры!$B$24-1))*Параметры!$B$13/Параметры!$B$12,0)</f>
        <v>3758.646176553726</v>
      </c>
      <c r="C228" s="406" t="str">
        <f>Параметры!$C$126</f>
        <v>тыс. руб.</v>
      </c>
      <c r="D228" s="397"/>
      <c r="E228" s="407">
        <f>E219*Параметры!E$192</f>
        <v>115.05768300000001</v>
      </c>
      <c r="F228" s="407">
        <f ca="1">F219*Параметры!F$192</f>
        <v>115.05768300000001</v>
      </c>
      <c r="G228" s="407">
        <f ca="1">G219*Параметры!G$192</f>
        <v>115.05768300000001</v>
      </c>
      <c r="H228" s="407">
        <f ca="1">H219*Параметры!H$192</f>
        <v>249.29164649999998</v>
      </c>
      <c r="I228" s="407">
        <f ca="1">I219*Параметры!I$192</f>
        <v>249.29164649999998</v>
      </c>
      <c r="J228" s="407">
        <f ca="1">J219*Параметры!J$192</f>
        <v>253.2853335616295</v>
      </c>
      <c r="K228" s="407">
        <f ca="1">K219*Параметры!K$192</f>
        <v>574.8339133643625</v>
      </c>
      <c r="L228" s="407">
        <f ca="1">L219*Параметры!L$192</f>
        <v>584.04283309601146</v>
      </c>
      <c r="M228" s="407">
        <f ca="1">M219*Параметры!M$192</f>
        <v>593.39928101041437</v>
      </c>
      <c r="N228" s="407">
        <f ca="1">N219*Параметры!N$192</f>
        <v>603.40391523240055</v>
      </c>
      <c r="O228" s="407">
        <f ca="1">O219*Параметры!O$192</f>
        <v>613.57722627810188</v>
      </c>
      <c r="P228" s="407">
        <f ca="1">P219*Параметры!P$192</f>
        <v>710.27936313268685</v>
      </c>
      <c r="Q228" s="407">
        <f ca="1">Q219*Параметры!Q$192</f>
        <v>722.25458024361387</v>
      </c>
      <c r="R228" s="407">
        <f ca="1">R219*Параметры!R$192</f>
        <v>734.27819138546454</v>
      </c>
      <c r="S228" s="407">
        <f ca="1">S219*Параметры!S$192</f>
        <v>746.50196356311176</v>
      </c>
      <c r="T228" s="407">
        <f ca="1">T219*Параметры!T$192</f>
        <v>758.92922892359343</v>
      </c>
      <c r="U228" s="407">
        <f ca="1">U219*Параметры!U$192</f>
        <v>771.56337508530271</v>
      </c>
      <c r="V228" s="407">
        <f ca="1">V219*Параметры!V$192</f>
        <v>784.65065732170501</v>
      </c>
      <c r="W228" s="407">
        <f ca="1">W219*Параметры!W$192</f>
        <v>797.95992645103945</v>
      </c>
      <c r="X228" s="407">
        <f ca="1">X219*Параметры!X$192</f>
        <v>811.49494782196564</v>
      </c>
      <c r="Y228" s="407">
        <f ca="1">Y219*Параметры!Y$192</f>
        <v>825.25955065110679</v>
      </c>
      <c r="Z228" s="407">
        <f ca="1">Z219*Параметры!Z$192</f>
        <v>839.08565092069887</v>
      </c>
      <c r="AA228" s="407">
        <f ca="1">AA219*Параметры!AA$192</f>
        <v>853.14338867756908</v>
      </c>
      <c r="AB228" s="407">
        <f ca="1">AB219*Параметры!AB$192</f>
        <v>867.43664469246676</v>
      </c>
      <c r="AC228" s="407">
        <f ca="1">AC219*Параметры!AC$192</f>
        <v>881.96936475317284</v>
      </c>
      <c r="AD228" s="407">
        <f ca="1">AD219*Параметры!AD$192</f>
        <v>896.60098392916871</v>
      </c>
      <c r="AE228" s="407">
        <f ca="1">AE219*Параметры!AE$192</f>
        <v>911.47533747697742</v>
      </c>
      <c r="AF228" s="407">
        <f ca="1">AF219*Параметры!AF$192</f>
        <v>926.59645229031082</v>
      </c>
      <c r="AG228" s="407">
        <f ca="1">AG219*Параметры!AG$192</f>
        <v>941.96842206789461</v>
      </c>
      <c r="AH228" s="407">
        <f ca="1">AH219*Параметры!AH$192</f>
        <v>957.53306892551495</v>
      </c>
      <c r="AI228" s="407">
        <f ca="1">AI219*Параметры!AI$192</f>
        <v>973.35489874821894</v>
      </c>
      <c r="AJ228" s="407">
        <f ca="1">AJ219*Параметры!AJ$192</f>
        <v>989.43816110736725</v>
      </c>
      <c r="AK228" s="407">
        <f ca="1">AK219*Параметры!AK$192</f>
        <v>1005.7871757922561</v>
      </c>
      <c r="AL228" s="407">
        <f ca="1">AL219*Параметры!AL$192</f>
        <v>1022.2683889823684</v>
      </c>
      <c r="AM228" s="407">
        <f ca="1">AM219*Параметры!AM$192</f>
        <v>1039.0196696328296</v>
      </c>
      <c r="AN228" s="407">
        <f ca="1">AN219*Параметры!AN$192</f>
        <v>1056.0454431722965</v>
      </c>
      <c r="AO228" s="407">
        <f ca="1">AO219*Параметры!AO$192</f>
        <v>1073.3502075461902</v>
      </c>
      <c r="AP228" s="407">
        <f ca="1">AP219*Параметры!AP$192</f>
        <v>1090.7978154452246</v>
      </c>
      <c r="AQ228" s="407">
        <f ca="1">AQ219*Параметры!AQ$192</f>
        <v>1108.5290390917187</v>
      </c>
      <c r="AR228" s="407">
        <f ca="1">AR219*Параметры!AR$192</f>
        <v>1126.5484887389894</v>
      </c>
      <c r="AS228" s="160"/>
      <c r="AT228" s="137">
        <f t="shared" ref="AT228" ca="1" si="85">SUM(E228:AS228)</f>
        <v>30290.419231113741</v>
      </c>
    </row>
    <row r="229" spans="1:46" s="60" customFormat="1" outlineLevel="1" x14ac:dyDescent="0.2">
      <c r="A229" s="50" t="s">
        <v>322</v>
      </c>
      <c r="B229" s="446">
        <f ca="1">IFERROR(AVERAGEIF(Параметры!$E$46:OFFSET(Параметры!$E$46,0,Параметры!$B$24-1),"&gt;=" &amp; Деятельность_УК!$B$9,E229:OFFSET(E229,0,Параметры!$B$24-1))*Параметры!$B$13/Параметры!$B$12,0)</f>
        <v>5905.9417837110113</v>
      </c>
      <c r="C229" s="39" t="str">
        <f>Параметры!$C$126</f>
        <v>тыс. руб.</v>
      </c>
      <c r="D229" s="159"/>
      <c r="E229" s="160">
        <f t="shared" ref="E229:AR229" si="86">SUM(E230:E231)</f>
        <v>20.304297000000002</v>
      </c>
      <c r="F229" s="160">
        <f t="shared" ca="1" si="86"/>
        <v>1330.9671174915586</v>
      </c>
      <c r="G229" s="160">
        <f t="shared" ca="1" si="86"/>
        <v>1330.9671174915586</v>
      </c>
      <c r="H229" s="160">
        <f t="shared" ca="1" si="86"/>
        <v>1354.6554639915587</v>
      </c>
      <c r="I229" s="160">
        <f t="shared" ca="1" si="86"/>
        <v>1354.6554639915587</v>
      </c>
      <c r="J229" s="160">
        <f t="shared" ca="1" si="86"/>
        <v>1355.3602322965521</v>
      </c>
      <c r="K229" s="160">
        <f t="shared" ca="1" si="86"/>
        <v>1412.1040993205638</v>
      </c>
      <c r="L229" s="160">
        <f t="shared" ca="1" si="86"/>
        <v>1413.7292028026195</v>
      </c>
      <c r="M229" s="160">
        <f t="shared" ca="1" si="86"/>
        <v>1415.3803406698671</v>
      </c>
      <c r="N229" s="160">
        <f t="shared" ca="1" si="86"/>
        <v>1417.1458643561</v>
      </c>
      <c r="O229" s="160">
        <f t="shared" ca="1" si="86"/>
        <v>1418.9411545406356</v>
      </c>
      <c r="P229" s="160">
        <f t="shared" ca="1" si="86"/>
        <v>1436.0062375149741</v>
      </c>
      <c r="Q229" s="160">
        <f t="shared" ca="1" si="86"/>
        <v>1438.1195111227846</v>
      </c>
      <c r="R229" s="160">
        <f t="shared" ca="1" si="86"/>
        <v>1440.2413248536996</v>
      </c>
      <c r="S229" s="160">
        <f t="shared" ca="1" si="86"/>
        <v>1442.3984611203432</v>
      </c>
      <c r="T229" s="160">
        <f t="shared" ca="1" si="86"/>
        <v>1444.5915079486635</v>
      </c>
      <c r="U229" s="160">
        <f t="shared" ca="1" si="86"/>
        <v>1446.8210631536708</v>
      </c>
      <c r="V229" s="160">
        <f t="shared" ca="1" si="86"/>
        <v>1449.1305835483302</v>
      </c>
      <c r="W229" s="160">
        <f t="shared" ca="1" si="86"/>
        <v>1451.4792781005656</v>
      </c>
      <c r="X229" s="160">
        <f t="shared" ca="1" si="86"/>
        <v>1453.8678112836703</v>
      </c>
      <c r="Y229" s="160">
        <f t="shared" ca="1" si="86"/>
        <v>1456.2968588417541</v>
      </c>
      <c r="Z229" s="160">
        <f t="shared" ca="1" si="86"/>
        <v>1458.7367588893292</v>
      </c>
      <c r="AA229" s="160">
        <f t="shared" ca="1" si="86"/>
        <v>1461.2175361405416</v>
      </c>
      <c r="AB229" s="160">
        <f t="shared" ca="1" si="86"/>
        <v>1463.7398754372882</v>
      </c>
      <c r="AC229" s="160">
        <f t="shared" ca="1" si="86"/>
        <v>1466.3044730950598</v>
      </c>
      <c r="AD229" s="160">
        <f t="shared" ca="1" si="86"/>
        <v>1468.8865235378826</v>
      </c>
      <c r="AE229" s="160">
        <f t="shared" ca="1" si="86"/>
        <v>1471.511409458084</v>
      </c>
      <c r="AF229" s="160">
        <f t="shared" ca="1" si="86"/>
        <v>1474.1798414839666</v>
      </c>
      <c r="AG229" s="160">
        <f t="shared" ca="1" si="86"/>
        <v>1476.892542032952</v>
      </c>
      <c r="AH229" s="160">
        <f t="shared" ca="1" si="86"/>
        <v>1479.6392444195908</v>
      </c>
      <c r="AI229" s="160">
        <f t="shared" ca="1" si="86"/>
        <v>1482.4313320353619</v>
      </c>
      <c r="AJ229" s="160">
        <f t="shared" ca="1" si="86"/>
        <v>1485.2695548046236</v>
      </c>
      <c r="AK229" s="160">
        <f t="shared" ca="1" si="86"/>
        <v>1488.1546750431332</v>
      </c>
      <c r="AL229" s="160">
        <f t="shared" ca="1" si="86"/>
        <v>1491.0631244296237</v>
      </c>
      <c r="AM229" s="160">
        <f t="shared" ca="1" si="86"/>
        <v>1494.0192327797051</v>
      </c>
      <c r="AN229" s="160">
        <f t="shared" ca="1" si="86"/>
        <v>1497.0237810513756</v>
      </c>
      <c r="AO229" s="160">
        <f t="shared" ca="1" si="86"/>
        <v>1500.0775629997099</v>
      </c>
      <c r="AP229" s="160">
        <f t="shared" ca="1" si="86"/>
        <v>1503.1565526289512</v>
      </c>
      <c r="AQ229" s="160">
        <f t="shared" ca="1" si="86"/>
        <v>1506.2855920959796</v>
      </c>
      <c r="AR229" s="160">
        <f t="shared" ca="1" si="86"/>
        <v>1509.4654949749097</v>
      </c>
      <c r="AS229" s="160"/>
      <c r="AT229" s="137">
        <f ca="1">SUM(E229:AS229)</f>
        <v>56461.218098779093</v>
      </c>
    </row>
    <row r="230" spans="1:46" s="60" customFormat="1" outlineLevel="1" x14ac:dyDescent="0.2">
      <c r="A230" s="405" t="s">
        <v>319</v>
      </c>
      <c r="B230" s="102">
        <f ca="1">IFERROR(AVERAGEIF(Параметры!$E$46:OFFSET(Параметры!$E$46,0,Параметры!$B$24-1),"&gt;=" &amp; Деятельность_УК!$B$9,E230:OFFSET(E230,0,Параметры!$B$24-1))*Параметры!$B$13/Параметры!$B$12,0)</f>
        <v>5242.6512819662321</v>
      </c>
      <c r="C230" s="406" t="str">
        <f>Параметры!$C$126</f>
        <v>тыс. руб.</v>
      </c>
      <c r="D230" s="397"/>
      <c r="E230" s="407">
        <f t="shared" ref="E230:AR230" si="87">E218</f>
        <v>0</v>
      </c>
      <c r="F230" s="407">
        <f t="shared" si="87"/>
        <v>1310.6628204915587</v>
      </c>
      <c r="G230" s="407">
        <f t="shared" si="87"/>
        <v>1310.6628204915587</v>
      </c>
      <c r="H230" s="407">
        <f t="shared" si="87"/>
        <v>1310.6628204915587</v>
      </c>
      <c r="I230" s="407">
        <f t="shared" si="87"/>
        <v>1310.6628204915587</v>
      </c>
      <c r="J230" s="407">
        <f t="shared" si="87"/>
        <v>1310.6628204915587</v>
      </c>
      <c r="K230" s="407">
        <f t="shared" si="87"/>
        <v>1310.6628204915587</v>
      </c>
      <c r="L230" s="407">
        <f t="shared" si="87"/>
        <v>1310.6628204915587</v>
      </c>
      <c r="M230" s="407">
        <f t="shared" si="87"/>
        <v>1310.6628204915587</v>
      </c>
      <c r="N230" s="407">
        <f t="shared" si="87"/>
        <v>1310.6628204915587</v>
      </c>
      <c r="O230" s="407">
        <f t="shared" si="87"/>
        <v>1310.6628204915587</v>
      </c>
      <c r="P230" s="407">
        <f t="shared" si="87"/>
        <v>1310.6628204915587</v>
      </c>
      <c r="Q230" s="407">
        <f t="shared" si="87"/>
        <v>1310.6628204915587</v>
      </c>
      <c r="R230" s="407">
        <f t="shared" si="87"/>
        <v>1310.6628204915587</v>
      </c>
      <c r="S230" s="407">
        <f t="shared" si="87"/>
        <v>1310.6628204915587</v>
      </c>
      <c r="T230" s="407">
        <f t="shared" si="87"/>
        <v>1310.6628204915587</v>
      </c>
      <c r="U230" s="407">
        <f t="shared" si="87"/>
        <v>1310.6628204915587</v>
      </c>
      <c r="V230" s="407">
        <f t="shared" si="87"/>
        <v>1310.6628204915587</v>
      </c>
      <c r="W230" s="407">
        <f t="shared" si="87"/>
        <v>1310.6628204915587</v>
      </c>
      <c r="X230" s="407">
        <f t="shared" si="87"/>
        <v>1310.6628204915587</v>
      </c>
      <c r="Y230" s="407">
        <f t="shared" si="87"/>
        <v>1310.6628204915587</v>
      </c>
      <c r="Z230" s="407">
        <f t="shared" si="87"/>
        <v>1310.6628204915587</v>
      </c>
      <c r="AA230" s="407">
        <f t="shared" si="87"/>
        <v>1310.6628204915587</v>
      </c>
      <c r="AB230" s="407">
        <f t="shared" si="87"/>
        <v>1310.6628204915587</v>
      </c>
      <c r="AC230" s="407">
        <f t="shared" si="87"/>
        <v>1310.6628204915587</v>
      </c>
      <c r="AD230" s="407">
        <f t="shared" si="87"/>
        <v>1310.6628204915587</v>
      </c>
      <c r="AE230" s="407">
        <f t="shared" si="87"/>
        <v>1310.6628204915587</v>
      </c>
      <c r="AF230" s="407">
        <f t="shared" si="87"/>
        <v>1310.6628204915587</v>
      </c>
      <c r="AG230" s="407">
        <f t="shared" si="87"/>
        <v>1310.6628204915587</v>
      </c>
      <c r="AH230" s="407">
        <f t="shared" si="87"/>
        <v>1310.6628204915587</v>
      </c>
      <c r="AI230" s="407">
        <f t="shared" si="87"/>
        <v>1310.6628204915587</v>
      </c>
      <c r="AJ230" s="407">
        <f t="shared" si="87"/>
        <v>1310.6628204915587</v>
      </c>
      <c r="AK230" s="407">
        <f t="shared" si="87"/>
        <v>1310.6628204915587</v>
      </c>
      <c r="AL230" s="407">
        <f t="shared" si="87"/>
        <v>1310.6628204915587</v>
      </c>
      <c r="AM230" s="407">
        <f t="shared" si="87"/>
        <v>1310.6628204915587</v>
      </c>
      <c r="AN230" s="407">
        <f t="shared" si="87"/>
        <v>1310.6628204915587</v>
      </c>
      <c r="AO230" s="407">
        <f t="shared" si="87"/>
        <v>1310.6628204915587</v>
      </c>
      <c r="AP230" s="407">
        <f t="shared" si="87"/>
        <v>1310.6628204915587</v>
      </c>
      <c r="AQ230" s="407">
        <f t="shared" si="87"/>
        <v>1310.6628204915587</v>
      </c>
      <c r="AR230" s="407">
        <f t="shared" si="87"/>
        <v>1310.6628204915587</v>
      </c>
      <c r="AS230" s="160"/>
      <c r="AT230" s="137">
        <f t="shared" ref="AT230:AT231" si="88">SUM(E230:AS230)</f>
        <v>51115.849999170809</v>
      </c>
    </row>
    <row r="231" spans="1:46" s="60" customFormat="1" outlineLevel="1" x14ac:dyDescent="0.2">
      <c r="A231" s="405" t="s">
        <v>323</v>
      </c>
      <c r="B231" s="102">
        <f ca="1">IFERROR(AVERAGEIF(Параметры!$E$46:OFFSET(Параметры!$E$46,0,Параметры!$B$24-1),"&gt;=" &amp; Деятельность_УК!$B$9,E231:OFFSET(E231,0,Параметры!$B$24-1))*Параметры!$B$13/Параметры!$B$12,0)</f>
        <v>663.29050174477504</v>
      </c>
      <c r="C231" s="406" t="str">
        <f>Параметры!$C$126</f>
        <v>тыс. руб.</v>
      </c>
      <c r="D231" s="65"/>
      <c r="E231" s="407">
        <f>E219*Параметры!E$193</f>
        <v>20.304297000000002</v>
      </c>
      <c r="F231" s="407">
        <f ca="1">F219*Параметры!F$193</f>
        <v>20.304297000000002</v>
      </c>
      <c r="G231" s="407">
        <f ca="1">G219*Параметры!G$193</f>
        <v>20.304297000000002</v>
      </c>
      <c r="H231" s="407">
        <f ca="1">H219*Параметры!H$193</f>
        <v>43.9926435</v>
      </c>
      <c r="I231" s="407">
        <f ca="1">I219*Параметры!I$193</f>
        <v>43.9926435</v>
      </c>
      <c r="J231" s="407">
        <f ca="1">J219*Параметры!J$193</f>
        <v>44.697411804993443</v>
      </c>
      <c r="K231" s="407">
        <f ca="1">K219*Параметры!K$193</f>
        <v>101.44127882900516</v>
      </c>
      <c r="L231" s="407">
        <f ca="1">L219*Параметры!L$193</f>
        <v>103.06638231106083</v>
      </c>
      <c r="M231" s="407">
        <f ca="1">M219*Параметры!M$193</f>
        <v>104.71752017830842</v>
      </c>
      <c r="N231" s="407">
        <f ca="1">N219*Параметры!N$193</f>
        <v>106.48304386454127</v>
      </c>
      <c r="O231" s="407">
        <f ca="1">O219*Параметры!O$193</f>
        <v>108.2783340490768</v>
      </c>
      <c r="P231" s="407">
        <f ca="1">P219*Параметры!P$193</f>
        <v>125.34341702341533</v>
      </c>
      <c r="Q231" s="407">
        <f ca="1">Q219*Параметры!Q$193</f>
        <v>127.45669063122598</v>
      </c>
      <c r="R231" s="407">
        <f ca="1">R219*Параметры!R$193</f>
        <v>129.57850436214079</v>
      </c>
      <c r="S231" s="407">
        <f ca="1">S219*Параметры!S$193</f>
        <v>131.73564062878444</v>
      </c>
      <c r="T231" s="407">
        <f ca="1">T219*Параметры!T$193</f>
        <v>133.92868745710473</v>
      </c>
      <c r="U231" s="407">
        <f ca="1">U219*Параметры!U$193</f>
        <v>136.15824266211223</v>
      </c>
      <c r="V231" s="407">
        <f ca="1">V219*Параметры!V$193</f>
        <v>138.46776305677147</v>
      </c>
      <c r="W231" s="407">
        <f ca="1">W219*Параметры!W$193</f>
        <v>140.81645760900696</v>
      </c>
      <c r="X231" s="407">
        <f ca="1">X219*Параметры!X$193</f>
        <v>143.20499079211157</v>
      </c>
      <c r="Y231" s="407">
        <f ca="1">Y219*Параметры!Y$193</f>
        <v>145.63403835019531</v>
      </c>
      <c r="Z231" s="407">
        <f ca="1">Z219*Параметры!Z$193</f>
        <v>148.07393839777041</v>
      </c>
      <c r="AA231" s="407">
        <f ca="1">AA219*Параметры!AA$193</f>
        <v>150.55471564898278</v>
      </c>
      <c r="AB231" s="407">
        <f ca="1">AB219*Параметры!AB$193</f>
        <v>153.07705494572943</v>
      </c>
      <c r="AC231" s="407">
        <f ca="1">AC219*Параметры!AC$193</f>
        <v>155.64165260350109</v>
      </c>
      <c r="AD231" s="407">
        <f ca="1">AD219*Параметры!AD$193</f>
        <v>158.22370304632389</v>
      </c>
      <c r="AE231" s="407">
        <f ca="1">AE219*Параметры!AE$193</f>
        <v>160.84858896652543</v>
      </c>
      <c r="AF231" s="407">
        <f ca="1">AF219*Параметры!AF$193</f>
        <v>163.51702099240779</v>
      </c>
      <c r="AG231" s="407">
        <f ca="1">AG219*Параметры!AG$193</f>
        <v>166.22972154139316</v>
      </c>
      <c r="AH231" s="407">
        <f ca="1">AH219*Параметры!AH$193</f>
        <v>168.97642392803206</v>
      </c>
      <c r="AI231" s="407">
        <f ca="1">AI219*Параметры!AI$193</f>
        <v>171.76851154380333</v>
      </c>
      <c r="AJ231" s="407">
        <f ca="1">AJ219*Параметры!AJ$193</f>
        <v>174.60673431306481</v>
      </c>
      <c r="AK231" s="407">
        <f ca="1">AK219*Параметры!AK$193</f>
        <v>177.49185455157462</v>
      </c>
      <c r="AL231" s="407">
        <f ca="1">AL219*Параметры!AL$193</f>
        <v>180.40030393806501</v>
      </c>
      <c r="AM231" s="407">
        <f ca="1">AM219*Параметры!AM$193</f>
        <v>183.3564122881464</v>
      </c>
      <c r="AN231" s="407">
        <f ca="1">AN219*Параметры!AN$193</f>
        <v>186.36096055981702</v>
      </c>
      <c r="AO231" s="407">
        <f ca="1">AO219*Параметры!AO$193</f>
        <v>189.41474250815119</v>
      </c>
      <c r="AP231" s="407">
        <f ca="1">AP219*Параметры!AP$193</f>
        <v>192.49373213739258</v>
      </c>
      <c r="AQ231" s="407">
        <f ca="1">AQ219*Параметры!AQ$193</f>
        <v>195.62277160442093</v>
      </c>
      <c r="AR231" s="407">
        <f ca="1">AR219*Параметры!AR$193</f>
        <v>198.80267448335104</v>
      </c>
      <c r="AS231" s="160"/>
      <c r="AT231" s="137">
        <f t="shared" ca="1" si="88"/>
        <v>5345.3680996083076</v>
      </c>
    </row>
    <row r="232" spans="1:46" s="60" customFormat="1" outlineLevel="1" x14ac:dyDescent="0.2">
      <c r="A232" s="50" t="s">
        <v>359</v>
      </c>
      <c r="B232" s="446">
        <f ca="1">IFERROR(AVERAGEIF(Параметры!$E$46:OFFSET(Параметры!$E$46,0,Параметры!$B$24-1),"&gt;=" &amp; Деятельность_УК!$B$9,E232:OFFSET(E232,0,Параметры!$B$24-1))*Параметры!$B$13/Параметры!$B$12,0)</f>
        <v>10352.001833561795</v>
      </c>
      <c r="C232" s="39" t="str">
        <f>Параметры!$C$126</f>
        <v>тыс. руб.</v>
      </c>
      <c r="D232" s="159"/>
      <c r="E232" s="160">
        <f t="shared" ref="E232:AR232" si="89">E217</f>
        <v>212.41418400000001</v>
      </c>
      <c r="F232" s="160">
        <f t="shared" ca="1" si="89"/>
        <v>318.62127600000002</v>
      </c>
      <c r="G232" s="160">
        <f t="shared" ca="1" si="89"/>
        <v>318.62127600000002</v>
      </c>
      <c r="H232" s="160">
        <f t="shared" ca="1" si="89"/>
        <v>566.43782399999998</v>
      </c>
      <c r="I232" s="160">
        <f t="shared" ca="1" si="89"/>
        <v>690.34609799999998</v>
      </c>
      <c r="J232" s="160">
        <f t="shared" ca="1" si="89"/>
        <v>697.71905872916216</v>
      </c>
      <c r="K232" s="160">
        <f t="shared" ca="1" si="89"/>
        <v>1295.0336864218657</v>
      </c>
      <c r="L232" s="160">
        <f t="shared" ca="1" si="89"/>
        <v>1608.8488426674328</v>
      </c>
      <c r="M232" s="160">
        <f t="shared" ca="1" si="89"/>
        <v>1634.6228262616985</v>
      </c>
      <c r="N232" s="160">
        <f t="shared" ca="1" si="89"/>
        <v>1661.7296413617373</v>
      </c>
      <c r="O232" s="160">
        <f t="shared" ca="1" si="89"/>
        <v>1689.7461856510195</v>
      </c>
      <c r="P232" s="160">
        <f t="shared" ca="1" si="89"/>
        <v>1877.6639561939774</v>
      </c>
      <c r="Q232" s="160">
        <f t="shared" ca="1" si="89"/>
        <v>1989.0355602645366</v>
      </c>
      <c r="R232" s="160">
        <f t="shared" ca="1" si="89"/>
        <v>2022.2870427826551</v>
      </c>
      <c r="S232" s="160">
        <f t="shared" ca="1" si="89"/>
        <v>2055.9527247800197</v>
      </c>
      <c r="T232" s="160">
        <f t="shared" ca="1" si="89"/>
        <v>2090.1788505325831</v>
      </c>
      <c r="U232" s="160">
        <f t="shared" ca="1" si="89"/>
        <v>2124.974749933107</v>
      </c>
      <c r="V232" s="160">
        <f t="shared" ca="1" si="89"/>
        <v>2160.7981751341963</v>
      </c>
      <c r="W232" s="160">
        <f t="shared" ca="1" si="89"/>
        <v>2197.4497017450312</v>
      </c>
      <c r="X232" s="160">
        <f t="shared" ca="1" si="89"/>
        <v>2234.72291270305</v>
      </c>
      <c r="Y232" s="160">
        <f t="shared" ca="1" si="89"/>
        <v>2272.6283530377041</v>
      </c>
      <c r="Z232" s="160">
        <f t="shared" ca="1" si="89"/>
        <v>2310.8592484546198</v>
      </c>
      <c r="AA232" s="160">
        <f t="shared" ca="1" si="89"/>
        <v>2349.5745491776956</v>
      </c>
      <c r="AB232" s="160">
        <f t="shared" ca="1" si="89"/>
        <v>2388.938472057695</v>
      </c>
      <c r="AC232" s="160">
        <f t="shared" ca="1" si="89"/>
        <v>2428.961883875827</v>
      </c>
      <c r="AD232" s="160">
        <f t="shared" ca="1" si="89"/>
        <v>2469.3889224106251</v>
      </c>
      <c r="AE232" s="160">
        <f t="shared" ca="1" si="89"/>
        <v>2510.3553774305756</v>
      </c>
      <c r="AF232" s="160">
        <f t="shared" ca="1" si="89"/>
        <v>2552.0014542070144</v>
      </c>
      <c r="AG232" s="160">
        <f t="shared" ca="1" si="89"/>
        <v>2594.3384274702466</v>
      </c>
      <c r="AH232" s="160">
        <f t="shared" ca="1" si="89"/>
        <v>2637.2626706943925</v>
      </c>
      <c r="AI232" s="160">
        <f t="shared" ca="1" si="89"/>
        <v>2680.8395690048801</v>
      </c>
      <c r="AJ232" s="160">
        <f t="shared" ca="1" si="89"/>
        <v>2725.136511658111</v>
      </c>
      <c r="AK232" s="160">
        <f t="shared" ca="1" si="89"/>
        <v>2770.1653963309655</v>
      </c>
      <c r="AL232" s="160">
        <f t="shared" ca="1" si="89"/>
        <v>2815.6836496218393</v>
      </c>
      <c r="AM232" s="160">
        <f t="shared" ca="1" si="89"/>
        <v>2861.8225183827944</v>
      </c>
      <c r="AN232" s="160">
        <f t="shared" ca="1" si="89"/>
        <v>2908.7174362868514</v>
      </c>
      <c r="AO232" s="160">
        <f t="shared" ca="1" si="89"/>
        <v>2956.3807922443166</v>
      </c>
      <c r="AP232" s="160">
        <f t="shared" ca="1" si="89"/>
        <v>3004.5653893261288</v>
      </c>
      <c r="AQ232" s="160">
        <f t="shared" ca="1" si="89"/>
        <v>3053.405440272611</v>
      </c>
      <c r="AR232" s="160">
        <f t="shared" ca="1" si="89"/>
        <v>3103.0393999104895</v>
      </c>
      <c r="AS232" s="160"/>
      <c r="AT232" s="137">
        <f ca="1">SUM(E232:AS232)</f>
        <v>82841.270035017471</v>
      </c>
    </row>
    <row r="233" spans="1:46" s="60" customFormat="1" outlineLevel="1" x14ac:dyDescent="0.2">
      <c r="A233" s="405" t="s">
        <v>483</v>
      </c>
      <c r="B233" s="102">
        <f ca="1">IFERROR(AVERAGEIF(Параметры!$E$46:OFFSET(Параметры!$E$46,0,Параметры!$B$24-1),"&gt;=" &amp; Деятельность_УК!$B$9,E233:OFFSET(E233,0,Параметры!$B$24-1))*Параметры!$B$13/Параметры!$B$12,0)</f>
        <v>7442.6156973320094</v>
      </c>
      <c r="C233" s="406" t="str">
        <f>Параметры!$C$126</f>
        <v>тыс. руб.</v>
      </c>
      <c r="D233" s="65"/>
      <c r="E233" s="407">
        <f>IFERROR(Деятельность_УК!E$223*Деятельность_УК!E$233/Деятельность_УК!E$227,0)+IFERROR(0*Параметры!E$159/Параметры!E$164,0)</f>
        <v>152.71608000000001</v>
      </c>
      <c r="F233" s="407">
        <f ca="1">IFERROR(Деятельность_УК!F$223*Деятельность_УК!F$233/Деятельность_УК!F$227,0)+IFERROR(0*Параметры!F$159/Параметры!F$164,0)</f>
        <v>229.07412000000002</v>
      </c>
      <c r="G233" s="407">
        <f ca="1">IFERROR(Деятельность_УК!G$223*Деятельность_УК!G$233/Деятельность_УК!G$227,0)+IFERROR(0*Параметры!G$159/Параметры!G$164,0)</f>
        <v>229.07412000000002</v>
      </c>
      <c r="H233" s="407">
        <f ca="1">IFERROR(Деятельность_УК!H$223*Деятельность_УК!H$233/Деятельность_УК!H$227,0)+IFERROR(0*Параметры!H$159/Параметры!H$164,0)</f>
        <v>407.24287999999996</v>
      </c>
      <c r="I233" s="407">
        <f ca="1">IFERROR(Деятельность_УК!I$223*Деятельность_УК!I$233/Деятельность_УК!I$227,0)+IFERROR(0*Параметры!I$159/Параметры!I$164,0)</f>
        <v>496.32725999999997</v>
      </c>
      <c r="J233" s="407">
        <f ca="1">IFERROR(Деятельность_УК!J$223*Деятельность_УК!J$233/Деятельность_УК!J$227,0)+IFERROR(0*Параметры!J$159/Параметры!J$164,0)</f>
        <v>501.62808143926691</v>
      </c>
      <c r="K233" s="407">
        <f ca="1">IFERROR(Деятельность_УК!K$223*Деятельность_УК!K$233/Деятельность_УК!K$227,0)+IFERROR(0*Параметры!K$159/Параметры!K$164,0)</f>
        <v>931.06997063009953</v>
      </c>
      <c r="L233" s="407">
        <f ca="1">IFERROR(Деятельность_УК!L$223*Деятельность_УК!L$233/Деятельность_УК!L$227,0)+IFERROR(0*Параметры!L$159/Параметры!L$164,0)</f>
        <v>1156.6887104144942</v>
      </c>
      <c r="M233" s="407">
        <f ca="1">IFERROR(Деятельность_УК!M$223*Деятельность_УК!M$233/Деятельность_УК!M$227,0)+IFERROR(0*Параметры!M$159/Параметры!M$164,0)</f>
        <v>1175.2190254169072</v>
      </c>
      <c r="N233" s="407">
        <f ca="1">IFERROR(Деятельность_УК!N$223*Деятельность_УК!N$233/Деятельность_УК!N$227,0)+IFERROR(0*Параметры!N$159/Параметры!N$164,0)</f>
        <v>1194.7075852927524</v>
      </c>
      <c r="O233" s="407">
        <f ca="1">IFERROR(Деятельность_УК!O$223*Деятельность_УК!O$233/Деятельность_УК!O$227,0)+IFERROR(0*Параметры!O$159/Параметры!O$164,0)</f>
        <v>1214.8501988340663</v>
      </c>
      <c r="P233" s="407">
        <f ca="1">IFERROR(Деятельность_УК!P$223*Деятельность_УК!P$233/Деятельность_УК!P$227,0)+IFERROR(0*Параметры!P$159/Параметры!P$164,0)</f>
        <v>1349.9544783093952</v>
      </c>
      <c r="Q233" s="407">
        <f ca="1">IFERROR(Деятельность_УК!Q$223*Деятельность_УК!Q$233/Деятельность_УК!Q$227,0)+IFERROR(0*Параметры!Q$159/Параметры!Q$164,0)</f>
        <v>1430.0255662032616</v>
      </c>
      <c r="R233" s="407">
        <f ca="1">IFERROR(Деятельность_УК!R$223*Деятельность_УК!R$233/Деятельность_УК!R$227,0)+IFERROR(0*Параметры!R$159/Параметры!R$164,0)</f>
        <v>1453.931860824131</v>
      </c>
      <c r="S233" s="407">
        <f ca="1">IFERROR(Деятельность_УК!S$223*Деятельность_УК!S$233/Деятельность_УК!S$227,0)+IFERROR(0*Параметры!S$159/Параметры!S$164,0)</f>
        <v>1478.1359459202754</v>
      </c>
      <c r="T233" s="407">
        <f ca="1">IFERROR(Деятельность_УК!T$223*Деятельность_УК!T$233/Деятельность_УК!T$227,0)+IFERROR(0*Параметры!T$159/Параметры!T$164,0)</f>
        <v>1502.7429644351905</v>
      </c>
      <c r="U233" s="407">
        <f ca="1">IFERROR(Деятельность_УК!U$223*Деятельность_УК!U$233/Деятельность_УК!U$227,0)+IFERROR(0*Параметры!U$159/Параметры!U$164,0)</f>
        <v>1527.7596241349133</v>
      </c>
      <c r="V233" s="407">
        <f ca="1">IFERROR(Деятельность_УК!V$223*Деятельность_УК!V$233/Деятельность_УК!V$227,0)+IFERROR(0*Параметры!V$159/Параметры!V$164,0)</f>
        <v>1553.515027874259</v>
      </c>
      <c r="W233" s="407">
        <f ca="1">IFERROR(Деятельность_УК!W$223*Деятельность_УК!W$233/Деятельность_УК!W$227,0)+IFERROR(0*Параметры!W$159/Параметры!W$164,0)</f>
        <v>1579.8657986402184</v>
      </c>
      <c r="X233" s="407">
        <f ca="1">IFERROR(Деятельность_УК!X$223*Деятельность_УК!X$233/Деятельность_УК!X$227,0)+IFERROR(0*Параметры!X$159/Параметры!X$164,0)</f>
        <v>1606.6635320087285</v>
      </c>
      <c r="Y233" s="407">
        <f ca="1">IFERROR(Деятельность_УК!Y$223*Деятельность_УК!Y$233/Деятельность_УК!Y$227,0)+IFERROR(0*Параметры!Y$159/Параметры!Y$164,0)</f>
        <v>1633.9158093735127</v>
      </c>
      <c r="Z233" s="407">
        <f ca="1">IFERROR(Деятельность_УК!Z$223*Деятельность_УК!Z$233/Деятельность_УК!Z$227,0)+IFERROR(0*Параметры!Z$159/Параметры!Z$164,0)</f>
        <v>1661.402074052341</v>
      </c>
      <c r="AA233" s="407">
        <f ca="1">IFERROR(Деятельность_УК!AA$223*Деятельность_УК!AA$233/Деятельность_УК!AA$227,0)+IFERROR(0*Параметры!AA$159/Параметры!AA$164,0)</f>
        <v>1689.2366039839642</v>
      </c>
      <c r="AB233" s="407">
        <f ca="1">IFERROR(Деятельность_УК!AB$223*Деятельность_УК!AB$233/Деятельность_УК!AB$227,0)+IFERROR(0*Параметры!AB$159/Параметры!AB$164,0)</f>
        <v>1717.537463570892</v>
      </c>
      <c r="AC233" s="407">
        <f ca="1">IFERROR(Деятельность_УК!AC$223*Деятельность_УК!AC$233/Деятельность_УК!AC$227,0)+IFERROR(0*Параметры!AC$159/Параметры!AC$164,0)</f>
        <v>1746.3124655316403</v>
      </c>
      <c r="AD233" s="407">
        <f ca="1">IFERROR(Деятельность_УК!AD$223*Деятельность_УК!AD$233/Деятельность_УК!AD$227,0)+IFERROR(0*Параметры!AD$159/Параметры!AD$164,0)</f>
        <v>1775.37765663509</v>
      </c>
      <c r="AE233" s="407">
        <f ca="1">IFERROR(Деятельность_УК!AE$223*Деятельность_УК!AE$233/Деятельность_УК!AE$227,0)+IFERROR(0*Параметры!AE$159/Параметры!AE$164,0)</f>
        <v>1804.8306635121783</v>
      </c>
      <c r="AF233" s="407">
        <f ca="1">IFERROR(Деятельность_УК!AF$223*Деятельность_УК!AF$233/Деятельность_УК!AF$227,0)+IFERROR(0*Параметры!AF$159/Параметры!AF$164,0)</f>
        <v>1834.7722873383766</v>
      </c>
      <c r="AG233" s="407">
        <f ca="1">IFERROR(Деятельность_УК!AG$223*Деятельность_УК!AG$233/Деятельность_УК!AG$227,0)+IFERROR(0*Параметры!AG$159/Параметры!AG$164,0)</f>
        <v>1865.2106341289355</v>
      </c>
      <c r="AH233" s="407">
        <f ca="1">IFERROR(Деятельность_УК!AH$223*Деятельность_УК!AH$233/Деятельность_УК!AH$227,0)+IFERROR(0*Параметры!AH$159/Параметры!AH$164,0)</f>
        <v>1896.071201152831</v>
      </c>
      <c r="AI233" s="407">
        <f ca="1">IFERROR(Деятельность_УК!AI$223*Деятельность_УК!AI$233/Деятельность_УК!AI$227,0)+IFERROR(0*Параметры!AI$159/Параметры!AI$164,0)</f>
        <v>1927.4009973237698</v>
      </c>
      <c r="AJ233" s="407">
        <f ca="1">IFERROR(Деятельность_УК!AJ$223*Деятельность_УК!AJ$233/Деятельность_УК!AJ$227,0)+IFERROR(0*Параметры!AJ$159/Параметры!AJ$164,0)</f>
        <v>1959.2484724339358</v>
      </c>
      <c r="AK233" s="407">
        <f ca="1">IFERROR(Деятельность_УК!AK$223*Деятельность_УК!AK$233/Деятельность_УК!AK$227,0)+IFERROR(0*Параметры!AK$159/Параметры!AK$164,0)</f>
        <v>1991.6221803686683</v>
      </c>
      <c r="AL233" s="407">
        <f ca="1">IFERROR(Деятельность_УК!AL$223*Деятельность_УК!AL$233/Деятельность_УК!AL$227,0)+IFERROR(0*Параметры!AL$159/Параметры!AL$164,0)</f>
        <v>2024.347721950342</v>
      </c>
      <c r="AM233" s="407">
        <f ca="1">IFERROR(Деятельность_УК!AM$223*Деятельность_УК!AM$233/Деятельность_УК!AM$227,0)+IFERROR(0*Параметры!AM$159/Параметры!AM$164,0)</f>
        <v>2057.5194576608333</v>
      </c>
      <c r="AN233" s="407">
        <f ca="1">IFERROR(Деятельность_УК!AN$223*Деятельность_УК!AN$233/Деятельность_УК!AN$227,0)+IFERROR(0*Параметры!AN$159/Параметры!AN$164,0)</f>
        <v>2091.2347581147296</v>
      </c>
      <c r="AO233" s="407">
        <f ca="1">IFERROR(Деятельность_УК!AO$223*Деятельность_УК!AO$233/Деятельность_УК!AO$227,0)+IFERROR(0*Параметры!AO$159/Параметры!AO$164,0)</f>
        <v>2125.5025303717307</v>
      </c>
      <c r="AP233" s="407">
        <f ca="1">IFERROR(Деятельность_УК!AP$223*Деятельность_УК!AP$233/Деятельность_УК!AP$227,0)+IFERROR(0*Параметры!AP$159/Параметры!AP$164,0)</f>
        <v>2160.1450511495041</v>
      </c>
      <c r="AQ233" s="407">
        <f ca="1">IFERROR(Деятельность_УК!AQ$223*Деятельность_УК!AQ$233/Деятельность_УК!AQ$227,0)+IFERROR(0*Параметры!AQ$159/Параметры!AQ$164,0)</f>
        <v>2195.2588132678902</v>
      </c>
      <c r="AR233" s="407">
        <f ca="1">IFERROR(Деятельность_УК!AR$223*Деятельность_УК!AR$233/Деятельность_УК!AR$227,0)+IFERROR(0*Параметры!AR$159/Параметры!AR$164,0)</f>
        <v>2230.94335941277</v>
      </c>
      <c r="AS233" s="160"/>
      <c r="AT233" s="137">
        <f t="shared" ref="AT233:AT236" ca="1" si="90">SUM(E233:AS233)</f>
        <v>59559.083031711889</v>
      </c>
    </row>
    <row r="234" spans="1:46" s="60" customFormat="1" outlineLevel="1" x14ac:dyDescent="0.2">
      <c r="A234" s="405" t="s">
        <v>484</v>
      </c>
      <c r="B234" s="102">
        <f ca="1">IFERROR(AVERAGEIF(Параметры!$E$46:OFFSET(Параметры!$E$46,0,Параметры!$B$24-1),"&gt;=" &amp; Деятельность_УК!$B$9,E234:OFFSET(E234,0,Параметры!$B$24-1))*Параметры!$B$13/Параметры!$B$12,0)</f>
        <v>1184.0524973028198</v>
      </c>
      <c r="C234" s="406" t="str">
        <f>Параметры!$C$126</f>
        <v>тыс. руб.</v>
      </c>
      <c r="D234" s="65"/>
      <c r="E234" s="407">
        <f>IFERROR(Деятельность_УК!E$224*Деятельность_УК!E$233/Деятельность_УК!E$227,0)+IFERROR(0*(Параметры!E$161+Параметры!E$162)/Параметры!E$164,0)</f>
        <v>24.295740000000002</v>
      </c>
      <c r="F234" s="407">
        <f ca="1">IFERROR(Деятельность_УК!F$224*Деятельность_УК!F$233/Деятельность_УК!F$227,0)+IFERROR(0*(Параметры!F$161+Параметры!F$162)/Параметры!F$164,0)</f>
        <v>36.443610000000007</v>
      </c>
      <c r="G234" s="407">
        <f ca="1">IFERROR(Деятельность_УК!G$224*Деятельность_УК!G$233/Деятельность_УК!G$227,0)+IFERROR(0*(Параметры!G$161+Параметры!G$162)/Параметры!G$164,0)</f>
        <v>36.443610000000007</v>
      </c>
      <c r="H234" s="407">
        <f ca="1">IFERROR(Деятельность_УК!H$224*Деятельность_УК!H$233/Деятельность_УК!H$227,0)+IFERROR(0*(Параметры!H$161+Параметры!H$162)/Параметры!H$164,0)</f>
        <v>64.788640000000001</v>
      </c>
      <c r="I234" s="407">
        <f ca="1">IFERROR(Деятельность_УК!I$224*Деятельность_УК!I$233/Деятельность_УК!I$227,0)+IFERROR(0*(Параметры!I$161+Параметры!I$162)/Параметры!I$164,0)</f>
        <v>78.961155000000005</v>
      </c>
      <c r="J234" s="407">
        <f ca="1">IFERROR(Деятельность_УК!J$224*Деятельность_УК!J$233/Деятельность_УК!J$227,0)+IFERROR(0*(Параметры!J$161+Параметры!J$162)/Параметры!J$164,0)</f>
        <v>79.804467501701552</v>
      </c>
      <c r="K234" s="407">
        <f ca="1">IFERROR(Деятельность_УК!K$224*Деятельность_УК!K$233/Деятельность_УК!K$227,0)+IFERROR(0*(Параметры!K$161+Параметры!K$162)/Параметры!K$164,0)</f>
        <v>148.1247680547886</v>
      </c>
      <c r="L234" s="407">
        <f ca="1">IFERROR(Деятельность_УК!L$224*Деятельность_УК!L$233/Деятельность_УК!L$227,0)+IFERROR(0*(Параметры!L$161+Параметры!L$162)/Параметры!L$164,0)</f>
        <v>184.01865847503316</v>
      </c>
      <c r="M234" s="407">
        <f ca="1">IFERROR(Деятельность_УК!M$224*Деятельность_УК!M$233/Деятельность_УК!M$227,0)+IFERROR(0*(Параметры!M$161+Параметры!M$162)/Параметры!M$164,0)</f>
        <v>186.96666313450802</v>
      </c>
      <c r="N234" s="407">
        <f ca="1">IFERROR(Деятельность_УК!N$224*Деятельность_УК!N$233/Деятельность_УК!N$227,0)+IFERROR(0*(Параметры!N$161+Параметры!N$162)/Параметры!N$164,0)</f>
        <v>190.06711584202878</v>
      </c>
      <c r="O234" s="407">
        <f ca="1">IFERROR(Деятельность_УК!O$224*Деятельность_УК!O$233/Деятельность_УК!O$227,0)+IFERROR(0*(Параметры!O$161+Параметры!O$162)/Параметры!O$164,0)</f>
        <v>193.27162254178327</v>
      </c>
      <c r="P234" s="407">
        <f ca="1">IFERROR(Деятельность_УК!P$224*Деятельность_УК!P$233/Деятельность_УК!P$227,0)+IFERROR(0*(Параметры!P$161+Параметры!P$162)/Параметры!P$164,0)</f>
        <v>214.76548518558565</v>
      </c>
      <c r="Q234" s="407">
        <f ca="1">IFERROR(Деятельность_УК!Q$224*Деятельность_УК!Q$233/Деятельность_УК!Q$227,0)+IFERROR(0*(Параметры!Q$161+Параметры!Q$162)/Параметры!Q$164,0)</f>
        <v>227.50406735051894</v>
      </c>
      <c r="R234" s="407">
        <f ca="1">IFERROR(Деятельность_УК!R$224*Деятельность_УК!R$233/Деятельность_УК!R$227,0)+IFERROR(0*(Параметры!R$161+Параметры!R$162)/Параметры!R$164,0)</f>
        <v>231.30734149474816</v>
      </c>
      <c r="S234" s="407">
        <f ca="1">IFERROR(Деятельность_УК!S$224*Деятельность_УК!S$233/Деятельность_УК!S$227,0)+IFERROR(0*(Параметры!S$161+Параметры!S$162)/Параметры!S$164,0)</f>
        <v>235.15799139640748</v>
      </c>
      <c r="T234" s="407">
        <f ca="1">IFERROR(Деятельность_УК!T$224*Деятельность_УК!T$233/Деятельность_УК!T$227,0)+IFERROR(0*(Параметры!T$161+Параметры!T$162)/Параметры!T$164,0)</f>
        <v>239.07274434196214</v>
      </c>
      <c r="U234" s="407">
        <f ca="1">IFERROR(Деятельность_УК!U$224*Деятельность_УК!U$233/Деятельность_УК!U$227,0)+IFERROR(0*(Параметры!U$161+Параметры!U$162)/Параметры!U$164,0)</f>
        <v>243.05266747600893</v>
      </c>
      <c r="V234" s="407">
        <f ca="1">IFERROR(Деятельность_УК!V$224*Деятельность_УК!V$233/Деятельность_УК!V$227,0)+IFERROR(0*(Параметры!V$161+Параметры!V$162)/Параметры!V$164,0)</f>
        <v>247.15011807090482</v>
      </c>
      <c r="W234" s="407">
        <f ca="1">IFERROR(Деятельность_УК!W$224*Деятельность_УК!W$233/Деятельность_УК!W$227,0)+IFERROR(0*(Параметры!W$161+Параметры!W$162)/Параметры!W$164,0)</f>
        <v>251.34228614730753</v>
      </c>
      <c r="X234" s="407">
        <f ca="1">IFERROR(Деятельность_УК!X$224*Деятельность_УК!X$233/Деятельность_УК!X$227,0)+IFERROR(0*(Параметры!X$161+Параметры!X$162)/Параметры!X$164,0)</f>
        <v>255.60556191047957</v>
      </c>
      <c r="Y234" s="407">
        <f ca="1">IFERROR(Деятельность_УК!Y$224*Деятельность_УК!Y$233/Деятельность_УК!Y$227,0)+IFERROR(0*(Параметры!Y$161+Параметры!Y$162)/Параметры!Y$164,0)</f>
        <v>259.9411514912407</v>
      </c>
      <c r="Z234" s="407">
        <f ca="1">IFERROR(Деятельность_УК!Z$224*Деятельность_УК!Z$233/Деятельность_УК!Z$227,0)+IFERROR(0*(Параметры!Z$161+Параметры!Z$162)/Параметры!Z$164,0)</f>
        <v>264.31396632650882</v>
      </c>
      <c r="AA234" s="407">
        <f ca="1">IFERROR(Деятельность_УК!AA$224*Деятельность_УК!AA$233/Деятельность_УК!AA$227,0)+IFERROR(0*(Параметры!AA$161+Параметры!AA$162)/Параметры!AA$164,0)</f>
        <v>268.74218699744893</v>
      </c>
      <c r="AB234" s="407">
        <f ca="1">IFERROR(Деятельность_УК!AB$224*Деятельность_УК!AB$233/Деятельность_УК!AB$227,0)+IFERROR(0*(Параметры!AB$161+Параметры!AB$162)/Параметры!AB$164,0)</f>
        <v>273.24459647718737</v>
      </c>
      <c r="AC234" s="407">
        <f ca="1">IFERROR(Деятельность_УК!AC$224*Деятельность_УК!AC$233/Деятельность_УК!AC$227,0)+IFERROR(0*(Параметры!AC$161+Параметры!AC$162)/Параметры!AC$164,0)</f>
        <v>277.82243769821554</v>
      </c>
      <c r="AD234" s="407">
        <f ca="1">IFERROR(Деятельность_УК!AD$224*Деятельность_УК!AD$233/Деятельность_УК!AD$227,0)+IFERROR(0*(Параметры!AD$161+Параметры!AD$162)/Параметры!AD$164,0)</f>
        <v>282.44644537376433</v>
      </c>
      <c r="AE234" s="407">
        <f ca="1">IFERROR(Деятельность_УК!AE$224*Деятельность_УК!AE$233/Деятельность_УК!AE$227,0)+IFERROR(0*(Параметры!AE$161+Параметры!AE$162)/Параметры!AE$164,0)</f>
        <v>287.1321510133011</v>
      </c>
      <c r="AF234" s="407">
        <f ca="1">IFERROR(Деятельность_УК!AF$224*Деятельность_УК!AF$233/Деятельность_УК!AF$227,0)+IFERROR(0*(Параметры!AF$161+Параметры!AF$162)/Параметры!AF$164,0)</f>
        <v>291.89559116746904</v>
      </c>
      <c r="AG234" s="407">
        <f ca="1">IFERROR(Деятельность_УК!AG$224*Деятельность_УК!AG$233/Деятельность_УК!AG$227,0)+IFERROR(0*(Параметры!AG$161+Параметры!AG$162)/Параметры!AG$164,0)</f>
        <v>296.73805542960338</v>
      </c>
      <c r="AH234" s="407">
        <f ca="1">IFERROR(Деятельность_УК!AH$224*Деятельность_УК!AH$233/Деятельность_УК!AH$227,0)+IFERROR(0*(Параметры!AH$161+Параметры!AH$162)/Параметры!AH$164,0)</f>
        <v>301.64769109249585</v>
      </c>
      <c r="AI234" s="407">
        <f ca="1">IFERROR(Деятельность_УК!AI$224*Деятельность_УК!AI$233/Деятельность_УК!AI$227,0)+IFERROR(0*(Параметры!AI$161+Параметры!AI$162)/Параметры!AI$164,0)</f>
        <v>306.63197684696337</v>
      </c>
      <c r="AJ234" s="407">
        <f ca="1">IFERROR(Деятельность_УК!AJ$224*Деятельность_УК!AJ$233/Деятельность_УК!AJ$227,0)+IFERROR(0*(Параметры!AJ$161+Параметры!AJ$162)/Параметры!AJ$164,0)</f>
        <v>311.69862061448981</v>
      </c>
      <c r="AK234" s="407">
        <f ca="1">IFERROR(Деятельность_УК!AK$224*Деятельность_УК!AK$233/Деятельность_УК!AK$227,0)+IFERROR(0*(Параметры!AK$161+Параметры!AK$162)/Параметры!AK$164,0)</f>
        <v>316.84898324046998</v>
      </c>
      <c r="AL234" s="407">
        <f ca="1">IFERROR(Деятельность_УК!AL$224*Деятельность_УК!AL$233/Деятельность_УК!AL$227,0)+IFERROR(0*(Параметры!AL$161+Параметры!AL$162)/Параметры!AL$164,0)</f>
        <v>322.05531940119084</v>
      </c>
      <c r="AM234" s="407">
        <f ca="1">IFERROR(Деятельность_УК!AM$224*Деятельность_УК!AM$233/Деятельность_УК!AM$227,0)+IFERROR(0*(Параметры!AM$161+Параметры!AM$162)/Параметры!AM$164,0)</f>
        <v>327.33264099149613</v>
      </c>
      <c r="AN234" s="407">
        <f ca="1">IFERROR(Деятельность_УК!AN$224*Деятельность_УК!AN$233/Деятельность_УК!AN$227,0)+IFERROR(0*(Параметры!AN$161+Параметры!AN$162)/Параметры!AN$164,0)</f>
        <v>332.69643879097981</v>
      </c>
      <c r="AO234" s="407">
        <f ca="1">IFERROR(Деятельность_УК!AO$224*Деятельность_УК!AO$233/Деятельность_УК!AO$227,0)+IFERROR(0*(Параметры!AO$161+Параметры!AO$162)/Параметры!AO$164,0)</f>
        <v>338.14812983186636</v>
      </c>
      <c r="AP234" s="407">
        <f ca="1">IFERROR(Деятельность_УК!AP$224*Деятельность_УК!AP$233/Деятельность_УК!AP$227,0)+IFERROR(0*(Параметры!AP$161+Параметры!AP$162)/Параметры!AP$164,0)</f>
        <v>343.65943995560298</v>
      </c>
      <c r="AQ234" s="407">
        <f ca="1">IFERROR(Деятельность_УК!AQ$224*Деятельность_УК!AQ$233/Деятельность_УК!AQ$227,0)+IFERROR(0*(Параметры!AQ$161+Параметры!AQ$162)/Параметры!AQ$164,0)</f>
        <v>349.24572029261896</v>
      </c>
      <c r="AR234" s="407">
        <f ca="1">IFERROR(Деятельность_УК!AR$224*Деятельность_УК!AR$233/Деятельность_УК!AR$227,0)+IFERROR(0*(Параметры!AR$161+Параметры!AR$162)/Параметры!AR$164,0)</f>
        <v>354.92280717930436</v>
      </c>
      <c r="AS234" s="160"/>
      <c r="AT234" s="137">
        <f t="shared" ca="1" si="90"/>
        <v>9475.3086641359878</v>
      </c>
    </row>
    <row r="235" spans="1:46" s="60" customFormat="1" outlineLevel="1" x14ac:dyDescent="0.2">
      <c r="A235" s="405" t="s">
        <v>485</v>
      </c>
      <c r="B235" s="102">
        <f ca="1">IFERROR(AVERAGEIF(Параметры!$E$46:OFFSET(Параметры!$E$46,0,Параметры!$B$24-1),"&gt;=" &amp; Деятельность_УК!$B$9,E235:OFFSET(E235,0,Параметры!$B$24-1))*Параметры!$B$13/Параметры!$B$12,0)</f>
        <v>1725.3336389269655</v>
      </c>
      <c r="C235" s="406" t="str">
        <f>Параметры!$C$126</f>
        <v>тыс. руб.</v>
      </c>
      <c r="D235" s="65"/>
      <c r="E235" s="407">
        <f>IFERROR(Деятельность_УК!E$225*Деятельность_УК!E$233/Деятельность_УК!E$227,0)+IFERROR(0*Параметры!E$160/Параметры!E$164,0)</f>
        <v>35.402363999999999</v>
      </c>
      <c r="F235" s="407">
        <f ca="1">IFERROR(Деятельность_УК!F$225*Деятельность_УК!F$233/Деятельность_УК!F$227,0)+IFERROR(0*Параметры!F$160/Параметры!F$164,0)</f>
        <v>53.103546000000001</v>
      </c>
      <c r="G235" s="407">
        <f ca="1">IFERROR(Деятельность_УК!G$225*Деятельность_УК!G$233/Деятельность_УК!G$227,0)+IFERROR(0*Параметры!G$160/Параметры!G$164,0)</f>
        <v>53.103546000000001</v>
      </c>
      <c r="H235" s="407">
        <f ca="1">IFERROR(Деятельность_УК!H$225*Деятельность_УК!H$233/Деятельность_УК!H$227,0)+IFERROR(0*Параметры!H$160/Параметры!H$164,0)</f>
        <v>94.406303999999992</v>
      </c>
      <c r="I235" s="407">
        <f ca="1">IFERROR(Деятельность_УК!I$225*Деятельность_УК!I$233/Деятельность_УК!I$227,0)+IFERROR(0*Параметры!I$160/Параметры!I$164,0)</f>
        <v>115.05768299999998</v>
      </c>
      <c r="J235" s="407">
        <f ca="1">IFERROR(Деятельность_УК!J$225*Деятельность_УК!J$233/Деятельность_УК!J$227,0)+IFERROR(0*Параметры!J$160/Параметры!J$164,0)</f>
        <v>116.28650978819368</v>
      </c>
      <c r="K235" s="407">
        <f ca="1">IFERROR(Деятельность_УК!K$225*Деятельность_УК!K$233/Деятельность_УК!K$227,0)+IFERROR(0*Параметры!K$160/Параметры!K$164,0)</f>
        <v>215.83894773697762</v>
      </c>
      <c r="L235" s="407">
        <f ca="1">IFERROR(Деятельность_УК!L$225*Деятельность_УК!L$233/Деятельность_УК!L$227,0)+IFERROR(0*Параметры!L$160/Параметры!L$164,0)</f>
        <v>268.14147377790545</v>
      </c>
      <c r="M235" s="407">
        <f ca="1">IFERROR(Деятельность_УК!M$225*Деятельность_УК!M$233/Деятельность_УК!M$227,0)+IFERROR(0*Параметры!M$160/Параметры!M$164,0)</f>
        <v>272.43713771028303</v>
      </c>
      <c r="N235" s="407">
        <f ca="1">IFERROR(Деятельность_УК!N$225*Деятельность_УК!N$233/Деятельность_УК!N$227,0)+IFERROR(0*Параметры!N$160/Параметры!N$164,0)</f>
        <v>276.95494022695618</v>
      </c>
      <c r="O235" s="407">
        <f ca="1">IFERROR(Деятельность_УК!O$225*Деятельность_УК!O$233/Деятельность_УК!O$227,0)+IFERROR(0*Параметры!O$160/Параметры!O$164,0)</f>
        <v>281.62436427516991</v>
      </c>
      <c r="P235" s="407">
        <f ca="1">IFERROR(Деятельность_УК!P$225*Деятельность_УК!P$233/Деятельность_УК!P$227,0)+IFERROR(0*Параметры!P$160/Параметры!P$164,0)</f>
        <v>312.94399269899623</v>
      </c>
      <c r="Q235" s="407">
        <f ca="1">IFERROR(Деятельность_УК!Q$225*Деятельность_УК!Q$233/Деятельность_УК!Q$227,0)+IFERROR(0*Параметры!Q$160/Параметры!Q$164,0)</f>
        <v>331.50592671075611</v>
      </c>
      <c r="R235" s="407">
        <f ca="1">IFERROR(Деятельность_УК!R$225*Деятельность_УК!R$233/Деятельность_УК!R$227,0)+IFERROR(0*Параметры!R$160/Параметры!R$164,0)</f>
        <v>337.04784046377586</v>
      </c>
      <c r="S235" s="407">
        <f ca="1">IFERROR(Деятельность_УК!S$225*Деятельность_УК!S$233/Деятельность_УК!S$227,0)+IFERROR(0*Параметры!S$160/Параметры!S$164,0)</f>
        <v>342.65878746333652</v>
      </c>
      <c r="T235" s="407">
        <f ca="1">IFERROR(Деятельность_УК!T$225*Деятельность_УК!T$233/Деятельность_УК!T$227,0)+IFERROR(0*Параметры!T$160/Параметры!T$164,0)</f>
        <v>348.36314175543049</v>
      </c>
      <c r="U235" s="407">
        <f ca="1">IFERROR(Деятельность_УК!U$225*Деятельность_УК!U$233/Деятельность_УК!U$227,0)+IFERROR(0*Параметры!U$160/Параметры!U$164,0)</f>
        <v>354.16245832218442</v>
      </c>
      <c r="V235" s="407">
        <f ca="1">IFERROR(Деятельность_УК!V$225*Деятельность_УК!V$233/Деятельность_УК!V$227,0)+IFERROR(0*Параметры!V$160/Параметры!V$164,0)</f>
        <v>360.13302918903264</v>
      </c>
      <c r="W235" s="407">
        <f ca="1">IFERROR(Деятельность_УК!W$225*Деятельность_УК!W$233/Деятельность_УК!W$227,0)+IFERROR(0*Параметры!W$160/Параметры!W$164,0)</f>
        <v>366.24161695750513</v>
      </c>
      <c r="X235" s="407">
        <f ca="1">IFERROR(Деятельность_УК!X$225*Деятельность_УК!X$233/Деятельность_УК!X$227,0)+IFERROR(0*Параметры!X$160/Параметры!X$164,0)</f>
        <v>372.45381878384165</v>
      </c>
      <c r="Y235" s="407">
        <f ca="1">IFERROR(Деятельность_УК!Y$225*Деятельность_УК!Y$233/Деятельность_УК!Y$227,0)+IFERROR(0*Параметры!Y$160/Параметры!Y$164,0)</f>
        <v>378.7713921729507</v>
      </c>
      <c r="Z235" s="407">
        <f ca="1">IFERROR(Деятельность_УК!Z$225*Деятельность_УК!Z$233/Деятельность_УК!Z$227,0)+IFERROR(0*Параметры!Z$160/Параметры!Z$164,0)</f>
        <v>385.14320807576991</v>
      </c>
      <c r="AA235" s="407">
        <f ca="1">IFERROR(Деятельность_УК!AA$225*Деятельность_УК!AA$233/Деятельность_УК!AA$227,0)+IFERROR(0*Параметры!AA$160/Параметры!AA$164,0)</f>
        <v>391.59575819628253</v>
      </c>
      <c r="AB235" s="407">
        <f ca="1">IFERROR(Деятельность_УК!AB$225*Деятельность_УК!AB$233/Деятельность_УК!AB$227,0)+IFERROR(0*Параметры!AB$160/Параметры!AB$164,0)</f>
        <v>398.15641200961579</v>
      </c>
      <c r="AC235" s="407">
        <f ca="1">IFERROR(Деятельность_УК!AC$225*Деятельность_УК!AC$233/Деятельность_УК!AC$227,0)+IFERROR(0*Параметры!AC$160/Параметры!AC$164,0)</f>
        <v>404.8269806459711</v>
      </c>
      <c r="AD235" s="407">
        <f ca="1">IFERROR(Деятельность_УК!AD$225*Деятельность_УК!AD$233/Деятельность_УК!AD$227,0)+IFERROR(0*Параметры!AD$160/Параметры!AD$164,0)</f>
        <v>411.56482040177082</v>
      </c>
      <c r="AE235" s="407">
        <f ca="1">IFERROR(Деятельность_УК!AE$225*Деятельность_УК!AE$233/Деятельность_УК!AE$227,0)+IFERROR(0*Параметры!AE$160/Параметры!AE$164,0)</f>
        <v>418.39256290509582</v>
      </c>
      <c r="AF235" s="407">
        <f ca="1">IFERROR(Деятельность_УК!AF$225*Деятельность_УК!AF$233/Деятельность_УК!AF$227,0)+IFERROR(0*Параметры!AF$160/Параметры!AF$164,0)</f>
        <v>425.33357570116908</v>
      </c>
      <c r="AG235" s="407">
        <f ca="1">IFERROR(Деятельность_УК!AG$225*Деятельность_УК!AG$233/Деятельность_УК!AG$227,0)+IFERROR(0*Параметры!AG$160/Параметры!AG$164,0)</f>
        <v>432.3897379117077</v>
      </c>
      <c r="AH235" s="407">
        <f ca="1">IFERROR(Деятельность_УК!AH$225*Деятельность_УК!AH$233/Деятельность_УК!AH$227,0)+IFERROR(0*Параметры!AH$160/Параметры!AH$164,0)</f>
        <v>439.54377844906531</v>
      </c>
      <c r="AI235" s="407">
        <f ca="1">IFERROR(Деятельность_УК!AI$225*Деятельность_УК!AI$233/Деятельность_УК!AI$227,0)+IFERROR(0*Параметры!AI$160/Параметры!AI$164,0)</f>
        <v>446.80659483414667</v>
      </c>
      <c r="AJ235" s="407">
        <f ca="1">IFERROR(Деятельность_УК!AJ$225*Деятельность_УК!AJ$233/Деятельность_УК!AJ$227,0)+IFERROR(0*Параметры!AJ$160/Параметры!AJ$164,0)</f>
        <v>454.18941860968511</v>
      </c>
      <c r="AK235" s="407">
        <f ca="1">IFERROR(Деятельность_УК!AK$225*Деятельность_УК!AK$233/Деятельность_УК!AK$227,0)+IFERROR(0*Параметры!AK$160/Параметры!AK$164,0)</f>
        <v>461.69423272182752</v>
      </c>
      <c r="AL235" s="407">
        <f ca="1">IFERROR(Деятельность_УК!AL$225*Деятельность_УК!AL$233/Деятельность_УК!AL$227,0)+IFERROR(0*Параметры!AL$160/Параметры!AL$164,0)</f>
        <v>469.28060827030657</v>
      </c>
      <c r="AM235" s="407">
        <f ca="1">IFERROR(Деятельность_УК!AM$225*Деятельность_УК!AM$233/Деятельность_УК!AM$227,0)+IFERROR(0*Параметры!AM$160/Параметры!AM$164,0)</f>
        <v>476.97041973046566</v>
      </c>
      <c r="AN235" s="407">
        <f ca="1">IFERROR(Деятельность_УК!AN$225*Деятельность_УК!AN$233/Деятельность_УК!AN$227,0)+IFERROR(0*Параметры!AN$160/Параметры!AN$164,0)</f>
        <v>484.78623938114185</v>
      </c>
      <c r="AO235" s="407">
        <f ca="1">IFERROR(Деятельность_УК!AO$225*Деятельность_УК!AO$233/Деятельность_УК!AO$227,0)+IFERROR(0*Параметры!AO$160/Параметры!AO$164,0)</f>
        <v>492.73013204071941</v>
      </c>
      <c r="AP235" s="407">
        <f ca="1">IFERROR(Деятельность_УК!AP$225*Деятельность_УК!AP$233/Деятельность_УК!AP$227,0)+IFERROR(0*Параметры!AP$160/Параметры!AP$164,0)</f>
        <v>500.76089822102142</v>
      </c>
      <c r="AQ235" s="407">
        <f ca="1">IFERROR(Деятельность_УК!AQ$225*Деятельность_УК!AQ$233/Деятельность_УК!AQ$227,0)+IFERROR(0*Параметры!AQ$160/Параметры!AQ$164,0)</f>
        <v>508.9009067121018</v>
      </c>
      <c r="AR235" s="407">
        <f ca="1">IFERROR(Деятельность_УК!AR$225*Деятельность_УК!AR$233/Деятельность_УК!AR$227,0)+IFERROR(0*Параметры!AR$160/Параметры!AR$164,0)</f>
        <v>517.17323331841487</v>
      </c>
      <c r="AS235" s="160"/>
      <c r="AT235" s="137">
        <f t="shared" ca="1" si="90"/>
        <v>13806.878339169574</v>
      </c>
    </row>
    <row r="236" spans="1:46" s="60" customFormat="1" outlineLevel="1" x14ac:dyDescent="0.2">
      <c r="A236" s="405" t="s">
        <v>487</v>
      </c>
      <c r="B236" s="102">
        <f ca="1">IFERROR(AVERAGEIF(Параметры!$E$46:OFFSET(Параметры!$E$46,0,Параметры!$B$24-1),"&gt;=" &amp; Деятельность_УК!$B$9,E236:OFFSET(E236,0,Параметры!$B$24-1))*Параметры!$B$13/Параметры!$B$12,0)</f>
        <v>0</v>
      </c>
      <c r="C236" s="406" t="str">
        <f>Параметры!$C$126</f>
        <v>тыс. руб.</v>
      </c>
      <c r="D236" s="65"/>
      <c r="E236" s="407">
        <f>IFERROR(Деятельность_УК!E$226*Деятельность_УК!E$233/Деятельность_УК!E$227,0)+IFERROR(0*Параметры!E$163/Параметры!E$164,0)</f>
        <v>0</v>
      </c>
      <c r="F236" s="407">
        <f ca="1">IFERROR(Деятельность_УК!F$226*Деятельность_УК!F$233/Деятельность_УК!F$227,0)+IFERROR(0*Параметры!F$163/Параметры!F$164,0)</f>
        <v>0</v>
      </c>
      <c r="G236" s="407">
        <f ca="1">IFERROR(Деятельность_УК!G$226*Деятельность_УК!G$233/Деятельность_УК!G$227,0)+IFERROR(0*Параметры!G$163/Параметры!G$164,0)</f>
        <v>0</v>
      </c>
      <c r="H236" s="407">
        <f ca="1">IFERROR(Деятельность_УК!H$226*Деятельность_УК!H$233/Деятельность_УК!H$227,0)+IFERROR(0*Параметры!H$163/Параметры!H$164,0)</f>
        <v>0</v>
      </c>
      <c r="I236" s="407">
        <f ca="1">IFERROR(Деятельность_УК!I$226*Деятельность_УК!I$233/Деятельность_УК!I$227,0)+IFERROR(0*Параметры!I$163/Параметры!I$164,0)</f>
        <v>0</v>
      </c>
      <c r="J236" s="407">
        <f ca="1">IFERROR(Деятельность_УК!J$226*Деятельность_УК!J$233/Деятельность_УК!J$227,0)+IFERROR(0*Параметры!J$163/Параметры!J$164,0)</f>
        <v>0</v>
      </c>
      <c r="K236" s="407">
        <f ca="1">IFERROR(Деятельность_УК!K$226*Деятельность_УК!K$233/Деятельность_УК!K$227,0)+IFERROR(0*Параметры!K$163/Параметры!K$164,0)</f>
        <v>0</v>
      </c>
      <c r="L236" s="407">
        <f ca="1">IFERROR(Деятельность_УК!L$226*Деятельность_УК!L$233/Деятельность_УК!L$227,0)+IFERROR(0*Параметры!L$163/Параметры!L$164,0)</f>
        <v>0</v>
      </c>
      <c r="M236" s="407">
        <f ca="1">IFERROR(Деятельность_УК!M$226*Деятельность_УК!M$233/Деятельность_УК!M$227,0)+IFERROR(0*Параметры!M$163/Параметры!M$164,0)</f>
        <v>0</v>
      </c>
      <c r="N236" s="407">
        <f ca="1">IFERROR(Деятельность_УК!N$226*Деятельность_УК!N$233/Деятельность_УК!N$227,0)+IFERROR(0*Параметры!N$163/Параметры!N$164,0)</f>
        <v>0</v>
      </c>
      <c r="O236" s="407">
        <f ca="1">IFERROR(Деятельность_УК!O$226*Деятельность_УК!O$233/Деятельность_УК!O$227,0)+IFERROR(0*Параметры!O$163/Параметры!O$164,0)</f>
        <v>0</v>
      </c>
      <c r="P236" s="407">
        <f ca="1">IFERROR(Деятельность_УК!P$226*Деятельность_УК!P$233/Деятельность_УК!P$227,0)+IFERROR(0*Параметры!P$163/Параметры!P$164,0)</f>
        <v>0</v>
      </c>
      <c r="Q236" s="407">
        <f ca="1">IFERROR(Деятельность_УК!Q$226*Деятельность_УК!Q$233/Деятельность_УК!Q$227,0)+IFERROR(0*Параметры!Q$163/Параметры!Q$164,0)</f>
        <v>0</v>
      </c>
      <c r="R236" s="407">
        <f ca="1">IFERROR(Деятельность_УК!R$226*Деятельность_УК!R$233/Деятельность_УК!R$227,0)+IFERROR(0*Параметры!R$163/Параметры!R$164,0)</f>
        <v>0</v>
      </c>
      <c r="S236" s="407">
        <f ca="1">IFERROR(Деятельность_УК!S$226*Деятельность_УК!S$233/Деятельность_УК!S$227,0)+IFERROR(0*Параметры!S$163/Параметры!S$164,0)</f>
        <v>0</v>
      </c>
      <c r="T236" s="407">
        <f ca="1">IFERROR(Деятельность_УК!T$226*Деятельность_УК!T$233/Деятельность_УК!T$227,0)+IFERROR(0*Параметры!T$163/Параметры!T$164,0)</f>
        <v>0</v>
      </c>
      <c r="U236" s="407">
        <f ca="1">IFERROR(Деятельность_УК!U$226*Деятельность_УК!U$233/Деятельность_УК!U$227,0)+IFERROR(0*Параметры!U$163/Параметры!U$164,0)</f>
        <v>0</v>
      </c>
      <c r="V236" s="407">
        <f ca="1">IFERROR(Деятельность_УК!V$226*Деятельность_УК!V$233/Деятельность_УК!V$227,0)+IFERROR(0*Параметры!V$163/Параметры!V$164,0)</f>
        <v>0</v>
      </c>
      <c r="W236" s="407">
        <f ca="1">IFERROR(Деятельность_УК!W$226*Деятельность_УК!W$233/Деятельность_УК!W$227,0)+IFERROR(0*Параметры!W$163/Параметры!W$164,0)</f>
        <v>0</v>
      </c>
      <c r="X236" s="407">
        <f ca="1">IFERROR(Деятельность_УК!X$226*Деятельность_УК!X$233/Деятельность_УК!X$227,0)+IFERROR(0*Параметры!X$163/Параметры!X$164,0)</f>
        <v>0</v>
      </c>
      <c r="Y236" s="407">
        <f ca="1">IFERROR(Деятельность_УК!Y$226*Деятельность_УК!Y$233/Деятельность_УК!Y$227,0)+IFERROR(0*Параметры!Y$163/Параметры!Y$164,0)</f>
        <v>0</v>
      </c>
      <c r="Z236" s="407">
        <f ca="1">IFERROR(Деятельность_УК!Z$226*Деятельность_УК!Z$233/Деятельность_УК!Z$227,0)+IFERROR(0*Параметры!Z$163/Параметры!Z$164,0)</f>
        <v>0</v>
      </c>
      <c r="AA236" s="407">
        <f ca="1">IFERROR(Деятельность_УК!AA$226*Деятельность_УК!AA$233/Деятельность_УК!AA$227,0)+IFERROR(0*Параметры!AA$163/Параметры!AA$164,0)</f>
        <v>0</v>
      </c>
      <c r="AB236" s="407">
        <f ca="1">IFERROR(Деятельность_УК!AB$226*Деятельность_УК!AB$233/Деятельность_УК!AB$227,0)+IFERROR(0*Параметры!AB$163/Параметры!AB$164,0)</f>
        <v>0</v>
      </c>
      <c r="AC236" s="407">
        <f ca="1">IFERROR(Деятельность_УК!AC$226*Деятельность_УК!AC$233/Деятельность_УК!AC$227,0)+IFERROR(0*Параметры!AC$163/Параметры!AC$164,0)</f>
        <v>0</v>
      </c>
      <c r="AD236" s="407">
        <f ca="1">IFERROR(Деятельность_УК!AD$226*Деятельность_УК!AD$233/Деятельность_УК!AD$227,0)+IFERROR(0*Параметры!AD$163/Параметры!AD$164,0)</f>
        <v>0</v>
      </c>
      <c r="AE236" s="407">
        <f ca="1">IFERROR(Деятельность_УК!AE$226*Деятельность_УК!AE$233/Деятельность_УК!AE$227,0)+IFERROR(0*Параметры!AE$163/Параметры!AE$164,0)</f>
        <v>0</v>
      </c>
      <c r="AF236" s="407">
        <f ca="1">IFERROR(Деятельность_УК!AF$226*Деятельность_УК!AF$233/Деятельность_УК!AF$227,0)+IFERROR(0*Параметры!AF$163/Параметры!AF$164,0)</f>
        <v>0</v>
      </c>
      <c r="AG236" s="407">
        <f ca="1">IFERROR(Деятельность_УК!AG$226*Деятельность_УК!AG$233/Деятельность_УК!AG$227,0)+IFERROR(0*Параметры!AG$163/Параметры!AG$164,0)</f>
        <v>0</v>
      </c>
      <c r="AH236" s="407">
        <f ca="1">IFERROR(Деятельность_УК!AH$226*Деятельность_УК!AH$233/Деятельность_УК!AH$227,0)+IFERROR(0*Параметры!AH$163/Параметры!AH$164,0)</f>
        <v>0</v>
      </c>
      <c r="AI236" s="407">
        <f ca="1">IFERROR(Деятельность_УК!AI$226*Деятельность_УК!AI$233/Деятельность_УК!AI$227,0)+IFERROR(0*Параметры!AI$163/Параметры!AI$164,0)</f>
        <v>0</v>
      </c>
      <c r="AJ236" s="407">
        <f ca="1">IFERROR(Деятельность_УК!AJ$226*Деятельность_УК!AJ$233/Деятельность_УК!AJ$227,0)+IFERROR(0*Параметры!AJ$163/Параметры!AJ$164,0)</f>
        <v>0</v>
      </c>
      <c r="AK236" s="407">
        <f ca="1">IFERROR(Деятельность_УК!AK$226*Деятельность_УК!AK$233/Деятельность_УК!AK$227,0)+IFERROR(0*Параметры!AK$163/Параметры!AK$164,0)</f>
        <v>0</v>
      </c>
      <c r="AL236" s="407">
        <f ca="1">IFERROR(Деятельность_УК!AL$226*Деятельность_УК!AL$233/Деятельность_УК!AL$227,0)+IFERROR(0*Параметры!AL$163/Параметры!AL$164,0)</f>
        <v>0</v>
      </c>
      <c r="AM236" s="407">
        <f ca="1">IFERROR(Деятельность_УК!AM$226*Деятельность_УК!AM$233/Деятельность_УК!AM$227,0)+IFERROR(0*Параметры!AM$163/Параметры!AM$164,0)</f>
        <v>0</v>
      </c>
      <c r="AN236" s="407">
        <f ca="1">IFERROR(Деятельность_УК!AN$226*Деятельность_УК!AN$233/Деятельность_УК!AN$227,0)+IFERROR(0*Параметры!AN$163/Параметры!AN$164,0)</f>
        <v>0</v>
      </c>
      <c r="AO236" s="407">
        <f ca="1">IFERROR(Деятельность_УК!AO$226*Деятельность_УК!AO$233/Деятельность_УК!AO$227,0)+IFERROR(0*Параметры!AO$163/Параметры!AO$164,0)</f>
        <v>0</v>
      </c>
      <c r="AP236" s="407">
        <f ca="1">IFERROR(Деятельность_УК!AP$226*Деятельность_УК!AP$233/Деятельность_УК!AP$227,0)+IFERROR(0*Параметры!AP$163/Параметры!AP$164,0)</f>
        <v>0</v>
      </c>
      <c r="AQ236" s="407">
        <f ca="1">IFERROR(Деятельность_УК!AQ$226*Деятельность_УК!AQ$233/Деятельность_УК!AQ$227,0)+IFERROR(0*Параметры!AQ$163/Параметры!AQ$164,0)</f>
        <v>0</v>
      </c>
      <c r="AR236" s="407">
        <f ca="1">IFERROR(Деятельность_УК!AR$226*Деятельность_УК!AR$233/Деятельность_УК!AR$227,0)+IFERROR(0*Параметры!AR$163/Параметры!AR$164,0)</f>
        <v>0</v>
      </c>
      <c r="AS236" s="160"/>
      <c r="AT236" s="137">
        <f t="shared" ca="1" si="90"/>
        <v>0</v>
      </c>
    </row>
    <row r="237" spans="1:46" x14ac:dyDescent="0.2">
      <c r="A237" s="49"/>
      <c r="B237" s="11"/>
      <c r="C237" s="36"/>
      <c r="D237" s="65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  <row r="238" spans="1:46" x14ac:dyDescent="0.2">
      <c r="A238" s="50" t="s">
        <v>500</v>
      </c>
      <c r="B238" s="11"/>
      <c r="C238" s="36"/>
      <c r="D238" s="65"/>
      <c r="E238" s="158"/>
      <c r="F238" s="158"/>
      <c r="G238" s="158"/>
      <c r="H238" s="158"/>
      <c r="I238" s="158"/>
      <c r="J238" s="158"/>
      <c r="K238" s="158"/>
      <c r="L238" s="158"/>
      <c r="M238" s="158"/>
      <c r="N238" s="158"/>
      <c r="O238" s="158"/>
      <c r="P238" s="158"/>
      <c r="Q238" s="158"/>
      <c r="R238" s="158"/>
      <c r="S238" s="158"/>
      <c r="T238" s="158"/>
      <c r="U238" s="158"/>
      <c r="V238" s="158"/>
      <c r="W238" s="158"/>
      <c r="X238" s="158"/>
      <c r="Y238" s="158"/>
      <c r="Z238" s="158"/>
      <c r="AA238" s="158"/>
      <c r="AB238" s="158"/>
      <c r="AC238" s="158"/>
      <c r="AD238" s="158"/>
      <c r="AE238" s="158"/>
      <c r="AF238" s="158"/>
      <c r="AG238" s="158"/>
      <c r="AH238" s="158"/>
      <c r="AI238" s="158"/>
      <c r="AJ238" s="158"/>
      <c r="AK238" s="158"/>
      <c r="AL238" s="158"/>
      <c r="AM238" s="158"/>
      <c r="AN238" s="158"/>
      <c r="AO238" s="158"/>
      <c r="AP238" s="158"/>
      <c r="AQ238" s="158"/>
      <c r="AR238" s="158"/>
      <c r="AS238" s="158"/>
      <c r="AT238" s="158"/>
    </row>
    <row r="239" spans="1:46" outlineLevel="1" x14ac:dyDescent="0.2">
      <c r="A239" s="49"/>
      <c r="B239" s="11"/>
      <c r="C239" s="36"/>
      <c r="D239" s="65"/>
      <c r="E239" s="158"/>
      <c r="F239" s="158"/>
      <c r="G239" s="158"/>
      <c r="H239" s="158"/>
      <c r="I239" s="158"/>
      <c r="J239" s="158"/>
      <c r="K239" s="158"/>
      <c r="L239" s="158"/>
      <c r="M239" s="158"/>
      <c r="N239" s="158"/>
      <c r="O239" s="158"/>
      <c r="P239" s="158"/>
      <c r="Q239" s="158"/>
      <c r="R239" s="158"/>
      <c r="S239" s="158"/>
      <c r="T239" s="158"/>
      <c r="U239" s="158"/>
      <c r="V239" s="158"/>
      <c r="W239" s="158"/>
      <c r="X239" s="158"/>
      <c r="Y239" s="158"/>
      <c r="Z239" s="158"/>
      <c r="AA239" s="158"/>
      <c r="AB239" s="158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8"/>
    </row>
    <row r="240" spans="1:46" outlineLevel="1" x14ac:dyDescent="0.2">
      <c r="A240" s="49" t="s">
        <v>324</v>
      </c>
      <c r="B240" s="11"/>
      <c r="C240" s="36"/>
      <c r="D240" s="65"/>
      <c r="E240" s="158"/>
      <c r="F240" s="158"/>
      <c r="G240" s="158"/>
      <c r="H240" s="158"/>
      <c r="I240" s="158"/>
      <c r="J240" s="158"/>
      <c r="K240" s="158"/>
      <c r="L240" s="158"/>
      <c r="M240" s="158"/>
      <c r="N240" s="158"/>
      <c r="O240" s="158"/>
      <c r="P240" s="158"/>
      <c r="Q240" s="158"/>
      <c r="R240" s="158"/>
      <c r="S240" s="158"/>
      <c r="T240" s="158"/>
      <c r="U240" s="158"/>
      <c r="V240" s="158"/>
      <c r="W240" s="158"/>
      <c r="X240" s="158"/>
      <c r="Y240" s="158"/>
      <c r="Z240" s="158"/>
      <c r="AA240" s="158"/>
      <c r="AB240" s="158"/>
      <c r="AC240" s="158"/>
      <c r="AD240" s="158"/>
      <c r="AE240" s="158"/>
      <c r="AF240" s="158"/>
      <c r="AG240" s="158"/>
      <c r="AH240" s="158"/>
      <c r="AI240" s="158"/>
      <c r="AJ240" s="158"/>
      <c r="AK240" s="158"/>
      <c r="AL240" s="158"/>
      <c r="AM240" s="158"/>
      <c r="AN240" s="158"/>
      <c r="AO240" s="158"/>
      <c r="AP240" s="158"/>
      <c r="AQ240" s="158"/>
      <c r="AR240" s="158"/>
      <c r="AS240" s="158"/>
      <c r="AT240" s="158"/>
    </row>
    <row r="241" spans="1:46" outlineLevel="1" x14ac:dyDescent="0.2">
      <c r="A241" s="66" t="s">
        <v>281</v>
      </c>
      <c r="B241" s="122">
        <f t="shared" ref="B241" ca="1" si="91">AT241</f>
        <v>407250</v>
      </c>
      <c r="C241" s="12" t="str">
        <f>Параметры!$C$126</f>
        <v>тыс. руб.</v>
      </c>
      <c r="D241" s="40"/>
      <c r="E241" s="346">
        <f>Деятельность_УК!E541</f>
        <v>0</v>
      </c>
      <c r="F241" s="346">
        <f ca="1">Деятельность_УК!F541</f>
        <v>0</v>
      </c>
      <c r="G241" s="346">
        <f ca="1">Деятельность_УК!G541</f>
        <v>0</v>
      </c>
      <c r="H241" s="346">
        <f ca="1">Деятельность_УК!H541</f>
        <v>0</v>
      </c>
      <c r="I241" s="346">
        <f ca="1">Деятельность_УК!I541</f>
        <v>0</v>
      </c>
      <c r="J241" s="346">
        <f ca="1">Деятельность_УК!J541</f>
        <v>1000.0318861108526</v>
      </c>
      <c r="K241" s="346">
        <f ca="1">Деятельность_УК!K541</f>
        <v>1000.0318861108526</v>
      </c>
      <c r="L241" s="346">
        <f ca="1">Деятельность_УК!L541</f>
        <v>1009.441750841768</v>
      </c>
      <c r="M241" s="346">
        <f ca="1">Деятельность_УК!M541</f>
        <v>1018.9401583036547</v>
      </c>
      <c r="N241" s="346">
        <f ca="1">Деятельность_УК!N541</f>
        <v>1028.5279416450671</v>
      </c>
      <c r="O241" s="346">
        <f ca="1">Деятельность_УК!O541</f>
        <v>9789.8628804723394</v>
      </c>
      <c r="P241" s="346">
        <f ca="1">Деятельность_УК!P541</f>
        <v>1594.6509547354606</v>
      </c>
      <c r="Q241" s="346">
        <f ca="1">Деятельность_УК!Q541</f>
        <v>1612.4299840332176</v>
      </c>
      <c r="R241" s="346">
        <f ca="1">Деятельность_УК!R541</f>
        <v>1630.4072346921009</v>
      </c>
      <c r="S241" s="346">
        <f ca="1">Деятельность_УК!S541</f>
        <v>6213.4515893743246</v>
      </c>
      <c r="T241" s="346">
        <f ca="1">Деятельность_УК!T541</f>
        <v>27253.662425870105</v>
      </c>
      <c r="U241" s="346">
        <f ca="1">Деятельность_УК!U541</f>
        <v>33048.408915747459</v>
      </c>
      <c r="V241" s="346">
        <f ca="1">Деятельность_УК!V541</f>
        <v>33376.232728754119</v>
      </c>
      <c r="W241" s="346">
        <f ca="1">Деятельность_УК!W541</f>
        <v>106640.07890610778</v>
      </c>
      <c r="X241" s="346">
        <f ca="1">Деятельность_УК!X541</f>
        <v>40289.666342360943</v>
      </c>
      <c r="Y241" s="346">
        <f ca="1">Деятельность_УК!Y541</f>
        <v>40870.272412639461</v>
      </c>
      <c r="Z241" s="346">
        <f ca="1">Деятельность_УК!Z541</f>
        <v>58019.532144945959</v>
      </c>
      <c r="AA241" s="346">
        <f ca="1">Деятельность_УК!AA541</f>
        <v>41854.369857254555</v>
      </c>
      <c r="AB241" s="346">
        <f ca="1">Деятельность_УК!AB541</f>
        <v>0</v>
      </c>
      <c r="AC241" s="346">
        <f ca="1">Деятельность_УК!AC541</f>
        <v>0</v>
      </c>
      <c r="AD241" s="346">
        <f ca="1">Деятельность_УК!AD541</f>
        <v>0</v>
      </c>
      <c r="AE241" s="346">
        <f ca="1">Деятельность_УК!AE541</f>
        <v>0</v>
      </c>
      <c r="AF241" s="346">
        <f ca="1">Деятельность_УК!AF541</f>
        <v>0</v>
      </c>
      <c r="AG241" s="346">
        <f ca="1">Деятельность_УК!AG541</f>
        <v>0</v>
      </c>
      <c r="AH241" s="346">
        <f ca="1">Деятельность_УК!AH541</f>
        <v>0</v>
      </c>
      <c r="AI241" s="346">
        <f ca="1">Деятельность_УК!AI541</f>
        <v>0</v>
      </c>
      <c r="AJ241" s="346">
        <f ca="1">Деятельность_УК!AJ541</f>
        <v>0</v>
      </c>
      <c r="AK241" s="346">
        <f ca="1">Деятельность_УК!AK541</f>
        <v>0</v>
      </c>
      <c r="AL241" s="346">
        <f ca="1">Деятельность_УК!AL541</f>
        <v>0</v>
      </c>
      <c r="AM241" s="346">
        <f ca="1">Деятельность_УК!AM541</f>
        <v>0</v>
      </c>
      <c r="AN241" s="346">
        <f ca="1">Деятельность_УК!AN541</f>
        <v>0</v>
      </c>
      <c r="AO241" s="346">
        <f ca="1">Деятельность_УК!AO541</f>
        <v>0</v>
      </c>
      <c r="AP241" s="346">
        <f ca="1">Деятельность_УК!AP541</f>
        <v>0</v>
      </c>
      <c r="AQ241" s="346">
        <f ca="1">Деятельность_УК!AQ541</f>
        <v>0</v>
      </c>
      <c r="AR241" s="346">
        <f ca="1">Деятельность_УК!AR541</f>
        <v>0</v>
      </c>
      <c r="AS241" s="158"/>
      <c r="AT241" s="30">
        <f ca="1">SUM(E241:AS241)</f>
        <v>407250</v>
      </c>
    </row>
    <row r="242" spans="1:46" s="60" customFormat="1" outlineLevel="1" x14ac:dyDescent="0.2">
      <c r="A242" s="44" t="s">
        <v>327</v>
      </c>
      <c r="B242" s="122">
        <f ca="1">AT242</f>
        <v>1030359.2259682652</v>
      </c>
      <c r="C242" s="12" t="str">
        <f>Параметры!$C$126</f>
        <v>тыс. руб.</v>
      </c>
      <c r="D242" s="40"/>
      <c r="E242" s="90">
        <f t="shared" ref="E242:AR242" ca="1" si="92">E222-E241+0</f>
        <v>0</v>
      </c>
      <c r="F242" s="90">
        <f t="shared" ca="1" si="92"/>
        <v>0</v>
      </c>
      <c r="G242" s="90">
        <f t="shared" ca="1" si="92"/>
        <v>0</v>
      </c>
      <c r="H242" s="90">
        <f t="shared" ca="1" si="92"/>
        <v>0</v>
      </c>
      <c r="I242" s="90">
        <f t="shared" ca="1" si="92"/>
        <v>0</v>
      </c>
      <c r="J242" s="90">
        <f t="shared" ca="1" si="92"/>
        <v>-1000.0318861108526</v>
      </c>
      <c r="K242" s="90">
        <f t="shared" ca="1" si="92"/>
        <v>-1000.0318861108526</v>
      </c>
      <c r="L242" s="90">
        <f t="shared" ca="1" si="92"/>
        <v>-1009.441750841768</v>
      </c>
      <c r="M242" s="90">
        <f t="shared" ca="1" si="92"/>
        <v>-1018.9401583036547</v>
      </c>
      <c r="N242" s="90">
        <f t="shared" ca="1" si="92"/>
        <v>-1028.5279416450671</v>
      </c>
      <c r="O242" s="90">
        <f t="shared" ca="1" si="92"/>
        <v>-9789.8628804723394</v>
      </c>
      <c r="P242" s="90">
        <f t="shared" ca="1" si="92"/>
        <v>-1594.6509547354606</v>
      </c>
      <c r="Q242" s="90">
        <f t="shared" ca="1" si="92"/>
        <v>-1612.4299840332176</v>
      </c>
      <c r="R242" s="90">
        <f t="shared" ca="1" si="92"/>
        <v>-1630.4072346921009</v>
      </c>
      <c r="S242" s="90">
        <f t="shared" ca="1" si="92"/>
        <v>-6213.4515893743246</v>
      </c>
      <c r="T242" s="90">
        <f t="shared" ca="1" si="92"/>
        <v>-27253.662425870105</v>
      </c>
      <c r="U242" s="90">
        <f t="shared" ca="1" si="92"/>
        <v>-33048.408915747459</v>
      </c>
      <c r="V242" s="90">
        <f t="shared" ca="1" si="92"/>
        <v>-33376.232728754119</v>
      </c>
      <c r="W242" s="90">
        <f t="shared" ca="1" si="92"/>
        <v>-106640.07890610778</v>
      </c>
      <c r="X242" s="90">
        <f t="shared" ca="1" si="92"/>
        <v>-40289.666342360943</v>
      </c>
      <c r="Y242" s="90">
        <f t="shared" ca="1" si="92"/>
        <v>-40870.272412639461</v>
      </c>
      <c r="Z242" s="90">
        <f t="shared" ca="1" si="92"/>
        <v>-58019.532144945959</v>
      </c>
      <c r="AA242" s="90">
        <f t="shared" ca="1" si="92"/>
        <v>-41854.369857254555</v>
      </c>
      <c r="AB242" s="90">
        <f t="shared" ca="1" si="92"/>
        <v>0</v>
      </c>
      <c r="AC242" s="90">
        <f t="shared" ca="1" si="92"/>
        <v>0</v>
      </c>
      <c r="AD242" s="90">
        <f t="shared" ca="1" si="92"/>
        <v>1061.2559756011631</v>
      </c>
      <c r="AE242" s="90">
        <f t="shared" ca="1" si="92"/>
        <v>1925.2454951883199</v>
      </c>
      <c r="AF242" s="90">
        <f t="shared" ca="1" si="92"/>
        <v>2064.4164179430945</v>
      </c>
      <c r="AG242" s="90">
        <f t="shared" ca="1" si="92"/>
        <v>1709.7367955913539</v>
      </c>
      <c r="AH242" s="90">
        <f t="shared" ca="1" si="92"/>
        <v>1910.0304007260734</v>
      </c>
      <c r="AI242" s="90">
        <f t="shared" ca="1" si="92"/>
        <v>2056.8315858738688</v>
      </c>
      <c r="AJ242" s="90">
        <f t="shared" ca="1" si="92"/>
        <v>2206.1318507601509</v>
      </c>
      <c r="AK242" s="90">
        <f t="shared" ca="1" si="92"/>
        <v>2357.980292584788</v>
      </c>
      <c r="AL242" s="90">
        <f t="shared" ca="1" si="92"/>
        <v>6258.6987475456081</v>
      </c>
      <c r="AM242" s="90">
        <f t="shared" ca="1" si="92"/>
        <v>2562.814272258036</v>
      </c>
      <c r="AN242" s="90">
        <f t="shared" ca="1" si="92"/>
        <v>2709.3749052001149</v>
      </c>
      <c r="AO242" s="90">
        <f t="shared" ca="1" si="92"/>
        <v>2849.3765446530656</v>
      </c>
      <c r="AP242" s="90">
        <f t="shared" ca="1" si="92"/>
        <v>1358606.3015987976</v>
      </c>
      <c r="AQ242" s="90">
        <f t="shared" ca="1" si="92"/>
        <v>23737.885041490059</v>
      </c>
      <c r="AR242" s="90">
        <f t="shared" ca="1" si="92"/>
        <v>25593.14604405197</v>
      </c>
      <c r="AS242" s="29"/>
      <c r="AT242" s="82">
        <f ca="1">SUM(E242:AS242)</f>
        <v>1030359.2259682652</v>
      </c>
    </row>
    <row r="243" spans="1:46" outlineLevel="1" x14ac:dyDescent="0.2">
      <c r="A243" s="63" t="s">
        <v>136</v>
      </c>
      <c r="B243" s="122">
        <f ca="1">AT243</f>
        <v>327020.81731044449</v>
      </c>
      <c r="C243" s="12" t="str">
        <f>Параметры!$C$126</f>
        <v>тыс. руб.</v>
      </c>
      <c r="D243" s="40"/>
      <c r="E243" s="90">
        <f t="shared" ref="E243:AR243" ca="1" si="93">E242/E211</f>
        <v>0</v>
      </c>
      <c r="F243" s="90">
        <f t="shared" ca="1" si="93"/>
        <v>0</v>
      </c>
      <c r="G243" s="90">
        <f t="shared" ca="1" si="93"/>
        <v>0</v>
      </c>
      <c r="H243" s="90">
        <f t="shared" ca="1" si="93"/>
        <v>0</v>
      </c>
      <c r="I243" s="90">
        <f t="shared" ca="1" si="93"/>
        <v>0</v>
      </c>
      <c r="J243" s="90">
        <f t="shared" ca="1" si="93"/>
        <v>-886.42064050441627</v>
      </c>
      <c r="K243" s="90">
        <f t="shared" ca="1" si="93"/>
        <v>-865.29673026056275</v>
      </c>
      <c r="L243" s="90">
        <f t="shared" ca="1" si="93"/>
        <v>-852.62425035652223</v>
      </c>
      <c r="M243" s="90">
        <f t="shared" ca="1" si="93"/>
        <v>-840.13736198577021</v>
      </c>
      <c r="N243" s="90">
        <f t="shared" ca="1" si="93"/>
        <v>-827.83334711541193</v>
      </c>
      <c r="O243" s="90">
        <f t="shared" ca="1" si="93"/>
        <v>-7691.8115209804782</v>
      </c>
      <c r="P243" s="90">
        <f t="shared" ca="1" si="93"/>
        <v>-1223.0462053452927</v>
      </c>
      <c r="Q243" s="90">
        <f t="shared" ca="1" si="93"/>
        <v>-1207.2113092120908</v>
      </c>
      <c r="R243" s="90">
        <f t="shared" ca="1" si="93"/>
        <v>-1191.581428992803</v>
      </c>
      <c r="S243" s="90">
        <f t="shared" ca="1" si="93"/>
        <v>-4432.8777422217254</v>
      </c>
      <c r="T243" s="90">
        <f t="shared" ca="1" si="93"/>
        <v>-18980.292874297931</v>
      </c>
      <c r="U243" s="90">
        <f t="shared" ca="1" si="93"/>
        <v>-22467.450592938851</v>
      </c>
      <c r="V243" s="90">
        <f t="shared" ca="1" si="93"/>
        <v>-22149.593345609934</v>
      </c>
      <c r="W243" s="90">
        <f t="shared" ca="1" si="93"/>
        <v>-69083.46343880416</v>
      </c>
      <c r="X243" s="90">
        <f t="shared" ca="1" si="93"/>
        <v>-25478.421494171198</v>
      </c>
      <c r="Y243" s="90">
        <f t="shared" ca="1" si="93"/>
        <v>-25229.670696790614</v>
      </c>
      <c r="Z243" s="90">
        <f t="shared" ca="1" si="93"/>
        <v>-34962.580114819248</v>
      </c>
      <c r="AA243" s="90">
        <f t="shared" ca="1" si="93"/>
        <v>-24620.408947709457</v>
      </c>
      <c r="AB243" s="90">
        <f t="shared" ca="1" si="93"/>
        <v>0</v>
      </c>
      <c r="AC243" s="90">
        <f t="shared" ca="1" si="93"/>
        <v>0</v>
      </c>
      <c r="AD243" s="90">
        <f t="shared" ca="1" si="93"/>
        <v>580.69784007627607</v>
      </c>
      <c r="AE243" s="90">
        <f t="shared" ca="1" si="93"/>
        <v>1028.3510134070755</v>
      </c>
      <c r="AF243" s="90">
        <f t="shared" ca="1" si="93"/>
        <v>1076.4101177394625</v>
      </c>
      <c r="AG243" s="90">
        <f t="shared" ca="1" si="93"/>
        <v>870.23175706972927</v>
      </c>
      <c r="AH243" s="90">
        <f t="shared" ca="1" si="93"/>
        <v>949.01079300321044</v>
      </c>
      <c r="AI243" s="90">
        <f t="shared" ca="1" si="93"/>
        <v>997.59624873275311</v>
      </c>
      <c r="AJ243" s="90">
        <f t="shared" ca="1" si="93"/>
        <v>1044.5103353764916</v>
      </c>
      <c r="AK243" s="90">
        <f t="shared" ca="1" si="93"/>
        <v>1089.7996157608202</v>
      </c>
      <c r="AL243" s="90">
        <f t="shared" ca="1" si="93"/>
        <v>2823.6816391741531</v>
      </c>
      <c r="AM243" s="90">
        <f t="shared" ca="1" si="93"/>
        <v>1128.6882872595068</v>
      </c>
      <c r="AN243" s="90">
        <f t="shared" ca="1" si="93"/>
        <v>1164.7995409187847</v>
      </c>
      <c r="AO243" s="90">
        <f t="shared" ca="1" si="93"/>
        <v>1195.7961044945689</v>
      </c>
      <c r="AP243" s="90">
        <f t="shared" ca="1" si="93"/>
        <v>556578.10326022608</v>
      </c>
      <c r="AQ243" s="90">
        <f t="shared" ca="1" si="93"/>
        <v>9492.9177187811765</v>
      </c>
      <c r="AR243" s="90">
        <f t="shared" ca="1" si="93"/>
        <v>9990.9450805407723</v>
      </c>
      <c r="AT243" s="30">
        <f ca="1">SUM(E243:AS243)</f>
        <v>327020.81731044449</v>
      </c>
    </row>
    <row r="244" spans="1:46" outlineLevel="1" x14ac:dyDescent="0.2">
      <c r="A244" s="63" t="s">
        <v>137</v>
      </c>
      <c r="B244" s="122"/>
      <c r="C244" s="12" t="str">
        <f>Параметры!$C$126</f>
        <v>тыс. руб.</v>
      </c>
      <c r="D244" s="40"/>
      <c r="E244" s="90">
        <f t="shared" ref="E244:AR244" ca="1" si="94">E243+IF(E$2&gt;1,D244)</f>
        <v>0</v>
      </c>
      <c r="F244" s="90">
        <f t="shared" ca="1" si="94"/>
        <v>0</v>
      </c>
      <c r="G244" s="90">
        <f t="shared" ca="1" si="94"/>
        <v>0</v>
      </c>
      <c r="H244" s="90">
        <f t="shared" ca="1" si="94"/>
        <v>0</v>
      </c>
      <c r="I244" s="90">
        <f t="shared" ca="1" si="94"/>
        <v>0</v>
      </c>
      <c r="J244" s="90">
        <f t="shared" ca="1" si="94"/>
        <v>-886.42064050441627</v>
      </c>
      <c r="K244" s="90">
        <f t="shared" ca="1" si="94"/>
        <v>-1751.717370764979</v>
      </c>
      <c r="L244" s="90">
        <f t="shared" ca="1" si="94"/>
        <v>-2604.3416211215012</v>
      </c>
      <c r="M244" s="90">
        <f t="shared" ca="1" si="94"/>
        <v>-3444.4789831072712</v>
      </c>
      <c r="N244" s="90">
        <f t="shared" ca="1" si="94"/>
        <v>-4272.3123302226832</v>
      </c>
      <c r="O244" s="90">
        <f t="shared" ca="1" si="94"/>
        <v>-11964.123851203161</v>
      </c>
      <c r="P244" s="90">
        <f t="shared" ca="1" si="94"/>
        <v>-13187.170056548453</v>
      </c>
      <c r="Q244" s="90">
        <f t="shared" ca="1" si="94"/>
        <v>-14394.381365760544</v>
      </c>
      <c r="R244" s="90">
        <f t="shared" ca="1" si="94"/>
        <v>-15585.962794753348</v>
      </c>
      <c r="S244" s="90">
        <f t="shared" ca="1" si="94"/>
        <v>-20018.840536975073</v>
      </c>
      <c r="T244" s="90">
        <f t="shared" ca="1" si="94"/>
        <v>-38999.133411273004</v>
      </c>
      <c r="U244" s="90">
        <f t="shared" ca="1" si="94"/>
        <v>-61466.584004211851</v>
      </c>
      <c r="V244" s="90">
        <f t="shared" ca="1" si="94"/>
        <v>-83616.177349821781</v>
      </c>
      <c r="W244" s="90">
        <f t="shared" ca="1" si="94"/>
        <v>-152699.64078862593</v>
      </c>
      <c r="X244" s="90">
        <f t="shared" ca="1" si="94"/>
        <v>-178178.06228279712</v>
      </c>
      <c r="Y244" s="90">
        <f t="shared" ca="1" si="94"/>
        <v>-203407.73297958774</v>
      </c>
      <c r="Z244" s="90">
        <f t="shared" ca="1" si="94"/>
        <v>-238370.313094407</v>
      </c>
      <c r="AA244" s="90">
        <f t="shared" ca="1" si="94"/>
        <v>-262990.72204211645</v>
      </c>
      <c r="AB244" s="90">
        <f t="shared" ca="1" si="94"/>
        <v>-262990.72204211645</v>
      </c>
      <c r="AC244" s="90">
        <f t="shared" ca="1" si="94"/>
        <v>-262990.72204211645</v>
      </c>
      <c r="AD244" s="90">
        <f t="shared" ca="1" si="94"/>
        <v>-262410.02420204016</v>
      </c>
      <c r="AE244" s="90">
        <f t="shared" ca="1" si="94"/>
        <v>-261381.67318863308</v>
      </c>
      <c r="AF244" s="90">
        <f t="shared" ca="1" si="94"/>
        <v>-260305.26307089362</v>
      </c>
      <c r="AG244" s="90">
        <f t="shared" ca="1" si="94"/>
        <v>-259435.03131382389</v>
      </c>
      <c r="AH244" s="90">
        <f t="shared" ca="1" si="94"/>
        <v>-258486.02052082066</v>
      </c>
      <c r="AI244" s="90">
        <f t="shared" ca="1" si="94"/>
        <v>-257488.4242720879</v>
      </c>
      <c r="AJ244" s="90">
        <f t="shared" ca="1" si="94"/>
        <v>-256443.91393671141</v>
      </c>
      <c r="AK244" s="90">
        <f t="shared" ca="1" si="94"/>
        <v>-255354.11432095058</v>
      </c>
      <c r="AL244" s="90">
        <f t="shared" ca="1" si="94"/>
        <v>-252530.43268177644</v>
      </c>
      <c r="AM244" s="90">
        <f t="shared" ca="1" si="94"/>
        <v>-251401.74439451692</v>
      </c>
      <c r="AN244" s="90">
        <f t="shared" ca="1" si="94"/>
        <v>-250236.94485359814</v>
      </c>
      <c r="AO244" s="90">
        <f t="shared" ca="1" si="94"/>
        <v>-249041.14874910357</v>
      </c>
      <c r="AP244" s="90">
        <f t="shared" ca="1" si="94"/>
        <v>307536.95451112255</v>
      </c>
      <c r="AQ244" s="90">
        <f t="shared" ca="1" si="94"/>
        <v>317029.8722299037</v>
      </c>
      <c r="AR244" s="90">
        <f t="shared" ca="1" si="94"/>
        <v>327020.81731044449</v>
      </c>
    </row>
    <row r="245" spans="1:46" s="1" customFormat="1" outlineLevel="1" x14ac:dyDescent="0.2">
      <c r="A245" s="70"/>
      <c r="B245" s="11"/>
      <c r="C245" s="37"/>
      <c r="D245" s="15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131"/>
      <c r="AT245" s="123"/>
    </row>
    <row r="246" spans="1:46" outlineLevel="1" x14ac:dyDescent="0.2">
      <c r="A246" s="49" t="s">
        <v>325</v>
      </c>
      <c r="B246" s="11"/>
      <c r="C246" s="36"/>
      <c r="D246" s="65"/>
      <c r="E246" s="158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</row>
    <row r="247" spans="1:46" s="60" customFormat="1" outlineLevel="1" x14ac:dyDescent="0.2">
      <c r="A247" s="44" t="s">
        <v>328</v>
      </c>
      <c r="B247" s="122">
        <f ca="1">AT247</f>
        <v>1279553.7112471738</v>
      </c>
      <c r="C247" s="12" t="str">
        <f>Параметры!$C$126</f>
        <v>тыс. руб.</v>
      </c>
      <c r="D247" s="40"/>
      <c r="E247" s="90">
        <f t="shared" ref="E247:AR247" ca="1" si="95">E225+0</f>
        <v>115.05768300000001</v>
      </c>
      <c r="F247" s="90">
        <f t="shared" ca="1" si="95"/>
        <v>115.05768300000001</v>
      </c>
      <c r="G247" s="90">
        <f t="shared" ca="1" si="95"/>
        <v>115.05768300000001</v>
      </c>
      <c r="H247" s="90">
        <f t="shared" ca="1" si="95"/>
        <v>2859.3127793124995</v>
      </c>
      <c r="I247" s="90">
        <f t="shared" ca="1" si="95"/>
        <v>5436.2956699375</v>
      </c>
      <c r="J247" s="90">
        <f t="shared" ca="1" si="95"/>
        <v>253.2853335616295</v>
      </c>
      <c r="K247" s="90">
        <f t="shared" ca="1" si="95"/>
        <v>574.8339133643625</v>
      </c>
      <c r="L247" s="90">
        <f t="shared" ca="1" si="95"/>
        <v>584.04283309601146</v>
      </c>
      <c r="M247" s="90">
        <f t="shared" ca="1" si="95"/>
        <v>593.39928101041437</v>
      </c>
      <c r="N247" s="90">
        <f t="shared" ca="1" si="95"/>
        <v>603.40391523240055</v>
      </c>
      <c r="O247" s="90">
        <f t="shared" ca="1" si="95"/>
        <v>613.57722627810188</v>
      </c>
      <c r="P247" s="90">
        <f t="shared" ca="1" si="95"/>
        <v>710.27936313268685</v>
      </c>
      <c r="Q247" s="90">
        <f t="shared" ca="1" si="95"/>
        <v>722.25458024361387</v>
      </c>
      <c r="R247" s="90">
        <f t="shared" ca="1" si="95"/>
        <v>734.27819138546454</v>
      </c>
      <c r="S247" s="90">
        <f t="shared" ca="1" si="95"/>
        <v>746.50196356311176</v>
      </c>
      <c r="T247" s="90">
        <f t="shared" ca="1" si="95"/>
        <v>758.92922892359343</v>
      </c>
      <c r="U247" s="90">
        <f t="shared" ca="1" si="95"/>
        <v>771.56337508530271</v>
      </c>
      <c r="V247" s="90">
        <f t="shared" ca="1" si="95"/>
        <v>784.65065732170501</v>
      </c>
      <c r="W247" s="90">
        <f t="shared" ca="1" si="95"/>
        <v>797.95992645103945</v>
      </c>
      <c r="X247" s="90">
        <f t="shared" ca="1" si="95"/>
        <v>811.49494782196564</v>
      </c>
      <c r="Y247" s="90">
        <f t="shared" ca="1" si="95"/>
        <v>825.25955065110679</v>
      </c>
      <c r="Z247" s="90">
        <f t="shared" ca="1" si="95"/>
        <v>839.08565092069887</v>
      </c>
      <c r="AA247" s="90">
        <f t="shared" ca="1" si="95"/>
        <v>853.14338867756908</v>
      </c>
      <c r="AB247" s="90">
        <f t="shared" ca="1" si="95"/>
        <v>867.43664469246676</v>
      </c>
      <c r="AC247" s="90">
        <f t="shared" ca="1" si="95"/>
        <v>881.96936475317284</v>
      </c>
      <c r="AD247" s="90">
        <f t="shared" ca="1" si="95"/>
        <v>8060.0788192370201</v>
      </c>
      <c r="AE247" s="90">
        <f t="shared" ca="1" si="95"/>
        <v>13906.882429998139</v>
      </c>
      <c r="AF247" s="90">
        <f t="shared" ca="1" si="95"/>
        <v>14861.407273406201</v>
      </c>
      <c r="AG247" s="90">
        <f t="shared" ca="1" si="95"/>
        <v>16329.599582390078</v>
      </c>
      <c r="AH247" s="90">
        <f t="shared" ca="1" si="95"/>
        <v>43122.5004231087</v>
      </c>
      <c r="AI247" s="90">
        <f t="shared" ca="1" si="95"/>
        <v>44067.054846143823</v>
      </c>
      <c r="AJ247" s="90">
        <f t="shared" ca="1" si="95"/>
        <v>45034.36241936178</v>
      </c>
      <c r="AK247" s="90">
        <f t="shared" ca="1" si="95"/>
        <v>46024.869337350669</v>
      </c>
      <c r="AL247" s="90">
        <f t="shared" ca="1" si="95"/>
        <v>80170.316897611003</v>
      </c>
      <c r="AM247" s="90">
        <f t="shared" ca="1" si="95"/>
        <v>45956.448765799061</v>
      </c>
      <c r="AN247" s="90">
        <f t="shared" ca="1" si="95"/>
        <v>46919.723388105311</v>
      </c>
      <c r="AO247" s="90">
        <f t="shared" ca="1" si="95"/>
        <v>47824.246059843819</v>
      </c>
      <c r="AP247" s="90">
        <f t="shared" ca="1" si="95"/>
        <v>761058.45960864029</v>
      </c>
      <c r="AQ247" s="90">
        <f t="shared" ca="1" si="95"/>
        <v>20930.94063503592</v>
      </c>
      <c r="AR247" s="90">
        <f t="shared" ca="1" si="95"/>
        <v>22318.689926725594</v>
      </c>
      <c r="AT247" s="82">
        <f ca="1">SUM(E247:AS247)</f>
        <v>1279553.7112471738</v>
      </c>
    </row>
    <row r="248" spans="1:46" outlineLevel="1" x14ac:dyDescent="0.2">
      <c r="A248" s="63" t="s">
        <v>136</v>
      </c>
      <c r="B248" s="122">
        <f ca="1">AT248</f>
        <v>556680.58389168943</v>
      </c>
      <c r="C248" s="12" t="str">
        <f>Параметры!$C$126</f>
        <v>тыс. руб.</v>
      </c>
      <c r="D248" s="40"/>
      <c r="E248" s="90">
        <f t="shared" ref="E248:AR248" ca="1" si="96">E247/E211</f>
        <v>115.05768300000001</v>
      </c>
      <c r="F248" s="90">
        <f t="shared" ca="1" si="96"/>
        <v>112.31579268574166</v>
      </c>
      <c r="G248" s="90">
        <f t="shared" ca="1" si="96"/>
        <v>109.63924318401666</v>
      </c>
      <c r="H248" s="90">
        <f t="shared" ca="1" si="96"/>
        <v>2659.728290499344</v>
      </c>
      <c r="I248" s="90">
        <f t="shared" ca="1" si="96"/>
        <v>4936.3265213525783</v>
      </c>
      <c r="J248" s="90">
        <f t="shared" ca="1" si="96"/>
        <v>224.51018884930514</v>
      </c>
      <c r="K248" s="90">
        <f t="shared" ca="1" si="96"/>
        <v>497.38604597046816</v>
      </c>
      <c r="L248" s="90">
        <f t="shared" ca="1" si="96"/>
        <v>493.31135979796011</v>
      </c>
      <c r="M248" s="90">
        <f t="shared" ca="1" si="96"/>
        <v>489.27005427120787</v>
      </c>
      <c r="N248" s="90">
        <f t="shared" ca="1" si="96"/>
        <v>485.66291938596663</v>
      </c>
      <c r="O248" s="90">
        <f t="shared" ca="1" si="96"/>
        <v>482.08237803933815</v>
      </c>
      <c r="P248" s="90">
        <f t="shared" ca="1" si="96"/>
        <v>544.76152115596653</v>
      </c>
      <c r="Q248" s="90">
        <f t="shared" ca="1" si="96"/>
        <v>540.74527640535359</v>
      </c>
      <c r="R248" s="90">
        <f t="shared" ca="1" si="96"/>
        <v>536.64645123742707</v>
      </c>
      <c r="S248" s="90">
        <f t="shared" ca="1" si="96"/>
        <v>532.57869498214802</v>
      </c>
      <c r="T248" s="90">
        <f t="shared" ca="1" si="96"/>
        <v>528.54177213853916</v>
      </c>
      <c r="U248" s="90">
        <f t="shared" ca="1" si="96"/>
        <v>524.53544899071017</v>
      </c>
      <c r="V248" s="90">
        <f t="shared" ca="1" si="96"/>
        <v>520.7206313332191</v>
      </c>
      <c r="W248" s="90">
        <f t="shared" ca="1" si="96"/>
        <v>516.93355790881662</v>
      </c>
      <c r="X248" s="90">
        <f t="shared" ca="1" si="96"/>
        <v>513.17402694050031</v>
      </c>
      <c r="Y248" s="90">
        <f t="shared" ca="1" si="96"/>
        <v>509.44183811874348</v>
      </c>
      <c r="Z248" s="90">
        <f t="shared" ca="1" si="96"/>
        <v>505.63315850635792</v>
      </c>
      <c r="AA248" s="90">
        <f t="shared" ca="1" si="96"/>
        <v>501.8529532737827</v>
      </c>
      <c r="AB248" s="90">
        <f t="shared" ca="1" si="96"/>
        <v>498.10100954138778</v>
      </c>
      <c r="AC248" s="90">
        <f t="shared" ca="1" si="96"/>
        <v>494.37711602107049</v>
      </c>
      <c r="AD248" s="90">
        <f t="shared" ca="1" si="96"/>
        <v>4410.3123740002138</v>
      </c>
      <c r="AE248" s="90">
        <f t="shared" ca="1" si="96"/>
        <v>7428.2249593435645</v>
      </c>
      <c r="AF248" s="90">
        <f t="shared" ca="1" si="96"/>
        <v>7748.9061867082237</v>
      </c>
      <c r="AG248" s="90">
        <f t="shared" ca="1" si="96"/>
        <v>8311.5343680214683</v>
      </c>
      <c r="AH248" s="90">
        <f t="shared" ca="1" si="96"/>
        <v>21425.689511150733</v>
      </c>
      <c r="AI248" s="90">
        <f t="shared" ca="1" si="96"/>
        <v>21373.227107719747</v>
      </c>
      <c r="AJ248" s="90">
        <f t="shared" ca="1" si="96"/>
        <v>21321.870212746442</v>
      </c>
      <c r="AK248" s="90">
        <f t="shared" ca="1" si="96"/>
        <v>21271.545431070703</v>
      </c>
      <c r="AL248" s="90">
        <f t="shared" ca="1" si="96"/>
        <v>36169.731275104466</v>
      </c>
      <c r="AM248" s="90">
        <f t="shared" ca="1" si="96"/>
        <v>20239.666216739584</v>
      </c>
      <c r="AN248" s="90">
        <f t="shared" ca="1" si="96"/>
        <v>20171.469130243837</v>
      </c>
      <c r="AO248" s="90">
        <f t="shared" ca="1" si="96"/>
        <v>20070.371971744466</v>
      </c>
      <c r="AP248" s="90">
        <f t="shared" ca="1" si="96"/>
        <v>311781.62019464414</v>
      </c>
      <c r="AQ248" s="90">
        <f t="shared" ca="1" si="96"/>
        <v>8370.4043927165731</v>
      </c>
      <c r="AR248" s="90">
        <f t="shared" ca="1" si="96"/>
        <v>8712.6766261452722</v>
      </c>
      <c r="AT248" s="30">
        <f ca="1">SUM(E248:AS248)</f>
        <v>556680.58389168943</v>
      </c>
    </row>
    <row r="249" spans="1:46" outlineLevel="1" x14ac:dyDescent="0.2">
      <c r="A249" s="63" t="s">
        <v>137</v>
      </c>
      <c r="B249" s="5"/>
      <c r="C249" s="12" t="str">
        <f>Параметры!$C$126</f>
        <v>тыс. руб.</v>
      </c>
      <c r="D249" s="40"/>
      <c r="E249" s="90">
        <f t="shared" ref="E249:AR249" ca="1" si="97">E248+IF(E$2&gt;1,D249)</f>
        <v>115.05768300000001</v>
      </c>
      <c r="F249" s="90">
        <f t="shared" ca="1" si="97"/>
        <v>227.37347568574165</v>
      </c>
      <c r="G249" s="90">
        <f t="shared" ca="1" si="97"/>
        <v>337.01271886975832</v>
      </c>
      <c r="H249" s="90">
        <f t="shared" ca="1" si="97"/>
        <v>2996.7410093691024</v>
      </c>
      <c r="I249" s="90">
        <f t="shared" ca="1" si="97"/>
        <v>7933.0675307216807</v>
      </c>
      <c r="J249" s="90">
        <f t="shared" ca="1" si="97"/>
        <v>8157.5777195709861</v>
      </c>
      <c r="K249" s="90">
        <f t="shared" ca="1" si="97"/>
        <v>8654.9637655414535</v>
      </c>
      <c r="L249" s="90">
        <f t="shared" ca="1" si="97"/>
        <v>9148.2751253394144</v>
      </c>
      <c r="M249" s="90">
        <f t="shared" ca="1" si="97"/>
        <v>9637.5451796106227</v>
      </c>
      <c r="N249" s="90">
        <f t="shared" ca="1" si="97"/>
        <v>10123.208098996589</v>
      </c>
      <c r="O249" s="90">
        <f t="shared" ca="1" si="97"/>
        <v>10605.290477035927</v>
      </c>
      <c r="P249" s="90">
        <f t="shared" ca="1" si="97"/>
        <v>11150.051998191893</v>
      </c>
      <c r="Q249" s="90">
        <f t="shared" ca="1" si="97"/>
        <v>11690.797274597247</v>
      </c>
      <c r="R249" s="90">
        <f t="shared" ca="1" si="97"/>
        <v>12227.443725834675</v>
      </c>
      <c r="S249" s="90">
        <f t="shared" ca="1" si="97"/>
        <v>12760.022420816824</v>
      </c>
      <c r="T249" s="90">
        <f t="shared" ca="1" si="97"/>
        <v>13288.564192955362</v>
      </c>
      <c r="U249" s="90">
        <f t="shared" ca="1" si="97"/>
        <v>13813.099641946072</v>
      </c>
      <c r="V249" s="90">
        <f t="shared" ca="1" si="97"/>
        <v>14333.820273279291</v>
      </c>
      <c r="W249" s="90">
        <f t="shared" ca="1" si="97"/>
        <v>14850.753831188107</v>
      </c>
      <c r="X249" s="90">
        <f t="shared" ca="1" si="97"/>
        <v>15363.927858128607</v>
      </c>
      <c r="Y249" s="90">
        <f t="shared" ca="1" si="97"/>
        <v>15873.369696247351</v>
      </c>
      <c r="Z249" s="90">
        <f t="shared" ca="1" si="97"/>
        <v>16379.002854753709</v>
      </c>
      <c r="AA249" s="90">
        <f t="shared" ca="1" si="97"/>
        <v>16880.855808027492</v>
      </c>
      <c r="AB249" s="90">
        <f t="shared" ca="1" si="97"/>
        <v>17378.95681756888</v>
      </c>
      <c r="AC249" s="90">
        <f t="shared" ca="1" si="97"/>
        <v>17873.333933589951</v>
      </c>
      <c r="AD249" s="90">
        <f t="shared" ca="1" si="97"/>
        <v>22283.646307590163</v>
      </c>
      <c r="AE249" s="90">
        <f t="shared" ca="1" si="97"/>
        <v>29711.871266933726</v>
      </c>
      <c r="AF249" s="90">
        <f t="shared" ca="1" si="97"/>
        <v>37460.777453641946</v>
      </c>
      <c r="AG249" s="90">
        <f t="shared" ca="1" si="97"/>
        <v>45772.311821663418</v>
      </c>
      <c r="AH249" s="90">
        <f t="shared" ca="1" si="97"/>
        <v>67198.00133281415</v>
      </c>
      <c r="AI249" s="90">
        <f t="shared" ca="1" si="97"/>
        <v>88571.228440533901</v>
      </c>
      <c r="AJ249" s="90">
        <f t="shared" ca="1" si="97"/>
        <v>109893.09865328035</v>
      </c>
      <c r="AK249" s="90">
        <f t="shared" ca="1" si="97"/>
        <v>131164.64408435105</v>
      </c>
      <c r="AL249" s="90">
        <f t="shared" ca="1" si="97"/>
        <v>167334.37535945553</v>
      </c>
      <c r="AM249" s="90">
        <f t="shared" ca="1" si="97"/>
        <v>187574.0415761951</v>
      </c>
      <c r="AN249" s="90">
        <f t="shared" ca="1" si="97"/>
        <v>207745.51070643894</v>
      </c>
      <c r="AO249" s="90">
        <f t="shared" ca="1" si="97"/>
        <v>227815.88267818341</v>
      </c>
      <c r="AP249" s="90">
        <f t="shared" ca="1" si="97"/>
        <v>539597.50287282758</v>
      </c>
      <c r="AQ249" s="90">
        <f t="shared" ca="1" si="97"/>
        <v>547967.90726554417</v>
      </c>
      <c r="AR249" s="90">
        <f t="shared" ca="1" si="97"/>
        <v>556680.58389168943</v>
      </c>
    </row>
    <row r="250" spans="1:46" s="1" customFormat="1" outlineLevel="1" x14ac:dyDescent="0.2">
      <c r="A250" s="70"/>
      <c r="B250" s="11"/>
      <c r="C250" s="37"/>
      <c r="D250" s="15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  <c r="AS250" s="131"/>
      <c r="AT250" s="123"/>
    </row>
    <row r="251" spans="1:46" outlineLevel="1" x14ac:dyDescent="0.2">
      <c r="A251" s="49" t="s">
        <v>326</v>
      </c>
      <c r="B251" s="11"/>
      <c r="C251" s="36"/>
      <c r="D251" s="65"/>
      <c r="E251" s="158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  <c r="W251" s="158"/>
      <c r="X251" s="158"/>
      <c r="Y251" s="158"/>
      <c r="Z251" s="158"/>
      <c r="AA251" s="158"/>
      <c r="AB251" s="158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</row>
    <row r="252" spans="1:46" s="60" customFormat="1" outlineLevel="1" x14ac:dyDescent="0.2">
      <c r="A252" s="44" t="s">
        <v>329</v>
      </c>
      <c r="B252" s="122">
        <f t="shared" ref="B252:B253" ca="1" si="98">AT252</f>
        <v>56461.218098779093</v>
      </c>
      <c r="C252" s="12" t="str">
        <f>Параметры!$C$126</f>
        <v>тыс. руб.</v>
      </c>
      <c r="D252" s="40"/>
      <c r="E252" s="90">
        <f t="shared" ref="E252:AR252" si="99">E229+0</f>
        <v>20.304297000000002</v>
      </c>
      <c r="F252" s="90">
        <f t="shared" ca="1" si="99"/>
        <v>1330.9671174915586</v>
      </c>
      <c r="G252" s="90">
        <f t="shared" ca="1" si="99"/>
        <v>1330.9671174915586</v>
      </c>
      <c r="H252" s="90">
        <f t="shared" ca="1" si="99"/>
        <v>1354.6554639915587</v>
      </c>
      <c r="I252" s="90">
        <f t="shared" ca="1" si="99"/>
        <v>1354.6554639915587</v>
      </c>
      <c r="J252" s="90">
        <f t="shared" ca="1" si="99"/>
        <v>1355.3602322965521</v>
      </c>
      <c r="K252" s="90">
        <f t="shared" ca="1" si="99"/>
        <v>1412.1040993205638</v>
      </c>
      <c r="L252" s="90">
        <f t="shared" ca="1" si="99"/>
        <v>1413.7292028026195</v>
      </c>
      <c r="M252" s="90">
        <f t="shared" ca="1" si="99"/>
        <v>1415.3803406698671</v>
      </c>
      <c r="N252" s="90">
        <f t="shared" ca="1" si="99"/>
        <v>1417.1458643561</v>
      </c>
      <c r="O252" s="90">
        <f t="shared" ca="1" si="99"/>
        <v>1418.9411545406356</v>
      </c>
      <c r="P252" s="90">
        <f t="shared" ca="1" si="99"/>
        <v>1436.0062375149741</v>
      </c>
      <c r="Q252" s="90">
        <f t="shared" ca="1" si="99"/>
        <v>1438.1195111227846</v>
      </c>
      <c r="R252" s="90">
        <f t="shared" ca="1" si="99"/>
        <v>1440.2413248536996</v>
      </c>
      <c r="S252" s="90">
        <f t="shared" ca="1" si="99"/>
        <v>1442.3984611203432</v>
      </c>
      <c r="T252" s="90">
        <f t="shared" ca="1" si="99"/>
        <v>1444.5915079486635</v>
      </c>
      <c r="U252" s="90">
        <f t="shared" ca="1" si="99"/>
        <v>1446.8210631536708</v>
      </c>
      <c r="V252" s="90">
        <f t="shared" ca="1" si="99"/>
        <v>1449.1305835483302</v>
      </c>
      <c r="W252" s="90">
        <f t="shared" ca="1" si="99"/>
        <v>1451.4792781005656</v>
      </c>
      <c r="X252" s="90">
        <f t="shared" ca="1" si="99"/>
        <v>1453.8678112836703</v>
      </c>
      <c r="Y252" s="90">
        <f t="shared" ca="1" si="99"/>
        <v>1456.2968588417541</v>
      </c>
      <c r="Z252" s="90">
        <f t="shared" ca="1" si="99"/>
        <v>1458.7367588893292</v>
      </c>
      <c r="AA252" s="90">
        <f t="shared" ca="1" si="99"/>
        <v>1461.2175361405416</v>
      </c>
      <c r="AB252" s="90">
        <f t="shared" ca="1" si="99"/>
        <v>1463.7398754372882</v>
      </c>
      <c r="AC252" s="90">
        <f t="shared" ca="1" si="99"/>
        <v>1466.3044730950598</v>
      </c>
      <c r="AD252" s="90">
        <f t="shared" ca="1" si="99"/>
        <v>1468.8865235378826</v>
      </c>
      <c r="AE252" s="90">
        <f t="shared" ca="1" si="99"/>
        <v>1471.511409458084</v>
      </c>
      <c r="AF252" s="90">
        <f t="shared" ca="1" si="99"/>
        <v>1474.1798414839666</v>
      </c>
      <c r="AG252" s="90">
        <f t="shared" ca="1" si="99"/>
        <v>1476.892542032952</v>
      </c>
      <c r="AH252" s="90">
        <f t="shared" ca="1" si="99"/>
        <v>1479.6392444195908</v>
      </c>
      <c r="AI252" s="90">
        <f t="shared" ca="1" si="99"/>
        <v>1482.4313320353619</v>
      </c>
      <c r="AJ252" s="90">
        <f t="shared" ca="1" si="99"/>
        <v>1485.2695548046236</v>
      </c>
      <c r="AK252" s="90">
        <f t="shared" ca="1" si="99"/>
        <v>1488.1546750431332</v>
      </c>
      <c r="AL252" s="90">
        <f t="shared" ca="1" si="99"/>
        <v>1491.0631244296237</v>
      </c>
      <c r="AM252" s="90">
        <f t="shared" ca="1" si="99"/>
        <v>1494.0192327797051</v>
      </c>
      <c r="AN252" s="90">
        <f t="shared" ca="1" si="99"/>
        <v>1497.0237810513756</v>
      </c>
      <c r="AO252" s="90">
        <f t="shared" ca="1" si="99"/>
        <v>1500.0775629997099</v>
      </c>
      <c r="AP252" s="90">
        <f t="shared" ca="1" si="99"/>
        <v>1503.1565526289512</v>
      </c>
      <c r="AQ252" s="90">
        <f t="shared" ca="1" si="99"/>
        <v>1506.2855920959796</v>
      </c>
      <c r="AR252" s="90">
        <f t="shared" ca="1" si="99"/>
        <v>1509.4654949749097</v>
      </c>
      <c r="AS252" s="29"/>
      <c r="AT252" s="82">
        <f ca="1">SUM(E252:AS252)</f>
        <v>56461.218098779093</v>
      </c>
    </row>
    <row r="253" spans="1:46" outlineLevel="1" x14ac:dyDescent="0.2">
      <c r="A253" s="63" t="s">
        <v>136</v>
      </c>
      <c r="B253" s="122">
        <f t="shared" ca="1" si="98"/>
        <v>35855.127911193493</v>
      </c>
      <c r="C253" s="12" t="str">
        <f>Параметры!$C$126</f>
        <v>тыс. руб.</v>
      </c>
      <c r="D253" s="40"/>
      <c r="E253" s="90">
        <f t="shared" ref="E253:AR253" si="100">E252/E211</f>
        <v>20.304297000000002</v>
      </c>
      <c r="F253" s="90">
        <f t="shared" ca="1" si="100"/>
        <v>1299.2494107474861</v>
      </c>
      <c r="G253" s="90">
        <f t="shared" ca="1" si="100"/>
        <v>1268.2875550743245</v>
      </c>
      <c r="H253" s="90">
        <f t="shared" ca="1" si="100"/>
        <v>1260.0984011004848</v>
      </c>
      <c r="I253" s="90">
        <f t="shared" ca="1" si="100"/>
        <v>1230.0695363527925</v>
      </c>
      <c r="J253" s="90">
        <f t="shared" ca="1" si="100"/>
        <v>1201.3809778594878</v>
      </c>
      <c r="K253" s="90">
        <f t="shared" ca="1" si="100"/>
        <v>1221.8500998818909</v>
      </c>
      <c r="L253" s="90">
        <f t="shared" ca="1" si="100"/>
        <v>1194.1053564918902</v>
      </c>
      <c r="M253" s="90">
        <f t="shared" ca="1" si="100"/>
        <v>1167.010541224085</v>
      </c>
      <c r="N253" s="90">
        <f t="shared" ca="1" si="100"/>
        <v>1140.6210339451504</v>
      </c>
      <c r="O253" s="90">
        <f t="shared" ca="1" si="100"/>
        <v>1114.8499272507088</v>
      </c>
      <c r="P253" s="90">
        <f t="shared" ca="1" si="100"/>
        <v>1101.3707886540076</v>
      </c>
      <c r="Q253" s="90">
        <f t="shared" ca="1" si="100"/>
        <v>1076.7066818513238</v>
      </c>
      <c r="R253" s="90">
        <f t="shared" ca="1" si="100"/>
        <v>1052.5988718933484</v>
      </c>
      <c r="S253" s="90">
        <f t="shared" ca="1" si="100"/>
        <v>1029.0538103893221</v>
      </c>
      <c r="T253" s="90">
        <f t="shared" ca="1" si="100"/>
        <v>1006.0581758201603</v>
      </c>
      <c r="U253" s="90">
        <f t="shared" ca="1" si="100"/>
        <v>983.59896345082961</v>
      </c>
      <c r="V253" s="90">
        <f t="shared" ca="1" si="100"/>
        <v>961.69191385789111</v>
      </c>
      <c r="W253" s="90">
        <f t="shared" ca="1" si="100"/>
        <v>940.29577499777292</v>
      </c>
      <c r="X253" s="90">
        <f t="shared" ca="1" si="100"/>
        <v>919.39845264359792</v>
      </c>
      <c r="Y253" s="90">
        <f t="shared" ca="1" si="100"/>
        <v>898.98814019123836</v>
      </c>
      <c r="Z253" s="90">
        <f t="shared" ca="1" si="100"/>
        <v>879.0350234415431</v>
      </c>
      <c r="AA253" s="90">
        <f t="shared" ca="1" si="100"/>
        <v>859.54640875112671</v>
      </c>
      <c r="AB253" s="90">
        <f t="shared" ca="1" si="100"/>
        <v>840.5113089495818</v>
      </c>
      <c r="AC253" s="90">
        <f t="shared" ca="1" si="100"/>
        <v>821.91899808266351</v>
      </c>
      <c r="AD253" s="90">
        <f t="shared" ca="1" si="100"/>
        <v>803.74504468859789</v>
      </c>
      <c r="AE253" s="90">
        <f t="shared" ca="1" si="100"/>
        <v>785.99339821245837</v>
      </c>
      <c r="AF253" s="90">
        <f t="shared" ca="1" si="100"/>
        <v>768.65407722437487</v>
      </c>
      <c r="AG253" s="90">
        <f t="shared" ca="1" si="100"/>
        <v>751.71733752854266</v>
      </c>
      <c r="AH253" s="90">
        <f t="shared" ca="1" si="100"/>
        <v>735.16820055404401</v>
      </c>
      <c r="AI253" s="90">
        <f t="shared" ca="1" si="100"/>
        <v>719.00292955393388</v>
      </c>
      <c r="AJ253" s="90">
        <f t="shared" ca="1" si="100"/>
        <v>703.21245771367751</v>
      </c>
      <c r="AK253" s="90">
        <f t="shared" ca="1" si="100"/>
        <v>687.78793366287584</v>
      </c>
      <c r="AL253" s="90">
        <f t="shared" ca="1" si="100"/>
        <v>672.70973362516736</v>
      </c>
      <c r="AM253" s="90">
        <f t="shared" ca="1" si="100"/>
        <v>657.98057519523013</v>
      </c>
      <c r="AN253" s="90">
        <f t="shared" ca="1" si="100"/>
        <v>643.59222105674348</v>
      </c>
      <c r="AO253" s="90">
        <f t="shared" ca="1" si="100"/>
        <v>629.53662956229857</v>
      </c>
      <c r="AP253" s="90">
        <f t="shared" ca="1" si="100"/>
        <v>615.79577687875371</v>
      </c>
      <c r="AQ253" s="90">
        <f t="shared" ca="1" si="100"/>
        <v>602.37233273984839</v>
      </c>
      <c r="AR253" s="90">
        <f t="shared" ca="1" si="100"/>
        <v>589.25881309424028</v>
      </c>
      <c r="AT253" s="30">
        <f ca="1">SUM(E253:AS253)</f>
        <v>35855.127911193493</v>
      </c>
    </row>
    <row r="254" spans="1:46" outlineLevel="1" x14ac:dyDescent="0.2">
      <c r="A254" s="63" t="s">
        <v>137</v>
      </c>
      <c r="B254" s="5"/>
      <c r="C254" s="12" t="str">
        <f>Параметры!$C$126</f>
        <v>тыс. руб.</v>
      </c>
      <c r="D254" s="40"/>
      <c r="E254" s="90">
        <f t="shared" ref="E254:AR254" si="101">E253+IF(E$2&gt;1,D254)</f>
        <v>20.304297000000002</v>
      </c>
      <c r="F254" s="90">
        <f t="shared" ca="1" si="101"/>
        <v>1319.553707747486</v>
      </c>
      <c r="G254" s="90">
        <f t="shared" ca="1" si="101"/>
        <v>2587.8412628218102</v>
      </c>
      <c r="H254" s="90">
        <f t="shared" ca="1" si="101"/>
        <v>3847.939663922295</v>
      </c>
      <c r="I254" s="90">
        <f t="shared" ca="1" si="101"/>
        <v>5078.009200275088</v>
      </c>
      <c r="J254" s="90">
        <f t="shared" ca="1" si="101"/>
        <v>6279.3901781345758</v>
      </c>
      <c r="K254" s="90">
        <f t="shared" ca="1" si="101"/>
        <v>7501.2402780164666</v>
      </c>
      <c r="L254" s="90">
        <f t="shared" ca="1" si="101"/>
        <v>8695.3456345083578</v>
      </c>
      <c r="M254" s="90">
        <f t="shared" ca="1" si="101"/>
        <v>9862.3561757324424</v>
      </c>
      <c r="N254" s="90">
        <f t="shared" ca="1" si="101"/>
        <v>11002.977209677592</v>
      </c>
      <c r="O254" s="90">
        <f t="shared" ca="1" si="101"/>
        <v>12117.827136928301</v>
      </c>
      <c r="P254" s="90">
        <f t="shared" ca="1" si="101"/>
        <v>13219.197925582308</v>
      </c>
      <c r="Q254" s="90">
        <f t="shared" ca="1" si="101"/>
        <v>14295.904607433631</v>
      </c>
      <c r="R254" s="90">
        <f t="shared" ca="1" si="101"/>
        <v>15348.503479326979</v>
      </c>
      <c r="S254" s="90">
        <f t="shared" ca="1" si="101"/>
        <v>16377.5572897163</v>
      </c>
      <c r="T254" s="90">
        <f t="shared" ca="1" si="101"/>
        <v>17383.615465536459</v>
      </c>
      <c r="U254" s="90">
        <f t="shared" ca="1" si="101"/>
        <v>18367.214428987289</v>
      </c>
      <c r="V254" s="90">
        <f t="shared" ca="1" si="101"/>
        <v>19328.906342845181</v>
      </c>
      <c r="W254" s="90">
        <f t="shared" ca="1" si="101"/>
        <v>20269.202117842953</v>
      </c>
      <c r="X254" s="90">
        <f t="shared" ca="1" si="101"/>
        <v>21188.600570486553</v>
      </c>
      <c r="Y254" s="90">
        <f t="shared" ca="1" si="101"/>
        <v>22087.588710677792</v>
      </c>
      <c r="Z254" s="90">
        <f t="shared" ca="1" si="101"/>
        <v>22966.623734119334</v>
      </c>
      <c r="AA254" s="90">
        <f t="shared" ca="1" si="101"/>
        <v>23826.170142870462</v>
      </c>
      <c r="AB254" s="90">
        <f t="shared" ca="1" si="101"/>
        <v>24666.681451820044</v>
      </c>
      <c r="AC254" s="90">
        <f t="shared" ca="1" si="101"/>
        <v>25488.600449902708</v>
      </c>
      <c r="AD254" s="90">
        <f t="shared" ca="1" si="101"/>
        <v>26292.345494591307</v>
      </c>
      <c r="AE254" s="90">
        <f t="shared" ca="1" si="101"/>
        <v>27078.338892803764</v>
      </c>
      <c r="AF254" s="90">
        <f t="shared" ca="1" si="101"/>
        <v>27846.992970028139</v>
      </c>
      <c r="AG254" s="90">
        <f t="shared" ca="1" si="101"/>
        <v>28598.710307556681</v>
      </c>
      <c r="AH254" s="90">
        <f t="shared" ca="1" si="101"/>
        <v>29333.878508110723</v>
      </c>
      <c r="AI254" s="90">
        <f t="shared" ca="1" si="101"/>
        <v>30052.881437664659</v>
      </c>
      <c r="AJ254" s="90">
        <f t="shared" ca="1" si="101"/>
        <v>30756.093895378337</v>
      </c>
      <c r="AK254" s="90">
        <f t="shared" ca="1" si="101"/>
        <v>31443.881829041213</v>
      </c>
      <c r="AL254" s="90">
        <f t="shared" ca="1" si="101"/>
        <v>32116.591562666381</v>
      </c>
      <c r="AM254" s="90">
        <f t="shared" ca="1" si="101"/>
        <v>32774.572137861614</v>
      </c>
      <c r="AN254" s="90">
        <f t="shared" ca="1" si="101"/>
        <v>33418.164358918359</v>
      </c>
      <c r="AO254" s="90">
        <f t="shared" ca="1" si="101"/>
        <v>34047.700988480654</v>
      </c>
      <c r="AP254" s="90">
        <f t="shared" ca="1" si="101"/>
        <v>34663.496765359407</v>
      </c>
      <c r="AQ254" s="90">
        <f t="shared" ca="1" si="101"/>
        <v>35265.869098099254</v>
      </c>
      <c r="AR254" s="90">
        <f t="shared" ca="1" si="101"/>
        <v>35855.127911193493</v>
      </c>
    </row>
    <row r="255" spans="1:46" outlineLevel="1" x14ac:dyDescent="0.2"/>
    <row r="256" spans="1:46" s="60" customFormat="1" outlineLevel="1" x14ac:dyDescent="0.2">
      <c r="A256" s="44" t="s">
        <v>360</v>
      </c>
      <c r="B256" s="178"/>
      <c r="C256" s="34" t="str">
        <f>Параметры!$C$126</f>
        <v>тыс. руб.</v>
      </c>
      <c r="D256" s="169"/>
      <c r="E256" s="142">
        <f t="shared" ref="E256:AR256" si="102">E232</f>
        <v>212.41418400000001</v>
      </c>
      <c r="F256" s="142">
        <f t="shared" ca="1" si="102"/>
        <v>318.62127600000002</v>
      </c>
      <c r="G256" s="142">
        <f t="shared" ca="1" si="102"/>
        <v>318.62127600000002</v>
      </c>
      <c r="H256" s="142">
        <f t="shared" ca="1" si="102"/>
        <v>566.43782399999998</v>
      </c>
      <c r="I256" s="142">
        <f t="shared" ca="1" si="102"/>
        <v>690.34609799999998</v>
      </c>
      <c r="J256" s="142">
        <f t="shared" ca="1" si="102"/>
        <v>697.71905872916216</v>
      </c>
      <c r="K256" s="142">
        <f t="shared" ca="1" si="102"/>
        <v>1295.0336864218657</v>
      </c>
      <c r="L256" s="142">
        <f t="shared" ca="1" si="102"/>
        <v>1608.8488426674328</v>
      </c>
      <c r="M256" s="142">
        <f t="shared" ca="1" si="102"/>
        <v>1634.6228262616985</v>
      </c>
      <c r="N256" s="142">
        <f t="shared" ca="1" si="102"/>
        <v>1661.7296413617373</v>
      </c>
      <c r="O256" s="142">
        <f t="shared" ca="1" si="102"/>
        <v>1689.7461856510195</v>
      </c>
      <c r="P256" s="142">
        <f t="shared" ca="1" si="102"/>
        <v>1877.6639561939774</v>
      </c>
      <c r="Q256" s="142">
        <f t="shared" ca="1" si="102"/>
        <v>1989.0355602645366</v>
      </c>
      <c r="R256" s="142">
        <f t="shared" ca="1" si="102"/>
        <v>2022.2870427826551</v>
      </c>
      <c r="S256" s="142">
        <f t="shared" ca="1" si="102"/>
        <v>2055.9527247800197</v>
      </c>
      <c r="T256" s="142">
        <f t="shared" ca="1" si="102"/>
        <v>2090.1788505325831</v>
      </c>
      <c r="U256" s="142">
        <f t="shared" ca="1" si="102"/>
        <v>2124.974749933107</v>
      </c>
      <c r="V256" s="142">
        <f t="shared" ca="1" si="102"/>
        <v>2160.7981751341963</v>
      </c>
      <c r="W256" s="142">
        <f t="shared" ca="1" si="102"/>
        <v>2197.4497017450312</v>
      </c>
      <c r="X256" s="142">
        <f t="shared" ca="1" si="102"/>
        <v>2234.72291270305</v>
      </c>
      <c r="Y256" s="142">
        <f t="shared" ca="1" si="102"/>
        <v>2272.6283530377041</v>
      </c>
      <c r="Z256" s="142">
        <f t="shared" ca="1" si="102"/>
        <v>2310.8592484546198</v>
      </c>
      <c r="AA256" s="142">
        <f t="shared" ca="1" si="102"/>
        <v>2349.5745491776956</v>
      </c>
      <c r="AB256" s="142">
        <f t="shared" ca="1" si="102"/>
        <v>2388.938472057695</v>
      </c>
      <c r="AC256" s="142">
        <f t="shared" ca="1" si="102"/>
        <v>2428.961883875827</v>
      </c>
      <c r="AD256" s="142">
        <f t="shared" ca="1" si="102"/>
        <v>2469.3889224106251</v>
      </c>
      <c r="AE256" s="142">
        <f t="shared" ca="1" si="102"/>
        <v>2510.3553774305756</v>
      </c>
      <c r="AF256" s="142">
        <f t="shared" ca="1" si="102"/>
        <v>2552.0014542070144</v>
      </c>
      <c r="AG256" s="142">
        <f t="shared" ca="1" si="102"/>
        <v>2594.3384274702466</v>
      </c>
      <c r="AH256" s="142">
        <f t="shared" ca="1" si="102"/>
        <v>2637.2626706943925</v>
      </c>
      <c r="AI256" s="142">
        <f t="shared" ca="1" si="102"/>
        <v>2680.8395690048801</v>
      </c>
      <c r="AJ256" s="142">
        <f t="shared" ca="1" si="102"/>
        <v>2725.136511658111</v>
      </c>
      <c r="AK256" s="142">
        <f t="shared" ca="1" si="102"/>
        <v>2770.1653963309655</v>
      </c>
      <c r="AL256" s="142">
        <f t="shared" ca="1" si="102"/>
        <v>2815.6836496218393</v>
      </c>
      <c r="AM256" s="142">
        <f t="shared" ca="1" si="102"/>
        <v>2861.8225183827944</v>
      </c>
      <c r="AN256" s="142">
        <f t="shared" ca="1" si="102"/>
        <v>2908.7174362868514</v>
      </c>
      <c r="AO256" s="142">
        <f t="shared" ca="1" si="102"/>
        <v>2956.3807922443166</v>
      </c>
      <c r="AP256" s="142">
        <f t="shared" ca="1" si="102"/>
        <v>3004.5653893261288</v>
      </c>
      <c r="AQ256" s="142">
        <f t="shared" ca="1" si="102"/>
        <v>3053.405440272611</v>
      </c>
      <c r="AR256" s="142">
        <f t="shared" ca="1" si="102"/>
        <v>3103.0393999104895</v>
      </c>
      <c r="AT256" s="85">
        <f ca="1">SUM(E256:AS256)</f>
        <v>82841.270035017471</v>
      </c>
    </row>
    <row r="257" spans="1:46" outlineLevel="1" x14ac:dyDescent="0.2">
      <c r="A257" s="63" t="s">
        <v>136</v>
      </c>
      <c r="B257" s="5"/>
      <c r="C257" s="12" t="str">
        <f>Параметры!$C$126</f>
        <v>тыс. руб.</v>
      </c>
      <c r="D257" s="40"/>
      <c r="E257" s="90">
        <f t="shared" ref="E257:AR257" si="103">E256/E211</f>
        <v>212.41418400000001</v>
      </c>
      <c r="F257" s="90">
        <f t="shared" ca="1" si="103"/>
        <v>311.02834897589997</v>
      </c>
      <c r="G257" s="90">
        <f t="shared" ca="1" si="103"/>
        <v>303.61636574035384</v>
      </c>
      <c r="H257" s="90">
        <f t="shared" ca="1" si="103"/>
        <v>526.89958097691283</v>
      </c>
      <c r="I257" s="90">
        <f t="shared" ca="1" si="103"/>
        <v>626.85585173641687</v>
      </c>
      <c r="J257" s="90">
        <f t="shared" ca="1" si="103"/>
        <v>618.45285487455465</v>
      </c>
      <c r="K257" s="90">
        <f t="shared" ca="1" si="103"/>
        <v>1120.5526843710134</v>
      </c>
      <c r="L257" s="90">
        <f t="shared" ca="1" si="103"/>
        <v>1358.9130202633175</v>
      </c>
      <c r="M257" s="90">
        <f t="shared" ca="1" si="103"/>
        <v>1347.7805324539652</v>
      </c>
      <c r="N257" s="90">
        <f t="shared" ca="1" si="103"/>
        <v>1337.4796690590013</v>
      </c>
      <c r="O257" s="90">
        <f t="shared" ca="1" si="103"/>
        <v>1327.6191236803352</v>
      </c>
      <c r="P257" s="90">
        <f t="shared" ca="1" si="103"/>
        <v>1440.108112510201</v>
      </c>
      <c r="Q257" s="90">
        <f t="shared" ca="1" si="103"/>
        <v>1489.1723960442605</v>
      </c>
      <c r="R257" s="90">
        <f t="shared" ca="1" si="103"/>
        <v>1477.986378493749</v>
      </c>
      <c r="S257" s="90">
        <f t="shared" ca="1" si="103"/>
        <v>1466.7833074169307</v>
      </c>
      <c r="T257" s="90">
        <f t="shared" ca="1" si="103"/>
        <v>1455.6651551210825</v>
      </c>
      <c r="U257" s="90">
        <f t="shared" ca="1" si="103"/>
        <v>1444.6312779256189</v>
      </c>
      <c r="V257" s="90">
        <f t="shared" ca="1" si="103"/>
        <v>1433.9785220854387</v>
      </c>
      <c r="W257" s="90">
        <f t="shared" ca="1" si="103"/>
        <v>1423.5495480341326</v>
      </c>
      <c r="X257" s="90">
        <f t="shared" ca="1" si="103"/>
        <v>1413.1964213529841</v>
      </c>
      <c r="Y257" s="90">
        <f t="shared" ca="1" si="103"/>
        <v>1402.9185904226747</v>
      </c>
      <c r="Z257" s="90">
        <f t="shared" ca="1" si="103"/>
        <v>1392.5241831720546</v>
      </c>
      <c r="AA257" s="90">
        <f t="shared" ca="1" si="103"/>
        <v>1382.1134197259532</v>
      </c>
      <c r="AB257" s="90">
        <f t="shared" ca="1" si="103"/>
        <v>1371.7804890362529</v>
      </c>
      <c r="AC257" s="90">
        <f t="shared" ca="1" si="103"/>
        <v>1361.5248092111442</v>
      </c>
      <c r="AD257" s="90">
        <f t="shared" ca="1" si="103"/>
        <v>1351.199754366369</v>
      </c>
      <c r="AE257" s="90">
        <f t="shared" ca="1" si="103"/>
        <v>1340.8817227956267</v>
      </c>
      <c r="AF257" s="90">
        <f t="shared" ca="1" si="103"/>
        <v>1330.6424817776144</v>
      </c>
      <c r="AG257" s="90">
        <f t="shared" ca="1" si="103"/>
        <v>1320.4814296519128</v>
      </c>
      <c r="AH257" s="90">
        <f t="shared" ca="1" si="103"/>
        <v>1310.3407869958753</v>
      </c>
      <c r="AI257" s="90">
        <f t="shared" ca="1" si="103"/>
        <v>1300.2501108311944</v>
      </c>
      <c r="AJ257" s="90">
        <f t="shared" ca="1" si="103"/>
        <v>1290.2371409750333</v>
      </c>
      <c r="AK257" s="90">
        <f t="shared" ca="1" si="103"/>
        <v>1280.3012790264243</v>
      </c>
      <c r="AL257" s="90">
        <f t="shared" ca="1" si="103"/>
        <v>1270.3270350371054</v>
      </c>
      <c r="AM257" s="90">
        <f t="shared" ca="1" si="103"/>
        <v>1260.3744218531269</v>
      </c>
      <c r="AN257" s="90">
        <f t="shared" ca="1" si="103"/>
        <v>1250.4997842663438</v>
      </c>
      <c r="AO257" s="90">
        <f t="shared" ca="1" si="103"/>
        <v>1240.7025113624509</v>
      </c>
      <c r="AP257" s="90">
        <f t="shared" ca="1" si="103"/>
        <v>1230.8755697250474</v>
      </c>
      <c r="AQ257" s="90">
        <f t="shared" ca="1" si="103"/>
        <v>1221.0745209998386</v>
      </c>
      <c r="AR257" s="90">
        <f t="shared" ca="1" si="103"/>
        <v>1211.3515147335725</v>
      </c>
      <c r="AT257" s="30">
        <f ca="1">SUM(E257:AS257)</f>
        <v>48257.084891081773</v>
      </c>
    </row>
    <row r="258" spans="1:46" outlineLevel="1" x14ac:dyDescent="0.2">
      <c r="A258" s="63" t="s">
        <v>137</v>
      </c>
      <c r="B258" s="5"/>
      <c r="C258" s="12" t="str">
        <f>Параметры!$C$126</f>
        <v>тыс. руб.</v>
      </c>
      <c r="D258" s="40"/>
      <c r="E258" s="90">
        <f t="shared" ref="E258:AR258" si="104">E257+IF(E$2&gt;1,D258)</f>
        <v>212.41418400000001</v>
      </c>
      <c r="F258" s="90">
        <f t="shared" ca="1" si="104"/>
        <v>523.44253297590001</v>
      </c>
      <c r="G258" s="90">
        <f t="shared" ca="1" si="104"/>
        <v>827.05889871625391</v>
      </c>
      <c r="H258" s="90">
        <f t="shared" ca="1" si="104"/>
        <v>1353.9584796931667</v>
      </c>
      <c r="I258" s="90">
        <f t="shared" ca="1" si="104"/>
        <v>1980.8143314295835</v>
      </c>
      <c r="J258" s="90">
        <f t="shared" ca="1" si="104"/>
        <v>2599.2671863041382</v>
      </c>
      <c r="K258" s="90">
        <f t="shared" ca="1" si="104"/>
        <v>3719.8198706751518</v>
      </c>
      <c r="L258" s="90">
        <f t="shared" ca="1" si="104"/>
        <v>5078.7328909384696</v>
      </c>
      <c r="M258" s="90">
        <f t="shared" ca="1" si="104"/>
        <v>6426.5134233924346</v>
      </c>
      <c r="N258" s="90">
        <f t="shared" ca="1" si="104"/>
        <v>7763.9930924514356</v>
      </c>
      <c r="O258" s="90">
        <f t="shared" ca="1" si="104"/>
        <v>9091.6122161317708</v>
      </c>
      <c r="P258" s="90">
        <f t="shared" ca="1" si="104"/>
        <v>10531.720328641972</v>
      </c>
      <c r="Q258" s="90">
        <f t="shared" ca="1" si="104"/>
        <v>12020.892724686233</v>
      </c>
      <c r="R258" s="90">
        <f t="shared" ca="1" si="104"/>
        <v>13498.879103179983</v>
      </c>
      <c r="S258" s="90">
        <f t="shared" ca="1" si="104"/>
        <v>14965.662410596913</v>
      </c>
      <c r="T258" s="90">
        <f t="shared" ca="1" si="104"/>
        <v>16421.327565717995</v>
      </c>
      <c r="U258" s="90">
        <f t="shared" ca="1" si="104"/>
        <v>17865.958843643613</v>
      </c>
      <c r="V258" s="90">
        <f t="shared" ca="1" si="104"/>
        <v>19299.937365729053</v>
      </c>
      <c r="W258" s="90">
        <f t="shared" ca="1" si="104"/>
        <v>20723.486913763187</v>
      </c>
      <c r="X258" s="90">
        <f t="shared" ca="1" si="104"/>
        <v>22136.683335116169</v>
      </c>
      <c r="Y258" s="90">
        <f t="shared" ca="1" si="104"/>
        <v>23539.601925538846</v>
      </c>
      <c r="Z258" s="90">
        <f t="shared" ca="1" si="104"/>
        <v>24932.126108710901</v>
      </c>
      <c r="AA258" s="90">
        <f t="shared" ca="1" si="104"/>
        <v>26314.239528436854</v>
      </c>
      <c r="AB258" s="90">
        <f t="shared" ca="1" si="104"/>
        <v>27686.020017473107</v>
      </c>
      <c r="AC258" s="90">
        <f t="shared" ca="1" si="104"/>
        <v>29047.54482668425</v>
      </c>
      <c r="AD258" s="90">
        <f t="shared" ca="1" si="104"/>
        <v>30398.744581050618</v>
      </c>
      <c r="AE258" s="90">
        <f t="shared" ca="1" si="104"/>
        <v>31739.626303846246</v>
      </c>
      <c r="AF258" s="90">
        <f t="shared" ca="1" si="104"/>
        <v>33070.268785623863</v>
      </c>
      <c r="AG258" s="90">
        <f t="shared" ca="1" si="104"/>
        <v>34390.750215275773</v>
      </c>
      <c r="AH258" s="90">
        <f t="shared" ca="1" si="104"/>
        <v>35701.091002271649</v>
      </c>
      <c r="AI258" s="90">
        <f t="shared" ca="1" si="104"/>
        <v>37001.341113102841</v>
      </c>
      <c r="AJ258" s="90">
        <f t="shared" ca="1" si="104"/>
        <v>38291.578254077875</v>
      </c>
      <c r="AK258" s="90">
        <f t="shared" ca="1" si="104"/>
        <v>39571.8795331043</v>
      </c>
      <c r="AL258" s="90">
        <f t="shared" ca="1" si="104"/>
        <v>40842.206568141402</v>
      </c>
      <c r="AM258" s="90">
        <f t="shared" ca="1" si="104"/>
        <v>42102.580989994531</v>
      </c>
      <c r="AN258" s="90">
        <f t="shared" ca="1" si="104"/>
        <v>43353.080774260874</v>
      </c>
      <c r="AO258" s="90">
        <f t="shared" ca="1" si="104"/>
        <v>44593.783285623322</v>
      </c>
      <c r="AP258" s="90">
        <f t="shared" ca="1" si="104"/>
        <v>45824.658855348367</v>
      </c>
      <c r="AQ258" s="90">
        <f t="shared" ca="1" si="104"/>
        <v>47045.733376348202</v>
      </c>
      <c r="AR258" s="90">
        <f t="shared" ca="1" si="104"/>
        <v>48257.084891081773</v>
      </c>
    </row>
    <row r="259" spans="1:46" x14ac:dyDescent="0.2">
      <c r="A259" s="44"/>
      <c r="B259" s="5"/>
      <c r="D259" s="4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</row>
    <row r="260" spans="1:46" x14ac:dyDescent="0.2">
      <c r="A260" s="220" t="s">
        <v>415</v>
      </c>
      <c r="B260" s="187">
        <f ca="1">AT243</f>
        <v>327020.81731044449</v>
      </c>
      <c r="C260" s="12" t="str">
        <f>Параметры!$C$126</f>
        <v>тыс. руб.</v>
      </c>
      <c r="D260" s="40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</row>
    <row r="261" spans="1:46" x14ac:dyDescent="0.2">
      <c r="A261" s="220" t="s">
        <v>469</v>
      </c>
      <c r="B261" s="187">
        <f ca="1">AT248</f>
        <v>556680.58389168943</v>
      </c>
      <c r="C261" s="12" t="str">
        <f>Параметры!$C$126</f>
        <v>тыс. руб.</v>
      </c>
      <c r="D261" s="40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</row>
    <row r="262" spans="1:46" x14ac:dyDescent="0.2">
      <c r="A262" s="220" t="s">
        <v>470</v>
      </c>
      <c r="B262" s="187">
        <f ca="1">AT253</f>
        <v>35855.127911193493</v>
      </c>
      <c r="C262" s="12" t="str">
        <f>Параметры!$C$126</f>
        <v>тыс. руб.</v>
      </c>
      <c r="D262" s="40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</row>
    <row r="263" spans="1:46" x14ac:dyDescent="0.2">
      <c r="A263" s="220" t="s">
        <v>471</v>
      </c>
      <c r="B263" s="187">
        <f ca="1">AT257</f>
        <v>48257.084891081773</v>
      </c>
      <c r="C263" s="12" t="str">
        <f>Параметры!$C$126</f>
        <v>тыс. руб.</v>
      </c>
      <c r="D263" s="40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</row>
    <row r="264" spans="1:46" x14ac:dyDescent="0.2">
      <c r="A264" s="45"/>
      <c r="B264" s="170"/>
      <c r="C264" s="14"/>
      <c r="D264" s="47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</row>
    <row r="266" spans="1:46" ht="12" thickBot="1" x14ac:dyDescent="0.25"/>
    <row r="267" spans="1:46" s="43" customFormat="1" ht="25.5" customHeight="1" thickBot="1" x14ac:dyDescent="0.25">
      <c r="A267" s="481" t="s">
        <v>830</v>
      </c>
      <c r="B267" s="479"/>
      <c r="C267" s="485"/>
      <c r="D267" s="486"/>
      <c r="E267" s="479" t="str">
        <f>CHOOSE($D$2,Параметры!E$53,Параметры!E$54)</f>
        <v>1 кв. 2020</v>
      </c>
      <c r="F267" s="479" t="str">
        <f>CHOOSE($D$2,Параметры!F$53,Параметры!F$54)</f>
        <v>2 кв. 2020</v>
      </c>
      <c r="G267" s="479" t="str">
        <f>CHOOSE($D$2,Параметры!G$53,Параметры!G$54)</f>
        <v>3 кв. 2020</v>
      </c>
      <c r="H267" s="479" t="str">
        <f>CHOOSE($D$2,Параметры!H$53,Параметры!H$54)</f>
        <v>4 кв. 2020</v>
      </c>
      <c r="I267" s="479" t="str">
        <f>CHOOSE($D$2,Параметры!I$53,Параметры!I$54)</f>
        <v>1 кв. 2021</v>
      </c>
      <c r="J267" s="479" t="str">
        <f>CHOOSE($D$2,Параметры!J$53,Параметры!J$54)</f>
        <v>2 кв. 2021</v>
      </c>
      <c r="K267" s="479" t="str">
        <f>CHOOSE($D$2,Параметры!K$53,Параметры!K$54)</f>
        <v>3 кв. 2021</v>
      </c>
      <c r="L267" s="479" t="str">
        <f>CHOOSE($D$2,Параметры!L$53,Параметры!L$54)</f>
        <v>4 кв. 2021</v>
      </c>
      <c r="M267" s="479" t="str">
        <f>CHOOSE($D$2,Параметры!M$53,Параметры!M$54)</f>
        <v>1 кв. 2022</v>
      </c>
      <c r="N267" s="479" t="str">
        <f>CHOOSE($D$2,Параметры!N$53,Параметры!N$54)</f>
        <v>2 кв. 2022</v>
      </c>
      <c r="O267" s="479" t="str">
        <f>CHOOSE($D$2,Параметры!O$53,Параметры!O$54)</f>
        <v>3 кв. 2022</v>
      </c>
      <c r="P267" s="479" t="str">
        <f>CHOOSE($D$2,Параметры!P$53,Параметры!P$54)</f>
        <v>4 кв. 2022</v>
      </c>
      <c r="Q267" s="479" t="str">
        <f>CHOOSE($D$2,Параметры!Q$53,Параметры!Q$54)</f>
        <v>1 кв. 2023</v>
      </c>
      <c r="R267" s="479" t="str">
        <f>CHOOSE($D$2,Параметры!R$53,Параметры!R$54)</f>
        <v>2 кв. 2023</v>
      </c>
      <c r="S267" s="479" t="str">
        <f>CHOOSE($D$2,Параметры!S$53,Параметры!S$54)</f>
        <v>3 кв. 2023</v>
      </c>
      <c r="T267" s="479" t="str">
        <f>CHOOSE($D$2,Параметры!T$53,Параметры!T$54)</f>
        <v>4 кв. 2023</v>
      </c>
      <c r="U267" s="479" t="str">
        <f>CHOOSE($D$2,Параметры!U$53,Параметры!U$54)</f>
        <v>1 кв. 2024</v>
      </c>
      <c r="V267" s="479" t="str">
        <f>CHOOSE($D$2,Параметры!V$53,Параметры!V$54)</f>
        <v>2 кв. 2024</v>
      </c>
      <c r="W267" s="479" t="str">
        <f>CHOOSE($D$2,Параметры!W$53,Параметры!W$54)</f>
        <v>3 кв. 2024</v>
      </c>
      <c r="X267" s="479" t="str">
        <f>CHOOSE($D$2,Параметры!X$53,Параметры!X$54)</f>
        <v>4 кв. 2024</v>
      </c>
      <c r="Y267" s="479" t="str">
        <f>CHOOSE($D$2,Параметры!Y$53,Параметры!Y$54)</f>
        <v>1 кв. 2025</v>
      </c>
      <c r="Z267" s="479" t="str">
        <f>CHOOSE($D$2,Параметры!Z$53,Параметры!Z$54)</f>
        <v>2 кв. 2025</v>
      </c>
      <c r="AA267" s="479" t="str">
        <f>CHOOSE($D$2,Параметры!AA$53,Параметры!AA$54)</f>
        <v>3 кв. 2025</v>
      </c>
      <c r="AB267" s="479" t="str">
        <f>CHOOSE($D$2,Параметры!AB$53,Параметры!AB$54)</f>
        <v>4 кв. 2025</v>
      </c>
      <c r="AC267" s="479" t="str">
        <f>CHOOSE($D$2,Параметры!AC$53,Параметры!AC$54)</f>
        <v>1 кв. 2026</v>
      </c>
      <c r="AD267" s="479" t="str">
        <f>CHOOSE($D$2,Параметры!AD$53,Параметры!AD$54)</f>
        <v>2 кв. 2026</v>
      </c>
      <c r="AE267" s="479" t="str">
        <f>CHOOSE($D$2,Параметры!AE$53,Параметры!AE$54)</f>
        <v>3 кв. 2026</v>
      </c>
      <c r="AF267" s="479" t="str">
        <f>CHOOSE($D$2,Параметры!AF$53,Параметры!AF$54)</f>
        <v>4 кв. 2026</v>
      </c>
      <c r="AG267" s="479" t="str">
        <f>CHOOSE($D$2,Параметры!AG$53,Параметры!AG$54)</f>
        <v>1 кв. 2027</v>
      </c>
      <c r="AH267" s="479" t="str">
        <f>CHOOSE($D$2,Параметры!AH$53,Параметры!AH$54)</f>
        <v>2 кв. 2027</v>
      </c>
      <c r="AI267" s="479" t="str">
        <f>CHOOSE($D$2,Параметры!AI$53,Параметры!AI$54)</f>
        <v>3 кв. 2027</v>
      </c>
      <c r="AJ267" s="479" t="str">
        <f>CHOOSE($D$2,Параметры!AJ$53,Параметры!AJ$54)</f>
        <v>4 кв. 2027</v>
      </c>
      <c r="AK267" s="479" t="str">
        <f>CHOOSE($D$2,Параметры!AK$53,Параметры!AK$54)</f>
        <v>1 кв. 2028</v>
      </c>
      <c r="AL267" s="479" t="str">
        <f>CHOOSE($D$2,Параметры!AL$53,Параметры!AL$54)</f>
        <v>2 кв. 2028</v>
      </c>
      <c r="AM267" s="479" t="str">
        <f>CHOOSE($D$2,Параметры!AM$53,Параметры!AM$54)</f>
        <v>3 кв. 2028</v>
      </c>
      <c r="AN267" s="479" t="str">
        <f>CHOOSE($D$2,Параметры!AN$53,Параметры!AN$54)</f>
        <v>4 кв. 2028</v>
      </c>
      <c r="AO267" s="479" t="str">
        <f>CHOOSE($D$2,Параметры!AO$53,Параметры!AO$54)</f>
        <v>1 кв. 2029</v>
      </c>
      <c r="AP267" s="479" t="str">
        <f>CHOOSE($D$2,Параметры!AP$53,Параметры!AP$54)</f>
        <v>2 кв. 2029</v>
      </c>
      <c r="AQ267" s="479" t="str">
        <f>CHOOSE($D$2,Параметры!AQ$53,Параметры!AQ$54)</f>
        <v>3 кв. 2029</v>
      </c>
      <c r="AR267" s="479" t="str">
        <f>CHOOSE($D$2,Параметры!AR$53,Параметры!AR$54)</f>
        <v>4 кв. 2029</v>
      </c>
      <c r="AS267" s="485"/>
      <c r="AT267" s="485" t="s">
        <v>0</v>
      </c>
    </row>
    <row r="268" spans="1:46" x14ac:dyDescent="0.2">
      <c r="A268" s="44"/>
      <c r="D268" s="40"/>
    </row>
    <row r="269" spans="1:46" x14ac:dyDescent="0.2">
      <c r="A269" s="44" t="s">
        <v>809</v>
      </c>
      <c r="B269" s="177">
        <f ca="1">Параметры!$B$239*Графики_УК!$D$403</f>
        <v>0.10128364613285909</v>
      </c>
      <c r="C269" s="12" t="s">
        <v>1</v>
      </c>
      <c r="D269" s="40"/>
    </row>
    <row r="270" spans="1:46" outlineLevel="1" x14ac:dyDescent="0.2">
      <c r="A270" s="63" t="s">
        <v>363</v>
      </c>
      <c r="C270" s="12" t="s">
        <v>1</v>
      </c>
      <c r="D270" s="40"/>
      <c r="E270" s="67">
        <f ca="1">((1+$B269)/IF(Параметры!$B$62,1,1+CHOOSE(Параметры!$B$126,Параметры!E$65,Параметры!E$113,Параметры!E$122)))^(Параметры!E$40/12)-1</f>
        <v>2.4412331059534331E-2</v>
      </c>
      <c r="F270" s="67">
        <f ca="1">((1+$B269)/IF(Параметры!$B$62,1,1+CHOOSE(Параметры!$B$126,Параметры!F$65,Параметры!F$113,Параметры!F$122)))^(Параметры!F$40/12)-1</f>
        <v>2.4412331059534331E-2</v>
      </c>
      <c r="G270" s="67">
        <f ca="1">((1+$B269)/IF(Параметры!$B$62,1,1+CHOOSE(Параметры!$B$126,Параметры!G$65,Параметры!G$113,Параметры!G$122)))^(Параметры!G$40/12)-1</f>
        <v>2.4412331059534331E-2</v>
      </c>
      <c r="H270" s="67">
        <f ca="1">((1+$B269)/IF(Параметры!$B$62,1,1+CHOOSE(Параметры!$B$126,Параметры!H$65,Параметры!H$113,Параметры!H$122)))^(Параметры!H$40/12)-1</f>
        <v>2.4412331059534331E-2</v>
      </c>
      <c r="I270" s="67">
        <f ca="1">((1+$B269)/IF(Параметры!$B$62,1,1+CHOOSE(Параметры!$B$126,Параметры!I$65,Параметры!I$113,Параметры!I$122)))^(Параметры!I$40/12)-1</f>
        <v>2.4412331059534331E-2</v>
      </c>
      <c r="J270" s="67">
        <f ca="1">((1+$B269)/IF(Параметры!$B$62,1,1+CHOOSE(Параметры!$B$126,Параметры!J$65,Параметры!J$113,Параметры!J$122)))^(Параметры!J$40/12)-1</f>
        <v>2.4412331059534331E-2</v>
      </c>
      <c r="K270" s="67">
        <f ca="1">((1+$B269)/IF(Параметры!$B$62,1,1+CHOOSE(Параметры!$B$126,Параметры!K$65,Параметры!K$113,Параметры!K$122)))^(Параметры!K$40/12)-1</f>
        <v>2.4412331059534331E-2</v>
      </c>
      <c r="L270" s="67">
        <f ca="1">((1+$B269)/IF(Параметры!$B$62,1,1+CHOOSE(Параметры!$B$126,Параметры!L$65,Параметры!L$113,Параметры!L$122)))^(Параметры!L$40/12)-1</f>
        <v>2.4412331059534331E-2</v>
      </c>
      <c r="M270" s="67">
        <f ca="1">((1+$B269)/IF(Параметры!$B$62,1,1+CHOOSE(Параметры!$B$126,Параметры!M$65,Параметры!M$113,Параметры!M$122)))^(Параметры!M$40/12)-1</f>
        <v>2.4412331059534331E-2</v>
      </c>
      <c r="N270" s="67">
        <f ca="1">((1+$B269)/IF(Параметры!$B$62,1,1+CHOOSE(Параметры!$B$126,Параметры!N$65,Параметры!N$113,Параметры!N$122)))^(Параметры!N$40/12)-1</f>
        <v>2.4412331059534331E-2</v>
      </c>
      <c r="O270" s="67">
        <f ca="1">((1+$B269)/IF(Параметры!$B$62,1,1+CHOOSE(Параметры!$B$126,Параметры!O$65,Параметры!O$113,Параметры!O$122)))^(Параметры!O$40/12)-1</f>
        <v>2.4412331059534331E-2</v>
      </c>
      <c r="P270" s="67">
        <f ca="1">((1+$B269)/IF(Параметры!$B$62,1,1+CHOOSE(Параметры!$B$126,Параметры!P$65,Параметры!P$113,Параметры!P$122)))^(Параметры!P$40/12)-1</f>
        <v>2.4412331059534331E-2</v>
      </c>
      <c r="Q270" s="67">
        <f ca="1">((1+$B269)/IF(Параметры!$B$62,1,1+CHOOSE(Параметры!$B$126,Параметры!Q$65,Параметры!Q$113,Параметры!Q$122)))^(Параметры!Q$40/12)-1</f>
        <v>2.4412331059534331E-2</v>
      </c>
      <c r="R270" s="67">
        <f ca="1">((1+$B269)/IF(Параметры!$B$62,1,1+CHOOSE(Параметры!$B$126,Параметры!R$65,Параметры!R$113,Параметры!R$122)))^(Параметры!R$40/12)-1</f>
        <v>2.4412331059534331E-2</v>
      </c>
      <c r="S270" s="67">
        <f ca="1">((1+$B269)/IF(Параметры!$B$62,1,1+CHOOSE(Параметры!$B$126,Параметры!S$65,Параметры!S$113,Параметры!S$122)))^(Параметры!S$40/12)-1</f>
        <v>2.4412331059534331E-2</v>
      </c>
      <c r="T270" s="67">
        <f ca="1">((1+$B269)/IF(Параметры!$B$62,1,1+CHOOSE(Параметры!$B$126,Параметры!T$65,Параметры!T$113,Параметры!T$122)))^(Параметры!T$40/12)-1</f>
        <v>2.4412331059534331E-2</v>
      </c>
      <c r="U270" s="67">
        <f ca="1">((1+$B269)/IF(Параметры!$B$62,1,1+CHOOSE(Параметры!$B$126,Параметры!U$65,Параметры!U$113,Параметры!U$122)))^(Параметры!U$40/12)-1</f>
        <v>2.4412331059534331E-2</v>
      </c>
      <c r="V270" s="67">
        <f ca="1">((1+$B269)/IF(Параметры!$B$62,1,1+CHOOSE(Параметры!$B$126,Параметры!V$65,Параметры!V$113,Параметры!V$122)))^(Параметры!V$40/12)-1</f>
        <v>2.4412331059534331E-2</v>
      </c>
      <c r="W270" s="67">
        <f ca="1">((1+$B269)/IF(Параметры!$B$62,1,1+CHOOSE(Параметры!$B$126,Параметры!W$65,Параметры!W$113,Параметры!W$122)))^(Параметры!W$40/12)-1</f>
        <v>2.4412331059534331E-2</v>
      </c>
      <c r="X270" s="67">
        <f ca="1">((1+$B269)/IF(Параметры!$B$62,1,1+CHOOSE(Параметры!$B$126,Параметры!X$65,Параметры!X$113,Параметры!X$122)))^(Параметры!X$40/12)-1</f>
        <v>2.4412331059534331E-2</v>
      </c>
      <c r="Y270" s="67">
        <f ca="1">((1+$B269)/IF(Параметры!$B$62,1,1+CHOOSE(Параметры!$B$126,Параметры!Y$65,Параметры!Y$113,Параметры!Y$122)))^(Параметры!Y$40/12)-1</f>
        <v>2.4412331059534331E-2</v>
      </c>
      <c r="Z270" s="67">
        <f ca="1">((1+$B269)/IF(Параметры!$B$62,1,1+CHOOSE(Параметры!$B$126,Параметры!Z$65,Параметры!Z$113,Параметры!Z$122)))^(Параметры!Z$40/12)-1</f>
        <v>2.4412331059534331E-2</v>
      </c>
      <c r="AA270" s="67">
        <f ca="1">((1+$B269)/IF(Параметры!$B$62,1,1+CHOOSE(Параметры!$B$126,Параметры!AA$65,Параметры!AA$113,Параметры!AA$122)))^(Параметры!AA$40/12)-1</f>
        <v>2.4412331059534331E-2</v>
      </c>
      <c r="AB270" s="67">
        <f ca="1">((1+$B269)/IF(Параметры!$B$62,1,1+CHOOSE(Параметры!$B$126,Параметры!AB$65,Параметры!AB$113,Параметры!AB$122)))^(Параметры!AB$40/12)-1</f>
        <v>2.4412331059534331E-2</v>
      </c>
      <c r="AC270" s="67">
        <f ca="1">((1+$B269)/IF(Параметры!$B$62,1,1+CHOOSE(Параметры!$B$126,Параметры!AC$65,Параметры!AC$113,Параметры!AC$122)))^(Параметры!AC$40/12)-1</f>
        <v>2.4412331059534331E-2</v>
      </c>
      <c r="AD270" s="67">
        <f ca="1">((1+$B269)/IF(Параметры!$B$62,1,1+CHOOSE(Параметры!$B$126,Параметры!AD$65,Параметры!AD$113,Параметры!AD$122)))^(Параметры!AD$40/12)-1</f>
        <v>2.4412331059534331E-2</v>
      </c>
      <c r="AE270" s="67">
        <f ca="1">((1+$B269)/IF(Параметры!$B$62,1,1+CHOOSE(Параметры!$B$126,Параметры!AE$65,Параметры!AE$113,Параметры!AE$122)))^(Параметры!AE$40/12)-1</f>
        <v>2.4412331059534331E-2</v>
      </c>
      <c r="AF270" s="67">
        <f ca="1">((1+$B269)/IF(Параметры!$B$62,1,1+CHOOSE(Параметры!$B$126,Параметры!AF$65,Параметры!AF$113,Параметры!AF$122)))^(Параметры!AF$40/12)-1</f>
        <v>2.4412331059534331E-2</v>
      </c>
      <c r="AG270" s="67">
        <f ca="1">((1+$B269)/IF(Параметры!$B$62,1,1+CHOOSE(Параметры!$B$126,Параметры!AG$65,Параметры!AG$113,Параметры!AG$122)))^(Параметры!AG$40/12)-1</f>
        <v>2.4412331059534331E-2</v>
      </c>
      <c r="AH270" s="67">
        <f ca="1">((1+$B269)/IF(Параметры!$B$62,1,1+CHOOSE(Параметры!$B$126,Параметры!AH$65,Параметры!AH$113,Параметры!AH$122)))^(Параметры!AH$40/12)-1</f>
        <v>2.4412331059534331E-2</v>
      </c>
      <c r="AI270" s="67">
        <f ca="1">((1+$B269)/IF(Параметры!$B$62,1,1+CHOOSE(Параметры!$B$126,Параметры!AI$65,Параметры!AI$113,Параметры!AI$122)))^(Параметры!AI$40/12)-1</f>
        <v>2.4412331059534331E-2</v>
      </c>
      <c r="AJ270" s="67">
        <f ca="1">((1+$B269)/IF(Параметры!$B$62,1,1+CHOOSE(Параметры!$B$126,Параметры!AJ$65,Параметры!AJ$113,Параметры!AJ$122)))^(Параметры!AJ$40/12)-1</f>
        <v>2.4412331059534331E-2</v>
      </c>
      <c r="AK270" s="67">
        <f ca="1">((1+$B269)/IF(Параметры!$B$62,1,1+CHOOSE(Параметры!$B$126,Параметры!AK$65,Параметры!AK$113,Параметры!AK$122)))^(Параметры!AK$40/12)-1</f>
        <v>2.4412331059534331E-2</v>
      </c>
      <c r="AL270" s="67">
        <f ca="1">((1+$B269)/IF(Параметры!$B$62,1,1+CHOOSE(Параметры!$B$126,Параметры!AL$65,Параметры!AL$113,Параметры!AL$122)))^(Параметры!AL$40/12)-1</f>
        <v>2.4412331059534331E-2</v>
      </c>
      <c r="AM270" s="67">
        <f ca="1">((1+$B269)/IF(Параметры!$B$62,1,1+CHOOSE(Параметры!$B$126,Параметры!AM$65,Параметры!AM$113,Параметры!AM$122)))^(Параметры!AM$40/12)-1</f>
        <v>2.4412331059534331E-2</v>
      </c>
      <c r="AN270" s="67">
        <f ca="1">((1+$B269)/IF(Параметры!$B$62,1,1+CHOOSE(Параметры!$B$126,Параметры!AN$65,Параметры!AN$113,Параметры!AN$122)))^(Параметры!AN$40/12)-1</f>
        <v>2.4412331059534331E-2</v>
      </c>
      <c r="AO270" s="67">
        <f ca="1">((1+$B269)/IF(Параметры!$B$62,1,1+CHOOSE(Параметры!$B$126,Параметры!AO$65,Параметры!AO$113,Параметры!AO$122)))^(Параметры!AO$40/12)-1</f>
        <v>2.4412331059534331E-2</v>
      </c>
      <c r="AP270" s="67">
        <f ca="1">((1+$B269)/IF(Параметры!$B$62,1,1+CHOOSE(Параметры!$B$126,Параметры!AP$65,Параметры!AP$113,Параметры!AP$122)))^(Параметры!AP$40/12)-1</f>
        <v>2.4412331059534331E-2</v>
      </c>
      <c r="AQ270" s="67">
        <f ca="1">((1+$B269)/IF(Параметры!$B$62,1,1+CHOOSE(Параметры!$B$126,Параметры!AQ$65,Параметры!AQ$113,Параметры!AQ$122)))^(Параметры!AQ$40/12)-1</f>
        <v>2.4412331059534331E-2</v>
      </c>
      <c r="AR270" s="67">
        <f ca="1">((1+$B269)/IF(Параметры!$B$62,1,1+CHOOSE(Параметры!$B$126,Параметры!AR$65,Параметры!AR$113,Параметры!AR$122)))^(Параметры!AR$40/12)-1</f>
        <v>2.4412331059534331E-2</v>
      </c>
    </row>
    <row r="271" spans="1:46" outlineLevel="1" x14ac:dyDescent="0.2">
      <c r="A271" s="63" t="s">
        <v>419</v>
      </c>
      <c r="C271" s="12" t="s">
        <v>133</v>
      </c>
      <c r="D271" s="40"/>
      <c r="E271" s="68">
        <v>1</v>
      </c>
      <c r="F271" s="68">
        <v>1</v>
      </c>
      <c r="G271" s="68">
        <v>1</v>
      </c>
      <c r="H271" s="68">
        <v>1</v>
      </c>
      <c r="I271" s="68">
        <f t="shared" ref="I271:AR271" ca="1" si="105">IF(I$2=1,1,H271*(1+H270))</f>
        <v>1.0244123310595343</v>
      </c>
      <c r="J271" s="68">
        <f t="shared" ca="1" si="105"/>
        <v>1.0494206240268289</v>
      </c>
      <c r="K271" s="68">
        <f t="shared" ca="1" si="105"/>
        <v>1.0750394277212749</v>
      </c>
      <c r="L271" s="68">
        <f t="shared" ca="1" si="105"/>
        <v>1.101283646132859</v>
      </c>
      <c r="M271" s="68">
        <f t="shared" ca="1" si="105"/>
        <v>1.1281685470927054</v>
      </c>
      <c r="N271" s="68">
        <f t="shared" ca="1" si="105"/>
        <v>1.1557097711552864</v>
      </c>
      <c r="O271" s="68">
        <f t="shared" ca="1" si="105"/>
        <v>1.1839233406974679</v>
      </c>
      <c r="P271" s="68">
        <f t="shared" ca="1" si="105"/>
        <v>1.2128256692396844</v>
      </c>
      <c r="Q271" s="68">
        <f t="shared" ca="1" si="105"/>
        <v>1.2424335709946648</v>
      </c>
      <c r="R271" s="68">
        <f t="shared" ca="1" si="105"/>
        <v>1.2727642706492659</v>
      </c>
      <c r="S271" s="68">
        <f t="shared" ca="1" si="105"/>
        <v>1.3038354133851024</v>
      </c>
      <c r="T271" s="68">
        <f t="shared" ca="1" si="105"/>
        <v>1.3356650751438044</v>
      </c>
      <c r="U271" s="68">
        <f t="shared" ca="1" si="105"/>
        <v>1.3682717731428728</v>
      </c>
      <c r="V271" s="68">
        <f t="shared" ca="1" si="105"/>
        <v>1.4016744766482527</v>
      </c>
      <c r="W271" s="68">
        <f t="shared" ca="1" si="105"/>
        <v>1.4358926180098894</v>
      </c>
      <c r="X271" s="68">
        <f t="shared" ca="1" si="105"/>
        <v>1.4709461039666882</v>
      </c>
      <c r="Y271" s="68">
        <f t="shared" ca="1" si="105"/>
        <v>1.5068553272274552</v>
      </c>
      <c r="Z271" s="68">
        <f t="shared" ca="1" si="105"/>
        <v>1.5436411783345547</v>
      </c>
      <c r="AA271" s="68">
        <f t="shared" ca="1" si="105"/>
        <v>1.5813250578171876</v>
      </c>
      <c r="AB271" s="68">
        <f t="shared" ca="1" si="105"/>
        <v>1.6199288886413581</v>
      </c>
      <c r="AC271" s="68">
        <f t="shared" ca="1" si="105"/>
        <v>1.6594751289637744</v>
      </c>
      <c r="AD271" s="68">
        <f t="shared" ca="1" si="105"/>
        <v>1.6999867851971016</v>
      </c>
      <c r="AE271" s="68">
        <f t="shared" ca="1" si="105"/>
        <v>1.7414874253941668</v>
      </c>
      <c r="AF271" s="68">
        <f t="shared" ca="1" si="105"/>
        <v>1.7840011929589052</v>
      </c>
      <c r="AG271" s="68">
        <f t="shared" ca="1" si="105"/>
        <v>1.8275528206920222</v>
      </c>
      <c r="AH271" s="68">
        <f t="shared" ca="1" si="105"/>
        <v>1.8721676451795417</v>
      </c>
      <c r="AI271" s="68">
        <f t="shared" ca="1" si="105"/>
        <v>1.9178716215326135</v>
      </c>
      <c r="AJ271" s="68">
        <f t="shared" ca="1" si="105"/>
        <v>1.9646913384871536</v>
      </c>
      <c r="AK271" s="68">
        <f t="shared" ca="1" si="105"/>
        <v>2.0126540338721015</v>
      </c>
      <c r="AL271" s="68">
        <f t="shared" ca="1" si="105"/>
        <v>2.0617876104552946</v>
      </c>
      <c r="AM271" s="68">
        <f t="shared" ca="1" si="105"/>
        <v>2.1121206521761753</v>
      </c>
      <c r="AN271" s="68">
        <f t="shared" ca="1" si="105"/>
        <v>2.1636824407747794</v>
      </c>
      <c r="AO271" s="68">
        <f t="shared" ca="1" si="105"/>
        <v>2.2165029728266745</v>
      </c>
      <c r="AP271" s="68">
        <f t="shared" ca="1" si="105"/>
        <v>2.2706129771937613</v>
      </c>
      <c r="AQ271" s="68">
        <f t="shared" ca="1" si="105"/>
        <v>2.3260439329010905</v>
      </c>
      <c r="AR271" s="68">
        <f t="shared" ca="1" si="105"/>
        <v>2.3828280874500933</v>
      </c>
    </row>
    <row r="272" spans="1:46" s="60" customFormat="1" x14ac:dyDescent="0.2">
      <c r="A272" s="52" t="s">
        <v>135</v>
      </c>
      <c r="B272" s="54"/>
      <c r="C272" s="34" t="str">
        <f>Параметры!$C$126</f>
        <v>тыс. руб.</v>
      </c>
      <c r="D272" s="169"/>
      <c r="E272" s="85">
        <f t="shared" ref="E272:AB272" ca="1" si="106">SUM(E273:E276)</f>
        <v>-307840.15418399998</v>
      </c>
      <c r="F272" s="85">
        <f t="shared" ca="1" si="106"/>
        <v>-336377.74009649153</v>
      </c>
      <c r="G272" s="85">
        <f t="shared" ca="1" si="106"/>
        <v>-47612.226191081478</v>
      </c>
      <c r="H272" s="85">
        <f t="shared" ca="1" si="106"/>
        <v>-47540.604219899447</v>
      </c>
      <c r="I272" s="85">
        <f t="shared" ca="1" si="106"/>
        <v>-69600.229642631122</v>
      </c>
      <c r="J272" s="85">
        <f t="shared" ca="1" si="106"/>
        <v>-164002.31626760229</v>
      </c>
      <c r="K272" s="85">
        <f t="shared" ca="1" si="106"/>
        <v>-227160.16651586985</v>
      </c>
      <c r="L272" s="85">
        <f t="shared" ca="1" si="106"/>
        <v>-106701.19602502912</v>
      </c>
      <c r="M272" s="85">
        <f t="shared" ca="1" si="106"/>
        <v>-224067.44459349054</v>
      </c>
      <c r="N272" s="85">
        <f t="shared" ca="1" si="106"/>
        <v>-496433.69436828024</v>
      </c>
      <c r="O272" s="85">
        <f t="shared" ca="1" si="106"/>
        <v>-733775.10119845846</v>
      </c>
      <c r="P272" s="85">
        <f t="shared" ca="1" si="106"/>
        <v>-401626.705566725</v>
      </c>
      <c r="Q272" s="85">
        <f t="shared" ca="1" si="106"/>
        <v>-358785.53960363771</v>
      </c>
      <c r="R272" s="85">
        <f t="shared" ca="1" si="106"/>
        <v>-854471.3832537136</v>
      </c>
      <c r="S272" s="85">
        <f t="shared" ca="1" si="106"/>
        <v>-936711.06454576028</v>
      </c>
      <c r="T272" s="85">
        <f t="shared" ca="1" si="106"/>
        <v>-426347.7529571848</v>
      </c>
      <c r="U272" s="85">
        <f t="shared" ca="1" si="106"/>
        <v>247574.40566760706</v>
      </c>
      <c r="V272" s="85">
        <f t="shared" ca="1" si="106"/>
        <v>258152.5080172072</v>
      </c>
      <c r="W272" s="85">
        <f t="shared" ca="1" si="106"/>
        <v>334817.89699891908</v>
      </c>
      <c r="X272" s="85">
        <f t="shared" ca="1" si="106"/>
        <v>271914.28841773851</v>
      </c>
      <c r="Y272" s="85">
        <f t="shared" ca="1" si="106"/>
        <v>275987.63588004746</v>
      </c>
      <c r="Z272" s="85">
        <f t="shared" ca="1" si="106"/>
        <v>296623.12492414389</v>
      </c>
      <c r="AA272" s="85">
        <f t="shared" ca="1" si="106"/>
        <v>283990.72868224938</v>
      </c>
      <c r="AB272" s="85">
        <f t="shared" ca="1" si="106"/>
        <v>245715.94841071669</v>
      </c>
      <c r="AC272" s="85">
        <f t="shared" ref="AC272:AR272" ca="1" si="107">SUM(AC273:AC276)</f>
        <v>249440.1409790917</v>
      </c>
      <c r="AD272" s="85">
        <f t="shared" ca="1" si="107"/>
        <v>244887.6332867631</v>
      </c>
      <c r="AE272" s="85">
        <f t="shared" ca="1" si="107"/>
        <v>241913.20991179338</v>
      </c>
      <c r="AF272" s="85">
        <f t="shared" ca="1" si="107"/>
        <v>244605.79853089317</v>
      </c>
      <c r="AG272" s="85">
        <f t="shared" ca="1" si="107"/>
        <v>247920.66172449657</v>
      </c>
      <c r="AH272" s="85">
        <f t="shared" ca="1" si="107"/>
        <v>224733.63145050293</v>
      </c>
      <c r="AI272" s="85">
        <f t="shared" ca="1" si="107"/>
        <v>227498.9751358956</v>
      </c>
      <c r="AJ272" s="85">
        <f t="shared" ca="1" si="107"/>
        <v>230290.20968183997</v>
      </c>
      <c r="AK272" s="85">
        <f t="shared" ca="1" si="107"/>
        <v>712464.06968095736</v>
      </c>
      <c r="AL272" s="85">
        <f t="shared" ca="1" si="107"/>
        <v>186984.22065638693</v>
      </c>
      <c r="AM272" s="85">
        <f t="shared" ca="1" si="107"/>
        <v>229171.68220979616</v>
      </c>
      <c r="AN272" s="85">
        <f t="shared" ca="1" si="107"/>
        <v>231854.65195257182</v>
      </c>
      <c r="AO272" s="85">
        <f t="shared" ca="1" si="107"/>
        <v>7721782.0819571409</v>
      </c>
      <c r="AP272" s="85">
        <f t="shared" ca="1" si="107"/>
        <v>-1998119.9940400613</v>
      </c>
      <c r="AQ272" s="85">
        <f t="shared" ca="1" si="107"/>
        <v>86812.405098345975</v>
      </c>
      <c r="AR272" s="85">
        <f t="shared" ca="1" si="107"/>
        <v>84819.420833107084</v>
      </c>
      <c r="AT272" s="143">
        <f ca="1">SUM(E272:AS272)</f>
        <v>5642782.0168182952</v>
      </c>
    </row>
    <row r="273" spans="1:46" outlineLevel="1" x14ac:dyDescent="0.2">
      <c r="A273" s="63" t="s">
        <v>108</v>
      </c>
      <c r="C273" s="12" t="str">
        <f>Параметры!$C$126</f>
        <v>тыс. руб.</v>
      </c>
      <c r="D273" s="40"/>
      <c r="E273" s="82">
        <f t="shared" ref="E273:AR273" ca="1" si="108">E56</f>
        <v>-20731.544184000002</v>
      </c>
      <c r="F273" s="82">
        <f t="shared" ca="1" si="108"/>
        <v>-28857.830096491558</v>
      </c>
      <c r="G273" s="82">
        <f t="shared" ca="1" si="108"/>
        <v>-3394.4245141073006</v>
      </c>
      <c r="H273" s="82">
        <f t="shared" ca="1" si="108"/>
        <v>3646.1119675883783</v>
      </c>
      <c r="I273" s="82">
        <f t="shared" ca="1" si="108"/>
        <v>-158.59248756996385</v>
      </c>
      <c r="J273" s="82">
        <f t="shared" ca="1" si="108"/>
        <v>2950.9259840399463</v>
      </c>
      <c r="K273" s="82">
        <f t="shared" ca="1" si="108"/>
        <v>-3043.3215844785882</v>
      </c>
      <c r="L273" s="82">
        <f t="shared" ca="1" si="108"/>
        <v>-5140.4009329217843</v>
      </c>
      <c r="M273" s="82">
        <f t="shared" ca="1" si="108"/>
        <v>13926.508000697184</v>
      </c>
      <c r="N273" s="82">
        <f t="shared" ca="1" si="108"/>
        <v>7618.4829030487308</v>
      </c>
      <c r="O273" s="82">
        <f t="shared" ca="1" si="108"/>
        <v>-3270.8501765326582</v>
      </c>
      <c r="P273" s="82">
        <f t="shared" ca="1" si="108"/>
        <v>-9808.7346485550952</v>
      </c>
      <c r="Q273" s="82">
        <f t="shared" ca="1" si="108"/>
        <v>-908.68858268713666</v>
      </c>
      <c r="R273" s="82">
        <f t="shared" ca="1" si="108"/>
        <v>-10604.840379459834</v>
      </c>
      <c r="S273" s="82">
        <f t="shared" ca="1" si="108"/>
        <v>-21969.23416270662</v>
      </c>
      <c r="T273" s="82">
        <f t="shared" ca="1" si="108"/>
        <v>-25538.430311492833</v>
      </c>
      <c r="U273" s="82">
        <f t="shared" ca="1" si="108"/>
        <v>144093.45924083516</v>
      </c>
      <c r="V273" s="82">
        <f t="shared" ca="1" si="108"/>
        <v>157439.36946676535</v>
      </c>
      <c r="W273" s="82">
        <f t="shared" ca="1" si="108"/>
        <v>164004.4906709301</v>
      </c>
      <c r="X273" s="82">
        <f t="shared" ca="1" si="108"/>
        <v>170684.31446470757</v>
      </c>
      <c r="Y273" s="82">
        <f t="shared" ca="1" si="108"/>
        <v>177481.04472905857</v>
      </c>
      <c r="Z273" s="82">
        <f t="shared" ca="1" si="108"/>
        <v>184343.79330046062</v>
      </c>
      <c r="AA273" s="82">
        <f t="shared" ca="1" si="108"/>
        <v>191327.20473962842</v>
      </c>
      <c r="AB273" s="82">
        <f t="shared" ca="1" si="108"/>
        <v>198433.19677949802</v>
      </c>
      <c r="AC273" s="82">
        <f t="shared" ca="1" si="108"/>
        <v>206149.52148175257</v>
      </c>
      <c r="AD273" s="82">
        <f t="shared" ca="1" si="108"/>
        <v>205248.46200794444</v>
      </c>
      <c r="AE273" s="82">
        <f t="shared" ca="1" si="108"/>
        <v>206005.64675419102</v>
      </c>
      <c r="AF273" s="82">
        <f t="shared" ca="1" si="108"/>
        <v>212511.76704136914</v>
      </c>
      <c r="AG273" s="82">
        <f t="shared" ca="1" si="108"/>
        <v>222089.57357060959</v>
      </c>
      <c r="AH273" s="82">
        <f t="shared" ca="1" si="108"/>
        <v>202569.5497703873</v>
      </c>
      <c r="AI273" s="82">
        <f t="shared" ca="1" si="108"/>
        <v>209082.24521972981</v>
      </c>
      <c r="AJ273" s="82">
        <f t="shared" ca="1" si="108"/>
        <v>215702.94134172195</v>
      </c>
      <c r="AK273" s="82">
        <f t="shared" ca="1" si="108"/>
        <v>210474.58144255713</v>
      </c>
      <c r="AL273" s="82">
        <f t="shared" ca="1" si="108"/>
        <v>180309.45803286985</v>
      </c>
      <c r="AM273" s="82">
        <f t="shared" ca="1" si="108"/>
        <v>225797.38152274449</v>
      </c>
      <c r="AN273" s="82">
        <f t="shared" ca="1" si="108"/>
        <v>231854.65195257182</v>
      </c>
      <c r="AO273" s="82">
        <f t="shared" ca="1" si="108"/>
        <v>69740.932996482166</v>
      </c>
      <c r="AP273" s="82">
        <f t="shared" ca="1" si="108"/>
        <v>-1998119.9940400613</v>
      </c>
      <c r="AQ273" s="82">
        <f t="shared" ca="1" si="108"/>
        <v>86812.405098345975</v>
      </c>
      <c r="AR273" s="82">
        <f t="shared" ca="1" si="108"/>
        <v>84819.420833107084</v>
      </c>
      <c r="AT273" s="30">
        <f ca="1">SUM(E273:AS273)</f>
        <v>2053570.5552125778</v>
      </c>
    </row>
    <row r="274" spans="1:46" outlineLevel="1" x14ac:dyDescent="0.2">
      <c r="A274" s="63" t="s">
        <v>134</v>
      </c>
      <c r="C274" s="12" t="str">
        <f>Параметры!$C$126</f>
        <v>тыс. руб.</v>
      </c>
      <c r="D274" s="40"/>
      <c r="E274" s="82">
        <f ca="1">-E$51*(1-Параметры!E$146)</f>
        <v>14045.140000000003</v>
      </c>
      <c r="F274" s="82">
        <f ca="1">-F$51*(1-Параметры!F$146)</f>
        <v>19273.84</v>
      </c>
      <c r="G274" s="82">
        <f ca="1">-G$51*(1-Параметры!G$146)</f>
        <v>19882.19832302583</v>
      </c>
      <c r="H274" s="82">
        <f ca="1">-H$51*(1-Параметры!H$146)</f>
        <v>20605.283812512174</v>
      </c>
      <c r="I274" s="82">
        <f ca="1">-I$51*(1-Параметры!I$146)</f>
        <v>21326.362844938845</v>
      </c>
      <c r="J274" s="82">
        <f ca="1">-J$51*(1-Параметры!J$146)</f>
        <v>23241.803954961295</v>
      </c>
      <c r="K274" s="82">
        <f ca="1">-K$51*(1-Параметры!K$146)</f>
        <v>25900.810041953533</v>
      </c>
      <c r="L274" s="82">
        <f ca="1">-L$51*(1-Параметры!L$146)</f>
        <v>27019.414874623839</v>
      </c>
      <c r="M274" s="82">
        <f ca="1">-M$51*(1-Параметры!M$146)</f>
        <v>29639.519518852561</v>
      </c>
      <c r="N274" s="82">
        <f ca="1">-N$51*(1-Параметры!N$146)</f>
        <v>35672.307797869042</v>
      </c>
      <c r="O274" s="82">
        <f ca="1">-O$51*(1-Параметры!O$146)</f>
        <v>44767.271023353591</v>
      </c>
      <c r="P274" s="82">
        <f ca="1">-P$51*(1-Параметры!P$146)</f>
        <v>49535.158913950974</v>
      </c>
      <c r="Q274" s="82">
        <f ca="1">-Q$51*(1-Параметры!Q$146)</f>
        <v>51941.978354588493</v>
      </c>
      <c r="R274" s="82">
        <f ca="1">-R$51*(1-Параметры!R$146)</f>
        <v>60519.629782646873</v>
      </c>
      <c r="S274" s="82">
        <f ca="1">-S$51*(1-Параметры!S$146)</f>
        <v>70106.568232179445</v>
      </c>
      <c r="T274" s="82">
        <f ca="1">-T$51*(1-Параметры!T$146)</f>
        <v>73461.684954011769</v>
      </c>
      <c r="U274" s="82">
        <f ca="1">-U$51*(1-Параметры!U$146)</f>
        <v>70432.537511024435</v>
      </c>
      <c r="V274" s="82">
        <f ca="1">-V$51*(1-Параметры!V$146)</f>
        <v>67336.90582168776</v>
      </c>
      <c r="W274" s="82">
        <f ca="1">-W$51*(1-Параметры!W$146)</f>
        <v>64173.327421881193</v>
      </c>
      <c r="X274" s="82">
        <f ca="1">-X$51*(1-Параметры!X$146)</f>
        <v>60940.307610670025</v>
      </c>
      <c r="Y274" s="82">
        <f ca="1">-Y$51*(1-Параметры!Y$146)</f>
        <v>57636.318738349451</v>
      </c>
      <c r="Z274" s="82">
        <f ca="1">-Z$51*(1-Параметры!Z$146)</f>
        <v>54259.799478737346</v>
      </c>
      <c r="AA274" s="82">
        <f ca="1">-AA$51*(1-Параметры!AA$146)</f>
        <v>50809.154085366412</v>
      </c>
      <c r="AB274" s="82">
        <f ca="1">-AB$51*(1-Параметры!AB$146)</f>
        <v>47282.751631218678</v>
      </c>
      <c r="AC274" s="82">
        <f ca="1">-AC$51*(1-Параметры!AC$146)</f>
        <v>43290.619497339118</v>
      </c>
      <c r="AD274" s="82">
        <f ca="1">-AD$51*(1-Параметры!AD$146)</f>
        <v>39639.171278818656</v>
      </c>
      <c r="AE274" s="82">
        <f ca="1">-AE$51*(1-Параметры!AE$146)</f>
        <v>35907.563157602366</v>
      </c>
      <c r="AF274" s="82">
        <f ca="1">-AF$51*(1-Параметры!AF$146)</f>
        <v>32094.031489524015</v>
      </c>
      <c r="AG274" s="82">
        <f ca="1">-AG$51*(1-Параметры!AG$146)</f>
        <v>25831.088153886987</v>
      </c>
      <c r="AH274" s="82">
        <f ca="1">-AH$51*(1-Параметры!AH$146)</f>
        <v>22164.081680115643</v>
      </c>
      <c r="AI274" s="82">
        <f ca="1">-AI$51*(1-Параметры!AI$146)</f>
        <v>18416.729916165783</v>
      </c>
      <c r="AJ274" s="82">
        <f ca="1">-AJ$51*(1-Параметры!AJ$146)</f>
        <v>14587.26834011802</v>
      </c>
      <c r="AK274" s="82">
        <f ca="1">-AK$51*(1-Параметры!AK$146)</f>
        <v>10673.893593251967</v>
      </c>
      <c r="AL274" s="82">
        <f ca="1">-AL$51*(1-Параметры!AL$146)</f>
        <v>6674.7626235170683</v>
      </c>
      <c r="AM274" s="82">
        <f ca="1">-AM$51*(1-Параметры!AM$146)</f>
        <v>3374.3006870516665</v>
      </c>
      <c r="AN274" s="82">
        <f ca="1">-AN$51*(1-Параметры!AN$146)</f>
        <v>5.2386894822120663E-13</v>
      </c>
      <c r="AO274" s="82">
        <f ca="1">-AO$51*(1-Параметры!AO$146)</f>
        <v>5.2386894822120663E-13</v>
      </c>
      <c r="AP274" s="82">
        <f ca="1">-AP$51*(1-Параметры!AP$146)</f>
        <v>5.2386894822120663E-13</v>
      </c>
      <c r="AQ274" s="82">
        <f ca="1">-AQ$51*(1-Параметры!AQ$146)</f>
        <v>5.2386894822120663E-13</v>
      </c>
      <c r="AR274" s="82">
        <f ca="1">-AR$51*(1-Параметры!AR$146)</f>
        <v>5.2386894822120663E-13</v>
      </c>
      <c r="AT274" s="30">
        <f ca="1">SUM(E274:AS274)</f>
        <v>1312463.5851457948</v>
      </c>
    </row>
    <row r="275" spans="1:46" outlineLevel="1" x14ac:dyDescent="0.2">
      <c r="A275" s="63" t="str">
        <f>A112</f>
        <v>Целевое (бюджетное) финансирование</v>
      </c>
      <c r="C275" s="12" t="str">
        <f>Параметры!$C$126</f>
        <v>тыс. руб.</v>
      </c>
      <c r="D275" s="40"/>
      <c r="E275" s="82">
        <f>E$68</f>
        <v>0</v>
      </c>
      <c r="F275" s="82">
        <f t="shared" ref="F275:AR275" ca="1" si="109">F$68</f>
        <v>0</v>
      </c>
      <c r="G275" s="82">
        <f t="shared" ca="1" si="109"/>
        <v>0</v>
      </c>
      <c r="H275" s="82">
        <f t="shared" ca="1" si="109"/>
        <v>0</v>
      </c>
      <c r="I275" s="82">
        <f t="shared" ca="1" si="109"/>
        <v>0</v>
      </c>
      <c r="J275" s="82">
        <f t="shared" ca="1" si="109"/>
        <v>1000.0318861108526</v>
      </c>
      <c r="K275" s="82">
        <f t="shared" ca="1" si="109"/>
        <v>1000.0318861108526</v>
      </c>
      <c r="L275" s="82">
        <f t="shared" ca="1" si="109"/>
        <v>1009.441750841768</v>
      </c>
      <c r="M275" s="82">
        <f t="shared" ca="1" si="109"/>
        <v>1018.9401583036547</v>
      </c>
      <c r="N275" s="82">
        <f t="shared" ca="1" si="109"/>
        <v>1028.5279416450671</v>
      </c>
      <c r="O275" s="82">
        <f t="shared" ca="1" si="109"/>
        <v>9789.8628804723394</v>
      </c>
      <c r="P275" s="82">
        <f t="shared" ca="1" si="109"/>
        <v>1594.6509547354606</v>
      </c>
      <c r="Q275" s="82">
        <f t="shared" ca="1" si="109"/>
        <v>1612.4299840332176</v>
      </c>
      <c r="R275" s="82">
        <f t="shared" ca="1" si="109"/>
        <v>1630.4072346921009</v>
      </c>
      <c r="S275" s="82">
        <f t="shared" ca="1" si="109"/>
        <v>6213.4515893743246</v>
      </c>
      <c r="T275" s="82">
        <f t="shared" ca="1" si="109"/>
        <v>27253.662425870105</v>
      </c>
      <c r="U275" s="82">
        <f t="shared" ca="1" si="109"/>
        <v>33048.408915747459</v>
      </c>
      <c r="V275" s="82">
        <f t="shared" ca="1" si="109"/>
        <v>33376.232728754119</v>
      </c>
      <c r="W275" s="82">
        <f t="shared" ca="1" si="109"/>
        <v>106640.07890610778</v>
      </c>
      <c r="X275" s="82">
        <f t="shared" ca="1" si="109"/>
        <v>40289.666342360943</v>
      </c>
      <c r="Y275" s="82">
        <f t="shared" ca="1" si="109"/>
        <v>40870.272412639461</v>
      </c>
      <c r="Z275" s="82">
        <f t="shared" ca="1" si="109"/>
        <v>58019.532144945959</v>
      </c>
      <c r="AA275" s="82">
        <f t="shared" ca="1" si="109"/>
        <v>41854.369857254555</v>
      </c>
      <c r="AB275" s="82">
        <f t="shared" ca="1" si="109"/>
        <v>0</v>
      </c>
      <c r="AC275" s="82">
        <f t="shared" ca="1" si="109"/>
        <v>0</v>
      </c>
      <c r="AD275" s="82">
        <f t="shared" ca="1" si="109"/>
        <v>0</v>
      </c>
      <c r="AE275" s="82">
        <f t="shared" ca="1" si="109"/>
        <v>0</v>
      </c>
      <c r="AF275" s="82">
        <f t="shared" ca="1" si="109"/>
        <v>0</v>
      </c>
      <c r="AG275" s="82">
        <f t="shared" ca="1" si="109"/>
        <v>0</v>
      </c>
      <c r="AH275" s="82">
        <f t="shared" ca="1" si="109"/>
        <v>0</v>
      </c>
      <c r="AI275" s="82">
        <f t="shared" ca="1" si="109"/>
        <v>0</v>
      </c>
      <c r="AJ275" s="82">
        <f t="shared" ca="1" si="109"/>
        <v>0</v>
      </c>
      <c r="AK275" s="82">
        <f t="shared" ca="1" si="109"/>
        <v>0</v>
      </c>
      <c r="AL275" s="82">
        <f t="shared" ca="1" si="109"/>
        <v>0</v>
      </c>
      <c r="AM275" s="82">
        <f t="shared" ca="1" si="109"/>
        <v>0</v>
      </c>
      <c r="AN275" s="82">
        <f t="shared" ca="1" si="109"/>
        <v>0</v>
      </c>
      <c r="AO275" s="82">
        <f t="shared" ca="1" si="109"/>
        <v>0</v>
      </c>
      <c r="AP275" s="82">
        <f t="shared" ca="1" si="109"/>
        <v>0</v>
      </c>
      <c r="AQ275" s="82">
        <f t="shared" ca="1" si="109"/>
        <v>0</v>
      </c>
      <c r="AR275" s="82">
        <f t="shared" ca="1" si="109"/>
        <v>0</v>
      </c>
      <c r="AT275" s="30">
        <f t="shared" ref="AT275" ca="1" si="110">SUM(E275:AS275)</f>
        <v>407250</v>
      </c>
    </row>
    <row r="276" spans="1:46" outlineLevel="1" x14ac:dyDescent="0.2">
      <c r="A276" s="63" t="s">
        <v>109</v>
      </c>
      <c r="C276" s="12" t="str">
        <f>Параметры!$C$126</f>
        <v>тыс. руб.</v>
      </c>
      <c r="D276" s="40"/>
      <c r="E276" s="82">
        <f t="shared" ref="E276:AR276" si="111">E65</f>
        <v>-301153.75</v>
      </c>
      <c r="F276" s="82">
        <f t="shared" ca="1" si="111"/>
        <v>-326793.75</v>
      </c>
      <c r="G276" s="82">
        <f t="shared" ca="1" si="111"/>
        <v>-64100.000000000007</v>
      </c>
      <c r="H276" s="82">
        <f t="shared" ca="1" si="111"/>
        <v>-71792</v>
      </c>
      <c r="I276" s="82">
        <f t="shared" ca="1" si="111"/>
        <v>-90768</v>
      </c>
      <c r="J276" s="82">
        <f t="shared" ca="1" si="111"/>
        <v>-191195.07809271439</v>
      </c>
      <c r="K276" s="82">
        <f t="shared" ca="1" si="111"/>
        <v>-251017.68685945566</v>
      </c>
      <c r="L276" s="82">
        <f t="shared" ca="1" si="111"/>
        <v>-129589.65171757294</v>
      </c>
      <c r="M276" s="82">
        <f t="shared" ca="1" si="111"/>
        <v>-268652.41227134393</v>
      </c>
      <c r="N276" s="82">
        <f t="shared" ca="1" si="111"/>
        <v>-540753.01301084307</v>
      </c>
      <c r="O276" s="82">
        <f t="shared" ca="1" si="111"/>
        <v>-785061.38492575171</v>
      </c>
      <c r="P276" s="82">
        <f t="shared" ca="1" si="111"/>
        <v>-442947.78078685631</v>
      </c>
      <c r="Q276" s="82">
        <f t="shared" ca="1" si="111"/>
        <v>-411431.25935957226</v>
      </c>
      <c r="R276" s="82">
        <f t="shared" ca="1" si="111"/>
        <v>-906016.57989159273</v>
      </c>
      <c r="S276" s="82">
        <f t="shared" ca="1" si="111"/>
        <v>-991061.85020460747</v>
      </c>
      <c r="T276" s="82">
        <f t="shared" ca="1" si="111"/>
        <v>-501524.67002557381</v>
      </c>
      <c r="U276" s="82">
        <f t="shared" ca="1" si="111"/>
        <v>0</v>
      </c>
      <c r="V276" s="82">
        <f t="shared" ca="1" si="111"/>
        <v>0</v>
      </c>
      <c r="W276" s="82">
        <f t="shared" ca="1" si="111"/>
        <v>0</v>
      </c>
      <c r="X276" s="82">
        <f t="shared" ca="1" si="111"/>
        <v>0</v>
      </c>
      <c r="Y276" s="82">
        <f t="shared" ca="1" si="111"/>
        <v>0</v>
      </c>
      <c r="Z276" s="82">
        <f t="shared" ca="1" si="111"/>
        <v>0</v>
      </c>
      <c r="AA276" s="82">
        <f t="shared" ca="1" si="111"/>
        <v>0</v>
      </c>
      <c r="AB276" s="82">
        <f t="shared" ca="1" si="111"/>
        <v>0</v>
      </c>
      <c r="AC276" s="82">
        <f t="shared" ca="1" si="111"/>
        <v>0</v>
      </c>
      <c r="AD276" s="82">
        <f t="shared" ca="1" si="111"/>
        <v>0</v>
      </c>
      <c r="AE276" s="82">
        <f t="shared" ca="1" si="111"/>
        <v>0</v>
      </c>
      <c r="AF276" s="82">
        <f t="shared" ca="1" si="111"/>
        <v>0</v>
      </c>
      <c r="AG276" s="82">
        <f t="shared" ca="1" si="111"/>
        <v>0</v>
      </c>
      <c r="AH276" s="82">
        <f t="shared" ca="1" si="111"/>
        <v>0</v>
      </c>
      <c r="AI276" s="82">
        <f t="shared" ca="1" si="111"/>
        <v>0</v>
      </c>
      <c r="AJ276" s="82">
        <f t="shared" ca="1" si="111"/>
        <v>0</v>
      </c>
      <c r="AK276" s="82">
        <f t="shared" ca="1" si="111"/>
        <v>491315.59464514832</v>
      </c>
      <c r="AL276" s="82">
        <f t="shared" ca="1" si="111"/>
        <v>0</v>
      </c>
      <c r="AM276" s="82">
        <f t="shared" ca="1" si="111"/>
        <v>0</v>
      </c>
      <c r="AN276" s="82">
        <f t="shared" ca="1" si="111"/>
        <v>0</v>
      </c>
      <c r="AO276" s="82">
        <f t="shared" ca="1" si="111"/>
        <v>7652041.1489606583</v>
      </c>
      <c r="AP276" s="82">
        <f t="shared" ca="1" si="111"/>
        <v>0</v>
      </c>
      <c r="AQ276" s="82">
        <f t="shared" ca="1" si="111"/>
        <v>0</v>
      </c>
      <c r="AR276" s="82">
        <f t="shared" ca="1" si="111"/>
        <v>0</v>
      </c>
      <c r="AT276" s="30">
        <f ca="1">SUM(E276:AS276)</f>
        <v>1869497.8764599217</v>
      </c>
    </row>
    <row r="277" spans="1:46" x14ac:dyDescent="0.2">
      <c r="A277" s="44" t="s">
        <v>136</v>
      </c>
      <c r="C277" s="12" t="str">
        <f>Параметры!$C$126</f>
        <v>тыс. руб.</v>
      </c>
      <c r="D277" s="40"/>
      <c r="E277" s="82">
        <f t="shared" ref="E277:AR277" ca="1" si="112">E272/E271</f>
        <v>-307840.15418399998</v>
      </c>
      <c r="F277" s="82">
        <f t="shared" ca="1" si="112"/>
        <v>-336377.74009649153</v>
      </c>
      <c r="G277" s="82">
        <f t="shared" ca="1" si="112"/>
        <v>-47612.226191081478</v>
      </c>
      <c r="H277" s="82">
        <f t="shared" ca="1" si="112"/>
        <v>-47540.604219899447</v>
      </c>
      <c r="I277" s="82">
        <f t="shared" ca="1" si="112"/>
        <v>-67941.616410107687</v>
      </c>
      <c r="J277" s="82">
        <f t="shared" ca="1" si="112"/>
        <v>-156278.91477708324</v>
      </c>
      <c r="K277" s="82">
        <f t="shared" ca="1" si="112"/>
        <v>-211304.03281800897</v>
      </c>
      <c r="L277" s="82">
        <f t="shared" ca="1" si="112"/>
        <v>-96888.023716422889</v>
      </c>
      <c r="M277" s="82">
        <f t="shared" ca="1" si="112"/>
        <v>-198611.67479887043</v>
      </c>
      <c r="N277" s="82">
        <f t="shared" ca="1" si="112"/>
        <v>-429548.75588879758</v>
      </c>
      <c r="O277" s="82">
        <f t="shared" ca="1" si="112"/>
        <v>-619782.61258552433</v>
      </c>
      <c r="P277" s="82">
        <f t="shared" ca="1" si="112"/>
        <v>-331149.57553504221</v>
      </c>
      <c r="Q277" s="82">
        <f t="shared" ca="1" si="112"/>
        <v>-288776.43680893292</v>
      </c>
      <c r="R277" s="82">
        <f t="shared" ca="1" si="112"/>
        <v>-671350.85652414523</v>
      </c>
      <c r="S277" s="82">
        <f t="shared" ca="1" si="112"/>
        <v>-718427.38349452405</v>
      </c>
      <c r="T277" s="82">
        <f t="shared" ca="1" si="112"/>
        <v>-319202.59119696013</v>
      </c>
      <c r="U277" s="82">
        <f t="shared" ca="1" si="112"/>
        <v>180939.49647074661</v>
      </c>
      <c r="V277" s="82">
        <f t="shared" ca="1" si="112"/>
        <v>184174.36595871614</v>
      </c>
      <c r="W277" s="82">
        <f t="shared" ca="1" si="112"/>
        <v>233177.53207963987</v>
      </c>
      <c r="X277" s="82">
        <f t="shared" ca="1" si="112"/>
        <v>184856.73110963718</v>
      </c>
      <c r="Y277" s="82">
        <f t="shared" ca="1" si="112"/>
        <v>183154.70031741672</v>
      </c>
      <c r="Z277" s="82">
        <f t="shared" ca="1" si="112"/>
        <v>192158.07992643255</v>
      </c>
      <c r="AA277" s="82">
        <f t="shared" ca="1" si="112"/>
        <v>179590.35511285797</v>
      </c>
      <c r="AB277" s="82">
        <f t="shared" ca="1" si="112"/>
        <v>151683.16963394597</v>
      </c>
      <c r="AC277" s="82">
        <f t="shared" ca="1" si="112"/>
        <v>150312.67213679155</v>
      </c>
      <c r="AD277" s="82">
        <f t="shared" ca="1" si="112"/>
        <v>144052.66877316937</v>
      </c>
      <c r="AE277" s="82">
        <f t="shared" ca="1" si="112"/>
        <v>138911.83271509351</v>
      </c>
      <c r="AF277" s="82">
        <f t="shared" ca="1" si="112"/>
        <v>137110.78193013725</v>
      </c>
      <c r="AG277" s="82">
        <f t="shared" ca="1" si="112"/>
        <v>135657.17987325741</v>
      </c>
      <c r="AH277" s="82">
        <f t="shared" ca="1" si="112"/>
        <v>120039.26679811352</v>
      </c>
      <c r="AI277" s="82">
        <f t="shared" ca="1" si="112"/>
        <v>118620.54403521345</v>
      </c>
      <c r="AJ277" s="82">
        <f t="shared" ca="1" si="112"/>
        <v>117214.44746591464</v>
      </c>
      <c r="AK277" s="82">
        <f t="shared" ca="1" si="112"/>
        <v>353992.31944014895</v>
      </c>
      <c r="AL277" s="82">
        <f t="shared" ca="1" si="112"/>
        <v>90690.340609378341</v>
      </c>
      <c r="AM277" s="82">
        <f t="shared" ca="1" si="112"/>
        <v>108503.12077279977</v>
      </c>
      <c r="AN277" s="82">
        <f t="shared" ca="1" si="112"/>
        <v>107157.43104591098</v>
      </c>
      <c r="AO277" s="82">
        <f t="shared" ca="1" si="112"/>
        <v>3483767.9789392129</v>
      </c>
      <c r="AP277" s="82">
        <f t="shared" ca="1" si="112"/>
        <v>-879991.44464924501</v>
      </c>
      <c r="AQ277" s="82">
        <f t="shared" ca="1" si="112"/>
        <v>37321.911194545552</v>
      </c>
      <c r="AR277" s="82">
        <f t="shared" ca="1" si="112"/>
        <v>35596.114247534264</v>
      </c>
      <c r="AT277" s="30">
        <f ca="1">SUM(E277:AS277)</f>
        <v>1040058.3966914782</v>
      </c>
    </row>
    <row r="278" spans="1:46" x14ac:dyDescent="0.2">
      <c r="A278" s="44" t="s">
        <v>137</v>
      </c>
      <c r="C278" s="12" t="str">
        <f>Параметры!$C$126</f>
        <v>тыс. руб.</v>
      </c>
      <c r="D278" s="40"/>
      <c r="E278" s="82">
        <f t="shared" ref="E278:AR278" ca="1" si="113">E277+IF(E$2&gt;1,D278)</f>
        <v>-307840.15418399998</v>
      </c>
      <c r="F278" s="82">
        <f t="shared" ca="1" si="113"/>
        <v>-644217.89428049151</v>
      </c>
      <c r="G278" s="82">
        <f t="shared" ca="1" si="113"/>
        <v>-691830.12047157297</v>
      </c>
      <c r="H278" s="82">
        <f t="shared" ca="1" si="113"/>
        <v>-739370.72469147237</v>
      </c>
      <c r="I278" s="82">
        <f t="shared" ca="1" si="113"/>
        <v>-807312.34110158007</v>
      </c>
      <c r="J278" s="82">
        <f t="shared" ca="1" si="113"/>
        <v>-963591.25587866327</v>
      </c>
      <c r="K278" s="82">
        <f t="shared" ca="1" si="113"/>
        <v>-1174895.2886966723</v>
      </c>
      <c r="L278" s="82">
        <f t="shared" ca="1" si="113"/>
        <v>-1271783.3124130953</v>
      </c>
      <c r="M278" s="82">
        <f t="shared" ca="1" si="113"/>
        <v>-1470394.9872119657</v>
      </c>
      <c r="N278" s="82">
        <f t="shared" ca="1" si="113"/>
        <v>-1899943.7431007633</v>
      </c>
      <c r="O278" s="82">
        <f t="shared" ca="1" si="113"/>
        <v>-2519726.3556862874</v>
      </c>
      <c r="P278" s="82">
        <f t="shared" ca="1" si="113"/>
        <v>-2850875.9312213296</v>
      </c>
      <c r="Q278" s="82">
        <f t="shared" ca="1" si="113"/>
        <v>-3139652.3680302626</v>
      </c>
      <c r="R278" s="82">
        <f t="shared" ca="1" si="113"/>
        <v>-3811003.2245544079</v>
      </c>
      <c r="S278" s="82">
        <f t="shared" ca="1" si="113"/>
        <v>-4529430.6080489317</v>
      </c>
      <c r="T278" s="82">
        <f t="shared" ca="1" si="113"/>
        <v>-4848633.1992458915</v>
      </c>
      <c r="U278" s="82">
        <f t="shared" ca="1" si="113"/>
        <v>-4667693.7027751449</v>
      </c>
      <c r="V278" s="82">
        <f t="shared" ca="1" si="113"/>
        <v>-4483519.3368164292</v>
      </c>
      <c r="W278" s="82">
        <f t="shared" ca="1" si="113"/>
        <v>-4250341.8047367893</v>
      </c>
      <c r="X278" s="82">
        <f t="shared" ca="1" si="113"/>
        <v>-4065485.073627152</v>
      </c>
      <c r="Y278" s="82">
        <f t="shared" ca="1" si="113"/>
        <v>-3882330.3733097352</v>
      </c>
      <c r="Z278" s="82">
        <f t="shared" ca="1" si="113"/>
        <v>-3690172.2933833026</v>
      </c>
      <c r="AA278" s="82">
        <f t="shared" ca="1" si="113"/>
        <v>-3510581.9382704445</v>
      </c>
      <c r="AB278" s="82">
        <f t="shared" ca="1" si="113"/>
        <v>-3358898.7686364986</v>
      </c>
      <c r="AC278" s="82">
        <f t="shared" ca="1" si="113"/>
        <v>-3208586.0964997071</v>
      </c>
      <c r="AD278" s="82">
        <f t="shared" ca="1" si="113"/>
        <v>-3064533.4277265379</v>
      </c>
      <c r="AE278" s="82">
        <f t="shared" ca="1" si="113"/>
        <v>-2925621.5950114443</v>
      </c>
      <c r="AF278" s="82">
        <f t="shared" ca="1" si="113"/>
        <v>-2788510.8130813069</v>
      </c>
      <c r="AG278" s="82">
        <f t="shared" ca="1" si="113"/>
        <v>-2652853.6332080495</v>
      </c>
      <c r="AH278" s="82">
        <f t="shared" ca="1" si="113"/>
        <v>-2532814.366409936</v>
      </c>
      <c r="AI278" s="82">
        <f t="shared" ca="1" si="113"/>
        <v>-2414193.8223747225</v>
      </c>
      <c r="AJ278" s="82">
        <f t="shared" ca="1" si="113"/>
        <v>-2296979.3749088077</v>
      </c>
      <c r="AK278" s="82">
        <f t="shared" ca="1" si="113"/>
        <v>-1942987.0554686587</v>
      </c>
      <c r="AL278" s="82">
        <f t="shared" ca="1" si="113"/>
        <v>-1852296.7148592803</v>
      </c>
      <c r="AM278" s="82">
        <f t="shared" ca="1" si="113"/>
        <v>-1743793.5940864806</v>
      </c>
      <c r="AN278" s="82">
        <f t="shared" ca="1" si="113"/>
        <v>-1636636.1630405695</v>
      </c>
      <c r="AO278" s="82">
        <f t="shared" ca="1" si="113"/>
        <v>1847131.8158986433</v>
      </c>
      <c r="AP278" s="82">
        <f t="shared" ca="1" si="113"/>
        <v>967140.37124939833</v>
      </c>
      <c r="AQ278" s="82">
        <f t="shared" ca="1" si="113"/>
        <v>1004462.2824439439</v>
      </c>
      <c r="AR278" s="82">
        <f t="shared" ca="1" si="113"/>
        <v>1040058.3966914782</v>
      </c>
      <c r="AT278" s="30"/>
    </row>
    <row r="279" spans="1:46" x14ac:dyDescent="0.2">
      <c r="A279" s="44" t="s">
        <v>429</v>
      </c>
      <c r="B279" s="5">
        <f ca="1">AT277</f>
        <v>1040058.3966914782</v>
      </c>
      <c r="C279" s="12" t="str">
        <f>Параметры!$C$126</f>
        <v>тыс. руб.</v>
      </c>
      <c r="D279" s="40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</row>
    <row r="280" spans="1:46" x14ac:dyDescent="0.2">
      <c r="A280" s="44"/>
      <c r="B280" s="5"/>
      <c r="D280" s="40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</row>
    <row r="281" spans="1:46" x14ac:dyDescent="0.2">
      <c r="A281" s="44" t="s">
        <v>188</v>
      </c>
      <c r="B281" s="5">
        <f>Параметры!C245</f>
        <v>0</v>
      </c>
      <c r="C281" s="12" t="str">
        <f>Параметры!$C$126</f>
        <v>тыс. руб.</v>
      </c>
      <c r="D281" s="40"/>
      <c r="E281" s="82">
        <f>IF(E$2=1,-(Деятельность_УК!$B$60+Деятельность_УК!E$503)/Параметры!$E$126,0)*Параметры!$B$245</f>
        <v>-619403.52772894618</v>
      </c>
      <c r="F281" s="82">
        <f>IF(F$2=1,-(Деятельность_УК!$B$60+Деятельность_УК!F$503)/Параметры!$E$126,0)*Параметры!$B$245</f>
        <v>0</v>
      </c>
      <c r="G281" s="82">
        <f>IF(G$2=1,-(Деятельность_УК!$B$60+Деятельность_УК!G$503)/Параметры!$E$126,0)*Параметры!$B$245</f>
        <v>0</v>
      </c>
      <c r="H281" s="82">
        <f>IF(H$2=1,-(Деятельность_УК!$B$60+Деятельность_УК!H$503)/Параметры!$E$126,0)*Параметры!$B$245</f>
        <v>0</v>
      </c>
      <c r="I281" s="82">
        <f>IF(I$2=1,-(Деятельность_УК!$B$60+Деятельность_УК!I$503)/Параметры!$E$126,0)*Параметры!$B$245</f>
        <v>0</v>
      </c>
      <c r="J281" s="82">
        <f>IF(J$2=1,-(Деятельность_УК!$B$60+Деятельность_УК!J$503)/Параметры!$E$126,0)*Параметры!$B$245</f>
        <v>0</v>
      </c>
      <c r="K281" s="82">
        <f>IF(K$2=1,-(Деятельность_УК!$B$60+Деятельность_УК!K$503)/Параметры!$E$126,0)*Параметры!$B$245</f>
        <v>0</v>
      </c>
      <c r="L281" s="82">
        <f>IF(L$2=1,-(Деятельность_УК!$B$60+Деятельность_УК!L$503)/Параметры!$E$126,0)*Параметры!$B$245</f>
        <v>0</v>
      </c>
      <c r="M281" s="82">
        <f>IF(M$2=1,-(Деятельность_УК!$B$60+Деятельность_УК!M$503)/Параметры!$E$126,0)*Параметры!$B$245</f>
        <v>0</v>
      </c>
      <c r="N281" s="82">
        <f>IF(N$2=1,-(Деятельность_УК!$B$60+Деятельность_УК!N$503)/Параметры!$E$126,0)*Параметры!$B$245</f>
        <v>0</v>
      </c>
      <c r="O281" s="82">
        <f>IF(O$2=1,-(Деятельность_УК!$B$60+Деятельность_УК!O$503)/Параметры!$E$126,0)*Параметры!$B$245</f>
        <v>0</v>
      </c>
      <c r="P281" s="82">
        <f>IF(P$2=1,-(Деятельность_УК!$B$60+Деятельность_УК!P$503)/Параметры!$E$126,0)*Параметры!$B$245</f>
        <v>0</v>
      </c>
      <c r="Q281" s="82">
        <f>IF(Q$2=1,-(Деятельность_УК!$B$60+Деятельность_УК!Q$503)/Параметры!$E$126,0)*Параметры!$B$245</f>
        <v>0</v>
      </c>
      <c r="R281" s="82">
        <f>IF(R$2=1,-(Деятельность_УК!$B$60+Деятельность_УК!R$503)/Параметры!$E$126,0)*Параметры!$B$245</f>
        <v>0</v>
      </c>
      <c r="S281" s="82">
        <f>IF(S$2=1,-(Деятельность_УК!$B$60+Деятельность_УК!S$503)/Параметры!$E$126,0)*Параметры!$B$245</f>
        <v>0</v>
      </c>
      <c r="T281" s="82">
        <f>IF(T$2=1,-(Деятельность_УК!$B$60+Деятельность_УК!T$503)/Параметры!$E$126,0)*Параметры!$B$245</f>
        <v>0</v>
      </c>
      <c r="U281" s="82">
        <f>IF(U$2=1,-(Деятельность_УК!$B$60+Деятельность_УК!U$503)/Параметры!$E$126,0)*Параметры!$B$245</f>
        <v>0</v>
      </c>
      <c r="V281" s="82">
        <f>IF(V$2=1,-(Деятельность_УК!$B$60+Деятельность_УК!V$503)/Параметры!$E$126,0)*Параметры!$B$245</f>
        <v>0</v>
      </c>
      <c r="W281" s="82">
        <f>IF(W$2=1,-(Деятельность_УК!$B$60+Деятельность_УК!W$503)/Параметры!$E$126,0)*Параметры!$B$245</f>
        <v>0</v>
      </c>
      <c r="X281" s="82">
        <f>IF(X$2=1,-(Деятельность_УК!$B$60+Деятельность_УК!X$503)/Параметры!$E$126,0)*Параметры!$B$245</f>
        <v>0</v>
      </c>
      <c r="Y281" s="82">
        <f>IF(Y$2=1,-(Деятельность_УК!$B$60+Деятельность_УК!Y$503)/Параметры!$E$126,0)*Параметры!$B$245</f>
        <v>0</v>
      </c>
      <c r="Z281" s="82">
        <f>IF(Z$2=1,-(Деятельность_УК!$B$60+Деятельность_УК!Z$503)/Параметры!$E$126,0)*Параметры!$B$245</f>
        <v>0</v>
      </c>
      <c r="AA281" s="82">
        <f>IF(AA$2=1,-(Деятельность_УК!$B$60+Деятельность_УК!AA$503)/Параметры!$E$126,0)*Параметры!$B$245</f>
        <v>0</v>
      </c>
      <c r="AB281" s="82">
        <f>IF(AB$2=1,-(Деятельность_УК!$B$60+Деятельность_УК!AB$503)/Параметры!$E$126,0)*Параметры!$B$245</f>
        <v>0</v>
      </c>
      <c r="AC281" s="82">
        <f>IF(AC$2=1,-(Деятельность_УК!$B$60+Деятельность_УК!AC$503)/Параметры!$E$126,0)*Параметры!$B$245</f>
        <v>0</v>
      </c>
      <c r="AD281" s="82">
        <f>IF(AD$2=1,-(Деятельность_УК!$B$60+Деятельность_УК!AD$503)/Параметры!$E$126,0)*Параметры!$B$245</f>
        <v>0</v>
      </c>
      <c r="AE281" s="82">
        <f>IF(AE$2=1,-(Деятельность_УК!$B$60+Деятельность_УК!AE$503)/Параметры!$E$126,0)*Параметры!$B$245</f>
        <v>0</v>
      </c>
      <c r="AF281" s="82">
        <f>IF(AF$2=1,-(Деятельность_УК!$B$60+Деятельность_УК!AF$503)/Параметры!$E$126,0)*Параметры!$B$245</f>
        <v>0</v>
      </c>
      <c r="AG281" s="82">
        <f>IF(AG$2=1,-(Деятельность_УК!$B$60+Деятельность_УК!AG$503)/Параметры!$E$126,0)*Параметры!$B$245</f>
        <v>0</v>
      </c>
      <c r="AH281" s="82">
        <f>IF(AH$2=1,-(Деятельность_УК!$B$60+Деятельность_УК!AH$503)/Параметры!$E$126,0)*Параметры!$B$245</f>
        <v>0</v>
      </c>
      <c r="AI281" s="82">
        <f>IF(AI$2=1,-(Деятельность_УК!$B$60+Деятельность_УК!AI$503)/Параметры!$E$126,0)*Параметры!$B$245</f>
        <v>0</v>
      </c>
      <c r="AJ281" s="82">
        <f>IF(AJ$2=1,-(Деятельность_УК!$B$60+Деятельность_УК!AJ$503)/Параметры!$E$126,0)*Параметры!$B$245</f>
        <v>0</v>
      </c>
      <c r="AK281" s="82">
        <f>IF(AK$2=1,-(Деятельность_УК!$B$60+Деятельность_УК!AK$503)/Параметры!$E$126,0)*Параметры!$B$245</f>
        <v>0</v>
      </c>
      <c r="AL281" s="82">
        <f>IF(AL$2=1,-(Деятельность_УК!$B$60+Деятельность_УК!AL$503)/Параметры!$E$126,0)*Параметры!$B$245</f>
        <v>0</v>
      </c>
      <c r="AM281" s="82">
        <f>IF(AM$2=1,-(Деятельность_УК!$B$60+Деятельность_УК!AM$503)/Параметры!$E$126,0)*Параметры!$B$245</f>
        <v>0</v>
      </c>
      <c r="AN281" s="82">
        <f>IF(AN$2=1,-(Деятельность_УК!$B$60+Деятельность_УК!AN$503)/Параметры!$E$126,0)*Параметры!$B$245</f>
        <v>0</v>
      </c>
      <c r="AO281" s="82">
        <f>IF(AO$2=1,-(Деятельность_УК!$B$60+Деятельность_УК!AO$503)/Параметры!$E$126,0)*Параметры!$B$245</f>
        <v>0</v>
      </c>
      <c r="AP281" s="82">
        <f>IF(AP$2=1,-(Деятельность_УК!$B$60+Деятельность_УК!AP$503)/Параметры!$E$126,0)*Параметры!$B$245</f>
        <v>0</v>
      </c>
      <c r="AQ281" s="82">
        <f>IF(AQ$2=1,-(Деятельность_УК!$B$60+Деятельность_УК!AQ$503)/Параметры!$E$126,0)*Параметры!$B$245</f>
        <v>0</v>
      </c>
      <c r="AR281" s="82">
        <f>IF(AR$2=1,-(Деятельность_УК!$B$60+Деятельность_УК!AR$503)/Параметры!$E$126,0)*Параметры!$B$245</f>
        <v>0</v>
      </c>
      <c r="AT281" s="30">
        <f>SUM(E281:AS281)</f>
        <v>-619403.52772894618</v>
      </c>
    </row>
    <row r="282" spans="1:46" outlineLevel="1" x14ac:dyDescent="0.2">
      <c r="A282" s="63" t="s">
        <v>191</v>
      </c>
      <c r="B282" s="5"/>
      <c r="C282" s="12" t="str">
        <f>Параметры!$C$126</f>
        <v>тыс. руб.</v>
      </c>
      <c r="D282" s="40"/>
      <c r="E282" s="90">
        <f t="shared" ref="E282:AS282" ca="1" si="114">(1-E$177)*E$25</f>
        <v>-4416.3634298248926</v>
      </c>
      <c r="F282" s="90">
        <f t="shared" ca="1" si="114"/>
        <v>-4416.3634298248926</v>
      </c>
      <c r="G282" s="90">
        <f t="shared" ca="1" si="114"/>
        <v>2812.9204258347308</v>
      </c>
      <c r="H282" s="90">
        <f t="shared" ca="1" si="114"/>
        <v>8494.886983514818</v>
      </c>
      <c r="I282" s="90">
        <f t="shared" ca="1" si="114"/>
        <v>13681.891006952319</v>
      </c>
      <c r="J282" s="90">
        <f t="shared" ca="1" si="114"/>
        <v>13929.945518218137</v>
      </c>
      <c r="K282" s="90">
        <f t="shared" ca="1" si="114"/>
        <v>10427.727990945037</v>
      </c>
      <c r="L282" s="90">
        <f t="shared" ca="1" si="114"/>
        <v>7354.7711657945056</v>
      </c>
      <c r="M282" s="90">
        <f t="shared" ca="1" si="114"/>
        <v>20208.233632260031</v>
      </c>
      <c r="N282" s="90">
        <f t="shared" ca="1" si="114"/>
        <v>21214.679720009481</v>
      </c>
      <c r="O282" s="90">
        <f t="shared" ca="1" si="114"/>
        <v>21593.774015191986</v>
      </c>
      <c r="P282" s="90">
        <f t="shared" ca="1" si="114"/>
        <v>16846.787809438214</v>
      </c>
      <c r="Q282" s="90">
        <f t="shared" ca="1" si="114"/>
        <v>23340.271560576039</v>
      </c>
      <c r="R282" s="90">
        <f t="shared" ca="1" si="114"/>
        <v>24171.416061812502</v>
      </c>
      <c r="S282" s="90">
        <f t="shared" ca="1" si="114"/>
        <v>24662.997769216941</v>
      </c>
      <c r="T282" s="90">
        <f t="shared" ca="1" si="114"/>
        <v>25158.688939766973</v>
      </c>
      <c r="U282" s="90">
        <f t="shared" ca="1" si="114"/>
        <v>120321.56537980163</v>
      </c>
      <c r="V282" s="90">
        <f t="shared" ca="1" si="114"/>
        <v>128191.84299817852</v>
      </c>
      <c r="W282" s="90">
        <f t="shared" ca="1" si="114"/>
        <v>130340.71633914213</v>
      </c>
      <c r="X282" s="90">
        <f t="shared" ca="1" si="114"/>
        <v>132512.38804430456</v>
      </c>
      <c r="Y282" s="90">
        <f t="shared" ca="1" si="114"/>
        <v>134707.09570703015</v>
      </c>
      <c r="Z282" s="90">
        <f t="shared" ca="1" si="114"/>
        <v>136881.48556150432</v>
      </c>
      <c r="AA282" s="90">
        <f t="shared" ca="1" si="114"/>
        <v>139078.41206749977</v>
      </c>
      <c r="AB282" s="90">
        <f t="shared" ca="1" si="114"/>
        <v>141298.10367421183</v>
      </c>
      <c r="AC282" s="90">
        <f t="shared" ca="1" si="114"/>
        <v>130339.20789997683</v>
      </c>
      <c r="AD282" s="90">
        <f t="shared" ca="1" si="114"/>
        <v>123210.49683495892</v>
      </c>
      <c r="AE282" s="90">
        <f t="shared" ca="1" si="114"/>
        <v>125148.95724331265</v>
      </c>
      <c r="AF282" s="90">
        <f t="shared" ca="1" si="114"/>
        <v>127107.55252046701</v>
      </c>
      <c r="AG282" s="90">
        <f t="shared" ca="1" si="114"/>
        <v>102232.30418293067</v>
      </c>
      <c r="AH282" s="90">
        <f t="shared" ca="1" si="114"/>
        <v>104437.34511507039</v>
      </c>
      <c r="AI282" s="90">
        <f t="shared" ca="1" si="114"/>
        <v>106662.0039465718</v>
      </c>
      <c r="AJ282" s="90">
        <f t="shared" ca="1" si="114"/>
        <v>108906.48004350951</v>
      </c>
      <c r="AK282" s="90">
        <f t="shared" ca="1" si="114"/>
        <v>261021.84349507611</v>
      </c>
      <c r="AL282" s="90">
        <f t="shared" ca="1" si="114"/>
        <v>109187.33351383853</v>
      </c>
      <c r="AM282" s="90">
        <f t="shared" ca="1" si="114"/>
        <v>111749.29689505626</v>
      </c>
      <c r="AN282" s="90">
        <f t="shared" ca="1" si="114"/>
        <v>113975.06178612304</v>
      </c>
      <c r="AO282" s="90">
        <f t="shared" ca="1" si="114"/>
        <v>3312986.9625141677</v>
      </c>
      <c r="AP282" s="90">
        <f t="shared" ca="1" si="114"/>
        <v>52086.369299505168</v>
      </c>
      <c r="AQ282" s="90">
        <f t="shared" ca="1" si="114"/>
        <v>58779.421263207172</v>
      </c>
      <c r="AR282" s="90">
        <f t="shared" ca="1" si="114"/>
        <v>59680.861011836823</v>
      </c>
      <c r="AS282" s="90">
        <f t="shared" si="114"/>
        <v>0</v>
      </c>
      <c r="AT282" s="30">
        <f ca="1">SUM(E282:AS282)</f>
        <v>6295909.3730771616</v>
      </c>
    </row>
    <row r="283" spans="1:46" s="60" customFormat="1" x14ac:dyDescent="0.2">
      <c r="A283" s="52" t="s">
        <v>280</v>
      </c>
      <c r="B283" s="178">
        <f ca="1">AT283</f>
        <v>5023378.4890893502</v>
      </c>
      <c r="C283" s="34" t="str">
        <f>Параметры!$C$126</f>
        <v>тыс. руб.</v>
      </c>
      <c r="D283" s="169"/>
      <c r="E283" s="142">
        <f ca="1">E272+IF(Параметры!$B$245=1,E281,0)+IF(Параметры!$B$246=1,0,0)</f>
        <v>-927243.68191294617</v>
      </c>
      <c r="F283" s="142">
        <f ca="1">F272+IF(Параметры!$B$245=1,F281,0)+IF(Параметры!$B$246=1,0,0)</f>
        <v>-336377.74009649153</v>
      </c>
      <c r="G283" s="142">
        <f ca="1">G272+IF(Параметры!$B$245=1,G281,0)+IF(Параметры!$B$246=1,0,0)</f>
        <v>-47612.226191081478</v>
      </c>
      <c r="H283" s="142">
        <f ca="1">H272+IF(Параметры!$B$245=1,H281,0)+IF(Параметры!$B$246=1,0,0)</f>
        <v>-47540.604219899447</v>
      </c>
      <c r="I283" s="142">
        <f ca="1">I272+IF(Параметры!$B$245=1,I281,0)+IF(Параметры!$B$246=1,0,0)</f>
        <v>-69600.229642631122</v>
      </c>
      <c r="J283" s="142">
        <f ca="1">J272+IF(Параметры!$B$245=1,J281,0)+IF(Параметры!$B$246=1,0,0)</f>
        <v>-164002.31626760229</v>
      </c>
      <c r="K283" s="142">
        <f ca="1">K272+IF(Параметры!$B$245=1,K281,0)+IF(Параметры!$B$246=1,0,0)</f>
        <v>-227160.16651586985</v>
      </c>
      <c r="L283" s="142">
        <f ca="1">L272+IF(Параметры!$B$245=1,L281,0)+IF(Параметры!$B$246=1,0,0)</f>
        <v>-106701.19602502912</v>
      </c>
      <c r="M283" s="142">
        <f ca="1">M272+IF(Параметры!$B$245=1,M281,0)+IF(Параметры!$B$246=1,0,0)</f>
        <v>-224067.44459349054</v>
      </c>
      <c r="N283" s="142">
        <f ca="1">N272+IF(Параметры!$B$245=1,N281,0)+IF(Параметры!$B$246=1,0,0)</f>
        <v>-496433.69436828024</v>
      </c>
      <c r="O283" s="142">
        <f ca="1">O272+IF(Параметры!$B$245=1,O281,0)+IF(Параметры!$B$246=1,0,0)</f>
        <v>-733775.10119845846</v>
      </c>
      <c r="P283" s="142">
        <f ca="1">P272+IF(Параметры!$B$245=1,P281,0)+IF(Параметры!$B$246=1,0,0)</f>
        <v>-401626.705566725</v>
      </c>
      <c r="Q283" s="142">
        <f ca="1">Q272+IF(Параметры!$B$245=1,Q281,0)+IF(Параметры!$B$246=1,0,0)</f>
        <v>-358785.53960363771</v>
      </c>
      <c r="R283" s="142">
        <f ca="1">R272+IF(Параметры!$B$245=1,R281,0)+IF(Параметры!$B$246=1,0,0)</f>
        <v>-854471.3832537136</v>
      </c>
      <c r="S283" s="142">
        <f ca="1">S272+IF(Параметры!$B$245=1,S281,0)+IF(Параметры!$B$246=1,0,0)</f>
        <v>-936711.06454576028</v>
      </c>
      <c r="T283" s="142">
        <f ca="1">T272+IF(Параметры!$B$245=1,T281,0)+IF(Параметры!$B$246=1,0,0)</f>
        <v>-426347.7529571848</v>
      </c>
      <c r="U283" s="142">
        <f ca="1">U272+IF(Параметры!$B$245=1,U281,0)+IF(Параметры!$B$246=1,0,0)</f>
        <v>247574.40566760706</v>
      </c>
      <c r="V283" s="142">
        <f ca="1">V272+IF(Параметры!$B$245=1,V281,0)+IF(Параметры!$B$246=1,0,0)</f>
        <v>258152.5080172072</v>
      </c>
      <c r="W283" s="142">
        <f ca="1">W272+IF(Параметры!$B$245=1,W281,0)+IF(Параметры!$B$246=1,0,0)</f>
        <v>334817.89699891908</v>
      </c>
      <c r="X283" s="142">
        <f ca="1">X272+IF(Параметры!$B$245=1,X281,0)+IF(Параметры!$B$246=1,0,0)</f>
        <v>271914.28841773851</v>
      </c>
      <c r="Y283" s="142">
        <f ca="1">Y272+IF(Параметры!$B$245=1,Y281,0)+IF(Параметры!$B$246=1,0,0)</f>
        <v>275987.63588004746</v>
      </c>
      <c r="Z283" s="142">
        <f ca="1">Z272+IF(Параметры!$B$245=1,Z281,0)+IF(Параметры!$B$246=1,0,0)</f>
        <v>296623.12492414389</v>
      </c>
      <c r="AA283" s="142">
        <f ca="1">AA272+IF(Параметры!$B$245=1,AA281,0)+IF(Параметры!$B$246=1,0,0)</f>
        <v>283990.72868224938</v>
      </c>
      <c r="AB283" s="142">
        <f ca="1">AB272+IF(Параметры!$B$245=1,AB281,0)+IF(Параметры!$B$246=1,0,0)</f>
        <v>245715.94841071669</v>
      </c>
      <c r="AC283" s="142">
        <f ca="1">AC272+IF(Параметры!$B$245=1,AC281,0)+IF(Параметры!$B$246=1,0,0)</f>
        <v>249440.1409790917</v>
      </c>
      <c r="AD283" s="142">
        <f ca="1">AD272+IF(Параметры!$B$245=1,AD281,0)+IF(Параметры!$B$246=1,0,0)</f>
        <v>244887.6332867631</v>
      </c>
      <c r="AE283" s="142">
        <f ca="1">AE272+IF(Параметры!$B$245=1,AE281,0)+IF(Параметры!$B$246=1,0,0)</f>
        <v>241913.20991179338</v>
      </c>
      <c r="AF283" s="142">
        <f ca="1">AF272+IF(Параметры!$B$245=1,AF281,0)+IF(Параметры!$B$246=1,0,0)</f>
        <v>244605.79853089317</v>
      </c>
      <c r="AG283" s="142">
        <f ca="1">AG272+IF(Параметры!$B$245=1,AG281,0)+IF(Параметры!$B$246=1,0,0)</f>
        <v>247920.66172449657</v>
      </c>
      <c r="AH283" s="142">
        <f ca="1">AH272+IF(Параметры!$B$245=1,AH281,0)+IF(Параметры!$B$246=1,0,0)</f>
        <v>224733.63145050293</v>
      </c>
      <c r="AI283" s="142">
        <f ca="1">AI272+IF(Параметры!$B$245=1,AI281,0)+IF(Параметры!$B$246=1,0,0)</f>
        <v>227498.9751358956</v>
      </c>
      <c r="AJ283" s="142">
        <f ca="1">AJ272+IF(Параметры!$B$245=1,AJ281,0)+IF(Параметры!$B$246=1,0,0)</f>
        <v>230290.20968183997</v>
      </c>
      <c r="AK283" s="142">
        <f ca="1">AK272+IF(Параметры!$B$245=1,AK281,0)+IF(Параметры!$B$246=1,0,0)</f>
        <v>712464.06968095736</v>
      </c>
      <c r="AL283" s="142">
        <f ca="1">AL272+IF(Параметры!$B$245=1,AL281,0)+IF(Параметры!$B$246=1,0,0)</f>
        <v>186984.22065638693</v>
      </c>
      <c r="AM283" s="142">
        <f ca="1">AM272+IF(Параметры!$B$245=1,AM281,0)+IF(Параметры!$B$246=1,0,0)</f>
        <v>229171.68220979616</v>
      </c>
      <c r="AN283" s="142">
        <f ca="1">AN272+IF(Параметры!$B$245=1,AN281,0)+IF(Параметры!$B$246=1,0,0)</f>
        <v>231854.65195257182</v>
      </c>
      <c r="AO283" s="142">
        <f ca="1">AO272+IF(Параметры!$B$245=1,AO281,0)+IF(Параметры!$B$246=1,0,0)</f>
        <v>7721782.0819571409</v>
      </c>
      <c r="AP283" s="142">
        <f ca="1">AP272+IF(Параметры!$B$245=1,AP281,0)+IF(Параметры!$B$246=1,0,0)</f>
        <v>-1998119.9940400613</v>
      </c>
      <c r="AQ283" s="142">
        <f ca="1">AQ272+IF(Параметры!$B$245=1,AQ281,0)+IF(Параметры!$B$246=1,0,0)</f>
        <v>86812.405098345975</v>
      </c>
      <c r="AR283" s="142">
        <f ca="1">AR272+IF(Параметры!$B$245=1,AR281,0)+IF(Параметры!$B$246=1,0,0)</f>
        <v>84819.420833107084</v>
      </c>
      <c r="AT283" s="85">
        <f ca="1">SUM(E283:AS283)</f>
        <v>5023378.4890893502</v>
      </c>
    </row>
    <row r="284" spans="1:46" s="60" customFormat="1" x14ac:dyDescent="0.2">
      <c r="A284" s="44" t="s">
        <v>330</v>
      </c>
      <c r="B284" s="178"/>
      <c r="C284" s="12" t="str">
        <f>C285</f>
        <v>тыс. руб.</v>
      </c>
      <c r="D284" s="40"/>
      <c r="E284" s="90">
        <f t="shared" ref="E284:AR284" ca="1" si="115">E283+IF(E$2&gt;1,D284)</f>
        <v>-927243.68191294617</v>
      </c>
      <c r="F284" s="90">
        <f t="shared" ca="1" si="115"/>
        <v>-1263621.4220094378</v>
      </c>
      <c r="G284" s="90">
        <f t="shared" ca="1" si="115"/>
        <v>-1311233.6482005194</v>
      </c>
      <c r="H284" s="90">
        <f t="shared" ca="1" si="115"/>
        <v>-1358774.2524204189</v>
      </c>
      <c r="I284" s="90">
        <f t="shared" ca="1" si="115"/>
        <v>-1428374.4820630499</v>
      </c>
      <c r="J284" s="90">
        <f t="shared" ca="1" si="115"/>
        <v>-1592376.7983306523</v>
      </c>
      <c r="K284" s="90">
        <f t="shared" ca="1" si="115"/>
        <v>-1819536.9648465221</v>
      </c>
      <c r="L284" s="90">
        <f t="shared" ca="1" si="115"/>
        <v>-1926238.1608715511</v>
      </c>
      <c r="M284" s="90">
        <f t="shared" ca="1" si="115"/>
        <v>-2150305.6054650415</v>
      </c>
      <c r="N284" s="90">
        <f t="shared" ca="1" si="115"/>
        <v>-2646739.2998333219</v>
      </c>
      <c r="O284" s="90">
        <f t="shared" ca="1" si="115"/>
        <v>-3380514.4010317805</v>
      </c>
      <c r="P284" s="90">
        <f t="shared" ca="1" si="115"/>
        <v>-3782141.1065985058</v>
      </c>
      <c r="Q284" s="90">
        <f t="shared" ca="1" si="115"/>
        <v>-4140926.6462021433</v>
      </c>
      <c r="R284" s="90">
        <f t="shared" ca="1" si="115"/>
        <v>-4995398.0294558574</v>
      </c>
      <c r="S284" s="90">
        <f t="shared" ca="1" si="115"/>
        <v>-5932109.0940016173</v>
      </c>
      <c r="T284" s="90">
        <f t="shared" ca="1" si="115"/>
        <v>-6358456.8469588021</v>
      </c>
      <c r="U284" s="90">
        <f t="shared" ca="1" si="115"/>
        <v>-6110882.4412911953</v>
      </c>
      <c r="V284" s="90">
        <f t="shared" ca="1" si="115"/>
        <v>-5852729.9332739878</v>
      </c>
      <c r="W284" s="90">
        <f t="shared" ca="1" si="115"/>
        <v>-5517912.0362750683</v>
      </c>
      <c r="X284" s="90">
        <f t="shared" ca="1" si="115"/>
        <v>-5245997.7478573294</v>
      </c>
      <c r="Y284" s="90">
        <f t="shared" ca="1" si="115"/>
        <v>-4970010.111977282</v>
      </c>
      <c r="Z284" s="90">
        <f t="shared" ca="1" si="115"/>
        <v>-4673386.9870531382</v>
      </c>
      <c r="AA284" s="90">
        <f t="shared" ca="1" si="115"/>
        <v>-4389396.2583708884</v>
      </c>
      <c r="AB284" s="90">
        <f t="shared" ca="1" si="115"/>
        <v>-4143680.3099601716</v>
      </c>
      <c r="AC284" s="90">
        <f t="shared" ca="1" si="115"/>
        <v>-3894240.1689810799</v>
      </c>
      <c r="AD284" s="90">
        <f t="shared" ca="1" si="115"/>
        <v>-3649352.535694317</v>
      </c>
      <c r="AE284" s="90">
        <f t="shared" ca="1" si="115"/>
        <v>-3407439.3257825235</v>
      </c>
      <c r="AF284" s="90">
        <f t="shared" ca="1" si="115"/>
        <v>-3162833.5272516301</v>
      </c>
      <c r="AG284" s="90">
        <f t="shared" ca="1" si="115"/>
        <v>-2914912.8655271335</v>
      </c>
      <c r="AH284" s="90">
        <f t="shared" ca="1" si="115"/>
        <v>-2690179.2340766303</v>
      </c>
      <c r="AI284" s="90">
        <f t="shared" ca="1" si="115"/>
        <v>-2462680.2589407349</v>
      </c>
      <c r="AJ284" s="90">
        <f t="shared" ca="1" si="115"/>
        <v>-2232390.0492588948</v>
      </c>
      <c r="AK284" s="90">
        <f t="shared" ca="1" si="115"/>
        <v>-1519925.9795779374</v>
      </c>
      <c r="AL284" s="90">
        <f t="shared" ca="1" si="115"/>
        <v>-1332941.7589215506</v>
      </c>
      <c r="AM284" s="90">
        <f t="shared" ca="1" si="115"/>
        <v>-1103770.0767117543</v>
      </c>
      <c r="AN284" s="90">
        <f t="shared" ca="1" si="115"/>
        <v>-871915.4247591825</v>
      </c>
      <c r="AO284" s="90">
        <f t="shared" ca="1" si="115"/>
        <v>6849866.6571979588</v>
      </c>
      <c r="AP284" s="90">
        <f t="shared" ca="1" si="115"/>
        <v>4851746.6631578971</v>
      </c>
      <c r="AQ284" s="90">
        <f t="shared" ca="1" si="115"/>
        <v>4938559.0682562431</v>
      </c>
      <c r="AR284" s="90">
        <f t="shared" ca="1" si="115"/>
        <v>5023378.4890893502</v>
      </c>
      <c r="AT284" s="85"/>
    </row>
    <row r="285" spans="1:46" x14ac:dyDescent="0.2">
      <c r="A285" s="44" t="s">
        <v>136</v>
      </c>
      <c r="B285" s="5">
        <f ca="1">AT285</f>
        <v>420654.86896252848</v>
      </c>
      <c r="C285" s="12" t="str">
        <f>Параметры!$C$126</f>
        <v>тыс. руб.</v>
      </c>
      <c r="D285" s="40"/>
      <c r="E285" s="90">
        <f t="shared" ref="E285:AR285" ca="1" si="116">E283/E271</f>
        <v>-927243.68191294617</v>
      </c>
      <c r="F285" s="90">
        <f t="shared" ca="1" si="116"/>
        <v>-336377.74009649153</v>
      </c>
      <c r="G285" s="90">
        <f t="shared" ca="1" si="116"/>
        <v>-47612.226191081478</v>
      </c>
      <c r="H285" s="90">
        <f t="shared" ca="1" si="116"/>
        <v>-47540.604219899447</v>
      </c>
      <c r="I285" s="90">
        <f t="shared" ca="1" si="116"/>
        <v>-67941.616410107687</v>
      </c>
      <c r="J285" s="90">
        <f t="shared" ca="1" si="116"/>
        <v>-156278.91477708324</v>
      </c>
      <c r="K285" s="90">
        <f t="shared" ca="1" si="116"/>
        <v>-211304.03281800897</v>
      </c>
      <c r="L285" s="90">
        <f t="shared" ca="1" si="116"/>
        <v>-96888.023716422889</v>
      </c>
      <c r="M285" s="90">
        <f t="shared" ca="1" si="116"/>
        <v>-198611.67479887043</v>
      </c>
      <c r="N285" s="90">
        <f t="shared" ca="1" si="116"/>
        <v>-429548.75588879758</v>
      </c>
      <c r="O285" s="90">
        <f t="shared" ca="1" si="116"/>
        <v>-619782.61258552433</v>
      </c>
      <c r="P285" s="90">
        <f t="shared" ca="1" si="116"/>
        <v>-331149.57553504221</v>
      </c>
      <c r="Q285" s="90">
        <f t="shared" ca="1" si="116"/>
        <v>-288776.43680893292</v>
      </c>
      <c r="R285" s="90">
        <f t="shared" ca="1" si="116"/>
        <v>-671350.85652414523</v>
      </c>
      <c r="S285" s="90">
        <f t="shared" ca="1" si="116"/>
        <v>-718427.38349452405</v>
      </c>
      <c r="T285" s="90">
        <f t="shared" ca="1" si="116"/>
        <v>-319202.59119696013</v>
      </c>
      <c r="U285" s="90">
        <f t="shared" ca="1" si="116"/>
        <v>180939.49647074661</v>
      </c>
      <c r="V285" s="90">
        <f t="shared" ca="1" si="116"/>
        <v>184174.36595871614</v>
      </c>
      <c r="W285" s="90">
        <f t="shared" ca="1" si="116"/>
        <v>233177.53207963987</v>
      </c>
      <c r="X285" s="90">
        <f t="shared" ca="1" si="116"/>
        <v>184856.73110963718</v>
      </c>
      <c r="Y285" s="90">
        <f t="shared" ca="1" si="116"/>
        <v>183154.70031741672</v>
      </c>
      <c r="Z285" s="90">
        <f t="shared" ca="1" si="116"/>
        <v>192158.07992643255</v>
      </c>
      <c r="AA285" s="90">
        <f t="shared" ca="1" si="116"/>
        <v>179590.35511285797</v>
      </c>
      <c r="AB285" s="90">
        <f t="shared" ca="1" si="116"/>
        <v>151683.16963394597</v>
      </c>
      <c r="AC285" s="90">
        <f t="shared" ca="1" si="116"/>
        <v>150312.67213679155</v>
      </c>
      <c r="AD285" s="90">
        <f t="shared" ca="1" si="116"/>
        <v>144052.66877316937</v>
      </c>
      <c r="AE285" s="90">
        <f t="shared" ca="1" si="116"/>
        <v>138911.83271509351</v>
      </c>
      <c r="AF285" s="90">
        <f t="shared" ca="1" si="116"/>
        <v>137110.78193013725</v>
      </c>
      <c r="AG285" s="90">
        <f t="shared" ca="1" si="116"/>
        <v>135657.17987325741</v>
      </c>
      <c r="AH285" s="90">
        <f t="shared" ca="1" si="116"/>
        <v>120039.26679811352</v>
      </c>
      <c r="AI285" s="90">
        <f t="shared" ca="1" si="116"/>
        <v>118620.54403521345</v>
      </c>
      <c r="AJ285" s="90">
        <f t="shared" ca="1" si="116"/>
        <v>117214.44746591464</v>
      </c>
      <c r="AK285" s="90">
        <f t="shared" ca="1" si="116"/>
        <v>353992.31944014895</v>
      </c>
      <c r="AL285" s="90">
        <f t="shared" ca="1" si="116"/>
        <v>90690.340609378341</v>
      </c>
      <c r="AM285" s="90">
        <f t="shared" ca="1" si="116"/>
        <v>108503.12077279977</v>
      </c>
      <c r="AN285" s="90">
        <f t="shared" ca="1" si="116"/>
        <v>107157.43104591098</v>
      </c>
      <c r="AO285" s="90">
        <f t="shared" ca="1" si="116"/>
        <v>3483767.9789392129</v>
      </c>
      <c r="AP285" s="90">
        <f t="shared" ca="1" si="116"/>
        <v>-879991.44464924501</v>
      </c>
      <c r="AQ285" s="90">
        <f t="shared" ca="1" si="116"/>
        <v>37321.911194545552</v>
      </c>
      <c r="AR285" s="90">
        <f t="shared" ca="1" si="116"/>
        <v>35596.114247534264</v>
      </c>
      <c r="AT285" s="30">
        <f ca="1">SUM(E285:AS285)</f>
        <v>420654.86896252848</v>
      </c>
    </row>
    <row r="286" spans="1:46" x14ac:dyDescent="0.2">
      <c r="A286" s="44" t="s">
        <v>137</v>
      </c>
      <c r="B286" s="5"/>
      <c r="C286" s="12" t="str">
        <f>Параметры!$C$126</f>
        <v>тыс. руб.</v>
      </c>
      <c r="D286" s="40"/>
      <c r="E286" s="90">
        <f t="shared" ref="E286:AR286" ca="1" si="117">E285+IF(E$2&gt;1,D286)</f>
        <v>-927243.68191294617</v>
      </c>
      <c r="F286" s="90">
        <f t="shared" ca="1" si="117"/>
        <v>-1263621.4220094378</v>
      </c>
      <c r="G286" s="90">
        <f t="shared" ca="1" si="117"/>
        <v>-1311233.6482005194</v>
      </c>
      <c r="H286" s="90">
        <f t="shared" ca="1" si="117"/>
        <v>-1358774.2524204189</v>
      </c>
      <c r="I286" s="90">
        <f t="shared" ca="1" si="117"/>
        <v>-1426715.8688305265</v>
      </c>
      <c r="J286" s="90">
        <f t="shared" ca="1" si="117"/>
        <v>-1582994.7836076098</v>
      </c>
      <c r="K286" s="90">
        <f t="shared" ca="1" si="117"/>
        <v>-1794298.8164256187</v>
      </c>
      <c r="L286" s="90">
        <f t="shared" ca="1" si="117"/>
        <v>-1891186.8401420417</v>
      </c>
      <c r="M286" s="90">
        <f t="shared" ca="1" si="117"/>
        <v>-2089798.5149409121</v>
      </c>
      <c r="N286" s="90">
        <f t="shared" ca="1" si="117"/>
        <v>-2519347.2708297097</v>
      </c>
      <c r="O286" s="90">
        <f t="shared" ca="1" si="117"/>
        <v>-3139129.8834152343</v>
      </c>
      <c r="P286" s="90">
        <f t="shared" ca="1" si="117"/>
        <v>-3470279.4589502765</v>
      </c>
      <c r="Q286" s="90">
        <f t="shared" ca="1" si="117"/>
        <v>-3759055.8957592095</v>
      </c>
      <c r="R286" s="90">
        <f t="shared" ca="1" si="117"/>
        <v>-4430406.7522833552</v>
      </c>
      <c r="S286" s="90">
        <f t="shared" ca="1" si="117"/>
        <v>-5148834.1357778795</v>
      </c>
      <c r="T286" s="90">
        <f t="shared" ca="1" si="117"/>
        <v>-5468036.7269748393</v>
      </c>
      <c r="U286" s="90">
        <f t="shared" ca="1" si="117"/>
        <v>-5287097.2305040928</v>
      </c>
      <c r="V286" s="90">
        <f t="shared" ca="1" si="117"/>
        <v>-5102922.864545377</v>
      </c>
      <c r="W286" s="90">
        <f t="shared" ca="1" si="117"/>
        <v>-4869745.3324657371</v>
      </c>
      <c r="X286" s="90">
        <f t="shared" ca="1" si="117"/>
        <v>-4684888.6013561003</v>
      </c>
      <c r="Y286" s="90">
        <f t="shared" ca="1" si="117"/>
        <v>-4501733.901038684</v>
      </c>
      <c r="Z286" s="90">
        <f t="shared" ca="1" si="117"/>
        <v>-4309575.8211122518</v>
      </c>
      <c r="AA286" s="90">
        <f t="shared" ca="1" si="117"/>
        <v>-4129985.4659993937</v>
      </c>
      <c r="AB286" s="90">
        <f t="shared" ca="1" si="117"/>
        <v>-3978302.2963654478</v>
      </c>
      <c r="AC286" s="90">
        <f t="shared" ca="1" si="117"/>
        <v>-3827989.6242286563</v>
      </c>
      <c r="AD286" s="90">
        <f t="shared" ca="1" si="117"/>
        <v>-3683936.9554554871</v>
      </c>
      <c r="AE286" s="90">
        <f t="shared" ca="1" si="117"/>
        <v>-3545025.1227403935</v>
      </c>
      <c r="AF286" s="90">
        <f t="shared" ca="1" si="117"/>
        <v>-3407914.3408102561</v>
      </c>
      <c r="AG286" s="90">
        <f t="shared" ca="1" si="117"/>
        <v>-3272257.1609369987</v>
      </c>
      <c r="AH286" s="90">
        <f t="shared" ca="1" si="117"/>
        <v>-3152217.8941388852</v>
      </c>
      <c r="AI286" s="90">
        <f t="shared" ca="1" si="117"/>
        <v>-3033597.3501036717</v>
      </c>
      <c r="AJ286" s="90">
        <f t="shared" ca="1" si="117"/>
        <v>-2916382.9026377569</v>
      </c>
      <c r="AK286" s="90">
        <f t="shared" ca="1" si="117"/>
        <v>-2562390.5831976081</v>
      </c>
      <c r="AL286" s="90">
        <f t="shared" ca="1" si="117"/>
        <v>-2471700.2425882299</v>
      </c>
      <c r="AM286" s="90">
        <f t="shared" ca="1" si="117"/>
        <v>-2363197.12181543</v>
      </c>
      <c r="AN286" s="90">
        <f t="shared" ca="1" si="117"/>
        <v>-2256039.6907695192</v>
      </c>
      <c r="AO286" s="90">
        <f t="shared" ca="1" si="117"/>
        <v>1227728.2881696937</v>
      </c>
      <c r="AP286" s="90">
        <f t="shared" ca="1" si="117"/>
        <v>347736.84352044866</v>
      </c>
      <c r="AQ286" s="90">
        <f t="shared" ca="1" si="117"/>
        <v>385058.75471499423</v>
      </c>
      <c r="AR286" s="90">
        <f t="shared" ca="1" si="117"/>
        <v>420654.86896252848</v>
      </c>
    </row>
    <row r="287" spans="1:46" x14ac:dyDescent="0.2">
      <c r="A287" s="44"/>
      <c r="B287" s="5"/>
      <c r="D287" s="40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</row>
    <row r="288" spans="1:46" x14ac:dyDescent="0.2">
      <c r="A288" s="52" t="s">
        <v>138</v>
      </c>
      <c r="B288" s="179">
        <f ca="1">AT285</f>
        <v>420654.86896252848</v>
      </c>
      <c r="C288" s="12" t="str">
        <f>Параметры!$C$126</f>
        <v>тыс. руб.</v>
      </c>
      <c r="D288" s="40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</row>
    <row r="289" spans="1:46" x14ac:dyDescent="0.2">
      <c r="A289" s="44"/>
      <c r="D289" s="40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</row>
    <row r="290" spans="1:46" x14ac:dyDescent="0.2">
      <c r="A290" s="52" t="s">
        <v>139</v>
      </c>
      <c r="B290" s="177">
        <f ca="1">IFERROR(IF(POWER(1+IRR(E283:AS283,B269),360/Параметры!B$12)-1&gt;999%,"-",POWER(1+IRR(E283:AS283,B269),360/Параметры!B$12)-1),"-")</f>
        <v>0.11330118433313929</v>
      </c>
      <c r="C290" s="12" t="s">
        <v>1</v>
      </c>
      <c r="D290" s="40"/>
      <c r="E290" s="104"/>
    </row>
    <row r="291" spans="1:46" x14ac:dyDescent="0.2">
      <c r="A291" s="49" t="s">
        <v>140</v>
      </c>
      <c r="B291" s="180">
        <f ca="1">IFERROR(POWER(1+MIRR(E283:AS283,B269,Параметры!B$249),360/Параметры!B$12)-1,"-")</f>
        <v>0.3254697624843037</v>
      </c>
      <c r="C291" s="12" t="s">
        <v>1</v>
      </c>
      <c r="D291" s="40"/>
    </row>
    <row r="292" spans="1:46" x14ac:dyDescent="0.2">
      <c r="A292" s="49"/>
      <c r="B292" s="180"/>
      <c r="D292" s="40"/>
    </row>
    <row r="293" spans="1:46" collapsed="1" x14ac:dyDescent="0.2">
      <c r="A293" s="50" t="s">
        <v>416</v>
      </c>
      <c r="B293" s="211">
        <f ca="1">IF(AT295&lt;0,AT294/-AT295,"0")</f>
        <v>1.0662654382730803</v>
      </c>
      <c r="C293" s="12" t="s">
        <v>133</v>
      </c>
      <c r="D293" s="40"/>
    </row>
    <row r="294" spans="1:46" s="82" customFormat="1" outlineLevel="1" x14ac:dyDescent="0.2">
      <c r="A294" s="212" t="s">
        <v>331</v>
      </c>
      <c r="B294" s="213"/>
      <c r="C294" s="214" t="str">
        <f>Параметры!$C$126</f>
        <v>тыс. руб.</v>
      </c>
      <c r="D294" s="121"/>
      <c r="E294" s="82">
        <f t="shared" ref="E294:AR294" ca="1" si="118">MAX(0,E283/E271)</f>
        <v>0</v>
      </c>
      <c r="F294" s="82">
        <f t="shared" ca="1" si="118"/>
        <v>0</v>
      </c>
      <c r="G294" s="82">
        <f t="shared" ca="1" si="118"/>
        <v>0</v>
      </c>
      <c r="H294" s="82">
        <f t="shared" ca="1" si="118"/>
        <v>0</v>
      </c>
      <c r="I294" s="82">
        <f t="shared" ca="1" si="118"/>
        <v>0</v>
      </c>
      <c r="J294" s="82">
        <f t="shared" ca="1" si="118"/>
        <v>0</v>
      </c>
      <c r="K294" s="82">
        <f t="shared" ca="1" si="118"/>
        <v>0</v>
      </c>
      <c r="L294" s="82">
        <f t="shared" ca="1" si="118"/>
        <v>0</v>
      </c>
      <c r="M294" s="82">
        <f t="shared" ca="1" si="118"/>
        <v>0</v>
      </c>
      <c r="N294" s="82">
        <f t="shared" ca="1" si="118"/>
        <v>0</v>
      </c>
      <c r="O294" s="82">
        <f t="shared" ca="1" si="118"/>
        <v>0</v>
      </c>
      <c r="P294" s="82">
        <f t="shared" ca="1" si="118"/>
        <v>0</v>
      </c>
      <c r="Q294" s="82">
        <f t="shared" ca="1" si="118"/>
        <v>0</v>
      </c>
      <c r="R294" s="82">
        <f t="shared" ca="1" si="118"/>
        <v>0</v>
      </c>
      <c r="S294" s="82">
        <f t="shared" ca="1" si="118"/>
        <v>0</v>
      </c>
      <c r="T294" s="82">
        <f t="shared" ca="1" si="118"/>
        <v>0</v>
      </c>
      <c r="U294" s="82">
        <f t="shared" ca="1" si="118"/>
        <v>180939.49647074661</v>
      </c>
      <c r="V294" s="82">
        <f t="shared" ca="1" si="118"/>
        <v>184174.36595871614</v>
      </c>
      <c r="W294" s="82">
        <f t="shared" ca="1" si="118"/>
        <v>233177.53207963987</v>
      </c>
      <c r="X294" s="82">
        <f t="shared" ca="1" si="118"/>
        <v>184856.73110963718</v>
      </c>
      <c r="Y294" s="82">
        <f t="shared" ca="1" si="118"/>
        <v>183154.70031741672</v>
      </c>
      <c r="Z294" s="82">
        <f t="shared" ca="1" si="118"/>
        <v>192158.07992643255</v>
      </c>
      <c r="AA294" s="82">
        <f t="shared" ca="1" si="118"/>
        <v>179590.35511285797</v>
      </c>
      <c r="AB294" s="82">
        <f t="shared" ca="1" si="118"/>
        <v>151683.16963394597</v>
      </c>
      <c r="AC294" s="82">
        <f t="shared" ca="1" si="118"/>
        <v>150312.67213679155</v>
      </c>
      <c r="AD294" s="82">
        <f t="shared" ca="1" si="118"/>
        <v>144052.66877316937</v>
      </c>
      <c r="AE294" s="82">
        <f t="shared" ca="1" si="118"/>
        <v>138911.83271509351</v>
      </c>
      <c r="AF294" s="82">
        <f t="shared" ca="1" si="118"/>
        <v>137110.78193013725</v>
      </c>
      <c r="AG294" s="82">
        <f t="shared" ca="1" si="118"/>
        <v>135657.17987325741</v>
      </c>
      <c r="AH294" s="82">
        <f t="shared" ca="1" si="118"/>
        <v>120039.26679811352</v>
      </c>
      <c r="AI294" s="82">
        <f t="shared" ca="1" si="118"/>
        <v>118620.54403521345</v>
      </c>
      <c r="AJ294" s="82">
        <f t="shared" ca="1" si="118"/>
        <v>117214.44746591464</v>
      </c>
      <c r="AK294" s="82">
        <f t="shared" ca="1" si="118"/>
        <v>353992.31944014895</v>
      </c>
      <c r="AL294" s="82">
        <f t="shared" ca="1" si="118"/>
        <v>90690.340609378341</v>
      </c>
      <c r="AM294" s="82">
        <f t="shared" ca="1" si="118"/>
        <v>108503.12077279977</v>
      </c>
      <c r="AN294" s="82">
        <f t="shared" ca="1" si="118"/>
        <v>107157.43104591098</v>
      </c>
      <c r="AO294" s="82">
        <f t="shared" ca="1" si="118"/>
        <v>3483767.9789392129</v>
      </c>
      <c r="AP294" s="82">
        <f t="shared" ca="1" si="118"/>
        <v>0</v>
      </c>
      <c r="AQ294" s="82">
        <f t="shared" ca="1" si="118"/>
        <v>37321.911194545552</v>
      </c>
      <c r="AR294" s="82">
        <f t="shared" ca="1" si="118"/>
        <v>35596.114247534264</v>
      </c>
      <c r="AT294" s="30">
        <f ca="1">SUM(E294:AS294)</f>
        <v>6768683.040586614</v>
      </c>
    </row>
    <row r="295" spans="1:46" s="82" customFormat="1" outlineLevel="1" x14ac:dyDescent="0.2">
      <c r="A295" s="212" t="s">
        <v>332</v>
      </c>
      <c r="B295" s="213"/>
      <c r="C295" s="214" t="str">
        <f>Параметры!$C$126</f>
        <v>тыс. руб.</v>
      </c>
      <c r="D295" s="121"/>
      <c r="E295" s="82">
        <f t="shared" ref="E295:AR295" ca="1" si="119">MIN(0,E283/E271)</f>
        <v>-927243.68191294617</v>
      </c>
      <c r="F295" s="82">
        <f t="shared" ca="1" si="119"/>
        <v>-336377.74009649153</v>
      </c>
      <c r="G295" s="82">
        <f t="shared" ca="1" si="119"/>
        <v>-47612.226191081478</v>
      </c>
      <c r="H295" s="82">
        <f t="shared" ca="1" si="119"/>
        <v>-47540.604219899447</v>
      </c>
      <c r="I295" s="82">
        <f t="shared" ca="1" si="119"/>
        <v>-67941.616410107687</v>
      </c>
      <c r="J295" s="82">
        <f t="shared" ca="1" si="119"/>
        <v>-156278.91477708324</v>
      </c>
      <c r="K295" s="82">
        <f t="shared" ca="1" si="119"/>
        <v>-211304.03281800897</v>
      </c>
      <c r="L295" s="82">
        <f t="shared" ca="1" si="119"/>
        <v>-96888.023716422889</v>
      </c>
      <c r="M295" s="82">
        <f t="shared" ca="1" si="119"/>
        <v>-198611.67479887043</v>
      </c>
      <c r="N295" s="82">
        <f t="shared" ca="1" si="119"/>
        <v>-429548.75588879758</v>
      </c>
      <c r="O295" s="82">
        <f t="shared" ca="1" si="119"/>
        <v>-619782.61258552433</v>
      </c>
      <c r="P295" s="82">
        <f t="shared" ca="1" si="119"/>
        <v>-331149.57553504221</v>
      </c>
      <c r="Q295" s="82">
        <f t="shared" ca="1" si="119"/>
        <v>-288776.43680893292</v>
      </c>
      <c r="R295" s="82">
        <f t="shared" ca="1" si="119"/>
        <v>-671350.85652414523</v>
      </c>
      <c r="S295" s="82">
        <f t="shared" ca="1" si="119"/>
        <v>-718427.38349452405</v>
      </c>
      <c r="T295" s="82">
        <f t="shared" ca="1" si="119"/>
        <v>-319202.59119696013</v>
      </c>
      <c r="U295" s="82">
        <f t="shared" ca="1" si="119"/>
        <v>0</v>
      </c>
      <c r="V295" s="82">
        <f t="shared" ca="1" si="119"/>
        <v>0</v>
      </c>
      <c r="W295" s="82">
        <f t="shared" ca="1" si="119"/>
        <v>0</v>
      </c>
      <c r="X295" s="82">
        <f t="shared" ca="1" si="119"/>
        <v>0</v>
      </c>
      <c r="Y295" s="82">
        <f t="shared" ca="1" si="119"/>
        <v>0</v>
      </c>
      <c r="Z295" s="82">
        <f t="shared" ca="1" si="119"/>
        <v>0</v>
      </c>
      <c r="AA295" s="82">
        <f t="shared" ca="1" si="119"/>
        <v>0</v>
      </c>
      <c r="AB295" s="82">
        <f t="shared" ca="1" si="119"/>
        <v>0</v>
      </c>
      <c r="AC295" s="82">
        <f t="shared" ca="1" si="119"/>
        <v>0</v>
      </c>
      <c r="AD295" s="82">
        <f t="shared" ca="1" si="119"/>
        <v>0</v>
      </c>
      <c r="AE295" s="82">
        <f t="shared" ca="1" si="119"/>
        <v>0</v>
      </c>
      <c r="AF295" s="82">
        <f t="shared" ca="1" si="119"/>
        <v>0</v>
      </c>
      <c r="AG295" s="82">
        <f t="shared" ca="1" si="119"/>
        <v>0</v>
      </c>
      <c r="AH295" s="82">
        <f t="shared" ca="1" si="119"/>
        <v>0</v>
      </c>
      <c r="AI295" s="82">
        <f t="shared" ca="1" si="119"/>
        <v>0</v>
      </c>
      <c r="AJ295" s="82">
        <f t="shared" ca="1" si="119"/>
        <v>0</v>
      </c>
      <c r="AK295" s="82">
        <f t="shared" ca="1" si="119"/>
        <v>0</v>
      </c>
      <c r="AL295" s="82">
        <f t="shared" ca="1" si="119"/>
        <v>0</v>
      </c>
      <c r="AM295" s="82">
        <f t="shared" ca="1" si="119"/>
        <v>0</v>
      </c>
      <c r="AN295" s="82">
        <f t="shared" ca="1" si="119"/>
        <v>0</v>
      </c>
      <c r="AO295" s="82">
        <f t="shared" ca="1" si="119"/>
        <v>0</v>
      </c>
      <c r="AP295" s="82">
        <f t="shared" ca="1" si="119"/>
        <v>-879991.44464924501</v>
      </c>
      <c r="AQ295" s="82">
        <f t="shared" ca="1" si="119"/>
        <v>0</v>
      </c>
      <c r="AR295" s="82">
        <f t="shared" ca="1" si="119"/>
        <v>0</v>
      </c>
      <c r="AT295" s="30">
        <f ca="1">SUM(E295:AS295)</f>
        <v>-6348028.171624084</v>
      </c>
    </row>
    <row r="296" spans="1:46" x14ac:dyDescent="0.2">
      <c r="A296" s="44"/>
      <c r="D296" s="40"/>
    </row>
    <row r="297" spans="1:46" collapsed="1" x14ac:dyDescent="0.2">
      <c r="A297" s="52" t="s">
        <v>417</v>
      </c>
      <c r="B297" s="181">
        <f ca="1">IF(B298&gt;0, AT299/12, "-")</f>
        <v>9.0282290867414048</v>
      </c>
      <c r="C297" s="12" t="str">
        <f>C301</f>
        <v>лет</v>
      </c>
      <c r="D297" s="40"/>
    </row>
    <row r="298" spans="1:46" outlineLevel="1" x14ac:dyDescent="0.2">
      <c r="A298" s="49" t="s">
        <v>472</v>
      </c>
      <c r="B298" s="182">
        <f ca="1">MAX(E298:AS298)</f>
        <v>37</v>
      </c>
      <c r="C298" s="12" t="s">
        <v>19</v>
      </c>
      <c r="D298" s="40"/>
      <c r="E298" s="183">
        <f t="shared" ref="E298:AR298" si="120">IF(E$2&gt;1,IF(AND(D284&lt;0,E284&gt;=0),E$2,0),0)</f>
        <v>0</v>
      </c>
      <c r="F298" s="183">
        <f t="shared" ca="1" si="120"/>
        <v>0</v>
      </c>
      <c r="G298" s="183">
        <f t="shared" ca="1" si="120"/>
        <v>0</v>
      </c>
      <c r="H298" s="183">
        <f t="shared" ca="1" si="120"/>
        <v>0</v>
      </c>
      <c r="I298" s="183">
        <f t="shared" ca="1" si="120"/>
        <v>0</v>
      </c>
      <c r="J298" s="183">
        <f t="shared" ca="1" si="120"/>
        <v>0</v>
      </c>
      <c r="K298" s="183">
        <f t="shared" ca="1" si="120"/>
        <v>0</v>
      </c>
      <c r="L298" s="183">
        <f t="shared" ca="1" si="120"/>
        <v>0</v>
      </c>
      <c r="M298" s="183">
        <f t="shared" ca="1" si="120"/>
        <v>0</v>
      </c>
      <c r="N298" s="183">
        <f t="shared" ca="1" si="120"/>
        <v>0</v>
      </c>
      <c r="O298" s="183">
        <f t="shared" ca="1" si="120"/>
        <v>0</v>
      </c>
      <c r="P298" s="183">
        <f t="shared" ca="1" si="120"/>
        <v>0</v>
      </c>
      <c r="Q298" s="183">
        <f t="shared" ca="1" si="120"/>
        <v>0</v>
      </c>
      <c r="R298" s="183">
        <f t="shared" ca="1" si="120"/>
        <v>0</v>
      </c>
      <c r="S298" s="183">
        <f t="shared" ca="1" si="120"/>
        <v>0</v>
      </c>
      <c r="T298" s="183">
        <f t="shared" ca="1" si="120"/>
        <v>0</v>
      </c>
      <c r="U298" s="183">
        <f t="shared" ca="1" si="120"/>
        <v>0</v>
      </c>
      <c r="V298" s="183">
        <f t="shared" ca="1" si="120"/>
        <v>0</v>
      </c>
      <c r="W298" s="183">
        <f t="shared" ca="1" si="120"/>
        <v>0</v>
      </c>
      <c r="X298" s="183">
        <f t="shared" ca="1" si="120"/>
        <v>0</v>
      </c>
      <c r="Y298" s="183">
        <f t="shared" ca="1" si="120"/>
        <v>0</v>
      </c>
      <c r="Z298" s="183">
        <f t="shared" ca="1" si="120"/>
        <v>0</v>
      </c>
      <c r="AA298" s="183">
        <f t="shared" ca="1" si="120"/>
        <v>0</v>
      </c>
      <c r="AB298" s="183">
        <f t="shared" ca="1" si="120"/>
        <v>0</v>
      </c>
      <c r="AC298" s="183">
        <f t="shared" ca="1" si="120"/>
        <v>0</v>
      </c>
      <c r="AD298" s="183">
        <f t="shared" ca="1" si="120"/>
        <v>0</v>
      </c>
      <c r="AE298" s="183">
        <f t="shared" ca="1" si="120"/>
        <v>0</v>
      </c>
      <c r="AF298" s="183">
        <f t="shared" ca="1" si="120"/>
        <v>0</v>
      </c>
      <c r="AG298" s="183">
        <f t="shared" ca="1" si="120"/>
        <v>0</v>
      </c>
      <c r="AH298" s="183">
        <f t="shared" ca="1" si="120"/>
        <v>0</v>
      </c>
      <c r="AI298" s="183">
        <f t="shared" ca="1" si="120"/>
        <v>0</v>
      </c>
      <c r="AJ298" s="183">
        <f t="shared" ca="1" si="120"/>
        <v>0</v>
      </c>
      <c r="AK298" s="183">
        <f t="shared" ca="1" si="120"/>
        <v>0</v>
      </c>
      <c r="AL298" s="183">
        <f t="shared" ca="1" si="120"/>
        <v>0</v>
      </c>
      <c r="AM298" s="183">
        <f t="shared" ca="1" si="120"/>
        <v>0</v>
      </c>
      <c r="AN298" s="183">
        <f t="shared" ca="1" si="120"/>
        <v>0</v>
      </c>
      <c r="AO298" s="183">
        <f t="shared" ca="1" si="120"/>
        <v>37</v>
      </c>
      <c r="AP298" s="183">
        <f t="shared" ca="1" si="120"/>
        <v>0</v>
      </c>
      <c r="AQ298" s="183">
        <f t="shared" ca="1" si="120"/>
        <v>0</v>
      </c>
      <c r="AR298" s="183">
        <f t="shared" ca="1" si="120"/>
        <v>0</v>
      </c>
      <c r="AS298" s="184"/>
      <c r="AT298" s="184"/>
    </row>
    <row r="299" spans="1:46" outlineLevel="1" x14ac:dyDescent="0.2">
      <c r="A299" s="70" t="s">
        <v>192</v>
      </c>
      <c r="B299" s="185">
        <f ca="1">AT299</f>
        <v>108.33874904089686</v>
      </c>
      <c r="C299" s="12" t="str">
        <f>C303</f>
        <v>мес.</v>
      </c>
      <c r="D299" s="40"/>
      <c r="E299" s="184">
        <f ca="1">IF(E$2&lt;$B298,Параметры!E$40,IF(E$2=$B298,-D284/(E284-D284)*Параметры!E$40,0))</f>
        <v>3</v>
      </c>
      <c r="F299" s="184">
        <f ca="1">IF(F$2&lt;$B298,Параметры!F$40,IF(F$2=$B298,-E284/(F284-E284)*Параметры!F$40,0))</f>
        <v>3</v>
      </c>
      <c r="G299" s="184">
        <f ca="1">IF(G$2&lt;$B298,Параметры!G$40,IF(G$2=$B298,-F284/(G284-F284)*Параметры!G$40,0))</f>
        <v>3</v>
      </c>
      <c r="H299" s="184">
        <f ca="1">IF(H$2&lt;$B298,Параметры!H$40,IF(H$2=$B298,-G284/(H284-G284)*Параметры!H$40,0))</f>
        <v>3</v>
      </c>
      <c r="I299" s="184">
        <f ca="1">IF(I$2&lt;$B298,Параметры!I$40,IF(I$2=$B298,-H284/(I284-H284)*Параметры!I$40,0))</f>
        <v>3</v>
      </c>
      <c r="J299" s="184">
        <f ca="1">IF(J$2&lt;$B298,Параметры!J$40,IF(J$2=$B298,-I284/(J284-I284)*Параметры!J$40,0))</f>
        <v>3</v>
      </c>
      <c r="K299" s="184">
        <f ca="1">IF(K$2&lt;$B298,Параметры!K$40,IF(K$2=$B298,-J284/(K284-J284)*Параметры!K$40,0))</f>
        <v>3</v>
      </c>
      <c r="L299" s="184">
        <f ca="1">IF(L$2&lt;$B298,Параметры!L$40,IF(L$2=$B298,-K284/(L284-K284)*Параметры!L$40,0))</f>
        <v>3</v>
      </c>
      <c r="M299" s="184">
        <f ca="1">IF(M$2&lt;$B298,Параметры!M$40,IF(M$2=$B298,-L284/(M284-L284)*Параметры!M$40,0))</f>
        <v>3</v>
      </c>
      <c r="N299" s="184">
        <f ca="1">IF(N$2&lt;$B298,Параметры!N$40,IF(N$2=$B298,-M284/(N284-M284)*Параметры!N$40,0))</f>
        <v>3</v>
      </c>
      <c r="O299" s="184">
        <f ca="1">IF(O$2&lt;$B298,Параметры!O$40,IF(O$2=$B298,-N284/(O284-N284)*Параметры!O$40,0))</f>
        <v>3</v>
      </c>
      <c r="P299" s="184">
        <f ca="1">IF(P$2&lt;$B298,Параметры!P$40,IF(P$2=$B298,-O284/(P284-O284)*Параметры!P$40,0))</f>
        <v>3</v>
      </c>
      <c r="Q299" s="184">
        <f ca="1">IF(Q$2&lt;$B298,Параметры!Q$40,IF(Q$2=$B298,-P284/(Q284-P284)*Параметры!Q$40,0))</f>
        <v>3</v>
      </c>
      <c r="R299" s="184">
        <f ca="1">IF(R$2&lt;$B298,Параметры!R$40,IF(R$2=$B298,-Q284/(R284-Q284)*Параметры!R$40,0))</f>
        <v>3</v>
      </c>
      <c r="S299" s="184">
        <f ca="1">IF(S$2&lt;$B298,Параметры!S$40,IF(S$2=$B298,-R284/(S284-R284)*Параметры!S$40,0))</f>
        <v>3</v>
      </c>
      <c r="T299" s="184">
        <f ca="1">IF(T$2&lt;$B298,Параметры!T$40,IF(T$2=$B298,-S284/(T284-S284)*Параметры!T$40,0))</f>
        <v>3</v>
      </c>
      <c r="U299" s="184">
        <f ca="1">IF(U$2&lt;$B298,Параметры!U$40,IF(U$2=$B298,-T284/(U284-T284)*Параметры!U$40,0))</f>
        <v>3</v>
      </c>
      <c r="V299" s="184">
        <f ca="1">IF(V$2&lt;$B298,Параметры!V$40,IF(V$2=$B298,-U284/(V284-U284)*Параметры!V$40,0))</f>
        <v>3</v>
      </c>
      <c r="W299" s="184">
        <f ca="1">IF(W$2&lt;$B298,Параметры!W$40,IF(W$2=$B298,-V284/(W284-V284)*Параметры!W$40,0))</f>
        <v>3</v>
      </c>
      <c r="X299" s="184">
        <f ca="1">IF(X$2&lt;$B298,Параметры!X$40,IF(X$2=$B298,-W284/(X284-W284)*Параметры!X$40,0))</f>
        <v>3</v>
      </c>
      <c r="Y299" s="184">
        <f ca="1">IF(Y$2&lt;$B298,Параметры!Y$40,IF(Y$2=$B298,-X284/(Y284-X284)*Параметры!Y$40,0))</f>
        <v>3</v>
      </c>
      <c r="Z299" s="184">
        <f ca="1">IF(Z$2&lt;$B298,Параметры!Z$40,IF(Z$2=$B298,-Y284/(Z284-Y284)*Параметры!Z$40,0))</f>
        <v>3</v>
      </c>
      <c r="AA299" s="184">
        <f ca="1">IF(AA$2&lt;$B298,Параметры!AA$40,IF(AA$2=$B298,-Z284/(AA284-Z284)*Параметры!AA$40,0))</f>
        <v>3</v>
      </c>
      <c r="AB299" s="184">
        <f ca="1">IF(AB$2&lt;$B298,Параметры!AB$40,IF(AB$2=$B298,-AA284/(AB284-AA284)*Параметры!AB$40,0))</f>
        <v>3</v>
      </c>
      <c r="AC299" s="184">
        <f ca="1">IF(AC$2&lt;$B298,Параметры!AC$40,IF(AC$2=$B298,-AB284/(AC284-AB284)*Параметры!AC$40,0))</f>
        <v>3</v>
      </c>
      <c r="AD299" s="184">
        <f ca="1">IF(AD$2&lt;$B298,Параметры!AD$40,IF(AD$2=$B298,-AC284/(AD284-AC284)*Параметры!AD$40,0))</f>
        <v>3</v>
      </c>
      <c r="AE299" s="184">
        <f ca="1">IF(AE$2&lt;$B298,Параметры!AE$40,IF(AE$2=$B298,-AD284/(AE284-AD284)*Параметры!AE$40,0))</f>
        <v>3</v>
      </c>
      <c r="AF299" s="184">
        <f ca="1">IF(AF$2&lt;$B298,Параметры!AF$40,IF(AF$2=$B298,-AE284/(AF284-AE284)*Параметры!AF$40,0))</f>
        <v>3</v>
      </c>
      <c r="AG299" s="184">
        <f ca="1">IF(AG$2&lt;$B298,Параметры!AG$40,IF(AG$2=$B298,-AF284/(AG284-AF284)*Параметры!AG$40,0))</f>
        <v>3</v>
      </c>
      <c r="AH299" s="184">
        <f ca="1">IF(AH$2&lt;$B298,Параметры!AH$40,IF(AH$2=$B298,-AG284/(AH284-AG284)*Параметры!AH$40,0))</f>
        <v>3</v>
      </c>
      <c r="AI299" s="184">
        <f ca="1">IF(AI$2&lt;$B298,Параметры!AI$40,IF(AI$2=$B298,-AH284/(AI284-AH284)*Параметры!AI$40,0))</f>
        <v>3</v>
      </c>
      <c r="AJ299" s="184">
        <f ca="1">IF(AJ$2&lt;$B298,Параметры!AJ$40,IF(AJ$2=$B298,-AI284/(AJ284-AI284)*Параметры!AJ$40,0))</f>
        <v>3</v>
      </c>
      <c r="AK299" s="184">
        <f ca="1">IF(AK$2&lt;$B298,Параметры!AK$40,IF(AK$2=$B298,-AJ284/(AK284-AJ284)*Параметры!AK$40,0))</f>
        <v>3</v>
      </c>
      <c r="AL299" s="184">
        <f ca="1">IF(AL$2&lt;$B298,Параметры!AL$40,IF(AL$2=$B298,-AK284/(AL284-AK284)*Параметры!AL$40,0))</f>
        <v>3</v>
      </c>
      <c r="AM299" s="184">
        <f ca="1">IF(AM$2&lt;$B298,Параметры!AM$40,IF(AM$2=$B298,-AL284/(AM284-AL284)*Параметры!AM$40,0))</f>
        <v>3</v>
      </c>
      <c r="AN299" s="184">
        <f ca="1">IF(AN$2&lt;$B298,Параметры!AN$40,IF(AN$2=$B298,-AM284/(AN284-AM284)*Параметры!AN$40,0))</f>
        <v>3</v>
      </c>
      <c r="AO299" s="184">
        <f ca="1">IF(AO$2&lt;$B298,Параметры!AO$40,IF(AO$2=$B298,-AN284/(AO284-AN284)*Параметры!AO$40,0))</f>
        <v>0.33874904089686092</v>
      </c>
      <c r="AP299" s="184">
        <f ca="1">IF(AP$2&lt;$B298,Параметры!AP$40,IF(AP$2=$B298,-AO284/(AP284-AO284)*Параметры!AP$40,0))</f>
        <v>0</v>
      </c>
      <c r="AQ299" s="184">
        <f ca="1">IF(AQ$2&lt;$B298,Параметры!AQ$40,IF(AQ$2=$B298,-AP284/(AQ284-AP284)*Параметры!AQ$40,0))</f>
        <v>0</v>
      </c>
      <c r="AR299" s="184">
        <f ca="1">IF(AR$2&lt;$B298,Параметры!AR$40,IF(AR$2=$B298,-AQ284/(AR284-AQ284)*Параметры!AR$40,0))</f>
        <v>0</v>
      </c>
      <c r="AS299" s="184"/>
      <c r="AT299" s="186">
        <f ca="1">SUM(E299:AS299)</f>
        <v>108.33874904089686</v>
      </c>
    </row>
    <row r="300" spans="1:46" x14ac:dyDescent="0.2">
      <c r="A300" s="44"/>
      <c r="D300" s="40"/>
    </row>
    <row r="301" spans="1:46" collapsed="1" x14ac:dyDescent="0.2">
      <c r="A301" s="52" t="s">
        <v>418</v>
      </c>
      <c r="B301" s="181">
        <f ca="1">IF(B302&gt;0, AT303/12, "-")</f>
        <v>9.1618965229894886</v>
      </c>
      <c r="C301" s="12" t="s">
        <v>2</v>
      </c>
      <c r="D301" s="40"/>
    </row>
    <row r="302" spans="1:46" outlineLevel="1" x14ac:dyDescent="0.2">
      <c r="A302" s="49" t="s">
        <v>472</v>
      </c>
      <c r="B302" s="182">
        <f ca="1">MAX(E302:AS302)</f>
        <v>37</v>
      </c>
      <c r="C302" s="12" t="s">
        <v>19</v>
      </c>
      <c r="D302" s="40"/>
      <c r="E302" s="183">
        <f t="shared" ref="E302:AR302" si="121">IF(E$2&gt;1,IF(AND(D286&lt;0,E286&gt;=0),E$2,0),0)</f>
        <v>0</v>
      </c>
      <c r="F302" s="183">
        <f t="shared" ca="1" si="121"/>
        <v>0</v>
      </c>
      <c r="G302" s="183">
        <f t="shared" ca="1" si="121"/>
        <v>0</v>
      </c>
      <c r="H302" s="183">
        <f t="shared" ca="1" si="121"/>
        <v>0</v>
      </c>
      <c r="I302" s="183">
        <f t="shared" ca="1" si="121"/>
        <v>0</v>
      </c>
      <c r="J302" s="183">
        <f t="shared" ca="1" si="121"/>
        <v>0</v>
      </c>
      <c r="K302" s="183">
        <f t="shared" ca="1" si="121"/>
        <v>0</v>
      </c>
      <c r="L302" s="183">
        <f t="shared" ca="1" si="121"/>
        <v>0</v>
      </c>
      <c r="M302" s="183">
        <f t="shared" ca="1" si="121"/>
        <v>0</v>
      </c>
      <c r="N302" s="183">
        <f t="shared" ca="1" si="121"/>
        <v>0</v>
      </c>
      <c r="O302" s="183">
        <f t="shared" ca="1" si="121"/>
        <v>0</v>
      </c>
      <c r="P302" s="183">
        <f t="shared" ca="1" si="121"/>
        <v>0</v>
      </c>
      <c r="Q302" s="183">
        <f t="shared" ca="1" si="121"/>
        <v>0</v>
      </c>
      <c r="R302" s="183">
        <f t="shared" ca="1" si="121"/>
        <v>0</v>
      </c>
      <c r="S302" s="183">
        <f t="shared" ca="1" si="121"/>
        <v>0</v>
      </c>
      <c r="T302" s="183">
        <f t="shared" ca="1" si="121"/>
        <v>0</v>
      </c>
      <c r="U302" s="183">
        <f t="shared" ca="1" si="121"/>
        <v>0</v>
      </c>
      <c r="V302" s="183">
        <f t="shared" ca="1" si="121"/>
        <v>0</v>
      </c>
      <c r="W302" s="183">
        <f t="shared" ca="1" si="121"/>
        <v>0</v>
      </c>
      <c r="X302" s="183">
        <f t="shared" ca="1" si="121"/>
        <v>0</v>
      </c>
      <c r="Y302" s="183">
        <f t="shared" ca="1" si="121"/>
        <v>0</v>
      </c>
      <c r="Z302" s="183">
        <f t="shared" ca="1" si="121"/>
        <v>0</v>
      </c>
      <c r="AA302" s="183">
        <f t="shared" ca="1" si="121"/>
        <v>0</v>
      </c>
      <c r="AB302" s="183">
        <f t="shared" ca="1" si="121"/>
        <v>0</v>
      </c>
      <c r="AC302" s="183">
        <f t="shared" ca="1" si="121"/>
        <v>0</v>
      </c>
      <c r="AD302" s="183">
        <f t="shared" ca="1" si="121"/>
        <v>0</v>
      </c>
      <c r="AE302" s="183">
        <f t="shared" ca="1" si="121"/>
        <v>0</v>
      </c>
      <c r="AF302" s="183">
        <f t="shared" ca="1" si="121"/>
        <v>0</v>
      </c>
      <c r="AG302" s="183">
        <f t="shared" ca="1" si="121"/>
        <v>0</v>
      </c>
      <c r="AH302" s="183">
        <f t="shared" ca="1" si="121"/>
        <v>0</v>
      </c>
      <c r="AI302" s="183">
        <f t="shared" ca="1" si="121"/>
        <v>0</v>
      </c>
      <c r="AJ302" s="183">
        <f t="shared" ca="1" si="121"/>
        <v>0</v>
      </c>
      <c r="AK302" s="183">
        <f t="shared" ca="1" si="121"/>
        <v>0</v>
      </c>
      <c r="AL302" s="183">
        <f t="shared" ca="1" si="121"/>
        <v>0</v>
      </c>
      <c r="AM302" s="183">
        <f t="shared" ca="1" si="121"/>
        <v>0</v>
      </c>
      <c r="AN302" s="183">
        <f t="shared" ca="1" si="121"/>
        <v>0</v>
      </c>
      <c r="AO302" s="183">
        <f t="shared" ca="1" si="121"/>
        <v>37</v>
      </c>
      <c r="AP302" s="183">
        <f t="shared" ca="1" si="121"/>
        <v>0</v>
      </c>
      <c r="AQ302" s="183">
        <f t="shared" ca="1" si="121"/>
        <v>0</v>
      </c>
      <c r="AR302" s="183">
        <f t="shared" ca="1" si="121"/>
        <v>0</v>
      </c>
      <c r="AS302" s="184"/>
      <c r="AT302" s="184"/>
    </row>
    <row r="303" spans="1:46" outlineLevel="1" x14ac:dyDescent="0.2">
      <c r="A303" s="70" t="s">
        <v>192</v>
      </c>
      <c r="B303" s="185">
        <f ca="1">AT303</f>
        <v>109.94275827587387</v>
      </c>
      <c r="C303" s="12" t="s">
        <v>17</v>
      </c>
      <c r="D303" s="40"/>
      <c r="E303" s="184">
        <f ca="1">IF(E$2&lt;$B302,Параметры!E$40,IF(E$2=$B302,-D286/(E286-D286)*Параметры!E$40,0))</f>
        <v>3</v>
      </c>
      <c r="F303" s="184">
        <f ca="1">IF(F$2&lt;$B302,Параметры!F$40,IF(F$2=$B302,-E286/(F286-E286)*Параметры!F$40,0))</f>
        <v>3</v>
      </c>
      <c r="G303" s="184">
        <f ca="1">IF(G$2&lt;$B302,Параметры!G$40,IF(G$2=$B302,-F286/(G286-F286)*Параметры!G$40,0))</f>
        <v>3</v>
      </c>
      <c r="H303" s="184">
        <f ca="1">IF(H$2&lt;$B302,Параметры!H$40,IF(H$2=$B302,-G286/(H286-G286)*Параметры!H$40,0))</f>
        <v>3</v>
      </c>
      <c r="I303" s="184">
        <f ca="1">IF(I$2&lt;$B302,Параметры!I$40,IF(I$2=$B302,-H286/(I286-H286)*Параметры!I$40,0))</f>
        <v>3</v>
      </c>
      <c r="J303" s="184">
        <f ca="1">IF(J$2&lt;$B302,Параметры!J$40,IF(J$2=$B302,-I286/(J286-I286)*Параметры!J$40,0))</f>
        <v>3</v>
      </c>
      <c r="K303" s="184">
        <f ca="1">IF(K$2&lt;$B302,Параметры!K$40,IF(K$2=$B302,-J286/(K286-J286)*Параметры!K$40,0))</f>
        <v>3</v>
      </c>
      <c r="L303" s="184">
        <f ca="1">IF(L$2&lt;$B302,Параметры!L$40,IF(L$2=$B302,-K286/(L286-K286)*Параметры!L$40,0))</f>
        <v>3</v>
      </c>
      <c r="M303" s="184">
        <f ca="1">IF(M$2&lt;$B302,Параметры!M$40,IF(M$2=$B302,-L286/(M286-L286)*Параметры!M$40,0))</f>
        <v>3</v>
      </c>
      <c r="N303" s="184">
        <f ca="1">IF(N$2&lt;$B302,Параметры!N$40,IF(N$2=$B302,-M286/(N286-M286)*Параметры!N$40,0))</f>
        <v>3</v>
      </c>
      <c r="O303" s="184">
        <f ca="1">IF(O$2&lt;$B302,Параметры!O$40,IF(O$2=$B302,-N286/(O286-N286)*Параметры!O$40,0))</f>
        <v>3</v>
      </c>
      <c r="P303" s="184">
        <f ca="1">IF(P$2&lt;$B302,Параметры!P$40,IF(P$2=$B302,-O286/(P286-O286)*Параметры!P$40,0))</f>
        <v>3</v>
      </c>
      <c r="Q303" s="184">
        <f ca="1">IF(Q$2&lt;$B302,Параметры!Q$40,IF(Q$2=$B302,-P286/(Q286-P286)*Параметры!Q$40,0))</f>
        <v>3</v>
      </c>
      <c r="R303" s="184">
        <f ca="1">IF(R$2&lt;$B302,Параметры!R$40,IF(R$2=$B302,-Q286/(R286-Q286)*Параметры!R$40,0))</f>
        <v>3</v>
      </c>
      <c r="S303" s="184">
        <f ca="1">IF(S$2&lt;$B302,Параметры!S$40,IF(S$2=$B302,-R286/(S286-R286)*Параметры!S$40,0))</f>
        <v>3</v>
      </c>
      <c r="T303" s="184">
        <f ca="1">IF(T$2&lt;$B302,Параметры!T$40,IF(T$2=$B302,-S286/(T286-S286)*Параметры!T$40,0))</f>
        <v>3</v>
      </c>
      <c r="U303" s="184">
        <f ca="1">IF(U$2&lt;$B302,Параметры!U$40,IF(U$2=$B302,-T286/(U286-T286)*Параметры!U$40,0))</f>
        <v>3</v>
      </c>
      <c r="V303" s="184">
        <f ca="1">IF(V$2&lt;$B302,Параметры!V$40,IF(V$2=$B302,-U286/(V286-U286)*Параметры!V$40,0))</f>
        <v>3</v>
      </c>
      <c r="W303" s="184">
        <f ca="1">IF(W$2&lt;$B302,Параметры!W$40,IF(W$2=$B302,-V286/(W286-V286)*Параметры!W$40,0))</f>
        <v>3</v>
      </c>
      <c r="X303" s="184">
        <f ca="1">IF(X$2&lt;$B302,Параметры!X$40,IF(X$2=$B302,-W286/(X286-W286)*Параметры!X$40,0))</f>
        <v>3</v>
      </c>
      <c r="Y303" s="184">
        <f ca="1">IF(Y$2&lt;$B302,Параметры!Y$40,IF(Y$2=$B302,-X286/(Y286-X286)*Параметры!Y$40,0))</f>
        <v>3</v>
      </c>
      <c r="Z303" s="184">
        <f ca="1">IF(Z$2&lt;$B302,Параметры!Z$40,IF(Z$2=$B302,-Y286/(Z286-Y286)*Параметры!Z$40,0))</f>
        <v>3</v>
      </c>
      <c r="AA303" s="184">
        <f ca="1">IF(AA$2&lt;$B302,Параметры!AA$40,IF(AA$2=$B302,-Z286/(AA286-Z286)*Параметры!AA$40,0))</f>
        <v>3</v>
      </c>
      <c r="AB303" s="184">
        <f ca="1">IF(AB$2&lt;$B302,Параметры!AB$40,IF(AB$2=$B302,-AA286/(AB286-AA286)*Параметры!AB$40,0))</f>
        <v>3</v>
      </c>
      <c r="AC303" s="184">
        <f ca="1">IF(AC$2&lt;$B302,Параметры!AC$40,IF(AC$2=$B302,-AB286/(AC286-AB286)*Параметры!AC$40,0))</f>
        <v>3</v>
      </c>
      <c r="AD303" s="184">
        <f ca="1">IF(AD$2&lt;$B302,Параметры!AD$40,IF(AD$2=$B302,-AC286/(AD286-AC286)*Параметры!AD$40,0))</f>
        <v>3</v>
      </c>
      <c r="AE303" s="184">
        <f ca="1">IF(AE$2&lt;$B302,Параметры!AE$40,IF(AE$2=$B302,-AD286/(AE286-AD286)*Параметры!AE$40,0))</f>
        <v>3</v>
      </c>
      <c r="AF303" s="184">
        <f ca="1">IF(AF$2&lt;$B302,Параметры!AF$40,IF(AF$2=$B302,-AE286/(AF286-AE286)*Параметры!AF$40,0))</f>
        <v>3</v>
      </c>
      <c r="AG303" s="184">
        <f ca="1">IF(AG$2&lt;$B302,Параметры!AG$40,IF(AG$2=$B302,-AF286/(AG286-AF286)*Параметры!AG$40,0))</f>
        <v>3</v>
      </c>
      <c r="AH303" s="184">
        <f ca="1">IF(AH$2&lt;$B302,Параметры!AH$40,IF(AH$2=$B302,-AG286/(AH286-AG286)*Параметры!AH$40,0))</f>
        <v>3</v>
      </c>
      <c r="AI303" s="184">
        <f ca="1">IF(AI$2&lt;$B302,Параметры!AI$40,IF(AI$2=$B302,-AH286/(AI286-AH286)*Параметры!AI$40,0))</f>
        <v>3</v>
      </c>
      <c r="AJ303" s="184">
        <f ca="1">IF(AJ$2&lt;$B302,Параметры!AJ$40,IF(AJ$2=$B302,-AI286/(AJ286-AI286)*Параметры!AJ$40,0))</f>
        <v>3</v>
      </c>
      <c r="AK303" s="184">
        <f ca="1">IF(AK$2&lt;$B302,Параметры!AK$40,IF(AK$2=$B302,-AJ286/(AK286-AJ286)*Параметры!AK$40,0))</f>
        <v>3</v>
      </c>
      <c r="AL303" s="184">
        <f ca="1">IF(AL$2&lt;$B302,Параметры!AL$40,IF(AL$2=$B302,-AK286/(AL286-AK286)*Параметры!AL$40,0))</f>
        <v>3</v>
      </c>
      <c r="AM303" s="184">
        <f ca="1">IF(AM$2&lt;$B302,Параметры!AM$40,IF(AM$2=$B302,-AL286/(AM286-AL286)*Параметры!AM$40,0))</f>
        <v>3</v>
      </c>
      <c r="AN303" s="184">
        <f ca="1">IF(AN$2&lt;$B302,Параметры!AN$40,IF(AN$2=$B302,-AM286/(AN286-AM286)*Параметры!AN$40,0))</f>
        <v>3</v>
      </c>
      <c r="AO303" s="184">
        <f ca="1">IF(AO$2&lt;$B302,Параметры!AO$40,IF(AO$2=$B302,-AN286/(AO286-AN286)*Параметры!AO$40,0))</f>
        <v>1.9427582758738744</v>
      </c>
      <c r="AP303" s="184">
        <f ca="1">IF(AP$2&lt;$B302,Параметры!AP$40,IF(AP$2=$B302,-AO286/(AP286-AO286)*Параметры!AP$40,0))</f>
        <v>0</v>
      </c>
      <c r="AQ303" s="184">
        <f ca="1">IF(AQ$2&lt;$B302,Параметры!AQ$40,IF(AQ$2=$B302,-AP286/(AQ286-AP286)*Параметры!AQ$40,0))</f>
        <v>0</v>
      </c>
      <c r="AR303" s="184">
        <f ca="1">IF(AR$2&lt;$B302,Параметры!AR$40,IF(AR$2=$B302,-AQ286/(AR286-AQ286)*Параметры!AR$40,0))</f>
        <v>0</v>
      </c>
      <c r="AS303" s="184"/>
      <c r="AT303" s="186">
        <f ca="1">SUM(E303:AS303)</f>
        <v>109.94275827587387</v>
      </c>
    </row>
    <row r="304" spans="1:46" x14ac:dyDescent="0.2">
      <c r="A304" s="45"/>
      <c r="B304" s="170"/>
      <c r="C304" s="14"/>
      <c r="D304" s="47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</row>
    <row r="305" spans="1:46" x14ac:dyDescent="0.2">
      <c r="D305" s="40"/>
    </row>
    <row r="306" spans="1:46" ht="12" thickBot="1" x14ac:dyDescent="0.25">
      <c r="D306" s="40"/>
    </row>
    <row r="307" spans="1:46" s="43" customFormat="1" ht="25.5" customHeight="1" thickBot="1" x14ac:dyDescent="0.25">
      <c r="A307" s="481" t="s">
        <v>829</v>
      </c>
      <c r="B307" s="479"/>
      <c r="C307" s="485"/>
      <c r="D307" s="486"/>
      <c r="E307" s="479" t="str">
        <f>CHOOSE($D$2,Параметры!E$53,Параметры!E$54)</f>
        <v>1 кв. 2020</v>
      </c>
      <c r="F307" s="479" t="str">
        <f>CHOOSE($D$2,Параметры!F$53,Параметры!F$54)</f>
        <v>2 кв. 2020</v>
      </c>
      <c r="G307" s="479" t="str">
        <f>CHOOSE($D$2,Параметры!G$53,Параметры!G$54)</f>
        <v>3 кв. 2020</v>
      </c>
      <c r="H307" s="479" t="str">
        <f>CHOOSE($D$2,Параметры!H$53,Параметры!H$54)</f>
        <v>4 кв. 2020</v>
      </c>
      <c r="I307" s="479" t="str">
        <f>CHOOSE($D$2,Параметры!I$53,Параметры!I$54)</f>
        <v>1 кв. 2021</v>
      </c>
      <c r="J307" s="479" t="str">
        <f>CHOOSE($D$2,Параметры!J$53,Параметры!J$54)</f>
        <v>2 кв. 2021</v>
      </c>
      <c r="K307" s="479" t="str">
        <f>CHOOSE($D$2,Параметры!K$53,Параметры!K$54)</f>
        <v>3 кв. 2021</v>
      </c>
      <c r="L307" s="479" t="str">
        <f>CHOOSE($D$2,Параметры!L$53,Параметры!L$54)</f>
        <v>4 кв. 2021</v>
      </c>
      <c r="M307" s="479" t="str">
        <f>CHOOSE($D$2,Параметры!M$53,Параметры!M$54)</f>
        <v>1 кв. 2022</v>
      </c>
      <c r="N307" s="479" t="str">
        <f>CHOOSE($D$2,Параметры!N$53,Параметры!N$54)</f>
        <v>2 кв. 2022</v>
      </c>
      <c r="O307" s="479" t="str">
        <f>CHOOSE($D$2,Параметры!O$53,Параметры!O$54)</f>
        <v>3 кв. 2022</v>
      </c>
      <c r="P307" s="479" t="str">
        <f>CHOOSE($D$2,Параметры!P$53,Параметры!P$54)</f>
        <v>4 кв. 2022</v>
      </c>
      <c r="Q307" s="479" t="str">
        <f>CHOOSE($D$2,Параметры!Q$53,Параметры!Q$54)</f>
        <v>1 кв. 2023</v>
      </c>
      <c r="R307" s="479" t="str">
        <f>CHOOSE($D$2,Параметры!R$53,Параметры!R$54)</f>
        <v>2 кв. 2023</v>
      </c>
      <c r="S307" s="479" t="str">
        <f>CHOOSE($D$2,Параметры!S$53,Параметры!S$54)</f>
        <v>3 кв. 2023</v>
      </c>
      <c r="T307" s="479" t="str">
        <f>CHOOSE($D$2,Параметры!T$53,Параметры!T$54)</f>
        <v>4 кв. 2023</v>
      </c>
      <c r="U307" s="479" t="str">
        <f>CHOOSE($D$2,Параметры!U$53,Параметры!U$54)</f>
        <v>1 кв. 2024</v>
      </c>
      <c r="V307" s="479" t="str">
        <f>CHOOSE($D$2,Параметры!V$53,Параметры!V$54)</f>
        <v>2 кв. 2024</v>
      </c>
      <c r="W307" s="479" t="str">
        <f>CHOOSE($D$2,Параметры!W$53,Параметры!W$54)</f>
        <v>3 кв. 2024</v>
      </c>
      <c r="X307" s="479" t="str">
        <f>CHOOSE($D$2,Параметры!X$53,Параметры!X$54)</f>
        <v>4 кв. 2024</v>
      </c>
      <c r="Y307" s="479" t="str">
        <f>CHOOSE($D$2,Параметры!Y$53,Параметры!Y$54)</f>
        <v>1 кв. 2025</v>
      </c>
      <c r="Z307" s="479" t="str">
        <f>CHOOSE($D$2,Параметры!Z$53,Параметры!Z$54)</f>
        <v>2 кв. 2025</v>
      </c>
      <c r="AA307" s="479" t="str">
        <f>CHOOSE($D$2,Параметры!AA$53,Параметры!AA$54)</f>
        <v>3 кв. 2025</v>
      </c>
      <c r="AB307" s="479" t="str">
        <f>CHOOSE($D$2,Параметры!AB$53,Параметры!AB$54)</f>
        <v>4 кв. 2025</v>
      </c>
      <c r="AC307" s="479" t="str">
        <f>CHOOSE($D$2,Параметры!AC$53,Параметры!AC$54)</f>
        <v>1 кв. 2026</v>
      </c>
      <c r="AD307" s="479" t="str">
        <f>CHOOSE($D$2,Параметры!AD$53,Параметры!AD$54)</f>
        <v>2 кв. 2026</v>
      </c>
      <c r="AE307" s="479" t="str">
        <f>CHOOSE($D$2,Параметры!AE$53,Параметры!AE$54)</f>
        <v>3 кв. 2026</v>
      </c>
      <c r="AF307" s="479" t="str">
        <f>CHOOSE($D$2,Параметры!AF$53,Параметры!AF$54)</f>
        <v>4 кв. 2026</v>
      </c>
      <c r="AG307" s="479" t="str">
        <f>CHOOSE($D$2,Параметры!AG$53,Параметры!AG$54)</f>
        <v>1 кв. 2027</v>
      </c>
      <c r="AH307" s="479" t="str">
        <f>CHOOSE($D$2,Параметры!AH$53,Параметры!AH$54)</f>
        <v>2 кв. 2027</v>
      </c>
      <c r="AI307" s="479" t="str">
        <f>CHOOSE($D$2,Параметры!AI$53,Параметры!AI$54)</f>
        <v>3 кв. 2027</v>
      </c>
      <c r="AJ307" s="479" t="str">
        <f>CHOOSE($D$2,Параметры!AJ$53,Параметры!AJ$54)</f>
        <v>4 кв. 2027</v>
      </c>
      <c r="AK307" s="479" t="str">
        <f>CHOOSE($D$2,Параметры!AK$53,Параметры!AK$54)</f>
        <v>1 кв. 2028</v>
      </c>
      <c r="AL307" s="479" t="str">
        <f>CHOOSE($D$2,Параметры!AL$53,Параметры!AL$54)</f>
        <v>2 кв. 2028</v>
      </c>
      <c r="AM307" s="479" t="str">
        <f>CHOOSE($D$2,Параметры!AM$53,Параметры!AM$54)</f>
        <v>3 кв. 2028</v>
      </c>
      <c r="AN307" s="479" t="str">
        <f>CHOOSE($D$2,Параметры!AN$53,Параметры!AN$54)</f>
        <v>4 кв. 2028</v>
      </c>
      <c r="AO307" s="479" t="str">
        <f>CHOOSE($D$2,Параметры!AO$53,Параметры!AO$54)</f>
        <v>1 кв. 2029</v>
      </c>
      <c r="AP307" s="479" t="str">
        <f>CHOOSE($D$2,Параметры!AP$53,Параметры!AP$54)</f>
        <v>2 кв. 2029</v>
      </c>
      <c r="AQ307" s="479" t="str">
        <f>CHOOSE($D$2,Параметры!AQ$53,Параметры!AQ$54)</f>
        <v>3 кв. 2029</v>
      </c>
      <c r="AR307" s="479" t="str">
        <f>CHOOSE($D$2,Параметры!AR$53,Параметры!AR$54)</f>
        <v>4 кв. 2029</v>
      </c>
      <c r="AS307" s="485"/>
      <c r="AT307" s="485" t="s">
        <v>0</v>
      </c>
    </row>
    <row r="308" spans="1:46" x14ac:dyDescent="0.2">
      <c r="A308" s="44"/>
      <c r="D308" s="40"/>
    </row>
    <row r="309" spans="1:46" x14ac:dyDescent="0.2">
      <c r="A309" s="44" t="s">
        <v>810</v>
      </c>
      <c r="B309" s="177">
        <f ca="1">Параметры!$B$239</f>
        <v>0.10128364613285909</v>
      </c>
      <c r="C309" s="12" t="s">
        <v>1</v>
      </c>
      <c r="D309" s="40"/>
    </row>
    <row r="310" spans="1:46" outlineLevel="1" x14ac:dyDescent="0.2">
      <c r="A310" s="63" t="s">
        <v>57</v>
      </c>
      <c r="C310" s="12" t="s">
        <v>1</v>
      </c>
      <c r="D310" s="40"/>
      <c r="E310" s="67">
        <f ca="1">((1+$B309)/IF(Параметры!$B$62,1,1+CHOOSE(Параметры!$B$126,Параметры!E$65,Параметры!E$113,Параметры!E$122)))^(Параметры!E$40/12)-1</f>
        <v>2.4412331059534331E-2</v>
      </c>
      <c r="F310" s="67">
        <f ca="1">((1+$B309)/IF(Параметры!$B$62,1,1+CHOOSE(Параметры!$B$126,Параметры!F$65,Параметры!F$113,Параметры!F$122)))^(Параметры!F$40/12)-1</f>
        <v>2.4412331059534331E-2</v>
      </c>
      <c r="G310" s="67">
        <f ca="1">((1+$B309)/IF(Параметры!$B$62,1,1+CHOOSE(Параметры!$B$126,Параметры!G$65,Параметры!G$113,Параметры!G$122)))^(Параметры!G$40/12)-1</f>
        <v>2.4412331059534331E-2</v>
      </c>
      <c r="H310" s="67">
        <f ca="1">((1+$B309)/IF(Параметры!$B$62,1,1+CHOOSE(Параметры!$B$126,Параметры!H$65,Параметры!H$113,Параметры!H$122)))^(Параметры!H$40/12)-1</f>
        <v>2.4412331059534331E-2</v>
      </c>
      <c r="I310" s="67">
        <f ca="1">((1+$B309)/IF(Параметры!$B$62,1,1+CHOOSE(Параметры!$B$126,Параметры!I$65,Параметры!I$113,Параметры!I$122)))^(Параметры!I$40/12)-1</f>
        <v>2.4412331059534331E-2</v>
      </c>
      <c r="J310" s="67">
        <f ca="1">((1+$B309)/IF(Параметры!$B$62,1,1+CHOOSE(Параметры!$B$126,Параметры!J$65,Параметры!J$113,Параметры!J$122)))^(Параметры!J$40/12)-1</f>
        <v>2.4412331059534331E-2</v>
      </c>
      <c r="K310" s="67">
        <f ca="1">((1+$B309)/IF(Параметры!$B$62,1,1+CHOOSE(Параметры!$B$126,Параметры!K$65,Параметры!K$113,Параметры!K$122)))^(Параметры!K$40/12)-1</f>
        <v>2.4412331059534331E-2</v>
      </c>
      <c r="L310" s="67">
        <f ca="1">((1+$B309)/IF(Параметры!$B$62,1,1+CHOOSE(Параметры!$B$126,Параметры!L$65,Параметры!L$113,Параметры!L$122)))^(Параметры!L$40/12)-1</f>
        <v>2.4412331059534331E-2</v>
      </c>
      <c r="M310" s="67">
        <f ca="1">((1+$B309)/IF(Параметры!$B$62,1,1+CHOOSE(Параметры!$B$126,Параметры!M$65,Параметры!M$113,Параметры!M$122)))^(Параметры!M$40/12)-1</f>
        <v>2.4412331059534331E-2</v>
      </c>
      <c r="N310" s="67">
        <f ca="1">((1+$B309)/IF(Параметры!$B$62,1,1+CHOOSE(Параметры!$B$126,Параметры!N$65,Параметры!N$113,Параметры!N$122)))^(Параметры!N$40/12)-1</f>
        <v>2.4412331059534331E-2</v>
      </c>
      <c r="O310" s="67">
        <f ca="1">((1+$B309)/IF(Параметры!$B$62,1,1+CHOOSE(Параметры!$B$126,Параметры!O$65,Параметры!O$113,Параметры!O$122)))^(Параметры!O$40/12)-1</f>
        <v>2.4412331059534331E-2</v>
      </c>
      <c r="P310" s="67">
        <f ca="1">((1+$B309)/IF(Параметры!$B$62,1,1+CHOOSE(Параметры!$B$126,Параметры!P$65,Параметры!P$113,Параметры!P$122)))^(Параметры!P$40/12)-1</f>
        <v>2.4412331059534331E-2</v>
      </c>
      <c r="Q310" s="67">
        <f ca="1">((1+$B309)/IF(Параметры!$B$62,1,1+CHOOSE(Параметры!$B$126,Параметры!Q$65,Параметры!Q$113,Параметры!Q$122)))^(Параметры!Q$40/12)-1</f>
        <v>2.4412331059534331E-2</v>
      </c>
      <c r="R310" s="67">
        <f ca="1">((1+$B309)/IF(Параметры!$B$62,1,1+CHOOSE(Параметры!$B$126,Параметры!R$65,Параметры!R$113,Параметры!R$122)))^(Параметры!R$40/12)-1</f>
        <v>2.4412331059534331E-2</v>
      </c>
      <c r="S310" s="67">
        <f ca="1">((1+$B309)/IF(Параметры!$B$62,1,1+CHOOSE(Параметры!$B$126,Параметры!S$65,Параметры!S$113,Параметры!S$122)))^(Параметры!S$40/12)-1</f>
        <v>2.4412331059534331E-2</v>
      </c>
      <c r="T310" s="67">
        <f ca="1">((1+$B309)/IF(Параметры!$B$62,1,1+CHOOSE(Параметры!$B$126,Параметры!T$65,Параметры!T$113,Параметры!T$122)))^(Параметры!T$40/12)-1</f>
        <v>2.4412331059534331E-2</v>
      </c>
      <c r="U310" s="67">
        <f ca="1">((1+$B309)/IF(Параметры!$B$62,1,1+CHOOSE(Параметры!$B$126,Параметры!U$65,Параметры!U$113,Параметры!U$122)))^(Параметры!U$40/12)-1</f>
        <v>2.4412331059534331E-2</v>
      </c>
      <c r="V310" s="67">
        <f ca="1">((1+$B309)/IF(Параметры!$B$62,1,1+CHOOSE(Параметры!$B$126,Параметры!V$65,Параметры!V$113,Параметры!V$122)))^(Параметры!V$40/12)-1</f>
        <v>2.4412331059534331E-2</v>
      </c>
      <c r="W310" s="67">
        <f ca="1">((1+$B309)/IF(Параметры!$B$62,1,1+CHOOSE(Параметры!$B$126,Параметры!W$65,Параметры!W$113,Параметры!W$122)))^(Параметры!W$40/12)-1</f>
        <v>2.4412331059534331E-2</v>
      </c>
      <c r="X310" s="67">
        <f ca="1">((1+$B309)/IF(Параметры!$B$62,1,1+CHOOSE(Параметры!$B$126,Параметры!X$65,Параметры!X$113,Параметры!X$122)))^(Параметры!X$40/12)-1</f>
        <v>2.4412331059534331E-2</v>
      </c>
      <c r="Y310" s="67">
        <f ca="1">((1+$B309)/IF(Параметры!$B$62,1,1+CHOOSE(Параметры!$B$126,Параметры!Y$65,Параметры!Y$113,Параметры!Y$122)))^(Параметры!Y$40/12)-1</f>
        <v>2.4412331059534331E-2</v>
      </c>
      <c r="Z310" s="67">
        <f ca="1">((1+$B309)/IF(Параметры!$B$62,1,1+CHOOSE(Параметры!$B$126,Параметры!Z$65,Параметры!Z$113,Параметры!Z$122)))^(Параметры!Z$40/12)-1</f>
        <v>2.4412331059534331E-2</v>
      </c>
      <c r="AA310" s="67">
        <f ca="1">((1+$B309)/IF(Параметры!$B$62,1,1+CHOOSE(Параметры!$B$126,Параметры!AA$65,Параметры!AA$113,Параметры!AA$122)))^(Параметры!AA$40/12)-1</f>
        <v>2.4412331059534331E-2</v>
      </c>
      <c r="AB310" s="67">
        <f ca="1">((1+$B309)/IF(Параметры!$B$62,1,1+CHOOSE(Параметры!$B$126,Параметры!AB$65,Параметры!AB$113,Параметры!AB$122)))^(Параметры!AB$40/12)-1</f>
        <v>2.4412331059534331E-2</v>
      </c>
      <c r="AC310" s="67">
        <f ca="1">((1+$B309)/IF(Параметры!$B$62,1,1+CHOOSE(Параметры!$B$126,Параметры!AC$65,Параметры!AC$113,Параметры!AC$122)))^(Параметры!AC$40/12)-1</f>
        <v>2.4412331059534331E-2</v>
      </c>
      <c r="AD310" s="67">
        <f ca="1">((1+$B309)/IF(Параметры!$B$62,1,1+CHOOSE(Параметры!$B$126,Параметры!AD$65,Параметры!AD$113,Параметры!AD$122)))^(Параметры!AD$40/12)-1</f>
        <v>2.4412331059534331E-2</v>
      </c>
      <c r="AE310" s="67">
        <f ca="1">((1+$B309)/IF(Параметры!$B$62,1,1+CHOOSE(Параметры!$B$126,Параметры!AE$65,Параметры!AE$113,Параметры!AE$122)))^(Параметры!AE$40/12)-1</f>
        <v>2.4412331059534331E-2</v>
      </c>
      <c r="AF310" s="67">
        <f ca="1">((1+$B309)/IF(Параметры!$B$62,1,1+CHOOSE(Параметры!$B$126,Параметры!AF$65,Параметры!AF$113,Параметры!AF$122)))^(Параметры!AF$40/12)-1</f>
        <v>2.4412331059534331E-2</v>
      </c>
      <c r="AG310" s="67">
        <f ca="1">((1+$B309)/IF(Параметры!$B$62,1,1+CHOOSE(Параметры!$B$126,Параметры!AG$65,Параметры!AG$113,Параметры!AG$122)))^(Параметры!AG$40/12)-1</f>
        <v>2.4412331059534331E-2</v>
      </c>
      <c r="AH310" s="67">
        <f ca="1">((1+$B309)/IF(Параметры!$B$62,1,1+CHOOSE(Параметры!$B$126,Параметры!AH$65,Параметры!AH$113,Параметры!AH$122)))^(Параметры!AH$40/12)-1</f>
        <v>2.4412331059534331E-2</v>
      </c>
      <c r="AI310" s="67">
        <f ca="1">((1+$B309)/IF(Параметры!$B$62,1,1+CHOOSE(Параметры!$B$126,Параметры!AI$65,Параметры!AI$113,Параметры!AI$122)))^(Параметры!AI$40/12)-1</f>
        <v>2.4412331059534331E-2</v>
      </c>
      <c r="AJ310" s="67">
        <f ca="1">((1+$B309)/IF(Параметры!$B$62,1,1+CHOOSE(Параметры!$B$126,Параметры!AJ$65,Параметры!AJ$113,Параметры!AJ$122)))^(Параметры!AJ$40/12)-1</f>
        <v>2.4412331059534331E-2</v>
      </c>
      <c r="AK310" s="67">
        <f ca="1">((1+$B309)/IF(Параметры!$B$62,1,1+CHOOSE(Параметры!$B$126,Параметры!AK$65,Параметры!AK$113,Параметры!AK$122)))^(Параметры!AK$40/12)-1</f>
        <v>2.4412331059534331E-2</v>
      </c>
      <c r="AL310" s="67">
        <f ca="1">((1+$B309)/IF(Параметры!$B$62,1,1+CHOOSE(Параметры!$B$126,Параметры!AL$65,Параметры!AL$113,Параметры!AL$122)))^(Параметры!AL$40/12)-1</f>
        <v>2.4412331059534331E-2</v>
      </c>
      <c r="AM310" s="67">
        <f ca="1">((1+$B309)/IF(Параметры!$B$62,1,1+CHOOSE(Параметры!$B$126,Параметры!AM$65,Параметры!AM$113,Параметры!AM$122)))^(Параметры!AM$40/12)-1</f>
        <v>2.4412331059534331E-2</v>
      </c>
      <c r="AN310" s="67">
        <f ca="1">((1+$B309)/IF(Параметры!$B$62,1,1+CHOOSE(Параметры!$B$126,Параметры!AN$65,Параметры!AN$113,Параметры!AN$122)))^(Параметры!AN$40/12)-1</f>
        <v>2.4412331059534331E-2</v>
      </c>
      <c r="AO310" s="67">
        <f ca="1">((1+$B309)/IF(Параметры!$B$62,1,1+CHOOSE(Параметры!$B$126,Параметры!AO$65,Параметры!AO$113,Параметры!AO$122)))^(Параметры!AO$40/12)-1</f>
        <v>2.4412331059534331E-2</v>
      </c>
      <c r="AP310" s="67">
        <f ca="1">((1+$B309)/IF(Параметры!$B$62,1,1+CHOOSE(Параметры!$B$126,Параметры!AP$65,Параметры!AP$113,Параметры!AP$122)))^(Параметры!AP$40/12)-1</f>
        <v>2.4412331059534331E-2</v>
      </c>
      <c r="AQ310" s="67">
        <f ca="1">((1+$B309)/IF(Параметры!$B$62,1,1+CHOOSE(Параметры!$B$126,Параметры!AQ$65,Параметры!AQ$113,Параметры!AQ$122)))^(Параметры!AQ$40/12)-1</f>
        <v>2.4412331059534331E-2</v>
      </c>
      <c r="AR310" s="67">
        <f ca="1">((1+$B309)/IF(Параметры!$B$62,1,1+CHOOSE(Параметры!$B$126,Параметры!AR$65,Параметры!AR$113,Параметры!AR$122)))^(Параметры!AR$40/12)-1</f>
        <v>2.4412331059534331E-2</v>
      </c>
    </row>
    <row r="311" spans="1:46" outlineLevel="1" x14ac:dyDescent="0.2">
      <c r="A311" s="63" t="s">
        <v>545</v>
      </c>
      <c r="C311" s="12" t="s">
        <v>133</v>
      </c>
      <c r="D311" s="40"/>
      <c r="E311" s="68">
        <v>1</v>
      </c>
      <c r="F311" s="68">
        <v>1</v>
      </c>
      <c r="G311" s="68">
        <v>1</v>
      </c>
      <c r="H311" s="68">
        <v>1</v>
      </c>
      <c r="I311" s="68">
        <f t="shared" ref="I311:AR311" ca="1" si="122">IF(I$2=1,1,H311*(1+H310))</f>
        <v>1.0244123310595343</v>
      </c>
      <c r="J311" s="68">
        <f t="shared" ca="1" si="122"/>
        <v>1.0494206240268289</v>
      </c>
      <c r="K311" s="68">
        <f t="shared" ca="1" si="122"/>
        <v>1.0750394277212749</v>
      </c>
      <c r="L311" s="68">
        <f t="shared" ca="1" si="122"/>
        <v>1.101283646132859</v>
      </c>
      <c r="M311" s="68">
        <f t="shared" ca="1" si="122"/>
        <v>1.1281685470927054</v>
      </c>
      <c r="N311" s="68">
        <f t="shared" ca="1" si="122"/>
        <v>1.1557097711552864</v>
      </c>
      <c r="O311" s="68">
        <f t="shared" ca="1" si="122"/>
        <v>1.1839233406974679</v>
      </c>
      <c r="P311" s="68">
        <f t="shared" ca="1" si="122"/>
        <v>1.2128256692396844</v>
      </c>
      <c r="Q311" s="68">
        <f t="shared" ca="1" si="122"/>
        <v>1.2424335709946648</v>
      </c>
      <c r="R311" s="68">
        <f t="shared" ca="1" si="122"/>
        <v>1.2727642706492659</v>
      </c>
      <c r="S311" s="68">
        <f t="shared" ca="1" si="122"/>
        <v>1.3038354133851024</v>
      </c>
      <c r="T311" s="68">
        <f t="shared" ca="1" si="122"/>
        <v>1.3356650751438044</v>
      </c>
      <c r="U311" s="68">
        <f t="shared" ca="1" si="122"/>
        <v>1.3682717731428728</v>
      </c>
      <c r="V311" s="68">
        <f t="shared" ca="1" si="122"/>
        <v>1.4016744766482527</v>
      </c>
      <c r="W311" s="68">
        <f t="shared" ca="1" si="122"/>
        <v>1.4358926180098894</v>
      </c>
      <c r="X311" s="68">
        <f t="shared" ca="1" si="122"/>
        <v>1.4709461039666882</v>
      </c>
      <c r="Y311" s="68">
        <f t="shared" ca="1" si="122"/>
        <v>1.5068553272274552</v>
      </c>
      <c r="Z311" s="68">
        <f t="shared" ca="1" si="122"/>
        <v>1.5436411783345547</v>
      </c>
      <c r="AA311" s="68">
        <f t="shared" ca="1" si="122"/>
        <v>1.5813250578171876</v>
      </c>
      <c r="AB311" s="68">
        <f t="shared" ca="1" si="122"/>
        <v>1.6199288886413581</v>
      </c>
      <c r="AC311" s="68">
        <f t="shared" ca="1" si="122"/>
        <v>1.6594751289637744</v>
      </c>
      <c r="AD311" s="68">
        <f t="shared" ca="1" si="122"/>
        <v>1.6999867851971016</v>
      </c>
      <c r="AE311" s="68">
        <f t="shared" ca="1" si="122"/>
        <v>1.7414874253941668</v>
      </c>
      <c r="AF311" s="68">
        <f t="shared" ca="1" si="122"/>
        <v>1.7840011929589052</v>
      </c>
      <c r="AG311" s="68">
        <f t="shared" ca="1" si="122"/>
        <v>1.8275528206920222</v>
      </c>
      <c r="AH311" s="68">
        <f t="shared" ca="1" si="122"/>
        <v>1.8721676451795417</v>
      </c>
      <c r="AI311" s="68">
        <f t="shared" ca="1" si="122"/>
        <v>1.9178716215326135</v>
      </c>
      <c r="AJ311" s="68">
        <f t="shared" ca="1" si="122"/>
        <v>1.9646913384871536</v>
      </c>
      <c r="AK311" s="68">
        <f t="shared" ca="1" si="122"/>
        <v>2.0126540338721015</v>
      </c>
      <c r="AL311" s="68">
        <f t="shared" ca="1" si="122"/>
        <v>2.0617876104552946</v>
      </c>
      <c r="AM311" s="68">
        <f t="shared" ca="1" si="122"/>
        <v>2.1121206521761753</v>
      </c>
      <c r="AN311" s="68">
        <f t="shared" ca="1" si="122"/>
        <v>2.1636824407747794</v>
      </c>
      <c r="AO311" s="68">
        <f t="shared" ca="1" si="122"/>
        <v>2.2165029728266745</v>
      </c>
      <c r="AP311" s="68">
        <f t="shared" ca="1" si="122"/>
        <v>2.2706129771937613</v>
      </c>
      <c r="AQ311" s="68">
        <f t="shared" ca="1" si="122"/>
        <v>2.3260439329010905</v>
      </c>
      <c r="AR311" s="68">
        <f t="shared" ca="1" si="122"/>
        <v>2.3828280874500933</v>
      </c>
    </row>
    <row r="312" spans="1:46" s="60" customFormat="1" x14ac:dyDescent="0.2">
      <c r="A312" s="52" t="s">
        <v>197</v>
      </c>
      <c r="B312" s="54"/>
      <c r="C312" s="34" t="str">
        <f>Параметры!$C$126</f>
        <v>тыс. руб.</v>
      </c>
      <c r="D312" s="169"/>
      <c r="E312" s="85">
        <f t="shared" ref="E312:AB312" ca="1" si="123">SUM(E313:E317)</f>
        <v>-20731.544183999998</v>
      </c>
      <c r="F312" s="85">
        <f t="shared" ca="1" si="123"/>
        <v>-28857.830096491554</v>
      </c>
      <c r="G312" s="85">
        <f t="shared" ca="1" si="123"/>
        <v>-29472.029324992902</v>
      </c>
      <c r="H312" s="85">
        <f t="shared" ca="1" si="123"/>
        <v>-22953.044939514923</v>
      </c>
      <c r="I312" s="85">
        <f t="shared" ca="1" si="123"/>
        <v>-51109.152960903477</v>
      </c>
      <c r="J312" s="85">
        <f t="shared" ca="1" si="123"/>
        <v>-83122.760212900059</v>
      </c>
      <c r="K312" s="85">
        <f t="shared" ca="1" si="123"/>
        <v>-107686.99630562586</v>
      </c>
      <c r="L312" s="85">
        <f t="shared" ca="1" si="123"/>
        <v>-73982.288803538395</v>
      </c>
      <c r="M312" s="85">
        <f t="shared" ca="1" si="123"/>
        <v>-112108.5668047878</v>
      </c>
      <c r="N312" s="85">
        <f t="shared" ca="1" si="123"/>
        <v>-200993.32902893232</v>
      </c>
      <c r="O312" s="85">
        <f t="shared" ca="1" si="123"/>
        <v>-277389.71335030935</v>
      </c>
      <c r="P312" s="85">
        <f t="shared" ca="1" si="123"/>
        <v>-190484.74128712481</v>
      </c>
      <c r="Q312" s="85">
        <f t="shared" ca="1" si="123"/>
        <v>-281304.9749547937</v>
      </c>
      <c r="R312" s="85">
        <f t="shared" ca="1" si="123"/>
        <v>-442830.26369463012</v>
      </c>
      <c r="S312" s="85">
        <f t="shared" ca="1" si="123"/>
        <v>-478672.89106531884</v>
      </c>
      <c r="T312" s="85">
        <f t="shared" ca="1" si="123"/>
        <v>-317966.27340270602</v>
      </c>
      <c r="U312" s="85">
        <f t="shared" ca="1" si="123"/>
        <v>4212.6459965592076</v>
      </c>
      <c r="V312" s="85">
        <f t="shared" ca="1" si="123"/>
        <v>14099.945731761924</v>
      </c>
      <c r="W312" s="85">
        <f t="shared" ca="1" si="123"/>
        <v>90059.373501609487</v>
      </c>
      <c r="X312" s="85">
        <f t="shared" ca="1" si="123"/>
        <v>26434.311731881928</v>
      </c>
      <c r="Y312" s="85">
        <f t="shared" ca="1" si="123"/>
        <v>29770.373302497464</v>
      </c>
      <c r="Z312" s="85">
        <f t="shared" ca="1" si="123"/>
        <v>49652.395515805285</v>
      </c>
      <c r="AA312" s="85">
        <f t="shared" ca="1" si="123"/>
        <v>36249.995592766558</v>
      </c>
      <c r="AB312" s="85">
        <f t="shared" ca="1" si="123"/>
        <v>-2811.6889663320908</v>
      </c>
      <c r="AC312" s="85">
        <f t="shared" ref="AC312:AR312" ca="1" si="124">SUM(AC313:AC317)</f>
        <v>496.63266823784215</v>
      </c>
      <c r="AD312" s="85">
        <f t="shared" ca="1" si="124"/>
        <v>-4909.2098050459463</v>
      </c>
      <c r="AE312" s="85">
        <f t="shared" ca="1" si="124"/>
        <v>-8755.7175357866217</v>
      </c>
      <c r="AF312" s="85">
        <f t="shared" ca="1" si="124"/>
        <v>-6954.3757035518938</v>
      </c>
      <c r="AG312" s="85">
        <f t="shared" ca="1" si="124"/>
        <v>-2184.6580996593984</v>
      </c>
      <c r="AH312" s="85">
        <f t="shared" ca="1" si="124"/>
        <v>-26618.354840321786</v>
      </c>
      <c r="AI312" s="85">
        <f t="shared" ca="1" si="124"/>
        <v>-25127.240027136402</v>
      </c>
      <c r="AJ312" s="85">
        <f t="shared" ca="1" si="124"/>
        <v>-23638.407161263283</v>
      </c>
      <c r="AK312" s="85">
        <f t="shared" ca="1" si="124"/>
        <v>457204.25440857722</v>
      </c>
      <c r="AL312" s="85">
        <f t="shared" ca="1" si="124"/>
        <v>-69636.227575561032</v>
      </c>
      <c r="AM312" s="85">
        <f t="shared" ca="1" si="124"/>
        <v>19518.510493656679</v>
      </c>
      <c r="AN312" s="85">
        <f t="shared" ca="1" si="124"/>
        <v>20960.859011842549</v>
      </c>
      <c r="AO312" s="85">
        <f t="shared" ca="1" si="124"/>
        <v>7721782.0819571409</v>
      </c>
      <c r="AP312" s="85">
        <f t="shared" ca="1" si="124"/>
        <v>-1998119.9940400613</v>
      </c>
      <c r="AQ312" s="85">
        <f t="shared" ca="1" si="124"/>
        <v>86812.405098345975</v>
      </c>
      <c r="AR312" s="85">
        <f t="shared" ca="1" si="124"/>
        <v>84819.420833107084</v>
      </c>
      <c r="AT312" s="143">
        <f ca="1">SUM(E312:AS312)</f>
        <v>3753650.9316725009</v>
      </c>
    </row>
    <row r="313" spans="1:46" outlineLevel="1" x14ac:dyDescent="0.2">
      <c r="A313" s="63" t="s">
        <v>108</v>
      </c>
      <c r="C313" s="12" t="str">
        <f>Параметры!$C$126</f>
        <v>тыс. руб.</v>
      </c>
      <c r="D313" s="40"/>
      <c r="E313" s="82">
        <f t="shared" ref="E313:AR313" ca="1" si="125">E56</f>
        <v>-20731.544184000002</v>
      </c>
      <c r="F313" s="82">
        <f t="shared" ca="1" si="125"/>
        <v>-28857.830096491558</v>
      </c>
      <c r="G313" s="82">
        <f t="shared" ca="1" si="125"/>
        <v>-3394.4245141073006</v>
      </c>
      <c r="H313" s="82">
        <f t="shared" ca="1" si="125"/>
        <v>3646.1119675883783</v>
      </c>
      <c r="I313" s="82">
        <f t="shared" ca="1" si="125"/>
        <v>-158.59248756996385</v>
      </c>
      <c r="J313" s="82">
        <f t="shared" ca="1" si="125"/>
        <v>2950.9259840399463</v>
      </c>
      <c r="K313" s="82">
        <f t="shared" ca="1" si="125"/>
        <v>-3043.3215844785882</v>
      </c>
      <c r="L313" s="82">
        <f t="shared" ca="1" si="125"/>
        <v>-5140.4009329217843</v>
      </c>
      <c r="M313" s="82">
        <f t="shared" ca="1" si="125"/>
        <v>13926.508000697184</v>
      </c>
      <c r="N313" s="82">
        <f t="shared" ca="1" si="125"/>
        <v>7618.4829030487308</v>
      </c>
      <c r="O313" s="82">
        <f t="shared" ca="1" si="125"/>
        <v>-3270.8501765326582</v>
      </c>
      <c r="P313" s="82">
        <f t="shared" ca="1" si="125"/>
        <v>-9808.7346485550952</v>
      </c>
      <c r="Q313" s="82">
        <f t="shared" ca="1" si="125"/>
        <v>-908.68858268713666</v>
      </c>
      <c r="R313" s="82">
        <f t="shared" ca="1" si="125"/>
        <v>-10604.840379459834</v>
      </c>
      <c r="S313" s="82">
        <f t="shared" ca="1" si="125"/>
        <v>-21969.23416270662</v>
      </c>
      <c r="T313" s="82">
        <f t="shared" ca="1" si="125"/>
        <v>-25538.430311492833</v>
      </c>
      <c r="U313" s="82">
        <f t="shared" ca="1" si="125"/>
        <v>144093.45924083516</v>
      </c>
      <c r="V313" s="82">
        <f t="shared" ca="1" si="125"/>
        <v>157439.36946676535</v>
      </c>
      <c r="W313" s="82">
        <f t="shared" ca="1" si="125"/>
        <v>164004.4906709301</v>
      </c>
      <c r="X313" s="82">
        <f t="shared" ca="1" si="125"/>
        <v>170684.31446470757</v>
      </c>
      <c r="Y313" s="82">
        <f t="shared" ca="1" si="125"/>
        <v>177481.04472905857</v>
      </c>
      <c r="Z313" s="82">
        <f t="shared" ca="1" si="125"/>
        <v>184343.79330046062</v>
      </c>
      <c r="AA313" s="82">
        <f t="shared" ca="1" si="125"/>
        <v>191327.20473962842</v>
      </c>
      <c r="AB313" s="82">
        <f t="shared" ca="1" si="125"/>
        <v>198433.19677949802</v>
      </c>
      <c r="AC313" s="82">
        <f t="shared" ca="1" si="125"/>
        <v>206149.52148175257</v>
      </c>
      <c r="AD313" s="82">
        <f t="shared" ca="1" si="125"/>
        <v>205248.46200794444</v>
      </c>
      <c r="AE313" s="82">
        <f t="shared" ca="1" si="125"/>
        <v>206005.64675419102</v>
      </c>
      <c r="AF313" s="82">
        <f t="shared" ca="1" si="125"/>
        <v>212511.76704136914</v>
      </c>
      <c r="AG313" s="82">
        <f t="shared" ca="1" si="125"/>
        <v>222089.57357060959</v>
      </c>
      <c r="AH313" s="82">
        <f t="shared" ca="1" si="125"/>
        <v>202569.5497703873</v>
      </c>
      <c r="AI313" s="82">
        <f t="shared" ca="1" si="125"/>
        <v>209082.24521972981</v>
      </c>
      <c r="AJ313" s="82">
        <f t="shared" ca="1" si="125"/>
        <v>215702.94134172195</v>
      </c>
      <c r="AK313" s="82">
        <f t="shared" ca="1" si="125"/>
        <v>210474.58144255713</v>
      </c>
      <c r="AL313" s="82">
        <f t="shared" ca="1" si="125"/>
        <v>180309.45803286985</v>
      </c>
      <c r="AM313" s="82">
        <f t="shared" ca="1" si="125"/>
        <v>225797.38152274449</v>
      </c>
      <c r="AN313" s="82">
        <f t="shared" ca="1" si="125"/>
        <v>231854.65195257182</v>
      </c>
      <c r="AO313" s="82">
        <f t="shared" ca="1" si="125"/>
        <v>69740.932996482166</v>
      </c>
      <c r="AP313" s="82">
        <f t="shared" ca="1" si="125"/>
        <v>-1998119.9940400613</v>
      </c>
      <c r="AQ313" s="82">
        <f t="shared" ca="1" si="125"/>
        <v>86812.405098345975</v>
      </c>
      <c r="AR313" s="82">
        <f t="shared" ca="1" si="125"/>
        <v>84819.420833107084</v>
      </c>
      <c r="AT313" s="30">
        <f ca="1">SUM(E313:AS313)</f>
        <v>2053570.5552125778</v>
      </c>
    </row>
    <row r="314" spans="1:46" outlineLevel="1" x14ac:dyDescent="0.2">
      <c r="A314" s="63" t="s">
        <v>109</v>
      </c>
      <c r="C314" s="12" t="str">
        <f>Параметры!$C$126</f>
        <v>тыс. руб.</v>
      </c>
      <c r="D314" s="40"/>
      <c r="E314" s="82">
        <f t="shared" ref="E314:AR314" si="126">E65</f>
        <v>-301153.75</v>
      </c>
      <c r="F314" s="82">
        <f t="shared" ca="1" si="126"/>
        <v>-326793.75</v>
      </c>
      <c r="G314" s="82">
        <f t="shared" ca="1" si="126"/>
        <v>-64100.000000000007</v>
      </c>
      <c r="H314" s="82">
        <f t="shared" ca="1" si="126"/>
        <v>-71792</v>
      </c>
      <c r="I314" s="82">
        <f t="shared" ca="1" si="126"/>
        <v>-90768</v>
      </c>
      <c r="J314" s="82">
        <f t="shared" ca="1" si="126"/>
        <v>-191195.07809271439</v>
      </c>
      <c r="K314" s="82">
        <f t="shared" ca="1" si="126"/>
        <v>-251017.68685945566</v>
      </c>
      <c r="L314" s="82">
        <f t="shared" ca="1" si="126"/>
        <v>-129589.65171757294</v>
      </c>
      <c r="M314" s="82">
        <f t="shared" ca="1" si="126"/>
        <v>-268652.41227134393</v>
      </c>
      <c r="N314" s="82">
        <f t="shared" ca="1" si="126"/>
        <v>-540753.01301084307</v>
      </c>
      <c r="O314" s="82">
        <f t="shared" ca="1" si="126"/>
        <v>-785061.38492575171</v>
      </c>
      <c r="P314" s="82">
        <f t="shared" ca="1" si="126"/>
        <v>-442947.78078685631</v>
      </c>
      <c r="Q314" s="82">
        <f t="shared" ca="1" si="126"/>
        <v>-411431.25935957226</v>
      </c>
      <c r="R314" s="82">
        <f t="shared" ca="1" si="126"/>
        <v>-906016.57989159273</v>
      </c>
      <c r="S314" s="82">
        <f t="shared" ca="1" si="126"/>
        <v>-991061.85020460747</v>
      </c>
      <c r="T314" s="82">
        <f t="shared" ca="1" si="126"/>
        <v>-501524.67002557381</v>
      </c>
      <c r="U314" s="82">
        <f t="shared" ca="1" si="126"/>
        <v>0</v>
      </c>
      <c r="V314" s="82">
        <f t="shared" ca="1" si="126"/>
        <v>0</v>
      </c>
      <c r="W314" s="82">
        <f t="shared" ca="1" si="126"/>
        <v>0</v>
      </c>
      <c r="X314" s="82">
        <f t="shared" ca="1" si="126"/>
        <v>0</v>
      </c>
      <c r="Y314" s="82">
        <f t="shared" ca="1" si="126"/>
        <v>0</v>
      </c>
      <c r="Z314" s="82">
        <f t="shared" ca="1" si="126"/>
        <v>0</v>
      </c>
      <c r="AA314" s="82">
        <f t="shared" ca="1" si="126"/>
        <v>0</v>
      </c>
      <c r="AB314" s="82">
        <f t="shared" ca="1" si="126"/>
        <v>0</v>
      </c>
      <c r="AC314" s="82">
        <f t="shared" ca="1" si="126"/>
        <v>0</v>
      </c>
      <c r="AD314" s="82">
        <f t="shared" ca="1" si="126"/>
        <v>0</v>
      </c>
      <c r="AE314" s="82">
        <f t="shared" ca="1" si="126"/>
        <v>0</v>
      </c>
      <c r="AF314" s="82">
        <f t="shared" ca="1" si="126"/>
        <v>0</v>
      </c>
      <c r="AG314" s="82">
        <f t="shared" ca="1" si="126"/>
        <v>0</v>
      </c>
      <c r="AH314" s="82">
        <f t="shared" ca="1" si="126"/>
        <v>0</v>
      </c>
      <c r="AI314" s="82">
        <f t="shared" ca="1" si="126"/>
        <v>0</v>
      </c>
      <c r="AJ314" s="82">
        <f t="shared" ca="1" si="126"/>
        <v>0</v>
      </c>
      <c r="AK314" s="82">
        <f t="shared" ca="1" si="126"/>
        <v>491315.59464514832</v>
      </c>
      <c r="AL314" s="82">
        <f t="shared" ca="1" si="126"/>
        <v>0</v>
      </c>
      <c r="AM314" s="82">
        <f t="shared" ca="1" si="126"/>
        <v>0</v>
      </c>
      <c r="AN314" s="82">
        <f t="shared" ca="1" si="126"/>
        <v>0</v>
      </c>
      <c r="AO314" s="82">
        <f t="shared" ca="1" si="126"/>
        <v>7652041.1489606583</v>
      </c>
      <c r="AP314" s="82">
        <f t="shared" ca="1" si="126"/>
        <v>0</v>
      </c>
      <c r="AQ314" s="82">
        <f t="shared" ca="1" si="126"/>
        <v>0</v>
      </c>
      <c r="AR314" s="82">
        <f t="shared" ca="1" si="126"/>
        <v>0</v>
      </c>
      <c r="AT314" s="30">
        <f t="shared" ref="AT314:AT317" ca="1" si="127">SUM(E314:AS314)</f>
        <v>1869497.8764599217</v>
      </c>
    </row>
    <row r="315" spans="1:46" outlineLevel="1" x14ac:dyDescent="0.2">
      <c r="A315" s="63" t="str">
        <f>A112</f>
        <v>Целевое (бюджетное) финансирование</v>
      </c>
      <c r="C315" s="12" t="str">
        <f>Параметры!$C$126</f>
        <v>тыс. руб.</v>
      </c>
      <c r="D315" s="40"/>
      <c r="E315" s="82">
        <f>E$68</f>
        <v>0</v>
      </c>
      <c r="F315" s="82">
        <f t="shared" ref="F315:AR315" ca="1" si="128">F$68</f>
        <v>0</v>
      </c>
      <c r="G315" s="82">
        <f t="shared" ca="1" si="128"/>
        <v>0</v>
      </c>
      <c r="H315" s="82">
        <f t="shared" ca="1" si="128"/>
        <v>0</v>
      </c>
      <c r="I315" s="82">
        <f t="shared" ca="1" si="128"/>
        <v>0</v>
      </c>
      <c r="J315" s="82">
        <f t="shared" ca="1" si="128"/>
        <v>1000.0318861108526</v>
      </c>
      <c r="K315" s="82">
        <f t="shared" ca="1" si="128"/>
        <v>1000.0318861108526</v>
      </c>
      <c r="L315" s="82">
        <f t="shared" ca="1" si="128"/>
        <v>1009.441750841768</v>
      </c>
      <c r="M315" s="82">
        <f t="shared" ca="1" si="128"/>
        <v>1018.9401583036547</v>
      </c>
      <c r="N315" s="82">
        <f t="shared" ca="1" si="128"/>
        <v>1028.5279416450671</v>
      </c>
      <c r="O315" s="82">
        <f t="shared" ca="1" si="128"/>
        <v>9789.8628804723394</v>
      </c>
      <c r="P315" s="82">
        <f t="shared" ca="1" si="128"/>
        <v>1594.6509547354606</v>
      </c>
      <c r="Q315" s="82">
        <f t="shared" ca="1" si="128"/>
        <v>1612.4299840332176</v>
      </c>
      <c r="R315" s="82">
        <f t="shared" ca="1" si="128"/>
        <v>1630.4072346921009</v>
      </c>
      <c r="S315" s="82">
        <f t="shared" ca="1" si="128"/>
        <v>6213.4515893743246</v>
      </c>
      <c r="T315" s="82">
        <f t="shared" ca="1" si="128"/>
        <v>27253.662425870105</v>
      </c>
      <c r="U315" s="82">
        <f t="shared" ca="1" si="128"/>
        <v>33048.408915747459</v>
      </c>
      <c r="V315" s="82">
        <f t="shared" ca="1" si="128"/>
        <v>33376.232728754119</v>
      </c>
      <c r="W315" s="82">
        <f t="shared" ca="1" si="128"/>
        <v>106640.07890610778</v>
      </c>
      <c r="X315" s="82">
        <f t="shared" ca="1" si="128"/>
        <v>40289.666342360943</v>
      </c>
      <c r="Y315" s="82">
        <f t="shared" ca="1" si="128"/>
        <v>40870.272412639461</v>
      </c>
      <c r="Z315" s="82">
        <f t="shared" ca="1" si="128"/>
        <v>58019.532144945959</v>
      </c>
      <c r="AA315" s="82">
        <f t="shared" ca="1" si="128"/>
        <v>41854.369857254555</v>
      </c>
      <c r="AB315" s="82">
        <f t="shared" ca="1" si="128"/>
        <v>0</v>
      </c>
      <c r="AC315" s="82">
        <f t="shared" ca="1" si="128"/>
        <v>0</v>
      </c>
      <c r="AD315" s="82">
        <f t="shared" ca="1" si="128"/>
        <v>0</v>
      </c>
      <c r="AE315" s="82">
        <f t="shared" ca="1" si="128"/>
        <v>0</v>
      </c>
      <c r="AF315" s="82">
        <f t="shared" ca="1" si="128"/>
        <v>0</v>
      </c>
      <c r="AG315" s="82">
        <f t="shared" ca="1" si="128"/>
        <v>0</v>
      </c>
      <c r="AH315" s="82">
        <f t="shared" ca="1" si="128"/>
        <v>0</v>
      </c>
      <c r="AI315" s="82">
        <f t="shared" ca="1" si="128"/>
        <v>0</v>
      </c>
      <c r="AJ315" s="82">
        <f t="shared" ca="1" si="128"/>
        <v>0</v>
      </c>
      <c r="AK315" s="82">
        <f t="shared" ca="1" si="128"/>
        <v>0</v>
      </c>
      <c r="AL315" s="82">
        <f t="shared" ca="1" si="128"/>
        <v>0</v>
      </c>
      <c r="AM315" s="82">
        <f t="shared" ca="1" si="128"/>
        <v>0</v>
      </c>
      <c r="AN315" s="82">
        <f t="shared" ca="1" si="128"/>
        <v>0</v>
      </c>
      <c r="AO315" s="82">
        <f t="shared" ca="1" si="128"/>
        <v>0</v>
      </c>
      <c r="AP315" s="82">
        <f t="shared" ca="1" si="128"/>
        <v>0</v>
      </c>
      <c r="AQ315" s="82">
        <f t="shared" ca="1" si="128"/>
        <v>0</v>
      </c>
      <c r="AR315" s="82">
        <f t="shared" ca="1" si="128"/>
        <v>0</v>
      </c>
      <c r="AT315" s="30">
        <f t="shared" ca="1" si="127"/>
        <v>407250</v>
      </c>
    </row>
    <row r="316" spans="1:46" outlineLevel="1" x14ac:dyDescent="0.2">
      <c r="A316" s="63" t="s">
        <v>149</v>
      </c>
      <c r="C316" s="12" t="str">
        <f>Параметры!$C$126</f>
        <v>тыс. руб.</v>
      </c>
      <c r="D316" s="40"/>
      <c r="E316" s="82">
        <f t="shared" ref="E316:AR316" si="129">E69</f>
        <v>301153.75</v>
      </c>
      <c r="F316" s="82">
        <f t="shared" ca="1" si="129"/>
        <v>326793.75</v>
      </c>
      <c r="G316" s="82">
        <f t="shared" ca="1" si="129"/>
        <v>64100</v>
      </c>
      <c r="H316" s="82">
        <f t="shared" ca="1" si="129"/>
        <v>71792</v>
      </c>
      <c r="I316" s="82">
        <f t="shared" ca="1" si="129"/>
        <v>72768</v>
      </c>
      <c r="J316" s="82">
        <f t="shared" ca="1" si="129"/>
        <v>137730.93169246375</v>
      </c>
      <c r="K316" s="82">
        <f t="shared" ca="1" si="129"/>
        <v>179655.74336865376</v>
      </c>
      <c r="L316" s="82">
        <f t="shared" ca="1" si="129"/>
        <v>94705.720474899892</v>
      </c>
      <c r="M316" s="82">
        <f t="shared" ca="1" si="129"/>
        <v>188056.68858994072</v>
      </c>
      <c r="N316" s="82">
        <f t="shared" ca="1" si="129"/>
        <v>378527.10910759011</v>
      </c>
      <c r="O316" s="82">
        <f t="shared" ca="1" si="129"/>
        <v>549542.96944802604</v>
      </c>
      <c r="P316" s="82">
        <f t="shared" ca="1" si="129"/>
        <v>310063.44655079942</v>
      </c>
      <c r="Q316" s="82">
        <f t="shared" ca="1" si="129"/>
        <v>288001.88155170059</v>
      </c>
      <c r="R316" s="82">
        <f t="shared" ca="1" si="129"/>
        <v>634211.60592411482</v>
      </c>
      <c r="S316" s="82">
        <f t="shared" ca="1" si="129"/>
        <v>693743.29514322511</v>
      </c>
      <c r="T316" s="82">
        <f t="shared" ca="1" si="129"/>
        <v>351067.26901790162</v>
      </c>
      <c r="U316" s="82">
        <f t="shared" ca="1" si="129"/>
        <v>0</v>
      </c>
      <c r="V316" s="82">
        <f t="shared" ca="1" si="129"/>
        <v>0</v>
      </c>
      <c r="W316" s="82">
        <f t="shared" ca="1" si="129"/>
        <v>0</v>
      </c>
      <c r="X316" s="82">
        <f t="shared" ca="1" si="129"/>
        <v>0</v>
      </c>
      <c r="Y316" s="82">
        <f t="shared" ca="1" si="129"/>
        <v>0</v>
      </c>
      <c r="Z316" s="82">
        <f t="shared" ca="1" si="129"/>
        <v>0</v>
      </c>
      <c r="AA316" s="82">
        <f t="shared" ca="1" si="129"/>
        <v>0</v>
      </c>
      <c r="AB316" s="82">
        <f t="shared" ca="1" si="129"/>
        <v>0</v>
      </c>
      <c r="AC316" s="82">
        <f t="shared" ca="1" si="129"/>
        <v>0</v>
      </c>
      <c r="AD316" s="82">
        <f t="shared" ca="1" si="129"/>
        <v>0</v>
      </c>
      <c r="AE316" s="82">
        <f t="shared" ca="1" si="129"/>
        <v>0</v>
      </c>
      <c r="AF316" s="82">
        <f t="shared" ca="1" si="129"/>
        <v>0</v>
      </c>
      <c r="AG316" s="82">
        <f t="shared" ca="1" si="129"/>
        <v>0</v>
      </c>
      <c r="AH316" s="82">
        <f t="shared" ca="1" si="129"/>
        <v>0</v>
      </c>
      <c r="AI316" s="82">
        <f t="shared" ca="1" si="129"/>
        <v>0</v>
      </c>
      <c r="AJ316" s="82">
        <f t="shared" ca="1" si="129"/>
        <v>0</v>
      </c>
      <c r="AK316" s="82">
        <f t="shared" ca="1" si="129"/>
        <v>0</v>
      </c>
      <c r="AL316" s="82">
        <f t="shared" ca="1" si="129"/>
        <v>0</v>
      </c>
      <c r="AM316" s="82">
        <f t="shared" ca="1" si="129"/>
        <v>0</v>
      </c>
      <c r="AN316" s="82">
        <f t="shared" ca="1" si="129"/>
        <v>0</v>
      </c>
      <c r="AO316" s="82">
        <f t="shared" ca="1" si="129"/>
        <v>0</v>
      </c>
      <c r="AP316" s="82">
        <f t="shared" ca="1" si="129"/>
        <v>0</v>
      </c>
      <c r="AQ316" s="82">
        <f t="shared" ca="1" si="129"/>
        <v>0</v>
      </c>
      <c r="AR316" s="82">
        <f t="shared" ca="1" si="129"/>
        <v>0</v>
      </c>
      <c r="AT316" s="30">
        <f t="shared" ca="1" si="127"/>
        <v>4641914.1608693162</v>
      </c>
    </row>
    <row r="317" spans="1:46" outlineLevel="1" x14ac:dyDescent="0.2">
      <c r="A317" s="63" t="s">
        <v>257</v>
      </c>
      <c r="C317" s="12" t="str">
        <f>Параметры!$C$126</f>
        <v>тыс. руб.</v>
      </c>
      <c r="D317" s="40"/>
      <c r="E317" s="82">
        <f t="shared" ref="E317:AR317" ca="1" si="130">E70</f>
        <v>0</v>
      </c>
      <c r="F317" s="82">
        <f t="shared" ca="1" si="130"/>
        <v>0</v>
      </c>
      <c r="G317" s="82">
        <f t="shared" ca="1" si="130"/>
        <v>-26077.604810885598</v>
      </c>
      <c r="H317" s="82">
        <f t="shared" ca="1" si="130"/>
        <v>-26599.156907103305</v>
      </c>
      <c r="I317" s="82">
        <f t="shared" ca="1" si="130"/>
        <v>-32950.56047333352</v>
      </c>
      <c r="J317" s="82">
        <f t="shared" ca="1" si="130"/>
        <v>-33609.571682800182</v>
      </c>
      <c r="K317" s="82">
        <f t="shared" ca="1" si="130"/>
        <v>-34281.76311645619</v>
      </c>
      <c r="L317" s="82">
        <f t="shared" ca="1" si="130"/>
        <v>-34967.398378785314</v>
      </c>
      <c r="M317" s="82">
        <f t="shared" ca="1" si="130"/>
        <v>-46458.291282385428</v>
      </c>
      <c r="N317" s="82">
        <f t="shared" ca="1" si="130"/>
        <v>-47414.435970373204</v>
      </c>
      <c r="O317" s="82">
        <f t="shared" ca="1" si="130"/>
        <v>-48390.310576523378</v>
      </c>
      <c r="P317" s="82">
        <f t="shared" ca="1" si="130"/>
        <v>-49386.323357248264</v>
      </c>
      <c r="Q317" s="82">
        <f t="shared" ca="1" si="130"/>
        <v>-158579.33854826816</v>
      </c>
      <c r="R317" s="82">
        <f t="shared" ca="1" si="130"/>
        <v>-162050.85658238453</v>
      </c>
      <c r="S317" s="82">
        <f t="shared" ca="1" si="130"/>
        <v>-165598.55343060414</v>
      </c>
      <c r="T317" s="82">
        <f t="shared" ca="1" si="130"/>
        <v>-169224.104509411</v>
      </c>
      <c r="U317" s="82">
        <f t="shared" ca="1" si="130"/>
        <v>-172929.2221600234</v>
      </c>
      <c r="V317" s="82">
        <f t="shared" ca="1" si="130"/>
        <v>-176715.65646375754</v>
      </c>
      <c r="W317" s="82">
        <f t="shared" ca="1" si="130"/>
        <v>-180585.19607542839</v>
      </c>
      <c r="X317" s="82">
        <f t="shared" ca="1" si="130"/>
        <v>-184539.6690751866</v>
      </c>
      <c r="Y317" s="82">
        <f t="shared" ca="1" si="130"/>
        <v>-188580.94383920057</v>
      </c>
      <c r="Z317" s="82">
        <f t="shared" ca="1" si="130"/>
        <v>-192710.92992960129</v>
      </c>
      <c r="AA317" s="82">
        <f t="shared" ca="1" si="130"/>
        <v>-196931.57900411641</v>
      </c>
      <c r="AB317" s="82">
        <f t="shared" ca="1" si="130"/>
        <v>-201244.88574583011</v>
      </c>
      <c r="AC317" s="82">
        <f t="shared" ca="1" si="130"/>
        <v>-205652.88881351473</v>
      </c>
      <c r="AD317" s="82">
        <f t="shared" ca="1" si="130"/>
        <v>-210157.67181299039</v>
      </c>
      <c r="AE317" s="82">
        <f t="shared" ca="1" si="130"/>
        <v>-214761.36428997765</v>
      </c>
      <c r="AF317" s="82">
        <f t="shared" ca="1" si="130"/>
        <v>-219466.14274492103</v>
      </c>
      <c r="AG317" s="82">
        <f t="shared" ca="1" si="130"/>
        <v>-224274.23167026899</v>
      </c>
      <c r="AH317" s="82">
        <f t="shared" ca="1" si="130"/>
        <v>-229187.90461070908</v>
      </c>
      <c r="AI317" s="82">
        <f t="shared" ca="1" si="130"/>
        <v>-234209.48524686621</v>
      </c>
      <c r="AJ317" s="82">
        <f t="shared" ca="1" si="130"/>
        <v>-239341.34850298523</v>
      </c>
      <c r="AK317" s="82">
        <f t="shared" ca="1" si="130"/>
        <v>-244585.92167912822</v>
      </c>
      <c r="AL317" s="82">
        <f t="shared" ca="1" si="130"/>
        <v>-249945.68560843088</v>
      </c>
      <c r="AM317" s="82">
        <f t="shared" ca="1" si="130"/>
        <v>-206278.87102908781</v>
      </c>
      <c r="AN317" s="82">
        <f t="shared" ca="1" si="130"/>
        <v>-210893.79294072927</v>
      </c>
      <c r="AO317" s="82">
        <f t="shared" ca="1" si="130"/>
        <v>0</v>
      </c>
      <c r="AP317" s="82">
        <f t="shared" ca="1" si="130"/>
        <v>0</v>
      </c>
      <c r="AQ317" s="82">
        <f t="shared" ca="1" si="130"/>
        <v>0</v>
      </c>
      <c r="AR317" s="82">
        <f t="shared" ca="1" si="130"/>
        <v>0</v>
      </c>
      <c r="AT317" s="30">
        <f t="shared" ca="1" si="127"/>
        <v>-5218581.6608693162</v>
      </c>
    </row>
    <row r="318" spans="1:46" x14ac:dyDescent="0.2">
      <c r="A318" s="44" t="s">
        <v>136</v>
      </c>
      <c r="C318" s="12" t="str">
        <f>Параметры!$C$126</f>
        <v>тыс. руб.</v>
      </c>
      <c r="D318" s="40"/>
      <c r="E318" s="82">
        <f t="shared" ref="E318:AR318" ca="1" si="131">E312/E311</f>
        <v>-20731.544183999998</v>
      </c>
      <c r="F318" s="82">
        <f t="shared" ca="1" si="131"/>
        <v>-28857.830096491554</v>
      </c>
      <c r="G318" s="82">
        <f t="shared" ca="1" si="131"/>
        <v>-29472.029324992902</v>
      </c>
      <c r="H318" s="82">
        <f t="shared" ca="1" si="131"/>
        <v>-22953.044939514923</v>
      </c>
      <c r="I318" s="82">
        <f t="shared" ca="1" si="131"/>
        <v>-49891.192649001059</v>
      </c>
      <c r="J318" s="82">
        <f t="shared" ca="1" si="131"/>
        <v>-79208.239584564319</v>
      </c>
      <c r="K318" s="82">
        <f t="shared" ca="1" si="131"/>
        <v>-100170.27611153423</v>
      </c>
      <c r="L318" s="82">
        <f t="shared" ca="1" si="131"/>
        <v>-67178.232477460362</v>
      </c>
      <c r="M318" s="82">
        <f t="shared" ca="1" si="131"/>
        <v>-99372.179000816846</v>
      </c>
      <c r="N318" s="82">
        <f t="shared" ca="1" si="131"/>
        <v>-173913.32499336111</v>
      </c>
      <c r="O318" s="82">
        <f t="shared" ca="1" si="131"/>
        <v>-234297.02229444578</v>
      </c>
      <c r="P318" s="82">
        <f t="shared" ca="1" si="131"/>
        <v>-157058.63267763695</v>
      </c>
      <c r="Q318" s="82">
        <f t="shared" ca="1" si="131"/>
        <v>-226414.49935193491</v>
      </c>
      <c r="R318" s="82">
        <f t="shared" ca="1" si="131"/>
        <v>-347927.95013701351</v>
      </c>
      <c r="S318" s="82">
        <f t="shared" ca="1" si="131"/>
        <v>-367126.77547433466</v>
      </c>
      <c r="T318" s="82">
        <f t="shared" ca="1" si="131"/>
        <v>-238058.38703124897</v>
      </c>
      <c r="U318" s="82">
        <f t="shared" ca="1" si="131"/>
        <v>3078.8079380479403</v>
      </c>
      <c r="V318" s="82">
        <f t="shared" ca="1" si="131"/>
        <v>10059.358265178909</v>
      </c>
      <c r="W318" s="82">
        <f t="shared" ca="1" si="131"/>
        <v>62720.131277246539</v>
      </c>
      <c r="X318" s="82">
        <f t="shared" ca="1" si="131"/>
        <v>17970.958732340183</v>
      </c>
      <c r="Y318" s="82">
        <f t="shared" ca="1" si="131"/>
        <v>19756.623455865261</v>
      </c>
      <c r="Z318" s="82">
        <f t="shared" ca="1" si="131"/>
        <v>32165.762492404876</v>
      </c>
      <c r="AA318" s="82">
        <f t="shared" ca="1" si="131"/>
        <v>22923.810265047552</v>
      </c>
      <c r="AB318" s="82">
        <f t="shared" ca="1" si="131"/>
        <v>-1735.6866625733599</v>
      </c>
      <c r="AC318" s="82">
        <f t="shared" ca="1" si="131"/>
        <v>299.27093185660118</v>
      </c>
      <c r="AD318" s="82">
        <f t="shared" ca="1" si="131"/>
        <v>-2887.7929215648333</v>
      </c>
      <c r="AE318" s="82">
        <f t="shared" ca="1" si="131"/>
        <v>-5027.7236620326785</v>
      </c>
      <c r="AF318" s="82">
        <f t="shared" ca="1" si="131"/>
        <v>-3898.1900522260967</v>
      </c>
      <c r="AG318" s="82">
        <f t="shared" ca="1" si="131"/>
        <v>-1195.4007976809964</v>
      </c>
      <c r="AH318" s="82">
        <f t="shared" ca="1" si="131"/>
        <v>-14217.933371970583</v>
      </c>
      <c r="AI318" s="82">
        <f t="shared" ca="1" si="131"/>
        <v>-13101.627734111145</v>
      </c>
      <c r="AJ318" s="82">
        <f t="shared" ca="1" si="131"/>
        <v>-12031.6136678575</v>
      </c>
      <c r="AK318" s="82">
        <f t="shared" ca="1" si="131"/>
        <v>227164.85134256873</v>
      </c>
      <c r="AL318" s="82">
        <f t="shared" ca="1" si="131"/>
        <v>-33774.685240340346</v>
      </c>
      <c r="AM318" s="82">
        <f t="shared" ca="1" si="131"/>
        <v>9241.1910624263946</v>
      </c>
      <c r="AN318" s="82">
        <f t="shared" ca="1" si="131"/>
        <v>9687.5856719236526</v>
      </c>
      <c r="AO318" s="82">
        <f t="shared" ca="1" si="131"/>
        <v>3483767.9789392129</v>
      </c>
      <c r="AP318" s="82">
        <f t="shared" ca="1" si="131"/>
        <v>-879991.44464924501</v>
      </c>
      <c r="AQ318" s="82">
        <f t="shared" ca="1" si="131"/>
        <v>37321.911194545552</v>
      </c>
      <c r="AR318" s="82">
        <f t="shared" ca="1" si="131"/>
        <v>35596.114247534264</v>
      </c>
      <c r="AT318" s="30">
        <f ca="1">SUM(E318:AS318)</f>
        <v>761261.09672824445</v>
      </c>
    </row>
    <row r="319" spans="1:46" x14ac:dyDescent="0.2">
      <c r="A319" s="44" t="s">
        <v>137</v>
      </c>
      <c r="C319" s="12" t="str">
        <f>Параметры!$C$126</f>
        <v>тыс. руб.</v>
      </c>
      <c r="D319" s="40"/>
      <c r="E319" s="82">
        <f t="shared" ref="E319:AR319" ca="1" si="132">E318+IF(E$2&gt;1,D319)</f>
        <v>-20731.544183999998</v>
      </c>
      <c r="F319" s="82">
        <f t="shared" ca="1" si="132"/>
        <v>-49589.374280491553</v>
      </c>
      <c r="G319" s="82">
        <f t="shared" ca="1" si="132"/>
        <v>-79061.403605484462</v>
      </c>
      <c r="H319" s="82">
        <f t="shared" ca="1" si="132"/>
        <v>-102014.44854499938</v>
      </c>
      <c r="I319" s="82">
        <f t="shared" ca="1" si="132"/>
        <v>-151905.64119400043</v>
      </c>
      <c r="J319" s="82">
        <f t="shared" ca="1" si="132"/>
        <v>-231113.88077856475</v>
      </c>
      <c r="K319" s="82">
        <f t="shared" ca="1" si="132"/>
        <v>-331284.156890099</v>
      </c>
      <c r="L319" s="82">
        <f t="shared" ca="1" si="132"/>
        <v>-398462.38936755934</v>
      </c>
      <c r="M319" s="82">
        <f t="shared" ca="1" si="132"/>
        <v>-497834.56836837617</v>
      </c>
      <c r="N319" s="82">
        <f t="shared" ca="1" si="132"/>
        <v>-671747.89336173725</v>
      </c>
      <c r="O319" s="82">
        <f t="shared" ca="1" si="132"/>
        <v>-906044.91565618303</v>
      </c>
      <c r="P319" s="82">
        <f t="shared" ca="1" si="132"/>
        <v>-1063103.54833382</v>
      </c>
      <c r="Q319" s="82">
        <f t="shared" ca="1" si="132"/>
        <v>-1289518.047685755</v>
      </c>
      <c r="R319" s="82">
        <f t="shared" ca="1" si="132"/>
        <v>-1637445.9978227685</v>
      </c>
      <c r="S319" s="82">
        <f t="shared" ca="1" si="132"/>
        <v>-2004572.7732971031</v>
      </c>
      <c r="T319" s="82">
        <f t="shared" ca="1" si="132"/>
        <v>-2242631.1603283519</v>
      </c>
      <c r="U319" s="82">
        <f t="shared" ca="1" si="132"/>
        <v>-2239552.3523903037</v>
      </c>
      <c r="V319" s="82">
        <f t="shared" ca="1" si="132"/>
        <v>-2229492.994125125</v>
      </c>
      <c r="W319" s="82">
        <f t="shared" ca="1" si="132"/>
        <v>-2166772.8628478786</v>
      </c>
      <c r="X319" s="82">
        <f t="shared" ca="1" si="132"/>
        <v>-2148801.9041155386</v>
      </c>
      <c r="Y319" s="82">
        <f t="shared" ca="1" si="132"/>
        <v>-2129045.2806596733</v>
      </c>
      <c r="Z319" s="82">
        <f t="shared" ca="1" si="132"/>
        <v>-2096879.5181672685</v>
      </c>
      <c r="AA319" s="82">
        <f t="shared" ca="1" si="132"/>
        <v>-2073955.707902221</v>
      </c>
      <c r="AB319" s="82">
        <f t="shared" ca="1" si="132"/>
        <v>-2075691.3945647944</v>
      </c>
      <c r="AC319" s="82">
        <f t="shared" ca="1" si="132"/>
        <v>-2075392.1236329377</v>
      </c>
      <c r="AD319" s="82">
        <f t="shared" ca="1" si="132"/>
        <v>-2078279.9165545024</v>
      </c>
      <c r="AE319" s="82">
        <f t="shared" ca="1" si="132"/>
        <v>-2083307.6402165352</v>
      </c>
      <c r="AF319" s="82">
        <f t="shared" ca="1" si="132"/>
        <v>-2087205.8302687614</v>
      </c>
      <c r="AG319" s="82">
        <f t="shared" ca="1" si="132"/>
        <v>-2088401.2310664423</v>
      </c>
      <c r="AH319" s="82">
        <f t="shared" ca="1" si="132"/>
        <v>-2102619.164438413</v>
      </c>
      <c r="AI319" s="82">
        <f t="shared" ca="1" si="132"/>
        <v>-2115720.7921725241</v>
      </c>
      <c r="AJ319" s="82">
        <f t="shared" ca="1" si="132"/>
        <v>-2127752.4058403815</v>
      </c>
      <c r="AK319" s="82">
        <f t="shared" ca="1" si="132"/>
        <v>-1900587.5544978129</v>
      </c>
      <c r="AL319" s="82">
        <f t="shared" ca="1" si="132"/>
        <v>-1934362.2397381533</v>
      </c>
      <c r="AM319" s="82">
        <f t="shared" ca="1" si="132"/>
        <v>-1925121.0486757269</v>
      </c>
      <c r="AN319" s="82">
        <f t="shared" ca="1" si="132"/>
        <v>-1915433.4630038033</v>
      </c>
      <c r="AO319" s="82">
        <f t="shared" ca="1" si="132"/>
        <v>1568334.5159354096</v>
      </c>
      <c r="AP319" s="82">
        <f t="shared" ca="1" si="132"/>
        <v>688343.07128616457</v>
      </c>
      <c r="AQ319" s="82">
        <f t="shared" ca="1" si="132"/>
        <v>725664.98248071014</v>
      </c>
      <c r="AR319" s="82">
        <f t="shared" ca="1" si="132"/>
        <v>761261.09672824445</v>
      </c>
      <c r="AT319" s="30"/>
    </row>
    <row r="320" spans="1:46" x14ac:dyDescent="0.2">
      <c r="A320" s="44" t="s">
        <v>429</v>
      </c>
      <c r="B320" s="5">
        <f ca="1">AT318</f>
        <v>761261.09672824445</v>
      </c>
      <c r="C320" s="12" t="str">
        <f>Параметры!$C$126</f>
        <v>тыс. руб.</v>
      </c>
      <c r="D320" s="40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</row>
    <row r="321" spans="1:46" x14ac:dyDescent="0.2">
      <c r="A321" s="44"/>
      <c r="B321" s="5"/>
      <c r="D321" s="40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</row>
    <row r="322" spans="1:46" x14ac:dyDescent="0.2">
      <c r="A322" s="44" t="s">
        <v>188</v>
      </c>
      <c r="B322" s="5">
        <f>Параметры!$C$245</f>
        <v>0</v>
      </c>
      <c r="C322" s="12" t="str">
        <f>Параметры!$C$126</f>
        <v>тыс. руб.</v>
      </c>
      <c r="D322" s="40"/>
      <c r="E322" s="82">
        <f>IF(E$2=1,-(Деятельность_УК!$B$60+Деятельность_УК!E$503)/Параметры!$E$126,0)*Параметры!$B$245</f>
        <v>-619403.52772894618</v>
      </c>
      <c r="F322" s="82">
        <f>IF(F$2=1,-(Деятельность_УК!$B$60+Деятельность_УК!F$503)/Параметры!$E$126,0)*Параметры!$B$245</f>
        <v>0</v>
      </c>
      <c r="G322" s="82">
        <f>IF(G$2=1,-(Деятельность_УК!$B$60+Деятельность_УК!G$503)/Параметры!$E$126,0)*Параметры!$B$245</f>
        <v>0</v>
      </c>
      <c r="H322" s="82">
        <f>IF(H$2=1,-(Деятельность_УК!$B$60+Деятельность_УК!H$503)/Параметры!$E$126,0)*Параметры!$B$245</f>
        <v>0</v>
      </c>
      <c r="I322" s="82">
        <f>IF(I$2=1,-(Деятельность_УК!$B$60+Деятельность_УК!I$503)/Параметры!$E$126,0)*Параметры!$B$245</f>
        <v>0</v>
      </c>
      <c r="J322" s="82">
        <f>IF(J$2=1,-(Деятельность_УК!$B$60+Деятельность_УК!J$503)/Параметры!$E$126,0)*Параметры!$B$245</f>
        <v>0</v>
      </c>
      <c r="K322" s="82">
        <f>IF(K$2=1,-(Деятельность_УК!$B$60+Деятельность_УК!K$503)/Параметры!$E$126,0)*Параметры!$B$245</f>
        <v>0</v>
      </c>
      <c r="L322" s="82">
        <f>IF(L$2=1,-(Деятельность_УК!$B$60+Деятельность_УК!L$503)/Параметры!$E$126,0)*Параметры!$B$245</f>
        <v>0</v>
      </c>
      <c r="M322" s="82">
        <f>IF(M$2=1,-(Деятельность_УК!$B$60+Деятельность_УК!M$503)/Параметры!$E$126,0)*Параметры!$B$245</f>
        <v>0</v>
      </c>
      <c r="N322" s="82">
        <f>IF(N$2=1,-(Деятельность_УК!$B$60+Деятельность_УК!N$503)/Параметры!$E$126,0)*Параметры!$B$245</f>
        <v>0</v>
      </c>
      <c r="O322" s="82">
        <f>IF(O$2=1,-(Деятельность_УК!$B$60+Деятельность_УК!O$503)/Параметры!$E$126,0)*Параметры!$B$245</f>
        <v>0</v>
      </c>
      <c r="P322" s="82">
        <f>IF(P$2=1,-(Деятельность_УК!$B$60+Деятельность_УК!P$503)/Параметры!$E$126,0)*Параметры!$B$245</f>
        <v>0</v>
      </c>
      <c r="Q322" s="82">
        <f>IF(Q$2=1,-(Деятельность_УК!$B$60+Деятельность_УК!Q$503)/Параметры!$E$126,0)*Параметры!$B$245</f>
        <v>0</v>
      </c>
      <c r="R322" s="82">
        <f>IF(R$2=1,-(Деятельность_УК!$B$60+Деятельность_УК!R$503)/Параметры!$E$126,0)*Параметры!$B$245</f>
        <v>0</v>
      </c>
      <c r="S322" s="82">
        <f>IF(S$2=1,-(Деятельность_УК!$B$60+Деятельность_УК!S$503)/Параметры!$E$126,0)*Параметры!$B$245</f>
        <v>0</v>
      </c>
      <c r="T322" s="82">
        <f>IF(T$2=1,-(Деятельность_УК!$B$60+Деятельность_УК!T$503)/Параметры!$E$126,0)*Параметры!$B$245</f>
        <v>0</v>
      </c>
      <c r="U322" s="82">
        <f>IF(U$2=1,-(Деятельность_УК!$B$60+Деятельность_УК!U$503)/Параметры!$E$126,0)*Параметры!$B$245</f>
        <v>0</v>
      </c>
      <c r="V322" s="82">
        <f>IF(V$2=1,-(Деятельность_УК!$B$60+Деятельность_УК!V$503)/Параметры!$E$126,0)*Параметры!$B$245</f>
        <v>0</v>
      </c>
      <c r="W322" s="82">
        <f>IF(W$2=1,-(Деятельность_УК!$B$60+Деятельность_УК!W$503)/Параметры!$E$126,0)*Параметры!$B$245</f>
        <v>0</v>
      </c>
      <c r="X322" s="82">
        <f>IF(X$2=1,-(Деятельность_УК!$B$60+Деятельность_УК!X$503)/Параметры!$E$126,0)*Параметры!$B$245</f>
        <v>0</v>
      </c>
      <c r="Y322" s="82">
        <f>IF(Y$2=1,-(Деятельность_УК!$B$60+Деятельность_УК!Y$503)/Параметры!$E$126,0)*Параметры!$B$245</f>
        <v>0</v>
      </c>
      <c r="Z322" s="82">
        <f>IF(Z$2=1,-(Деятельность_УК!$B$60+Деятельность_УК!Z$503)/Параметры!$E$126,0)*Параметры!$B$245</f>
        <v>0</v>
      </c>
      <c r="AA322" s="82">
        <f>IF(AA$2=1,-(Деятельность_УК!$B$60+Деятельность_УК!AA$503)/Параметры!$E$126,0)*Параметры!$B$245</f>
        <v>0</v>
      </c>
      <c r="AB322" s="82">
        <f>IF(AB$2=1,-(Деятельность_УК!$B$60+Деятельность_УК!AB$503)/Параметры!$E$126,0)*Параметры!$B$245</f>
        <v>0</v>
      </c>
      <c r="AC322" s="82">
        <f>IF(AC$2=1,-(Деятельность_УК!$B$60+Деятельность_УК!AC$503)/Параметры!$E$126,0)*Параметры!$B$245</f>
        <v>0</v>
      </c>
      <c r="AD322" s="82">
        <f>IF(AD$2=1,-(Деятельность_УК!$B$60+Деятельность_УК!AD$503)/Параметры!$E$126,0)*Параметры!$B$245</f>
        <v>0</v>
      </c>
      <c r="AE322" s="82">
        <f>IF(AE$2=1,-(Деятельность_УК!$B$60+Деятельность_УК!AE$503)/Параметры!$E$126,0)*Параметры!$B$245</f>
        <v>0</v>
      </c>
      <c r="AF322" s="82">
        <f>IF(AF$2=1,-(Деятельность_УК!$B$60+Деятельность_УК!AF$503)/Параметры!$E$126,0)*Параметры!$B$245</f>
        <v>0</v>
      </c>
      <c r="AG322" s="82">
        <f>IF(AG$2=1,-(Деятельность_УК!$B$60+Деятельность_УК!AG$503)/Параметры!$E$126,0)*Параметры!$B$245</f>
        <v>0</v>
      </c>
      <c r="AH322" s="82">
        <f>IF(AH$2=1,-(Деятельность_УК!$B$60+Деятельность_УК!AH$503)/Параметры!$E$126,0)*Параметры!$B$245</f>
        <v>0</v>
      </c>
      <c r="AI322" s="82">
        <f>IF(AI$2=1,-(Деятельность_УК!$B$60+Деятельность_УК!AI$503)/Параметры!$E$126,0)*Параметры!$B$245</f>
        <v>0</v>
      </c>
      <c r="AJ322" s="82">
        <f>IF(AJ$2=1,-(Деятельность_УК!$B$60+Деятельность_УК!AJ$503)/Параметры!$E$126,0)*Параметры!$B$245</f>
        <v>0</v>
      </c>
      <c r="AK322" s="82">
        <f>IF(AK$2=1,-(Деятельность_УК!$B$60+Деятельность_УК!AK$503)/Параметры!$E$126,0)*Параметры!$B$245</f>
        <v>0</v>
      </c>
      <c r="AL322" s="82">
        <f>IF(AL$2=1,-(Деятельность_УК!$B$60+Деятельность_УК!AL$503)/Параметры!$E$126,0)*Параметры!$B$245</f>
        <v>0</v>
      </c>
      <c r="AM322" s="82">
        <f>IF(AM$2=1,-(Деятельность_УК!$B$60+Деятельность_УК!AM$503)/Параметры!$E$126,0)*Параметры!$B$245</f>
        <v>0</v>
      </c>
      <c r="AN322" s="82">
        <f>IF(AN$2=1,-(Деятельность_УК!$B$60+Деятельность_УК!AN$503)/Параметры!$E$126,0)*Параметры!$B$245</f>
        <v>0</v>
      </c>
      <c r="AO322" s="82">
        <f>IF(AO$2=1,-(Деятельность_УК!$B$60+Деятельность_УК!AO$503)/Параметры!$E$126,0)*Параметры!$B$245</f>
        <v>0</v>
      </c>
      <c r="AP322" s="82">
        <f>IF(AP$2=1,-(Деятельность_УК!$B$60+Деятельность_УК!AP$503)/Параметры!$E$126,0)*Параметры!$B$245</f>
        <v>0</v>
      </c>
      <c r="AQ322" s="82">
        <f>IF(AQ$2=1,-(Деятельность_УК!$B$60+Деятельность_УК!AQ$503)/Параметры!$E$126,0)*Параметры!$B$245</f>
        <v>0</v>
      </c>
      <c r="AR322" s="82">
        <f>IF(AR$2=1,-(Деятельность_УК!$B$60+Деятельность_УК!AR$503)/Параметры!$E$126,0)*Параметры!$B$245</f>
        <v>0</v>
      </c>
      <c r="AT322" s="30">
        <f>SUM(E322:AS322)</f>
        <v>-619403.52772894618</v>
      </c>
    </row>
    <row r="323" spans="1:46" outlineLevel="1" x14ac:dyDescent="0.2">
      <c r="A323" s="44" t="s">
        <v>191</v>
      </c>
      <c r="B323" s="5"/>
      <c r="C323" s="12" t="str">
        <f>Параметры!$C$126</f>
        <v>тыс. руб.</v>
      </c>
      <c r="D323" s="40"/>
      <c r="E323" s="90">
        <f t="shared" ref="E323:AR323" ca="1" si="133">(1-E$177)*E$25</f>
        <v>-4416.3634298248926</v>
      </c>
      <c r="F323" s="90">
        <f t="shared" ca="1" si="133"/>
        <v>-4416.3634298248926</v>
      </c>
      <c r="G323" s="90">
        <f t="shared" ca="1" si="133"/>
        <v>2812.9204258347308</v>
      </c>
      <c r="H323" s="90">
        <f t="shared" ca="1" si="133"/>
        <v>8494.886983514818</v>
      </c>
      <c r="I323" s="90">
        <f t="shared" ca="1" si="133"/>
        <v>13681.891006952319</v>
      </c>
      <c r="J323" s="90">
        <f t="shared" ca="1" si="133"/>
        <v>13929.945518218137</v>
      </c>
      <c r="K323" s="90">
        <f t="shared" ca="1" si="133"/>
        <v>10427.727990945037</v>
      </c>
      <c r="L323" s="90">
        <f t="shared" ca="1" si="133"/>
        <v>7354.7711657945056</v>
      </c>
      <c r="M323" s="90">
        <f t="shared" ca="1" si="133"/>
        <v>20208.233632260031</v>
      </c>
      <c r="N323" s="90">
        <f t="shared" ca="1" si="133"/>
        <v>21214.679720009481</v>
      </c>
      <c r="O323" s="90">
        <f t="shared" ca="1" si="133"/>
        <v>21593.774015191986</v>
      </c>
      <c r="P323" s="90">
        <f t="shared" ca="1" si="133"/>
        <v>16846.787809438214</v>
      </c>
      <c r="Q323" s="90">
        <f t="shared" ca="1" si="133"/>
        <v>23340.271560576039</v>
      </c>
      <c r="R323" s="90">
        <f t="shared" ca="1" si="133"/>
        <v>24171.416061812502</v>
      </c>
      <c r="S323" s="90">
        <f t="shared" ca="1" si="133"/>
        <v>24662.997769216941</v>
      </c>
      <c r="T323" s="90">
        <f t="shared" ca="1" si="133"/>
        <v>25158.688939766973</v>
      </c>
      <c r="U323" s="90">
        <f t="shared" ca="1" si="133"/>
        <v>120321.56537980163</v>
      </c>
      <c r="V323" s="90">
        <f t="shared" ca="1" si="133"/>
        <v>128191.84299817852</v>
      </c>
      <c r="W323" s="90">
        <f t="shared" ca="1" si="133"/>
        <v>130340.71633914213</v>
      </c>
      <c r="X323" s="90">
        <f t="shared" ca="1" si="133"/>
        <v>132512.38804430456</v>
      </c>
      <c r="Y323" s="90">
        <f t="shared" ca="1" si="133"/>
        <v>134707.09570703015</v>
      </c>
      <c r="Z323" s="90">
        <f t="shared" ca="1" si="133"/>
        <v>136881.48556150432</v>
      </c>
      <c r="AA323" s="90">
        <f t="shared" ca="1" si="133"/>
        <v>139078.41206749977</v>
      </c>
      <c r="AB323" s="90">
        <f t="shared" ca="1" si="133"/>
        <v>141298.10367421183</v>
      </c>
      <c r="AC323" s="90">
        <f t="shared" ca="1" si="133"/>
        <v>130339.20789997683</v>
      </c>
      <c r="AD323" s="90">
        <f t="shared" ca="1" si="133"/>
        <v>123210.49683495892</v>
      </c>
      <c r="AE323" s="90">
        <f t="shared" ca="1" si="133"/>
        <v>125148.95724331265</v>
      </c>
      <c r="AF323" s="90">
        <f t="shared" ca="1" si="133"/>
        <v>127107.55252046701</v>
      </c>
      <c r="AG323" s="90">
        <f t="shared" ca="1" si="133"/>
        <v>102232.30418293067</v>
      </c>
      <c r="AH323" s="90">
        <f t="shared" ca="1" si="133"/>
        <v>104437.34511507039</v>
      </c>
      <c r="AI323" s="90">
        <f t="shared" ca="1" si="133"/>
        <v>106662.0039465718</v>
      </c>
      <c r="AJ323" s="90">
        <f t="shared" ca="1" si="133"/>
        <v>108906.48004350951</v>
      </c>
      <c r="AK323" s="90">
        <f t="shared" ca="1" si="133"/>
        <v>261021.84349507611</v>
      </c>
      <c r="AL323" s="90">
        <f t="shared" ca="1" si="133"/>
        <v>109187.33351383853</v>
      </c>
      <c r="AM323" s="90">
        <f t="shared" ca="1" si="133"/>
        <v>111749.29689505626</v>
      </c>
      <c r="AN323" s="90">
        <f t="shared" ca="1" si="133"/>
        <v>113975.06178612304</v>
      </c>
      <c r="AO323" s="90">
        <f t="shared" ca="1" si="133"/>
        <v>3312986.9625141677</v>
      </c>
      <c r="AP323" s="90">
        <f t="shared" ca="1" si="133"/>
        <v>52086.369299505168</v>
      </c>
      <c r="AQ323" s="90">
        <f t="shared" ca="1" si="133"/>
        <v>58779.421263207172</v>
      </c>
      <c r="AR323" s="90">
        <f t="shared" ca="1" si="133"/>
        <v>59680.861011836823</v>
      </c>
      <c r="AT323" s="30">
        <f ca="1">SUM(E323:AS323)</f>
        <v>6295909.3730771616</v>
      </c>
    </row>
    <row r="324" spans="1:46" s="60" customFormat="1" x14ac:dyDescent="0.2">
      <c r="A324" s="52" t="s">
        <v>280</v>
      </c>
      <c r="B324" s="178">
        <f ca="1">AT324</f>
        <v>3134247.403943554</v>
      </c>
      <c r="C324" s="34" t="str">
        <f>Параметры!$C$126</f>
        <v>тыс. руб.</v>
      </c>
      <c r="D324" s="169"/>
      <c r="E324" s="142">
        <f ca="1">E312+IF(Параметры!$B$245=1,E322,0)+IF(Параметры!$B$246=1,0,0)</f>
        <v>-640135.07191294618</v>
      </c>
      <c r="F324" s="142">
        <f ca="1">F312+IF(Параметры!$B$245=1,F322,0)+IF(Параметры!$B$246=1,0,0)</f>
        <v>-28857.830096491554</v>
      </c>
      <c r="G324" s="142">
        <f ca="1">G312+IF(Параметры!$B$245=1,G322,0)+IF(Параметры!$B$246=1,0,0)</f>
        <v>-29472.029324992902</v>
      </c>
      <c r="H324" s="142">
        <f ca="1">H312+IF(Параметры!$B$245=1,H322,0)+IF(Параметры!$B$246=1,0,0)</f>
        <v>-22953.044939514923</v>
      </c>
      <c r="I324" s="142">
        <f ca="1">I312+IF(Параметры!$B$245=1,I322,0)+IF(Параметры!$B$246=1,0,0)</f>
        <v>-51109.152960903477</v>
      </c>
      <c r="J324" s="142">
        <f ca="1">J312+IF(Параметры!$B$245=1,J322,0)+IF(Параметры!$B$246=1,0,0)</f>
        <v>-83122.760212900059</v>
      </c>
      <c r="K324" s="142">
        <f ca="1">K312+IF(Параметры!$B$245=1,K322,0)+IF(Параметры!$B$246=1,0,0)</f>
        <v>-107686.99630562586</v>
      </c>
      <c r="L324" s="142">
        <f ca="1">L312+IF(Параметры!$B$245=1,L322,0)+IF(Параметры!$B$246=1,0,0)</f>
        <v>-73982.288803538395</v>
      </c>
      <c r="M324" s="142">
        <f ca="1">M312+IF(Параметры!$B$245=1,M322,0)+IF(Параметры!$B$246=1,0,0)</f>
        <v>-112108.5668047878</v>
      </c>
      <c r="N324" s="142">
        <f ca="1">N312+IF(Параметры!$B$245=1,N322,0)+IF(Параметры!$B$246=1,0,0)</f>
        <v>-200993.32902893232</v>
      </c>
      <c r="O324" s="142">
        <f ca="1">O312+IF(Параметры!$B$245=1,O322,0)+IF(Параметры!$B$246=1,0,0)</f>
        <v>-277389.71335030935</v>
      </c>
      <c r="P324" s="142">
        <f ca="1">P312+IF(Параметры!$B$245=1,P322,0)+IF(Параметры!$B$246=1,0,0)</f>
        <v>-190484.74128712481</v>
      </c>
      <c r="Q324" s="142">
        <f ca="1">Q312+IF(Параметры!$B$245=1,Q322,0)+IF(Параметры!$B$246=1,0,0)</f>
        <v>-281304.9749547937</v>
      </c>
      <c r="R324" s="142">
        <f ca="1">R312+IF(Параметры!$B$245=1,R322,0)+IF(Параметры!$B$246=1,0,0)</f>
        <v>-442830.26369463012</v>
      </c>
      <c r="S324" s="142">
        <f ca="1">S312+IF(Параметры!$B$245=1,S322,0)+IF(Параметры!$B$246=1,0,0)</f>
        <v>-478672.89106531884</v>
      </c>
      <c r="T324" s="142">
        <f ca="1">T312+IF(Параметры!$B$245=1,T322,0)+IF(Параметры!$B$246=1,0,0)</f>
        <v>-317966.27340270602</v>
      </c>
      <c r="U324" s="142">
        <f ca="1">U312+IF(Параметры!$B$245=1,U322,0)+IF(Параметры!$B$246=1,0,0)</f>
        <v>4212.6459965592076</v>
      </c>
      <c r="V324" s="142">
        <f ca="1">V312+IF(Параметры!$B$245=1,V322,0)+IF(Параметры!$B$246=1,0,0)</f>
        <v>14099.945731761924</v>
      </c>
      <c r="W324" s="142">
        <f ca="1">W312+IF(Параметры!$B$245=1,W322,0)+IF(Параметры!$B$246=1,0,0)</f>
        <v>90059.373501609487</v>
      </c>
      <c r="X324" s="142">
        <f ca="1">X312+IF(Параметры!$B$245=1,X322,0)+IF(Параметры!$B$246=1,0,0)</f>
        <v>26434.311731881928</v>
      </c>
      <c r="Y324" s="142">
        <f ca="1">Y312+IF(Параметры!$B$245=1,Y322,0)+IF(Параметры!$B$246=1,0,0)</f>
        <v>29770.373302497464</v>
      </c>
      <c r="Z324" s="142">
        <f ca="1">Z312+IF(Параметры!$B$245=1,Z322,0)+IF(Параметры!$B$246=1,0,0)</f>
        <v>49652.395515805285</v>
      </c>
      <c r="AA324" s="142">
        <f ca="1">AA312+IF(Параметры!$B$245=1,AA322,0)+IF(Параметры!$B$246=1,0,0)</f>
        <v>36249.995592766558</v>
      </c>
      <c r="AB324" s="142">
        <f ca="1">AB312+IF(Параметры!$B$245=1,AB322,0)+IF(Параметры!$B$246=1,0,0)</f>
        <v>-2811.6889663320908</v>
      </c>
      <c r="AC324" s="142">
        <f ca="1">AC312+IF(Параметры!$B$245=1,AC322,0)+IF(Параметры!$B$246=1,0,0)</f>
        <v>496.63266823784215</v>
      </c>
      <c r="AD324" s="142">
        <f ca="1">AD312+IF(Параметры!$B$245=1,AD322,0)+IF(Параметры!$B$246=1,0,0)</f>
        <v>-4909.2098050459463</v>
      </c>
      <c r="AE324" s="142">
        <f ca="1">AE312+IF(Параметры!$B$245=1,AE322,0)+IF(Параметры!$B$246=1,0,0)</f>
        <v>-8755.7175357866217</v>
      </c>
      <c r="AF324" s="142">
        <f ca="1">AF312+IF(Параметры!$B$245=1,AF322,0)+IF(Параметры!$B$246=1,0,0)</f>
        <v>-6954.3757035518938</v>
      </c>
      <c r="AG324" s="142">
        <f ca="1">AG312+IF(Параметры!$B$245=1,AG322,0)+IF(Параметры!$B$246=1,0,0)</f>
        <v>-2184.6580996593984</v>
      </c>
      <c r="AH324" s="142">
        <f ca="1">AH312+IF(Параметры!$B$245=1,AH322,0)+IF(Параметры!$B$246=1,0,0)</f>
        <v>-26618.354840321786</v>
      </c>
      <c r="AI324" s="142">
        <f ca="1">AI312+IF(Параметры!$B$245=1,AI322,0)+IF(Параметры!$B$246=1,0,0)</f>
        <v>-25127.240027136402</v>
      </c>
      <c r="AJ324" s="142">
        <f ca="1">AJ312+IF(Параметры!$B$245=1,AJ322,0)+IF(Параметры!$B$246=1,0,0)</f>
        <v>-23638.407161263283</v>
      </c>
      <c r="AK324" s="142">
        <f ca="1">AK312+IF(Параметры!$B$245=1,AK322,0)+IF(Параметры!$B$246=1,0,0)</f>
        <v>457204.25440857722</v>
      </c>
      <c r="AL324" s="142">
        <f ca="1">AL312+IF(Параметры!$B$245=1,AL322,0)+IF(Параметры!$B$246=1,0,0)</f>
        <v>-69636.227575561032</v>
      </c>
      <c r="AM324" s="142">
        <f ca="1">AM312+IF(Параметры!$B$245=1,AM322,0)+IF(Параметры!$B$246=1,0,0)</f>
        <v>19518.510493656679</v>
      </c>
      <c r="AN324" s="142">
        <f ca="1">AN312+IF(Параметры!$B$245=1,AN322,0)+IF(Параметры!$B$246=1,0,0)</f>
        <v>20960.859011842549</v>
      </c>
      <c r="AO324" s="142">
        <f ca="1">AO312+IF(Параметры!$B$245=1,AO322,0)+IF(Параметры!$B$246=1,0,0)</f>
        <v>7721782.0819571409</v>
      </c>
      <c r="AP324" s="142">
        <f ca="1">AP312+IF(Параметры!$B$245=1,AP322,0)+IF(Параметры!$B$246=1,0,0)</f>
        <v>-1998119.9940400613</v>
      </c>
      <c r="AQ324" s="142">
        <f ca="1">AQ312+IF(Параметры!$B$245=1,AQ322,0)+IF(Параметры!$B$246=1,0,0)</f>
        <v>86812.405098345975</v>
      </c>
      <c r="AR324" s="142">
        <f ca="1">AR312+IF(Параметры!$B$245=1,AR322,0)+IF(Параметры!$B$246=1,0,0)</f>
        <v>84819.420833107084</v>
      </c>
      <c r="AT324" s="85">
        <f ca="1">SUM(E324:AS324)</f>
        <v>3134247.403943554</v>
      </c>
    </row>
    <row r="325" spans="1:46" s="60" customFormat="1" x14ac:dyDescent="0.2">
      <c r="A325" s="44" t="s">
        <v>330</v>
      </c>
      <c r="B325" s="178"/>
      <c r="C325" s="12" t="str">
        <f>Параметры!$C$126</f>
        <v>тыс. руб.</v>
      </c>
      <c r="D325" s="40"/>
      <c r="E325" s="90">
        <f t="shared" ref="E325:AR325" ca="1" si="134">E324+IF(E$2&gt;1,D325)</f>
        <v>-640135.07191294618</v>
      </c>
      <c r="F325" s="90">
        <f t="shared" ca="1" si="134"/>
        <v>-668992.90200943779</v>
      </c>
      <c r="G325" s="90">
        <f t="shared" ca="1" si="134"/>
        <v>-698464.9313344307</v>
      </c>
      <c r="H325" s="90">
        <f t="shared" ca="1" si="134"/>
        <v>-721417.97627394565</v>
      </c>
      <c r="I325" s="90">
        <f t="shared" ca="1" si="134"/>
        <v>-772527.12923484913</v>
      </c>
      <c r="J325" s="90">
        <f t="shared" ca="1" si="134"/>
        <v>-855649.88944774913</v>
      </c>
      <c r="K325" s="90">
        <f t="shared" ca="1" si="134"/>
        <v>-963336.88575337501</v>
      </c>
      <c r="L325" s="90">
        <f t="shared" ca="1" si="134"/>
        <v>-1037319.1745569134</v>
      </c>
      <c r="M325" s="90">
        <f t="shared" ca="1" si="134"/>
        <v>-1149427.7413617012</v>
      </c>
      <c r="N325" s="90">
        <f t="shared" ca="1" si="134"/>
        <v>-1350421.0703906335</v>
      </c>
      <c r="O325" s="90">
        <f t="shared" ca="1" si="134"/>
        <v>-1627810.7837409428</v>
      </c>
      <c r="P325" s="90">
        <f t="shared" ca="1" si="134"/>
        <v>-1818295.5250280676</v>
      </c>
      <c r="Q325" s="90">
        <f t="shared" ca="1" si="134"/>
        <v>-2099600.4999828613</v>
      </c>
      <c r="R325" s="90">
        <f t="shared" ca="1" si="134"/>
        <v>-2542430.7636774913</v>
      </c>
      <c r="S325" s="90">
        <f t="shared" ca="1" si="134"/>
        <v>-3021103.6547428099</v>
      </c>
      <c r="T325" s="90">
        <f t="shared" ca="1" si="134"/>
        <v>-3339069.9281455157</v>
      </c>
      <c r="U325" s="90">
        <f t="shared" ca="1" si="134"/>
        <v>-3334857.2821489563</v>
      </c>
      <c r="V325" s="90">
        <f t="shared" ca="1" si="134"/>
        <v>-3320757.3364171945</v>
      </c>
      <c r="W325" s="90">
        <f t="shared" ca="1" si="134"/>
        <v>-3230697.9629155849</v>
      </c>
      <c r="X325" s="90">
        <f t="shared" ca="1" si="134"/>
        <v>-3204263.651183703</v>
      </c>
      <c r="Y325" s="90">
        <f t="shared" ca="1" si="134"/>
        <v>-3174493.2778812055</v>
      </c>
      <c r="Z325" s="90">
        <f t="shared" ca="1" si="134"/>
        <v>-3124840.8823654004</v>
      </c>
      <c r="AA325" s="90">
        <f t="shared" ca="1" si="134"/>
        <v>-3088590.886772634</v>
      </c>
      <c r="AB325" s="90">
        <f t="shared" ca="1" si="134"/>
        <v>-3091402.575738966</v>
      </c>
      <c r="AC325" s="90">
        <f t="shared" ca="1" si="134"/>
        <v>-3090905.9430707283</v>
      </c>
      <c r="AD325" s="90">
        <f t="shared" ca="1" si="134"/>
        <v>-3095815.1528757741</v>
      </c>
      <c r="AE325" s="90">
        <f t="shared" ca="1" si="134"/>
        <v>-3104570.8704115609</v>
      </c>
      <c r="AF325" s="90">
        <f t="shared" ca="1" si="134"/>
        <v>-3111525.2461151127</v>
      </c>
      <c r="AG325" s="90">
        <f t="shared" ca="1" si="134"/>
        <v>-3113709.9042147719</v>
      </c>
      <c r="AH325" s="90">
        <f t="shared" ca="1" si="134"/>
        <v>-3140328.2590550939</v>
      </c>
      <c r="AI325" s="90">
        <f t="shared" ca="1" si="134"/>
        <v>-3165455.49908223</v>
      </c>
      <c r="AJ325" s="90">
        <f t="shared" ca="1" si="134"/>
        <v>-3189093.9062434933</v>
      </c>
      <c r="AK325" s="90">
        <f t="shared" ca="1" si="134"/>
        <v>-2731889.6518349163</v>
      </c>
      <c r="AL325" s="90">
        <f t="shared" ca="1" si="134"/>
        <v>-2801525.8794104774</v>
      </c>
      <c r="AM325" s="90">
        <f t="shared" ca="1" si="134"/>
        <v>-2782007.3689168207</v>
      </c>
      <c r="AN325" s="90">
        <f t="shared" ca="1" si="134"/>
        <v>-2761046.5099049783</v>
      </c>
      <c r="AO325" s="90">
        <f t="shared" ca="1" si="134"/>
        <v>4960735.5720521621</v>
      </c>
      <c r="AP325" s="90">
        <f t="shared" ca="1" si="134"/>
        <v>2962615.5780121009</v>
      </c>
      <c r="AQ325" s="90">
        <f t="shared" ca="1" si="134"/>
        <v>3049427.9831104469</v>
      </c>
      <c r="AR325" s="90">
        <f t="shared" ca="1" si="134"/>
        <v>3134247.403943554</v>
      </c>
      <c r="AT325" s="85"/>
    </row>
    <row r="326" spans="1:46" x14ac:dyDescent="0.2">
      <c r="A326" s="44" t="s">
        <v>136</v>
      </c>
      <c r="B326" s="5">
        <f ca="1">AT326</f>
        <v>141857.56899929774</v>
      </c>
      <c r="C326" s="12" t="str">
        <f>Параметры!$C$126</f>
        <v>тыс. руб.</v>
      </c>
      <c r="D326" s="40"/>
      <c r="E326" s="90">
        <f t="shared" ref="E326:AR326" ca="1" si="135">E324/E311</f>
        <v>-640135.07191294618</v>
      </c>
      <c r="F326" s="90">
        <f t="shared" ca="1" si="135"/>
        <v>-28857.830096491554</v>
      </c>
      <c r="G326" s="90">
        <f t="shared" ca="1" si="135"/>
        <v>-29472.029324992902</v>
      </c>
      <c r="H326" s="90">
        <f t="shared" ca="1" si="135"/>
        <v>-22953.044939514923</v>
      </c>
      <c r="I326" s="90">
        <f t="shared" ca="1" si="135"/>
        <v>-49891.192649001059</v>
      </c>
      <c r="J326" s="90">
        <f t="shared" ca="1" si="135"/>
        <v>-79208.239584564319</v>
      </c>
      <c r="K326" s="90">
        <f t="shared" ca="1" si="135"/>
        <v>-100170.27611153423</v>
      </c>
      <c r="L326" s="90">
        <f t="shared" ca="1" si="135"/>
        <v>-67178.232477460362</v>
      </c>
      <c r="M326" s="90">
        <f t="shared" ca="1" si="135"/>
        <v>-99372.179000816846</v>
      </c>
      <c r="N326" s="90">
        <f t="shared" ca="1" si="135"/>
        <v>-173913.32499336111</v>
      </c>
      <c r="O326" s="90">
        <f t="shared" ca="1" si="135"/>
        <v>-234297.02229444578</v>
      </c>
      <c r="P326" s="90">
        <f t="shared" ca="1" si="135"/>
        <v>-157058.63267763695</v>
      </c>
      <c r="Q326" s="90">
        <f t="shared" ca="1" si="135"/>
        <v>-226414.49935193491</v>
      </c>
      <c r="R326" s="90">
        <f t="shared" ca="1" si="135"/>
        <v>-347927.95013701351</v>
      </c>
      <c r="S326" s="90">
        <f t="shared" ca="1" si="135"/>
        <v>-367126.77547433466</v>
      </c>
      <c r="T326" s="90">
        <f t="shared" ca="1" si="135"/>
        <v>-238058.38703124897</v>
      </c>
      <c r="U326" s="90">
        <f t="shared" ca="1" si="135"/>
        <v>3078.8079380479403</v>
      </c>
      <c r="V326" s="90">
        <f t="shared" ca="1" si="135"/>
        <v>10059.358265178909</v>
      </c>
      <c r="W326" s="90">
        <f t="shared" ca="1" si="135"/>
        <v>62720.131277246539</v>
      </c>
      <c r="X326" s="90">
        <f t="shared" ca="1" si="135"/>
        <v>17970.958732340183</v>
      </c>
      <c r="Y326" s="90">
        <f t="shared" ca="1" si="135"/>
        <v>19756.623455865261</v>
      </c>
      <c r="Z326" s="90">
        <f t="shared" ca="1" si="135"/>
        <v>32165.762492404876</v>
      </c>
      <c r="AA326" s="90">
        <f t="shared" ca="1" si="135"/>
        <v>22923.810265047552</v>
      </c>
      <c r="AB326" s="90">
        <f t="shared" ca="1" si="135"/>
        <v>-1735.6866625733599</v>
      </c>
      <c r="AC326" s="90">
        <f t="shared" ca="1" si="135"/>
        <v>299.27093185660118</v>
      </c>
      <c r="AD326" s="90">
        <f t="shared" ca="1" si="135"/>
        <v>-2887.7929215648333</v>
      </c>
      <c r="AE326" s="90">
        <f t="shared" ca="1" si="135"/>
        <v>-5027.7236620326785</v>
      </c>
      <c r="AF326" s="90">
        <f t="shared" ca="1" si="135"/>
        <v>-3898.1900522260967</v>
      </c>
      <c r="AG326" s="90">
        <f t="shared" ca="1" si="135"/>
        <v>-1195.4007976809964</v>
      </c>
      <c r="AH326" s="90">
        <f t="shared" ca="1" si="135"/>
        <v>-14217.933371970583</v>
      </c>
      <c r="AI326" s="90">
        <f t="shared" ca="1" si="135"/>
        <v>-13101.627734111145</v>
      </c>
      <c r="AJ326" s="90">
        <f t="shared" ca="1" si="135"/>
        <v>-12031.6136678575</v>
      </c>
      <c r="AK326" s="90">
        <f t="shared" ca="1" si="135"/>
        <v>227164.85134256873</v>
      </c>
      <c r="AL326" s="90">
        <f t="shared" ca="1" si="135"/>
        <v>-33774.685240340346</v>
      </c>
      <c r="AM326" s="90">
        <f t="shared" ca="1" si="135"/>
        <v>9241.1910624263946</v>
      </c>
      <c r="AN326" s="90">
        <f t="shared" ca="1" si="135"/>
        <v>9687.5856719236526</v>
      </c>
      <c r="AO326" s="90">
        <f t="shared" ca="1" si="135"/>
        <v>3483767.9789392129</v>
      </c>
      <c r="AP326" s="90">
        <f t="shared" ca="1" si="135"/>
        <v>-879991.44464924501</v>
      </c>
      <c r="AQ326" s="90">
        <f t="shared" ca="1" si="135"/>
        <v>37321.911194545552</v>
      </c>
      <c r="AR326" s="90">
        <f t="shared" ca="1" si="135"/>
        <v>35596.114247534264</v>
      </c>
      <c r="AT326" s="30">
        <f ca="1">SUM(E326:AS326)</f>
        <v>141857.56899929774</v>
      </c>
    </row>
    <row r="327" spans="1:46" x14ac:dyDescent="0.2">
      <c r="A327" s="44" t="s">
        <v>137</v>
      </c>
      <c r="B327" s="5"/>
      <c r="C327" s="12" t="str">
        <f>Параметры!$C$126</f>
        <v>тыс. руб.</v>
      </c>
      <c r="D327" s="40"/>
      <c r="E327" s="90">
        <f t="shared" ref="E327:AR327" ca="1" si="136">E326+IF(E$2&gt;1,D327)</f>
        <v>-640135.07191294618</v>
      </c>
      <c r="F327" s="90">
        <f t="shared" ca="1" si="136"/>
        <v>-668992.90200943779</v>
      </c>
      <c r="G327" s="90">
        <f t="shared" ca="1" si="136"/>
        <v>-698464.9313344307</v>
      </c>
      <c r="H327" s="90">
        <f t="shared" ca="1" si="136"/>
        <v>-721417.97627394565</v>
      </c>
      <c r="I327" s="90">
        <f t="shared" ca="1" si="136"/>
        <v>-771309.16892294667</v>
      </c>
      <c r="J327" s="90">
        <f t="shared" ca="1" si="136"/>
        <v>-850517.40850751102</v>
      </c>
      <c r="K327" s="90">
        <f t="shared" ca="1" si="136"/>
        <v>-950687.68461904523</v>
      </c>
      <c r="L327" s="90">
        <f t="shared" ca="1" si="136"/>
        <v>-1017865.9170965056</v>
      </c>
      <c r="M327" s="90">
        <f t="shared" ca="1" si="136"/>
        <v>-1117238.0960973224</v>
      </c>
      <c r="N327" s="90">
        <f t="shared" ca="1" si="136"/>
        <v>-1291151.4210906834</v>
      </c>
      <c r="O327" s="90">
        <f t="shared" ca="1" si="136"/>
        <v>-1525448.4433851293</v>
      </c>
      <c r="P327" s="90">
        <f t="shared" ca="1" si="136"/>
        <v>-1682507.0760627664</v>
      </c>
      <c r="Q327" s="90">
        <f t="shared" ca="1" si="136"/>
        <v>-1908921.5754147014</v>
      </c>
      <c r="R327" s="90">
        <f t="shared" ca="1" si="136"/>
        <v>-2256849.5255517149</v>
      </c>
      <c r="S327" s="90">
        <f t="shared" ca="1" si="136"/>
        <v>-2623976.3010260495</v>
      </c>
      <c r="T327" s="90">
        <f t="shared" ca="1" si="136"/>
        <v>-2862034.6880572983</v>
      </c>
      <c r="U327" s="90">
        <f t="shared" ca="1" si="136"/>
        <v>-2858955.8801192502</v>
      </c>
      <c r="V327" s="90">
        <f t="shared" ca="1" si="136"/>
        <v>-2848896.5218540714</v>
      </c>
      <c r="W327" s="90">
        <f t="shared" ca="1" si="136"/>
        <v>-2786176.390576825</v>
      </c>
      <c r="X327" s="90">
        <f t="shared" ca="1" si="136"/>
        <v>-2768205.431844485</v>
      </c>
      <c r="Y327" s="90">
        <f t="shared" ca="1" si="136"/>
        <v>-2748448.8083886197</v>
      </c>
      <c r="Z327" s="90">
        <f t="shared" ca="1" si="136"/>
        <v>-2716283.0458962149</v>
      </c>
      <c r="AA327" s="90">
        <f t="shared" ca="1" si="136"/>
        <v>-2693359.2356311674</v>
      </c>
      <c r="AB327" s="90">
        <f t="shared" ca="1" si="136"/>
        <v>-2695094.9222937408</v>
      </c>
      <c r="AC327" s="90">
        <f t="shared" ca="1" si="136"/>
        <v>-2694795.6513618841</v>
      </c>
      <c r="AD327" s="90">
        <f t="shared" ca="1" si="136"/>
        <v>-2697683.4442834491</v>
      </c>
      <c r="AE327" s="90">
        <f t="shared" ca="1" si="136"/>
        <v>-2702711.1679454818</v>
      </c>
      <c r="AF327" s="90">
        <f t="shared" ca="1" si="136"/>
        <v>-2706609.357997708</v>
      </c>
      <c r="AG327" s="90">
        <f t="shared" ca="1" si="136"/>
        <v>-2707804.758795389</v>
      </c>
      <c r="AH327" s="90">
        <f t="shared" ca="1" si="136"/>
        <v>-2722022.6921673594</v>
      </c>
      <c r="AI327" s="90">
        <f t="shared" ca="1" si="136"/>
        <v>-2735124.3199014706</v>
      </c>
      <c r="AJ327" s="90">
        <f t="shared" ca="1" si="136"/>
        <v>-2747155.9335693279</v>
      </c>
      <c r="AK327" s="90">
        <f t="shared" ca="1" si="136"/>
        <v>-2519991.0822267593</v>
      </c>
      <c r="AL327" s="90">
        <f t="shared" ca="1" si="136"/>
        <v>-2553765.7674670997</v>
      </c>
      <c r="AM327" s="90">
        <f t="shared" ca="1" si="136"/>
        <v>-2544524.5764046735</v>
      </c>
      <c r="AN327" s="90">
        <f t="shared" ca="1" si="136"/>
        <v>-2534836.9907327499</v>
      </c>
      <c r="AO327" s="90">
        <f t="shared" ca="1" si="136"/>
        <v>948930.98820646293</v>
      </c>
      <c r="AP327" s="90">
        <f t="shared" ca="1" si="136"/>
        <v>68939.543557217927</v>
      </c>
      <c r="AQ327" s="90">
        <f t="shared" ca="1" si="136"/>
        <v>106261.45475176348</v>
      </c>
      <c r="AR327" s="90">
        <f t="shared" ca="1" si="136"/>
        <v>141857.56899929774</v>
      </c>
    </row>
    <row r="328" spans="1:46" x14ac:dyDescent="0.2">
      <c r="A328" s="63"/>
      <c r="B328" s="5"/>
      <c r="D328" s="40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</row>
    <row r="329" spans="1:46" x14ac:dyDescent="0.2">
      <c r="A329" s="52" t="s">
        <v>138</v>
      </c>
      <c r="B329" s="179">
        <f ca="1">AT326</f>
        <v>141857.56899929774</v>
      </c>
      <c r="C329" s="12" t="str">
        <f>Параметры!$C$126</f>
        <v>тыс. руб.</v>
      </c>
      <c r="D329" s="40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</row>
    <row r="330" spans="1:46" x14ac:dyDescent="0.2">
      <c r="A330" s="44"/>
      <c r="D330" s="40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</row>
    <row r="331" spans="1:46" x14ac:dyDescent="0.2">
      <c r="A331" s="52" t="s">
        <v>139</v>
      </c>
      <c r="B331" s="177">
        <f ca="1">IFERROR(IF(POWER(1+IRR(E324:AS324,B309),360/Параметры!B$12)-1&gt;999%,"-",POWER(1+IRR(E324:AS324,B309),360/Параметры!B$12)-1),"-")</f>
        <v>0.10647157816855213</v>
      </c>
      <c r="C331" s="12" t="s">
        <v>1</v>
      </c>
      <c r="D331" s="40"/>
      <c r="E331" s="104"/>
    </row>
    <row r="332" spans="1:46" x14ac:dyDescent="0.2">
      <c r="A332" s="49" t="s">
        <v>140</v>
      </c>
      <c r="B332" s="180">
        <f ca="1">IFERROR(POWER(1+MIRR(E324:AS324,B309,Параметры!B$249),360/Параметры!B$12)-1,"-")</f>
        <v>0.25595467435264219</v>
      </c>
      <c r="C332" s="12" t="s">
        <v>1</v>
      </c>
      <c r="D332" s="40"/>
    </row>
    <row r="333" spans="1:46" x14ac:dyDescent="0.2">
      <c r="A333" s="44"/>
      <c r="D333" s="40"/>
    </row>
    <row r="334" spans="1:46" collapsed="1" x14ac:dyDescent="0.2">
      <c r="A334" s="50" t="s">
        <v>416</v>
      </c>
      <c r="B334" s="211">
        <f ca="1">IF(AT336&lt;0,AT335/-AT336,"0")</f>
        <v>1.0370395279286884</v>
      </c>
      <c r="C334" s="12" t="s">
        <v>133</v>
      </c>
      <c r="D334" s="40"/>
    </row>
    <row r="335" spans="1:46" s="82" customFormat="1" outlineLevel="1" x14ac:dyDescent="0.2">
      <c r="A335" s="212" t="s">
        <v>331</v>
      </c>
      <c r="B335" s="213"/>
      <c r="C335" s="214" t="str">
        <f>Параметры!$C$126</f>
        <v>тыс. руб.</v>
      </c>
      <c r="D335" s="121"/>
      <c r="E335" s="82">
        <f t="shared" ref="E335:AR335" ca="1" si="137">MAX(0,E324/E311)</f>
        <v>0</v>
      </c>
      <c r="F335" s="82">
        <f t="shared" ca="1" si="137"/>
        <v>0</v>
      </c>
      <c r="G335" s="82">
        <f t="shared" ca="1" si="137"/>
        <v>0</v>
      </c>
      <c r="H335" s="82">
        <f t="shared" ca="1" si="137"/>
        <v>0</v>
      </c>
      <c r="I335" s="82">
        <f t="shared" ca="1" si="137"/>
        <v>0</v>
      </c>
      <c r="J335" s="82">
        <f t="shared" ca="1" si="137"/>
        <v>0</v>
      </c>
      <c r="K335" s="82">
        <f t="shared" ca="1" si="137"/>
        <v>0</v>
      </c>
      <c r="L335" s="82">
        <f t="shared" ca="1" si="137"/>
        <v>0</v>
      </c>
      <c r="M335" s="82">
        <f t="shared" ca="1" si="137"/>
        <v>0</v>
      </c>
      <c r="N335" s="82">
        <f t="shared" ca="1" si="137"/>
        <v>0</v>
      </c>
      <c r="O335" s="82">
        <f t="shared" ca="1" si="137"/>
        <v>0</v>
      </c>
      <c r="P335" s="82">
        <f t="shared" ca="1" si="137"/>
        <v>0</v>
      </c>
      <c r="Q335" s="82">
        <f t="shared" ca="1" si="137"/>
        <v>0</v>
      </c>
      <c r="R335" s="82">
        <f t="shared" ca="1" si="137"/>
        <v>0</v>
      </c>
      <c r="S335" s="82">
        <f t="shared" ca="1" si="137"/>
        <v>0</v>
      </c>
      <c r="T335" s="82">
        <f t="shared" ca="1" si="137"/>
        <v>0</v>
      </c>
      <c r="U335" s="82">
        <f t="shared" ca="1" si="137"/>
        <v>3078.8079380479403</v>
      </c>
      <c r="V335" s="82">
        <f t="shared" ca="1" si="137"/>
        <v>10059.358265178909</v>
      </c>
      <c r="W335" s="82">
        <f t="shared" ca="1" si="137"/>
        <v>62720.131277246539</v>
      </c>
      <c r="X335" s="82">
        <f t="shared" ca="1" si="137"/>
        <v>17970.958732340183</v>
      </c>
      <c r="Y335" s="82">
        <f t="shared" ca="1" si="137"/>
        <v>19756.623455865261</v>
      </c>
      <c r="Z335" s="82">
        <f t="shared" ca="1" si="137"/>
        <v>32165.762492404876</v>
      </c>
      <c r="AA335" s="82">
        <f t="shared" ca="1" si="137"/>
        <v>22923.810265047552</v>
      </c>
      <c r="AB335" s="82">
        <f t="shared" ca="1" si="137"/>
        <v>0</v>
      </c>
      <c r="AC335" s="82">
        <f t="shared" ca="1" si="137"/>
        <v>299.27093185660118</v>
      </c>
      <c r="AD335" s="82">
        <f t="shared" ca="1" si="137"/>
        <v>0</v>
      </c>
      <c r="AE335" s="82">
        <f t="shared" ca="1" si="137"/>
        <v>0</v>
      </c>
      <c r="AF335" s="82">
        <f t="shared" ca="1" si="137"/>
        <v>0</v>
      </c>
      <c r="AG335" s="82">
        <f t="shared" ca="1" si="137"/>
        <v>0</v>
      </c>
      <c r="AH335" s="82">
        <f t="shared" ca="1" si="137"/>
        <v>0</v>
      </c>
      <c r="AI335" s="82">
        <f t="shared" ca="1" si="137"/>
        <v>0</v>
      </c>
      <c r="AJ335" s="82">
        <f t="shared" ca="1" si="137"/>
        <v>0</v>
      </c>
      <c r="AK335" s="82">
        <f t="shared" ca="1" si="137"/>
        <v>227164.85134256873</v>
      </c>
      <c r="AL335" s="82">
        <f t="shared" ca="1" si="137"/>
        <v>0</v>
      </c>
      <c r="AM335" s="82">
        <f t="shared" ca="1" si="137"/>
        <v>9241.1910624263946</v>
      </c>
      <c r="AN335" s="82">
        <f t="shared" ca="1" si="137"/>
        <v>9687.5856719236526</v>
      </c>
      <c r="AO335" s="82">
        <f t="shared" ca="1" si="137"/>
        <v>3483767.9789392129</v>
      </c>
      <c r="AP335" s="82">
        <f t="shared" ca="1" si="137"/>
        <v>0</v>
      </c>
      <c r="AQ335" s="82">
        <f t="shared" ca="1" si="137"/>
        <v>37321.911194545552</v>
      </c>
      <c r="AR335" s="82">
        <f t="shared" ca="1" si="137"/>
        <v>35596.114247534264</v>
      </c>
      <c r="AT335" s="30">
        <f ca="1">SUM(E335:AS335)</f>
        <v>3971754.3558161994</v>
      </c>
    </row>
    <row r="336" spans="1:46" s="82" customFormat="1" outlineLevel="1" x14ac:dyDescent="0.2">
      <c r="A336" s="212" t="s">
        <v>332</v>
      </c>
      <c r="B336" s="213"/>
      <c r="C336" s="214" t="str">
        <f>Параметры!$C$126</f>
        <v>тыс. руб.</v>
      </c>
      <c r="D336" s="121"/>
      <c r="E336" s="82">
        <f t="shared" ref="E336:AR336" ca="1" si="138">MIN(0,E324/E311)</f>
        <v>-640135.07191294618</v>
      </c>
      <c r="F336" s="82">
        <f t="shared" ca="1" si="138"/>
        <v>-28857.830096491554</v>
      </c>
      <c r="G336" s="82">
        <f t="shared" ca="1" si="138"/>
        <v>-29472.029324992902</v>
      </c>
      <c r="H336" s="82">
        <f t="shared" ca="1" si="138"/>
        <v>-22953.044939514923</v>
      </c>
      <c r="I336" s="82">
        <f t="shared" ca="1" si="138"/>
        <v>-49891.192649001059</v>
      </c>
      <c r="J336" s="82">
        <f t="shared" ca="1" si="138"/>
        <v>-79208.239584564319</v>
      </c>
      <c r="K336" s="82">
        <f t="shared" ca="1" si="138"/>
        <v>-100170.27611153423</v>
      </c>
      <c r="L336" s="82">
        <f t="shared" ca="1" si="138"/>
        <v>-67178.232477460362</v>
      </c>
      <c r="M336" s="82">
        <f t="shared" ca="1" si="138"/>
        <v>-99372.179000816846</v>
      </c>
      <c r="N336" s="82">
        <f t="shared" ca="1" si="138"/>
        <v>-173913.32499336111</v>
      </c>
      <c r="O336" s="82">
        <f t="shared" ca="1" si="138"/>
        <v>-234297.02229444578</v>
      </c>
      <c r="P336" s="82">
        <f t="shared" ca="1" si="138"/>
        <v>-157058.63267763695</v>
      </c>
      <c r="Q336" s="82">
        <f t="shared" ca="1" si="138"/>
        <v>-226414.49935193491</v>
      </c>
      <c r="R336" s="82">
        <f t="shared" ca="1" si="138"/>
        <v>-347927.95013701351</v>
      </c>
      <c r="S336" s="82">
        <f t="shared" ca="1" si="138"/>
        <v>-367126.77547433466</v>
      </c>
      <c r="T336" s="82">
        <f t="shared" ca="1" si="138"/>
        <v>-238058.38703124897</v>
      </c>
      <c r="U336" s="82">
        <f t="shared" ca="1" si="138"/>
        <v>0</v>
      </c>
      <c r="V336" s="82">
        <f t="shared" ca="1" si="138"/>
        <v>0</v>
      </c>
      <c r="W336" s="82">
        <f t="shared" ca="1" si="138"/>
        <v>0</v>
      </c>
      <c r="X336" s="82">
        <f t="shared" ca="1" si="138"/>
        <v>0</v>
      </c>
      <c r="Y336" s="82">
        <f t="shared" ca="1" si="138"/>
        <v>0</v>
      </c>
      <c r="Z336" s="82">
        <f t="shared" ca="1" si="138"/>
        <v>0</v>
      </c>
      <c r="AA336" s="82">
        <f t="shared" ca="1" si="138"/>
        <v>0</v>
      </c>
      <c r="AB336" s="82">
        <f t="shared" ca="1" si="138"/>
        <v>-1735.6866625733599</v>
      </c>
      <c r="AC336" s="82">
        <f t="shared" ca="1" si="138"/>
        <v>0</v>
      </c>
      <c r="AD336" s="82">
        <f t="shared" ca="1" si="138"/>
        <v>-2887.7929215648333</v>
      </c>
      <c r="AE336" s="82">
        <f t="shared" ca="1" si="138"/>
        <v>-5027.7236620326785</v>
      </c>
      <c r="AF336" s="82">
        <f t="shared" ca="1" si="138"/>
        <v>-3898.1900522260967</v>
      </c>
      <c r="AG336" s="82">
        <f t="shared" ca="1" si="138"/>
        <v>-1195.4007976809964</v>
      </c>
      <c r="AH336" s="82">
        <f t="shared" ca="1" si="138"/>
        <v>-14217.933371970583</v>
      </c>
      <c r="AI336" s="82">
        <f t="shared" ca="1" si="138"/>
        <v>-13101.627734111145</v>
      </c>
      <c r="AJ336" s="82">
        <f t="shared" ca="1" si="138"/>
        <v>-12031.6136678575</v>
      </c>
      <c r="AK336" s="82">
        <f t="shared" ca="1" si="138"/>
        <v>0</v>
      </c>
      <c r="AL336" s="82">
        <f t="shared" ca="1" si="138"/>
        <v>-33774.685240340346</v>
      </c>
      <c r="AM336" s="82">
        <f t="shared" ca="1" si="138"/>
        <v>0</v>
      </c>
      <c r="AN336" s="82">
        <f t="shared" ca="1" si="138"/>
        <v>0</v>
      </c>
      <c r="AO336" s="82">
        <f t="shared" ca="1" si="138"/>
        <v>0</v>
      </c>
      <c r="AP336" s="82">
        <f t="shared" ca="1" si="138"/>
        <v>-879991.44464924501</v>
      </c>
      <c r="AQ336" s="82">
        <f t="shared" ca="1" si="138"/>
        <v>0</v>
      </c>
      <c r="AR336" s="82">
        <f t="shared" ca="1" si="138"/>
        <v>0</v>
      </c>
      <c r="AT336" s="30">
        <f ca="1">SUM(E336:AS336)</f>
        <v>-3829896.7868169011</v>
      </c>
    </row>
    <row r="337" spans="1:46" x14ac:dyDescent="0.2">
      <c r="A337" s="44"/>
      <c r="D337" s="40"/>
    </row>
    <row r="338" spans="1:46" collapsed="1" x14ac:dyDescent="0.2">
      <c r="A338" s="52" t="s">
        <v>417</v>
      </c>
      <c r="B338" s="181">
        <f ca="1">IF(B339&gt;0, AT340/12, "-")</f>
        <v>9.0893914928121475</v>
      </c>
      <c r="C338" s="12" t="str">
        <f>C342</f>
        <v>лет</v>
      </c>
      <c r="D338" s="40"/>
    </row>
    <row r="339" spans="1:46" outlineLevel="1" x14ac:dyDescent="0.2">
      <c r="A339" s="49" t="s">
        <v>472</v>
      </c>
      <c r="B339" s="182">
        <f ca="1">MAX(E339:AS339)</f>
        <v>37</v>
      </c>
      <c r="C339" s="12" t="s">
        <v>19</v>
      </c>
      <c r="D339" s="40"/>
      <c r="E339" s="183">
        <f t="shared" ref="E339:AR339" si="139">IF(E$2&gt;1,IF(AND(D325&lt;0,E325&gt;=0),E$2,0),0)</f>
        <v>0</v>
      </c>
      <c r="F339" s="183">
        <f t="shared" ca="1" si="139"/>
        <v>0</v>
      </c>
      <c r="G339" s="183">
        <f t="shared" ca="1" si="139"/>
        <v>0</v>
      </c>
      <c r="H339" s="183">
        <f t="shared" ca="1" si="139"/>
        <v>0</v>
      </c>
      <c r="I339" s="183">
        <f t="shared" ca="1" si="139"/>
        <v>0</v>
      </c>
      <c r="J339" s="183">
        <f t="shared" ca="1" si="139"/>
        <v>0</v>
      </c>
      <c r="K339" s="183">
        <f t="shared" ca="1" si="139"/>
        <v>0</v>
      </c>
      <c r="L339" s="183">
        <f t="shared" ca="1" si="139"/>
        <v>0</v>
      </c>
      <c r="M339" s="183">
        <f t="shared" ca="1" si="139"/>
        <v>0</v>
      </c>
      <c r="N339" s="183">
        <f t="shared" ca="1" si="139"/>
        <v>0</v>
      </c>
      <c r="O339" s="183">
        <f t="shared" ca="1" si="139"/>
        <v>0</v>
      </c>
      <c r="P339" s="183">
        <f t="shared" ca="1" si="139"/>
        <v>0</v>
      </c>
      <c r="Q339" s="183">
        <f t="shared" ca="1" si="139"/>
        <v>0</v>
      </c>
      <c r="R339" s="183">
        <f t="shared" ca="1" si="139"/>
        <v>0</v>
      </c>
      <c r="S339" s="183">
        <f t="shared" ca="1" si="139"/>
        <v>0</v>
      </c>
      <c r="T339" s="183">
        <f t="shared" ca="1" si="139"/>
        <v>0</v>
      </c>
      <c r="U339" s="183">
        <f t="shared" ca="1" si="139"/>
        <v>0</v>
      </c>
      <c r="V339" s="183">
        <f t="shared" ca="1" si="139"/>
        <v>0</v>
      </c>
      <c r="W339" s="183">
        <f t="shared" ca="1" si="139"/>
        <v>0</v>
      </c>
      <c r="X339" s="183">
        <f t="shared" ca="1" si="139"/>
        <v>0</v>
      </c>
      <c r="Y339" s="183">
        <f t="shared" ca="1" si="139"/>
        <v>0</v>
      </c>
      <c r="Z339" s="183">
        <f t="shared" ca="1" si="139"/>
        <v>0</v>
      </c>
      <c r="AA339" s="183">
        <f t="shared" ca="1" si="139"/>
        <v>0</v>
      </c>
      <c r="AB339" s="183">
        <f t="shared" ca="1" si="139"/>
        <v>0</v>
      </c>
      <c r="AC339" s="183">
        <f t="shared" ca="1" si="139"/>
        <v>0</v>
      </c>
      <c r="AD339" s="183">
        <f t="shared" ca="1" si="139"/>
        <v>0</v>
      </c>
      <c r="AE339" s="183">
        <f t="shared" ca="1" si="139"/>
        <v>0</v>
      </c>
      <c r="AF339" s="183">
        <f t="shared" ca="1" si="139"/>
        <v>0</v>
      </c>
      <c r="AG339" s="183">
        <f t="shared" ca="1" si="139"/>
        <v>0</v>
      </c>
      <c r="AH339" s="183">
        <f t="shared" ca="1" si="139"/>
        <v>0</v>
      </c>
      <c r="AI339" s="183">
        <f t="shared" ca="1" si="139"/>
        <v>0</v>
      </c>
      <c r="AJ339" s="183">
        <f t="shared" ca="1" si="139"/>
        <v>0</v>
      </c>
      <c r="AK339" s="183">
        <f t="shared" ca="1" si="139"/>
        <v>0</v>
      </c>
      <c r="AL339" s="183">
        <f t="shared" ca="1" si="139"/>
        <v>0</v>
      </c>
      <c r="AM339" s="183">
        <f t="shared" ca="1" si="139"/>
        <v>0</v>
      </c>
      <c r="AN339" s="183">
        <f t="shared" ca="1" si="139"/>
        <v>0</v>
      </c>
      <c r="AO339" s="183">
        <f t="shared" ca="1" si="139"/>
        <v>37</v>
      </c>
      <c r="AP339" s="183">
        <f t="shared" ca="1" si="139"/>
        <v>0</v>
      </c>
      <c r="AQ339" s="183">
        <f t="shared" ca="1" si="139"/>
        <v>0</v>
      </c>
      <c r="AR339" s="183">
        <f t="shared" ca="1" si="139"/>
        <v>0</v>
      </c>
      <c r="AS339" s="184"/>
      <c r="AT339" s="184"/>
    </row>
    <row r="340" spans="1:46" outlineLevel="1" x14ac:dyDescent="0.2">
      <c r="A340" s="70" t="s">
        <v>192</v>
      </c>
      <c r="B340" s="185">
        <f ca="1">AT340</f>
        <v>109.07269791374577</v>
      </c>
      <c r="C340" s="12" t="str">
        <f>C344</f>
        <v>мес.</v>
      </c>
      <c r="D340" s="40"/>
      <c r="E340" s="184">
        <f ca="1">IF(E$2&lt;$B339,Параметры!E$40,IF(E$2=$B339,-D325/(E325-D325)*Параметры!E$40,0))</f>
        <v>3</v>
      </c>
      <c r="F340" s="184">
        <f ca="1">IF(F$2&lt;$B339,Параметры!F$40,IF(F$2=$B339,-E325/(F325-E325)*Параметры!F$40,0))</f>
        <v>3</v>
      </c>
      <c r="G340" s="184">
        <f ca="1">IF(G$2&lt;$B339,Параметры!G$40,IF(G$2=$B339,-F325/(G325-F325)*Параметры!G$40,0))</f>
        <v>3</v>
      </c>
      <c r="H340" s="184">
        <f ca="1">IF(H$2&lt;$B339,Параметры!H$40,IF(H$2=$B339,-G325/(H325-G325)*Параметры!H$40,0))</f>
        <v>3</v>
      </c>
      <c r="I340" s="184">
        <f ca="1">IF(I$2&lt;$B339,Параметры!I$40,IF(I$2=$B339,-H325/(I325-H325)*Параметры!I$40,0))</f>
        <v>3</v>
      </c>
      <c r="J340" s="184">
        <f ca="1">IF(J$2&lt;$B339,Параметры!J$40,IF(J$2=$B339,-I325/(J325-I325)*Параметры!J$40,0))</f>
        <v>3</v>
      </c>
      <c r="K340" s="184">
        <f ca="1">IF(K$2&lt;$B339,Параметры!K$40,IF(K$2=$B339,-J325/(K325-J325)*Параметры!K$40,0))</f>
        <v>3</v>
      </c>
      <c r="L340" s="184">
        <f ca="1">IF(L$2&lt;$B339,Параметры!L$40,IF(L$2=$B339,-K325/(L325-K325)*Параметры!L$40,0))</f>
        <v>3</v>
      </c>
      <c r="M340" s="184">
        <f ca="1">IF(M$2&lt;$B339,Параметры!M$40,IF(M$2=$B339,-L325/(M325-L325)*Параметры!M$40,0))</f>
        <v>3</v>
      </c>
      <c r="N340" s="184">
        <f ca="1">IF(N$2&lt;$B339,Параметры!N$40,IF(N$2=$B339,-M325/(N325-M325)*Параметры!N$40,0))</f>
        <v>3</v>
      </c>
      <c r="O340" s="184">
        <f ca="1">IF(O$2&lt;$B339,Параметры!O$40,IF(O$2=$B339,-N325/(O325-N325)*Параметры!O$40,0))</f>
        <v>3</v>
      </c>
      <c r="P340" s="184">
        <f ca="1">IF(P$2&lt;$B339,Параметры!P$40,IF(P$2=$B339,-O325/(P325-O325)*Параметры!P$40,0))</f>
        <v>3</v>
      </c>
      <c r="Q340" s="184">
        <f ca="1">IF(Q$2&lt;$B339,Параметры!Q$40,IF(Q$2=$B339,-P325/(Q325-P325)*Параметры!Q$40,0))</f>
        <v>3</v>
      </c>
      <c r="R340" s="184">
        <f ca="1">IF(R$2&lt;$B339,Параметры!R$40,IF(R$2=$B339,-Q325/(R325-Q325)*Параметры!R$40,0))</f>
        <v>3</v>
      </c>
      <c r="S340" s="184">
        <f ca="1">IF(S$2&lt;$B339,Параметры!S$40,IF(S$2=$B339,-R325/(S325-R325)*Параметры!S$40,0))</f>
        <v>3</v>
      </c>
      <c r="T340" s="184">
        <f ca="1">IF(T$2&lt;$B339,Параметры!T$40,IF(T$2=$B339,-S325/(T325-S325)*Параметры!T$40,0))</f>
        <v>3</v>
      </c>
      <c r="U340" s="184">
        <f ca="1">IF(U$2&lt;$B339,Параметры!U$40,IF(U$2=$B339,-T325/(U325-T325)*Параметры!U$40,0))</f>
        <v>3</v>
      </c>
      <c r="V340" s="184">
        <f ca="1">IF(V$2&lt;$B339,Параметры!V$40,IF(V$2=$B339,-U325/(V325-U325)*Параметры!V$40,0))</f>
        <v>3</v>
      </c>
      <c r="W340" s="184">
        <f ca="1">IF(W$2&lt;$B339,Параметры!W$40,IF(W$2=$B339,-V325/(W325-V325)*Параметры!W$40,0))</f>
        <v>3</v>
      </c>
      <c r="X340" s="184">
        <f ca="1">IF(X$2&lt;$B339,Параметры!X$40,IF(X$2=$B339,-W325/(X325-W325)*Параметры!X$40,0))</f>
        <v>3</v>
      </c>
      <c r="Y340" s="184">
        <f ca="1">IF(Y$2&lt;$B339,Параметры!Y$40,IF(Y$2=$B339,-X325/(Y325-X325)*Параметры!Y$40,0))</f>
        <v>3</v>
      </c>
      <c r="Z340" s="184">
        <f ca="1">IF(Z$2&lt;$B339,Параметры!Z$40,IF(Z$2=$B339,-Y325/(Z325-Y325)*Параметры!Z$40,0))</f>
        <v>3</v>
      </c>
      <c r="AA340" s="184">
        <f ca="1">IF(AA$2&lt;$B339,Параметры!AA$40,IF(AA$2=$B339,-Z325/(AA325-Z325)*Параметры!AA$40,0))</f>
        <v>3</v>
      </c>
      <c r="AB340" s="184">
        <f ca="1">IF(AB$2&lt;$B339,Параметры!AB$40,IF(AB$2=$B339,-AA325/(AB325-AA325)*Параметры!AB$40,0))</f>
        <v>3</v>
      </c>
      <c r="AC340" s="184">
        <f ca="1">IF(AC$2&lt;$B339,Параметры!AC$40,IF(AC$2=$B339,-AB325/(AC325-AB325)*Параметры!AC$40,0))</f>
        <v>3</v>
      </c>
      <c r="AD340" s="184">
        <f ca="1">IF(AD$2&lt;$B339,Параметры!AD$40,IF(AD$2=$B339,-AC325/(AD325-AC325)*Параметры!AD$40,0))</f>
        <v>3</v>
      </c>
      <c r="AE340" s="184">
        <f ca="1">IF(AE$2&lt;$B339,Параметры!AE$40,IF(AE$2=$B339,-AD325/(AE325-AD325)*Параметры!AE$40,0))</f>
        <v>3</v>
      </c>
      <c r="AF340" s="184">
        <f ca="1">IF(AF$2&lt;$B339,Параметры!AF$40,IF(AF$2=$B339,-AE325/(AF325-AE325)*Параметры!AF$40,0))</f>
        <v>3</v>
      </c>
      <c r="AG340" s="184">
        <f ca="1">IF(AG$2&lt;$B339,Параметры!AG$40,IF(AG$2=$B339,-AF325/(AG325-AF325)*Параметры!AG$40,0))</f>
        <v>3</v>
      </c>
      <c r="AH340" s="184">
        <f ca="1">IF(AH$2&lt;$B339,Параметры!AH$40,IF(AH$2=$B339,-AG325/(AH325-AG325)*Параметры!AH$40,0))</f>
        <v>3</v>
      </c>
      <c r="AI340" s="184">
        <f ca="1">IF(AI$2&lt;$B339,Параметры!AI$40,IF(AI$2=$B339,-AH325/(AI325-AH325)*Параметры!AI$40,0))</f>
        <v>3</v>
      </c>
      <c r="AJ340" s="184">
        <f ca="1">IF(AJ$2&lt;$B339,Параметры!AJ$40,IF(AJ$2=$B339,-AI325/(AJ325-AI325)*Параметры!AJ$40,0))</f>
        <v>3</v>
      </c>
      <c r="AK340" s="184">
        <f ca="1">IF(AK$2&lt;$B339,Параметры!AK$40,IF(AK$2=$B339,-AJ325/(AK325-AJ325)*Параметры!AK$40,0))</f>
        <v>3</v>
      </c>
      <c r="AL340" s="184">
        <f ca="1">IF(AL$2&lt;$B339,Параметры!AL$40,IF(AL$2=$B339,-AK325/(AL325-AK325)*Параметры!AL$40,0))</f>
        <v>3</v>
      </c>
      <c r="AM340" s="184">
        <f ca="1">IF(AM$2&lt;$B339,Параметры!AM$40,IF(AM$2=$B339,-AL325/(AM325-AL325)*Параметры!AM$40,0))</f>
        <v>3</v>
      </c>
      <c r="AN340" s="184">
        <f ca="1">IF(AN$2&lt;$B339,Параметры!AN$40,IF(AN$2=$B339,-AM325/(AN325-AM325)*Параметры!AN$40,0))</f>
        <v>3</v>
      </c>
      <c r="AO340" s="184">
        <f ca="1">IF(AO$2&lt;$B339,Параметры!AO$40,IF(AO$2=$B339,-AN325/(AO325-AN325)*Параметры!AO$40,0))</f>
        <v>1.0726979137457753</v>
      </c>
      <c r="AP340" s="184">
        <f ca="1">IF(AP$2&lt;$B339,Параметры!AP$40,IF(AP$2=$B339,-AO325/(AP325-AO325)*Параметры!AP$40,0))</f>
        <v>0</v>
      </c>
      <c r="AQ340" s="184">
        <f ca="1">IF(AQ$2&lt;$B339,Параметры!AQ$40,IF(AQ$2=$B339,-AP325/(AQ325-AP325)*Параметры!AQ$40,0))</f>
        <v>0</v>
      </c>
      <c r="AR340" s="184">
        <f ca="1">IF(AR$2&lt;$B339,Параметры!AR$40,IF(AR$2=$B339,-AQ325/(AR325-AQ325)*Параметры!AR$40,0))</f>
        <v>0</v>
      </c>
      <c r="AS340" s="184"/>
      <c r="AT340" s="186">
        <f ca="1">SUM(E340:AS340)</f>
        <v>109.07269791374577</v>
      </c>
    </row>
    <row r="341" spans="1:46" x14ac:dyDescent="0.2">
      <c r="A341" s="44"/>
      <c r="D341" s="40"/>
    </row>
    <row r="342" spans="1:46" collapsed="1" x14ac:dyDescent="0.2">
      <c r="A342" s="52" t="s">
        <v>418</v>
      </c>
      <c r="B342" s="181">
        <f ca="1">IF(B343&gt;0, AT344/12, "-")</f>
        <v>9.1819034021537078</v>
      </c>
      <c r="C342" s="12" t="s">
        <v>2</v>
      </c>
      <c r="D342" s="40"/>
    </row>
    <row r="343" spans="1:46" outlineLevel="1" x14ac:dyDescent="0.2">
      <c r="A343" s="49" t="s">
        <v>472</v>
      </c>
      <c r="B343" s="182">
        <f ca="1">MAX(E343:AS343)</f>
        <v>37</v>
      </c>
      <c r="C343" s="12" t="s">
        <v>19</v>
      </c>
      <c r="D343" s="40"/>
      <c r="E343" s="183">
        <f t="shared" ref="E343:AR343" si="140">IF(E$2&gt;1,IF(AND(D327&lt;0,E327&gt;=0),E$2,0),0)</f>
        <v>0</v>
      </c>
      <c r="F343" s="183">
        <f t="shared" ca="1" si="140"/>
        <v>0</v>
      </c>
      <c r="G343" s="183">
        <f t="shared" ca="1" si="140"/>
        <v>0</v>
      </c>
      <c r="H343" s="183">
        <f t="shared" ca="1" si="140"/>
        <v>0</v>
      </c>
      <c r="I343" s="183">
        <f t="shared" ca="1" si="140"/>
        <v>0</v>
      </c>
      <c r="J343" s="183">
        <f t="shared" ca="1" si="140"/>
        <v>0</v>
      </c>
      <c r="K343" s="183">
        <f t="shared" ca="1" si="140"/>
        <v>0</v>
      </c>
      <c r="L343" s="183">
        <f t="shared" ca="1" si="140"/>
        <v>0</v>
      </c>
      <c r="M343" s="183">
        <f t="shared" ca="1" si="140"/>
        <v>0</v>
      </c>
      <c r="N343" s="183">
        <f t="shared" ca="1" si="140"/>
        <v>0</v>
      </c>
      <c r="O343" s="183">
        <f t="shared" ca="1" si="140"/>
        <v>0</v>
      </c>
      <c r="P343" s="183">
        <f t="shared" ca="1" si="140"/>
        <v>0</v>
      </c>
      <c r="Q343" s="183">
        <f t="shared" ca="1" si="140"/>
        <v>0</v>
      </c>
      <c r="R343" s="183">
        <f t="shared" ca="1" si="140"/>
        <v>0</v>
      </c>
      <c r="S343" s="183">
        <f t="shared" ca="1" si="140"/>
        <v>0</v>
      </c>
      <c r="T343" s="183">
        <f t="shared" ca="1" si="140"/>
        <v>0</v>
      </c>
      <c r="U343" s="183">
        <f t="shared" ca="1" si="140"/>
        <v>0</v>
      </c>
      <c r="V343" s="183">
        <f t="shared" ca="1" si="140"/>
        <v>0</v>
      </c>
      <c r="W343" s="183">
        <f t="shared" ca="1" si="140"/>
        <v>0</v>
      </c>
      <c r="X343" s="183">
        <f t="shared" ca="1" si="140"/>
        <v>0</v>
      </c>
      <c r="Y343" s="183">
        <f t="shared" ca="1" si="140"/>
        <v>0</v>
      </c>
      <c r="Z343" s="183">
        <f t="shared" ca="1" si="140"/>
        <v>0</v>
      </c>
      <c r="AA343" s="183">
        <f t="shared" ca="1" si="140"/>
        <v>0</v>
      </c>
      <c r="AB343" s="183">
        <f t="shared" ca="1" si="140"/>
        <v>0</v>
      </c>
      <c r="AC343" s="183">
        <f t="shared" ca="1" si="140"/>
        <v>0</v>
      </c>
      <c r="AD343" s="183">
        <f t="shared" ca="1" si="140"/>
        <v>0</v>
      </c>
      <c r="AE343" s="183">
        <f t="shared" ca="1" si="140"/>
        <v>0</v>
      </c>
      <c r="AF343" s="183">
        <f t="shared" ca="1" si="140"/>
        <v>0</v>
      </c>
      <c r="AG343" s="183">
        <f t="shared" ca="1" si="140"/>
        <v>0</v>
      </c>
      <c r="AH343" s="183">
        <f t="shared" ca="1" si="140"/>
        <v>0</v>
      </c>
      <c r="AI343" s="183">
        <f t="shared" ca="1" si="140"/>
        <v>0</v>
      </c>
      <c r="AJ343" s="183">
        <f t="shared" ca="1" si="140"/>
        <v>0</v>
      </c>
      <c r="AK343" s="183">
        <f t="shared" ca="1" si="140"/>
        <v>0</v>
      </c>
      <c r="AL343" s="183">
        <f t="shared" ca="1" si="140"/>
        <v>0</v>
      </c>
      <c r="AM343" s="183">
        <f t="shared" ca="1" si="140"/>
        <v>0</v>
      </c>
      <c r="AN343" s="183">
        <f t="shared" ca="1" si="140"/>
        <v>0</v>
      </c>
      <c r="AO343" s="183">
        <f t="shared" ca="1" si="140"/>
        <v>37</v>
      </c>
      <c r="AP343" s="183">
        <f t="shared" ca="1" si="140"/>
        <v>0</v>
      </c>
      <c r="AQ343" s="183">
        <f t="shared" ca="1" si="140"/>
        <v>0</v>
      </c>
      <c r="AR343" s="183">
        <f t="shared" ca="1" si="140"/>
        <v>0</v>
      </c>
    </row>
    <row r="344" spans="1:46" outlineLevel="1" x14ac:dyDescent="0.2">
      <c r="A344" s="70" t="s">
        <v>192</v>
      </c>
      <c r="B344" s="185">
        <f ca="1">AT344</f>
        <v>110.18284082584449</v>
      </c>
      <c r="C344" s="12" t="s">
        <v>17</v>
      </c>
      <c r="D344" s="40"/>
      <c r="E344" s="184">
        <f ca="1">IF(E$2&lt;$B343,Параметры!E$40,IF(E$2=$B343,-D327/(E327-D327)*Параметры!E$40,0))</f>
        <v>3</v>
      </c>
      <c r="F344" s="184">
        <f ca="1">IF(F$2&lt;$B343,Параметры!F$40,IF(F$2=$B343,-E327/(F327-E327)*Параметры!F$40,0))</f>
        <v>3</v>
      </c>
      <c r="G344" s="184">
        <f ca="1">IF(G$2&lt;$B343,Параметры!G$40,IF(G$2=$B343,-F327/(G327-F327)*Параметры!G$40,0))</f>
        <v>3</v>
      </c>
      <c r="H344" s="184">
        <f ca="1">IF(H$2&lt;$B343,Параметры!H$40,IF(H$2=$B343,-G327/(H327-G327)*Параметры!H$40,0))</f>
        <v>3</v>
      </c>
      <c r="I344" s="184">
        <f ca="1">IF(I$2&lt;$B343,Параметры!I$40,IF(I$2=$B343,-H327/(I327-H327)*Параметры!I$40,0))</f>
        <v>3</v>
      </c>
      <c r="J344" s="184">
        <f ca="1">IF(J$2&lt;$B343,Параметры!J$40,IF(J$2=$B343,-I327/(J327-I327)*Параметры!J$40,0))</f>
        <v>3</v>
      </c>
      <c r="K344" s="184">
        <f ca="1">IF(K$2&lt;$B343,Параметры!K$40,IF(K$2=$B343,-J327/(K327-J327)*Параметры!K$40,0))</f>
        <v>3</v>
      </c>
      <c r="L344" s="184">
        <f ca="1">IF(L$2&lt;$B343,Параметры!L$40,IF(L$2=$B343,-K327/(L327-K327)*Параметры!L$40,0))</f>
        <v>3</v>
      </c>
      <c r="M344" s="184">
        <f ca="1">IF(M$2&lt;$B343,Параметры!M$40,IF(M$2=$B343,-L327/(M327-L327)*Параметры!M$40,0))</f>
        <v>3</v>
      </c>
      <c r="N344" s="184">
        <f ca="1">IF(N$2&lt;$B343,Параметры!N$40,IF(N$2=$B343,-M327/(N327-M327)*Параметры!N$40,0))</f>
        <v>3</v>
      </c>
      <c r="O344" s="184">
        <f ca="1">IF(O$2&lt;$B343,Параметры!O$40,IF(O$2=$B343,-N327/(O327-N327)*Параметры!O$40,0))</f>
        <v>3</v>
      </c>
      <c r="P344" s="184">
        <f ca="1">IF(P$2&lt;$B343,Параметры!P$40,IF(P$2=$B343,-O327/(P327-O327)*Параметры!P$40,0))</f>
        <v>3</v>
      </c>
      <c r="Q344" s="184">
        <f ca="1">IF(Q$2&lt;$B343,Параметры!Q$40,IF(Q$2=$B343,-P327/(Q327-P327)*Параметры!Q$40,0))</f>
        <v>3</v>
      </c>
      <c r="R344" s="184">
        <f ca="1">IF(R$2&lt;$B343,Параметры!R$40,IF(R$2=$B343,-Q327/(R327-Q327)*Параметры!R$40,0))</f>
        <v>3</v>
      </c>
      <c r="S344" s="184">
        <f ca="1">IF(S$2&lt;$B343,Параметры!S$40,IF(S$2=$B343,-R327/(S327-R327)*Параметры!S$40,0))</f>
        <v>3</v>
      </c>
      <c r="T344" s="184">
        <f ca="1">IF(T$2&lt;$B343,Параметры!T$40,IF(T$2=$B343,-S327/(T327-S327)*Параметры!T$40,0))</f>
        <v>3</v>
      </c>
      <c r="U344" s="184">
        <f ca="1">IF(U$2&lt;$B343,Параметры!U$40,IF(U$2=$B343,-T327/(U327-T327)*Параметры!U$40,0))</f>
        <v>3</v>
      </c>
      <c r="V344" s="184">
        <f ca="1">IF(V$2&lt;$B343,Параметры!V$40,IF(V$2=$B343,-U327/(V327-U327)*Параметры!V$40,0))</f>
        <v>3</v>
      </c>
      <c r="W344" s="184">
        <f ca="1">IF(W$2&lt;$B343,Параметры!W$40,IF(W$2=$B343,-V327/(W327-V327)*Параметры!W$40,0))</f>
        <v>3</v>
      </c>
      <c r="X344" s="184">
        <f ca="1">IF(X$2&lt;$B343,Параметры!X$40,IF(X$2=$B343,-W327/(X327-W327)*Параметры!X$40,0))</f>
        <v>3</v>
      </c>
      <c r="Y344" s="184">
        <f ca="1">IF(Y$2&lt;$B343,Параметры!Y$40,IF(Y$2=$B343,-X327/(Y327-X327)*Параметры!Y$40,0))</f>
        <v>3</v>
      </c>
      <c r="Z344" s="184">
        <f ca="1">IF(Z$2&lt;$B343,Параметры!Z$40,IF(Z$2=$B343,-Y327/(Z327-Y327)*Параметры!Z$40,0))</f>
        <v>3</v>
      </c>
      <c r="AA344" s="184">
        <f ca="1">IF(AA$2&lt;$B343,Параметры!AA$40,IF(AA$2=$B343,-Z327/(AA327-Z327)*Параметры!AA$40,0))</f>
        <v>3</v>
      </c>
      <c r="AB344" s="184">
        <f ca="1">IF(AB$2&lt;$B343,Параметры!AB$40,IF(AB$2=$B343,-AA327/(AB327-AA327)*Параметры!AB$40,0))</f>
        <v>3</v>
      </c>
      <c r="AC344" s="184">
        <f ca="1">IF(AC$2&lt;$B343,Параметры!AC$40,IF(AC$2=$B343,-AB327/(AC327-AB327)*Параметры!AC$40,0))</f>
        <v>3</v>
      </c>
      <c r="AD344" s="184">
        <f ca="1">IF(AD$2&lt;$B343,Параметры!AD$40,IF(AD$2=$B343,-AC327/(AD327-AC327)*Параметры!AD$40,0))</f>
        <v>3</v>
      </c>
      <c r="AE344" s="184">
        <f ca="1">IF(AE$2&lt;$B343,Параметры!AE$40,IF(AE$2=$B343,-AD327/(AE327-AD327)*Параметры!AE$40,0))</f>
        <v>3</v>
      </c>
      <c r="AF344" s="184">
        <f ca="1">IF(AF$2&lt;$B343,Параметры!AF$40,IF(AF$2=$B343,-AE327/(AF327-AE327)*Параметры!AF$40,0))</f>
        <v>3</v>
      </c>
      <c r="AG344" s="184">
        <f ca="1">IF(AG$2&lt;$B343,Параметры!AG$40,IF(AG$2=$B343,-AF327/(AG327-AF327)*Параметры!AG$40,0))</f>
        <v>3</v>
      </c>
      <c r="AH344" s="184">
        <f ca="1">IF(AH$2&lt;$B343,Параметры!AH$40,IF(AH$2=$B343,-AG327/(AH327-AG327)*Параметры!AH$40,0))</f>
        <v>3</v>
      </c>
      <c r="AI344" s="184">
        <f ca="1">IF(AI$2&lt;$B343,Параметры!AI$40,IF(AI$2=$B343,-AH327/(AI327-AH327)*Параметры!AI$40,0))</f>
        <v>3</v>
      </c>
      <c r="AJ344" s="184">
        <f ca="1">IF(AJ$2&lt;$B343,Параметры!AJ$40,IF(AJ$2=$B343,-AI327/(AJ327-AI327)*Параметры!AJ$40,0))</f>
        <v>3</v>
      </c>
      <c r="AK344" s="184">
        <f ca="1">IF(AK$2&lt;$B343,Параметры!AK$40,IF(AK$2=$B343,-AJ327/(AK327-AJ327)*Параметры!AK$40,0))</f>
        <v>3</v>
      </c>
      <c r="AL344" s="184">
        <f ca="1">IF(AL$2&lt;$B343,Параметры!AL$40,IF(AL$2=$B343,-AK327/(AL327-AK327)*Параметры!AL$40,0))</f>
        <v>3</v>
      </c>
      <c r="AM344" s="184">
        <f ca="1">IF(AM$2&lt;$B343,Параметры!AM$40,IF(AM$2=$B343,-AL327/(AM327-AL327)*Параметры!AM$40,0))</f>
        <v>3</v>
      </c>
      <c r="AN344" s="184">
        <f ca="1">IF(AN$2&lt;$B343,Параметры!AN$40,IF(AN$2=$B343,-AM327/(AN327-AM327)*Параметры!AN$40,0))</f>
        <v>3</v>
      </c>
      <c r="AO344" s="184">
        <f ca="1">IF(AO$2&lt;$B343,Параметры!AO$40,IF(AO$2=$B343,-AN327/(AO327-AN327)*Параметры!AO$40,0))</f>
        <v>2.1828408258444867</v>
      </c>
      <c r="AP344" s="184">
        <f ca="1">IF(AP$2&lt;$B343,Параметры!AP$40,IF(AP$2=$B343,-AO327/(AP327-AO327)*Параметры!AP$40,0))</f>
        <v>0</v>
      </c>
      <c r="AQ344" s="184">
        <f ca="1">IF(AQ$2&lt;$B343,Параметры!AQ$40,IF(AQ$2=$B343,-AP327/(AQ327-AP327)*Параметры!AQ$40,0))</f>
        <v>0</v>
      </c>
      <c r="AR344" s="184">
        <f ca="1">IF(AR$2&lt;$B343,Параметры!AR$40,IF(AR$2=$B343,-AQ327/(AR327-AQ327)*Параметры!AR$40,0))</f>
        <v>0</v>
      </c>
      <c r="AT344" s="30">
        <f ca="1">SUM(E344:AS344)</f>
        <v>110.18284082584449</v>
      </c>
    </row>
    <row r="345" spans="1:46" x14ac:dyDescent="0.2">
      <c r="A345" s="45"/>
      <c r="B345" s="170"/>
      <c r="C345" s="14"/>
      <c r="D345" s="47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</row>
    <row r="346" spans="1:46" x14ac:dyDescent="0.2">
      <c r="D346" s="40"/>
    </row>
    <row r="347" spans="1:46" ht="12" thickBot="1" x14ac:dyDescent="0.25">
      <c r="D347" s="40"/>
    </row>
    <row r="348" spans="1:46" s="43" customFormat="1" ht="25.5" customHeight="1" thickBot="1" x14ac:dyDescent="0.25">
      <c r="A348" s="481" t="s">
        <v>541</v>
      </c>
      <c r="B348" s="479"/>
      <c r="C348" s="485"/>
      <c r="D348" s="486"/>
      <c r="E348" s="479" t="str">
        <f>CHOOSE($D$2,Параметры!E$53,Параметры!E$54)</f>
        <v>1 кв. 2020</v>
      </c>
      <c r="F348" s="479" t="str">
        <f>CHOOSE($D$2,Параметры!F$53,Параметры!F$54)</f>
        <v>2 кв. 2020</v>
      </c>
      <c r="G348" s="479" t="str">
        <f>CHOOSE($D$2,Параметры!G$53,Параметры!G$54)</f>
        <v>3 кв. 2020</v>
      </c>
      <c r="H348" s="479" t="str">
        <f>CHOOSE($D$2,Параметры!H$53,Параметры!H$54)</f>
        <v>4 кв. 2020</v>
      </c>
      <c r="I348" s="479" t="str">
        <f>CHOOSE($D$2,Параметры!I$53,Параметры!I$54)</f>
        <v>1 кв. 2021</v>
      </c>
      <c r="J348" s="479" t="str">
        <f>CHOOSE($D$2,Параметры!J$53,Параметры!J$54)</f>
        <v>2 кв. 2021</v>
      </c>
      <c r="K348" s="479" t="str">
        <f>CHOOSE($D$2,Параметры!K$53,Параметры!K$54)</f>
        <v>3 кв. 2021</v>
      </c>
      <c r="L348" s="479" t="str">
        <f>CHOOSE($D$2,Параметры!L$53,Параметры!L$54)</f>
        <v>4 кв. 2021</v>
      </c>
      <c r="M348" s="479" t="str">
        <f>CHOOSE($D$2,Параметры!M$53,Параметры!M$54)</f>
        <v>1 кв. 2022</v>
      </c>
      <c r="N348" s="479" t="str">
        <f>CHOOSE($D$2,Параметры!N$53,Параметры!N$54)</f>
        <v>2 кв. 2022</v>
      </c>
      <c r="O348" s="479" t="str">
        <f>CHOOSE($D$2,Параметры!O$53,Параметры!O$54)</f>
        <v>3 кв. 2022</v>
      </c>
      <c r="P348" s="479" t="str">
        <f>CHOOSE($D$2,Параметры!P$53,Параметры!P$54)</f>
        <v>4 кв. 2022</v>
      </c>
      <c r="Q348" s="479" t="str">
        <f>CHOOSE($D$2,Параметры!Q$53,Параметры!Q$54)</f>
        <v>1 кв. 2023</v>
      </c>
      <c r="R348" s="479" t="str">
        <f>CHOOSE($D$2,Параметры!R$53,Параметры!R$54)</f>
        <v>2 кв. 2023</v>
      </c>
      <c r="S348" s="479" t="str">
        <f>CHOOSE($D$2,Параметры!S$53,Параметры!S$54)</f>
        <v>3 кв. 2023</v>
      </c>
      <c r="T348" s="479" t="str">
        <f>CHOOSE($D$2,Параметры!T$53,Параметры!T$54)</f>
        <v>4 кв. 2023</v>
      </c>
      <c r="U348" s="479" t="str">
        <f>CHOOSE($D$2,Параметры!U$53,Параметры!U$54)</f>
        <v>1 кв. 2024</v>
      </c>
      <c r="V348" s="479" t="str">
        <f>CHOOSE($D$2,Параметры!V$53,Параметры!V$54)</f>
        <v>2 кв. 2024</v>
      </c>
      <c r="W348" s="479" t="str">
        <f>CHOOSE($D$2,Параметры!W$53,Параметры!W$54)</f>
        <v>3 кв. 2024</v>
      </c>
      <c r="X348" s="479" t="str">
        <f>CHOOSE($D$2,Параметры!X$53,Параметры!X$54)</f>
        <v>4 кв. 2024</v>
      </c>
      <c r="Y348" s="479" t="str">
        <f>CHOOSE($D$2,Параметры!Y$53,Параметры!Y$54)</f>
        <v>1 кв. 2025</v>
      </c>
      <c r="Z348" s="479" t="str">
        <f>CHOOSE($D$2,Параметры!Z$53,Параметры!Z$54)</f>
        <v>2 кв. 2025</v>
      </c>
      <c r="AA348" s="479" t="str">
        <f>CHOOSE($D$2,Параметры!AA$53,Параметры!AA$54)</f>
        <v>3 кв. 2025</v>
      </c>
      <c r="AB348" s="479" t="str">
        <f>CHOOSE($D$2,Параметры!AB$53,Параметры!AB$54)</f>
        <v>4 кв. 2025</v>
      </c>
      <c r="AC348" s="479" t="str">
        <f>CHOOSE($D$2,Параметры!AC$53,Параметры!AC$54)</f>
        <v>1 кв. 2026</v>
      </c>
      <c r="AD348" s="479" t="str">
        <f>CHOOSE($D$2,Параметры!AD$53,Параметры!AD$54)</f>
        <v>2 кв. 2026</v>
      </c>
      <c r="AE348" s="479" t="str">
        <f>CHOOSE($D$2,Параметры!AE$53,Параметры!AE$54)</f>
        <v>3 кв. 2026</v>
      </c>
      <c r="AF348" s="479" t="str">
        <f>CHOOSE($D$2,Параметры!AF$53,Параметры!AF$54)</f>
        <v>4 кв. 2026</v>
      </c>
      <c r="AG348" s="479" t="str">
        <f>CHOOSE($D$2,Параметры!AG$53,Параметры!AG$54)</f>
        <v>1 кв. 2027</v>
      </c>
      <c r="AH348" s="479" t="str">
        <f>CHOOSE($D$2,Параметры!AH$53,Параметры!AH$54)</f>
        <v>2 кв. 2027</v>
      </c>
      <c r="AI348" s="479" t="str">
        <f>CHOOSE($D$2,Параметры!AI$53,Параметры!AI$54)</f>
        <v>3 кв. 2027</v>
      </c>
      <c r="AJ348" s="479" t="str">
        <f>CHOOSE($D$2,Параметры!AJ$53,Параметры!AJ$54)</f>
        <v>4 кв. 2027</v>
      </c>
      <c r="AK348" s="479" t="str">
        <f>CHOOSE($D$2,Параметры!AK$53,Параметры!AK$54)</f>
        <v>1 кв. 2028</v>
      </c>
      <c r="AL348" s="479" t="str">
        <f>CHOOSE($D$2,Параметры!AL$53,Параметры!AL$54)</f>
        <v>2 кв. 2028</v>
      </c>
      <c r="AM348" s="479" t="str">
        <f>CHOOSE($D$2,Параметры!AM$53,Параметры!AM$54)</f>
        <v>3 кв. 2028</v>
      </c>
      <c r="AN348" s="479" t="str">
        <f>CHOOSE($D$2,Параметры!AN$53,Параметры!AN$54)</f>
        <v>4 кв. 2028</v>
      </c>
      <c r="AO348" s="479" t="str">
        <f>CHOOSE($D$2,Параметры!AO$53,Параметры!AO$54)</f>
        <v>1 кв. 2029</v>
      </c>
      <c r="AP348" s="479" t="str">
        <f>CHOOSE($D$2,Параметры!AP$53,Параметры!AP$54)</f>
        <v>2 кв. 2029</v>
      </c>
      <c r="AQ348" s="479" t="str">
        <f>CHOOSE($D$2,Параметры!AQ$53,Параметры!AQ$54)</f>
        <v>3 кв. 2029</v>
      </c>
      <c r="AR348" s="479" t="str">
        <f>CHOOSE($D$2,Параметры!AR$53,Параметры!AR$54)</f>
        <v>4 кв. 2029</v>
      </c>
      <c r="AS348" s="485"/>
      <c r="AT348" s="485" t="s">
        <v>0</v>
      </c>
    </row>
    <row r="349" spans="1:46" x14ac:dyDescent="0.2">
      <c r="A349" s="44"/>
      <c r="D349" s="40"/>
    </row>
    <row r="350" spans="1:46" x14ac:dyDescent="0.2">
      <c r="A350" s="44" t="s">
        <v>839</v>
      </c>
      <c r="B350" s="177">
        <f ca="1">Параметры!$B$223</f>
        <v>8.4197013538173215E-2</v>
      </c>
      <c r="C350" s="12" t="s">
        <v>1</v>
      </c>
      <c r="D350" s="40"/>
    </row>
    <row r="351" spans="1:46" outlineLevel="1" x14ac:dyDescent="0.2">
      <c r="A351" s="63" t="s">
        <v>57</v>
      </c>
      <c r="C351" s="12" t="s">
        <v>1</v>
      </c>
      <c r="D351" s="40"/>
      <c r="E351" s="67">
        <f ca="1">((1+$B350)/IF(Параметры!$B$62,1,1+CHOOSE(Параметры!$B$126,Параметры!E$65,Параметры!E$113,Параметры!E$122)))^(Параметры!E$40/12)-1</f>
        <v>2.0415511261114627E-2</v>
      </c>
      <c r="F351" s="67">
        <f ca="1">((1+$B350)/IF(Параметры!$B$62,1,1+CHOOSE(Параметры!$B$126,Параметры!F$65,Параметры!F$113,Параметры!F$122)))^(Параметры!F$40/12)-1</f>
        <v>2.0415511261114627E-2</v>
      </c>
      <c r="G351" s="67">
        <f ca="1">((1+$B350)/IF(Параметры!$B$62,1,1+CHOOSE(Параметры!$B$126,Параметры!G$65,Параметры!G$113,Параметры!G$122)))^(Параметры!G$40/12)-1</f>
        <v>2.0415511261114627E-2</v>
      </c>
      <c r="H351" s="67">
        <f ca="1">((1+$B350)/IF(Параметры!$B$62,1,1+CHOOSE(Параметры!$B$126,Параметры!H$65,Параметры!H$113,Параметры!H$122)))^(Параметры!H$40/12)-1</f>
        <v>2.0415511261114627E-2</v>
      </c>
      <c r="I351" s="67">
        <f ca="1">((1+$B350)/IF(Параметры!$B$62,1,1+CHOOSE(Параметры!$B$126,Параметры!I$65,Параметры!I$113,Параметры!I$122)))^(Параметры!I$40/12)-1</f>
        <v>2.0415511261114627E-2</v>
      </c>
      <c r="J351" s="67">
        <f ca="1">((1+$B350)/IF(Параметры!$B$62,1,1+CHOOSE(Параметры!$B$126,Параметры!J$65,Параметры!J$113,Параметры!J$122)))^(Параметры!J$40/12)-1</f>
        <v>2.0415511261114627E-2</v>
      </c>
      <c r="K351" s="67">
        <f ca="1">((1+$B350)/IF(Параметры!$B$62,1,1+CHOOSE(Параметры!$B$126,Параметры!K$65,Параметры!K$113,Параметры!K$122)))^(Параметры!K$40/12)-1</f>
        <v>2.0415511261114627E-2</v>
      </c>
      <c r="L351" s="67">
        <f ca="1">((1+$B350)/IF(Параметры!$B$62,1,1+CHOOSE(Параметры!$B$126,Параметры!L$65,Параметры!L$113,Параметры!L$122)))^(Параметры!L$40/12)-1</f>
        <v>2.0415511261114627E-2</v>
      </c>
      <c r="M351" s="67">
        <f ca="1">((1+$B350)/IF(Параметры!$B$62,1,1+CHOOSE(Параметры!$B$126,Параметры!M$65,Параметры!M$113,Параметры!M$122)))^(Параметры!M$40/12)-1</f>
        <v>2.0415511261114627E-2</v>
      </c>
      <c r="N351" s="67">
        <f ca="1">((1+$B350)/IF(Параметры!$B$62,1,1+CHOOSE(Параметры!$B$126,Параметры!N$65,Параметры!N$113,Параметры!N$122)))^(Параметры!N$40/12)-1</f>
        <v>2.0415511261114627E-2</v>
      </c>
      <c r="O351" s="67">
        <f ca="1">((1+$B350)/IF(Параметры!$B$62,1,1+CHOOSE(Параметры!$B$126,Параметры!O$65,Параметры!O$113,Параметры!O$122)))^(Параметры!O$40/12)-1</f>
        <v>2.0415511261114627E-2</v>
      </c>
      <c r="P351" s="67">
        <f ca="1">((1+$B350)/IF(Параметры!$B$62,1,1+CHOOSE(Параметры!$B$126,Параметры!P$65,Параметры!P$113,Параметры!P$122)))^(Параметры!P$40/12)-1</f>
        <v>2.0415511261114627E-2</v>
      </c>
      <c r="Q351" s="67">
        <f ca="1">((1+$B350)/IF(Параметры!$B$62,1,1+CHOOSE(Параметры!$B$126,Параметры!Q$65,Параметры!Q$113,Параметры!Q$122)))^(Параметры!Q$40/12)-1</f>
        <v>2.0415511261114627E-2</v>
      </c>
      <c r="R351" s="67">
        <f ca="1">((1+$B350)/IF(Параметры!$B$62,1,1+CHOOSE(Параметры!$B$126,Параметры!R$65,Параметры!R$113,Параметры!R$122)))^(Параметры!R$40/12)-1</f>
        <v>2.0415511261114627E-2</v>
      </c>
      <c r="S351" s="67">
        <f ca="1">((1+$B350)/IF(Параметры!$B$62,1,1+CHOOSE(Параметры!$B$126,Параметры!S$65,Параметры!S$113,Параметры!S$122)))^(Параметры!S$40/12)-1</f>
        <v>2.0415511261114627E-2</v>
      </c>
      <c r="T351" s="67">
        <f ca="1">((1+$B350)/IF(Параметры!$B$62,1,1+CHOOSE(Параметры!$B$126,Параметры!T$65,Параметры!T$113,Параметры!T$122)))^(Параметры!T$40/12)-1</f>
        <v>2.0415511261114627E-2</v>
      </c>
      <c r="U351" s="67">
        <f ca="1">((1+$B350)/IF(Параметры!$B$62,1,1+CHOOSE(Параметры!$B$126,Параметры!U$65,Параметры!U$113,Параметры!U$122)))^(Параметры!U$40/12)-1</f>
        <v>2.0415511261114627E-2</v>
      </c>
      <c r="V351" s="67">
        <f ca="1">((1+$B350)/IF(Параметры!$B$62,1,1+CHOOSE(Параметры!$B$126,Параметры!V$65,Параметры!V$113,Параметры!V$122)))^(Параметры!V$40/12)-1</f>
        <v>2.0415511261114627E-2</v>
      </c>
      <c r="W351" s="67">
        <f ca="1">((1+$B350)/IF(Параметры!$B$62,1,1+CHOOSE(Параметры!$B$126,Параметры!W$65,Параметры!W$113,Параметры!W$122)))^(Параметры!W$40/12)-1</f>
        <v>2.0415511261114627E-2</v>
      </c>
      <c r="X351" s="67">
        <f ca="1">((1+$B350)/IF(Параметры!$B$62,1,1+CHOOSE(Параметры!$B$126,Параметры!X$65,Параметры!X$113,Параметры!X$122)))^(Параметры!X$40/12)-1</f>
        <v>2.0415511261114627E-2</v>
      </c>
      <c r="Y351" s="67">
        <f ca="1">((1+$B350)/IF(Параметры!$B$62,1,1+CHOOSE(Параметры!$B$126,Параметры!Y$65,Параметры!Y$113,Параметры!Y$122)))^(Параметры!Y$40/12)-1</f>
        <v>2.0415511261114627E-2</v>
      </c>
      <c r="Z351" s="67">
        <f ca="1">((1+$B350)/IF(Параметры!$B$62,1,1+CHOOSE(Параметры!$B$126,Параметры!Z$65,Параметры!Z$113,Параметры!Z$122)))^(Параметры!Z$40/12)-1</f>
        <v>2.0415511261114627E-2</v>
      </c>
      <c r="AA351" s="67">
        <f ca="1">((1+$B350)/IF(Параметры!$B$62,1,1+CHOOSE(Параметры!$B$126,Параметры!AA$65,Параметры!AA$113,Параметры!AA$122)))^(Параметры!AA$40/12)-1</f>
        <v>2.0415511261114627E-2</v>
      </c>
      <c r="AB351" s="67">
        <f ca="1">((1+$B350)/IF(Параметры!$B$62,1,1+CHOOSE(Параметры!$B$126,Параметры!AB$65,Параметры!AB$113,Параметры!AB$122)))^(Параметры!AB$40/12)-1</f>
        <v>2.0415511261114627E-2</v>
      </c>
      <c r="AC351" s="67">
        <f ca="1">((1+$B350)/IF(Параметры!$B$62,1,1+CHOOSE(Параметры!$B$126,Параметры!AC$65,Параметры!AC$113,Параметры!AC$122)))^(Параметры!AC$40/12)-1</f>
        <v>2.0415511261114627E-2</v>
      </c>
      <c r="AD351" s="67">
        <f ca="1">((1+$B350)/IF(Параметры!$B$62,1,1+CHOOSE(Параметры!$B$126,Параметры!AD$65,Параметры!AD$113,Параметры!AD$122)))^(Параметры!AD$40/12)-1</f>
        <v>2.0415511261114627E-2</v>
      </c>
      <c r="AE351" s="67">
        <f ca="1">((1+$B350)/IF(Параметры!$B$62,1,1+CHOOSE(Параметры!$B$126,Параметры!AE$65,Параметры!AE$113,Параметры!AE$122)))^(Параметры!AE$40/12)-1</f>
        <v>2.0415511261114627E-2</v>
      </c>
      <c r="AF351" s="67">
        <f ca="1">((1+$B350)/IF(Параметры!$B$62,1,1+CHOOSE(Параметры!$B$126,Параметры!AF$65,Параметры!AF$113,Параметры!AF$122)))^(Параметры!AF$40/12)-1</f>
        <v>2.0415511261114627E-2</v>
      </c>
      <c r="AG351" s="67">
        <f ca="1">((1+$B350)/IF(Параметры!$B$62,1,1+CHOOSE(Параметры!$B$126,Параметры!AG$65,Параметры!AG$113,Параметры!AG$122)))^(Параметры!AG$40/12)-1</f>
        <v>2.0415511261114627E-2</v>
      </c>
      <c r="AH351" s="67">
        <f ca="1">((1+$B350)/IF(Параметры!$B$62,1,1+CHOOSE(Параметры!$B$126,Параметры!AH$65,Параметры!AH$113,Параметры!AH$122)))^(Параметры!AH$40/12)-1</f>
        <v>2.0415511261114627E-2</v>
      </c>
      <c r="AI351" s="67">
        <f ca="1">((1+$B350)/IF(Параметры!$B$62,1,1+CHOOSE(Параметры!$B$126,Параметры!AI$65,Параметры!AI$113,Параметры!AI$122)))^(Параметры!AI$40/12)-1</f>
        <v>2.0415511261114627E-2</v>
      </c>
      <c r="AJ351" s="67">
        <f ca="1">((1+$B350)/IF(Параметры!$B$62,1,1+CHOOSE(Параметры!$B$126,Параметры!AJ$65,Параметры!AJ$113,Параметры!AJ$122)))^(Параметры!AJ$40/12)-1</f>
        <v>2.0415511261114627E-2</v>
      </c>
      <c r="AK351" s="67">
        <f ca="1">((1+$B350)/IF(Параметры!$B$62,1,1+CHOOSE(Параметры!$B$126,Параметры!AK$65,Параметры!AK$113,Параметры!AK$122)))^(Параметры!AK$40/12)-1</f>
        <v>2.0415511261114627E-2</v>
      </c>
      <c r="AL351" s="67">
        <f ca="1">((1+$B350)/IF(Параметры!$B$62,1,1+CHOOSE(Параметры!$B$126,Параметры!AL$65,Параметры!AL$113,Параметры!AL$122)))^(Параметры!AL$40/12)-1</f>
        <v>2.0415511261114627E-2</v>
      </c>
      <c r="AM351" s="67">
        <f ca="1">((1+$B350)/IF(Параметры!$B$62,1,1+CHOOSE(Параметры!$B$126,Параметры!AM$65,Параметры!AM$113,Параметры!AM$122)))^(Параметры!AM$40/12)-1</f>
        <v>2.0415511261114627E-2</v>
      </c>
      <c r="AN351" s="67">
        <f ca="1">((1+$B350)/IF(Параметры!$B$62,1,1+CHOOSE(Параметры!$B$126,Параметры!AN$65,Параметры!AN$113,Параметры!AN$122)))^(Параметры!AN$40/12)-1</f>
        <v>2.0415511261114627E-2</v>
      </c>
      <c r="AO351" s="67">
        <f ca="1">((1+$B350)/IF(Параметры!$B$62,1,1+CHOOSE(Параметры!$B$126,Параметры!AO$65,Параметры!AO$113,Параметры!AO$122)))^(Параметры!AO$40/12)-1</f>
        <v>2.0415511261114627E-2</v>
      </c>
      <c r="AP351" s="67">
        <f ca="1">((1+$B350)/IF(Параметры!$B$62,1,1+CHOOSE(Параметры!$B$126,Параметры!AP$65,Параметры!AP$113,Параметры!AP$122)))^(Параметры!AP$40/12)-1</f>
        <v>2.0415511261114627E-2</v>
      </c>
      <c r="AQ351" s="67">
        <f ca="1">((1+$B350)/IF(Параметры!$B$62,1,1+CHOOSE(Параметры!$B$126,Параметры!AQ$65,Параметры!AQ$113,Параметры!AQ$122)))^(Параметры!AQ$40/12)-1</f>
        <v>2.0415511261114627E-2</v>
      </c>
      <c r="AR351" s="67">
        <f ca="1">((1+$B350)/IF(Параметры!$B$62,1,1+CHOOSE(Параметры!$B$126,Параметры!AR$65,Параметры!AR$113,Параметры!AR$122)))^(Параметры!AR$40/12)-1</f>
        <v>2.0415511261114627E-2</v>
      </c>
    </row>
    <row r="352" spans="1:46" outlineLevel="1" x14ac:dyDescent="0.2">
      <c r="A352" s="63" t="s">
        <v>419</v>
      </c>
      <c r="C352" s="12" t="s">
        <v>133</v>
      </c>
      <c r="D352" s="40"/>
      <c r="E352" s="68">
        <v>1</v>
      </c>
      <c r="F352" s="68">
        <v>1</v>
      </c>
      <c r="G352" s="68">
        <v>1</v>
      </c>
      <c r="H352" s="68">
        <v>1</v>
      </c>
      <c r="I352" s="68">
        <f t="shared" ref="I352:AR352" ca="1" si="141">IF(I$2=1,1,H352*(1+H351))</f>
        <v>1.0204155112611146</v>
      </c>
      <c r="J352" s="68">
        <f t="shared" ca="1" si="141"/>
        <v>1.041247815622282</v>
      </c>
      <c r="K352" s="68">
        <f t="shared" ca="1" si="141"/>
        <v>1.0625054221277297</v>
      </c>
      <c r="L352" s="68">
        <f t="shared" ca="1" si="141"/>
        <v>1.0841970135381738</v>
      </c>
      <c r="M352" s="68">
        <f t="shared" ca="1" si="141"/>
        <v>1.1063314498773291</v>
      </c>
      <c r="N352" s="68">
        <f t="shared" ca="1" si="141"/>
        <v>1.128917772050825</v>
      </c>
      <c r="O352" s="68">
        <f t="shared" ca="1" si="141"/>
        <v>1.1519652055390011</v>
      </c>
      <c r="P352" s="68">
        <f t="shared" ca="1" si="141"/>
        <v>1.1754831641650947</v>
      </c>
      <c r="Q352" s="68">
        <f t="shared" ca="1" si="141"/>
        <v>1.1994812539403579</v>
      </c>
      <c r="R352" s="68">
        <f t="shared" ca="1" si="141"/>
        <v>1.2239692769876731</v>
      </c>
      <c r="S352" s="68">
        <f t="shared" ca="1" si="141"/>
        <v>1.2489572355452734</v>
      </c>
      <c r="T352" s="68">
        <f t="shared" ca="1" si="141"/>
        <v>1.2744553360521984</v>
      </c>
      <c r="U352" s="68">
        <f t="shared" ca="1" si="141"/>
        <v>1.3004739933171596</v>
      </c>
      <c r="V352" s="68">
        <f t="shared" ca="1" si="141"/>
        <v>1.3270238347725127</v>
      </c>
      <c r="W352" s="68">
        <f t="shared" ca="1" si="141"/>
        <v>1.3541157048150785</v>
      </c>
      <c r="X352" s="68">
        <f t="shared" ca="1" si="141"/>
        <v>1.3817606692355828</v>
      </c>
      <c r="Y352" s="68">
        <f t="shared" ca="1" si="141"/>
        <v>1.4099700197385272</v>
      </c>
      <c r="Z352" s="68">
        <f t="shared" ca="1" si="141"/>
        <v>1.4387552785543332</v>
      </c>
      <c r="AA352" s="68">
        <f t="shared" ca="1" si="141"/>
        <v>1.4681282031456473</v>
      </c>
      <c r="AB352" s="68">
        <f t="shared" ca="1" si="141"/>
        <v>1.4981007910097273</v>
      </c>
      <c r="AC352" s="68">
        <f t="shared" ca="1" si="141"/>
        <v>1.528685284578871</v>
      </c>
      <c r="AD352" s="68">
        <f t="shared" ca="1" si="141"/>
        <v>1.5598941762208911</v>
      </c>
      <c r="AE352" s="68">
        <f t="shared" ca="1" si="141"/>
        <v>1.5917402133416758</v>
      </c>
      <c r="AF352" s="68">
        <f t="shared" ca="1" si="141"/>
        <v>1.6242364035919219</v>
      </c>
      <c r="AG352" s="68">
        <f t="shared" ca="1" si="141"/>
        <v>1.6573960201801652</v>
      </c>
      <c r="AH352" s="68">
        <f t="shared" ca="1" si="141"/>
        <v>1.6912326072942798</v>
      </c>
      <c r="AI352" s="68">
        <f t="shared" ca="1" si="141"/>
        <v>1.7257599856336605</v>
      </c>
      <c r="AJ352" s="68">
        <f t="shared" ca="1" si="141"/>
        <v>1.7609922580543456</v>
      </c>
      <c r="AK352" s="68">
        <f t="shared" ca="1" si="141"/>
        <v>1.7969438153293897</v>
      </c>
      <c r="AL352" s="68">
        <f t="shared" ca="1" si="141"/>
        <v>1.8336293420268373</v>
      </c>
      <c r="AM352" s="68">
        <f t="shared" ca="1" si="141"/>
        <v>1.8710638225076963</v>
      </c>
      <c r="AN352" s="68">
        <f t="shared" ca="1" si="141"/>
        <v>1.9092625470463664</v>
      </c>
      <c r="AO352" s="68">
        <f t="shared" ca="1" si="141"/>
        <v>1.948241118076016</v>
      </c>
      <c r="AP352" s="68">
        <f t="shared" ca="1" si="141"/>
        <v>1.9880154565614634</v>
      </c>
      <c r="AQ352" s="68">
        <f t="shared" ca="1" si="141"/>
        <v>2.028601808502164</v>
      </c>
      <c r="AR352" s="68">
        <f t="shared" ca="1" si="141"/>
        <v>2.0700167515679575</v>
      </c>
    </row>
    <row r="353" spans="1:46" s="60" customFormat="1" x14ac:dyDescent="0.2">
      <c r="A353" s="52" t="s">
        <v>198</v>
      </c>
      <c r="B353" s="178">
        <f ca="1">AT353</f>
        <v>15326958.67919888</v>
      </c>
      <c r="C353" s="34" t="str">
        <f>Параметры!$C$126</f>
        <v>тыс. руб.</v>
      </c>
      <c r="D353" s="169"/>
      <c r="E353" s="85">
        <f t="shared" ref="E353:AB353" ca="1" si="142">SUM(E354:E359)</f>
        <v>22823.352499999994</v>
      </c>
      <c r="F353" s="85">
        <f t="shared" ca="1" si="142"/>
        <v>31319.989999999991</v>
      </c>
      <c r="G353" s="85">
        <f t="shared" ca="1" si="142"/>
        <v>66209.458529068259</v>
      </c>
      <c r="H353" s="85">
        <f t="shared" ca="1" si="142"/>
        <v>68062.49017456657</v>
      </c>
      <c r="I353" s="85">
        <f t="shared" ca="1" si="142"/>
        <v>77491.068238359207</v>
      </c>
      <c r="J353" s="85">
        <f t="shared" ca="1" si="142"/>
        <v>81460.374614452361</v>
      </c>
      <c r="K353" s="85">
        <f t="shared" ca="1" si="142"/>
        <v>86655.108369567533</v>
      </c>
      <c r="L353" s="85">
        <f t="shared" ca="1" si="142"/>
        <v>89364.167063684683</v>
      </c>
      <c r="M353" s="85">
        <f t="shared" ca="1" si="142"/>
        <v>108559.99788523649</v>
      </c>
      <c r="N353" s="85">
        <f t="shared" ca="1" si="142"/>
        <v>119606.26693302236</v>
      </c>
      <c r="O353" s="85">
        <f t="shared" ca="1" si="142"/>
        <v>135654.21916242992</v>
      </c>
      <c r="P353" s="85">
        <f t="shared" ca="1" si="142"/>
        <v>144696.8535995931</v>
      </c>
      <c r="Q353" s="85">
        <f t="shared" ca="1" si="142"/>
        <v>290558.85493895493</v>
      </c>
      <c r="R353" s="85">
        <f t="shared" ca="1" si="142"/>
        <v>309010.51195390109</v>
      </c>
      <c r="S353" s="85">
        <f t="shared" ca="1" si="142"/>
        <v>329201.29283707694</v>
      </c>
      <c r="T353" s="85">
        <f t="shared" ca="1" si="142"/>
        <v>339366.5739125032</v>
      </c>
      <c r="U353" s="85">
        <f t="shared" ca="1" si="142"/>
        <v>343473.50826000434</v>
      </c>
      <c r="V353" s="85">
        <f t="shared" ca="1" si="142"/>
        <v>353252.77109488932</v>
      </c>
      <c r="W353" s="85">
        <f t="shared" ca="1" si="142"/>
        <v>429101.78546022333</v>
      </c>
      <c r="X353" s="85">
        <f t="shared" ca="1" si="142"/>
        <v>365363.88139696326</v>
      </c>
      <c r="Y353" s="85">
        <f t="shared" ca="1" si="142"/>
        <v>368584.61824327603</v>
      </c>
      <c r="Z353" s="85">
        <f t="shared" ca="1" si="142"/>
        <v>388348.77857723518</v>
      </c>
      <c r="AA353" s="85">
        <f t="shared" ca="1" si="142"/>
        <v>374825.9236868383</v>
      </c>
      <c r="AB353" s="85">
        <f t="shared" ca="1" si="142"/>
        <v>335641.1339039774</v>
      </c>
      <c r="AC353" s="85">
        <f t="shared" ref="AC353:AL353" ca="1" si="143">SUM(AC354:AC359)</f>
        <v>338192.64480898302</v>
      </c>
      <c r="AD353" s="85">
        <f t="shared" ca="1" si="143"/>
        <v>332709.41687992186</v>
      </c>
      <c r="AE353" s="85">
        <f t="shared" ca="1" si="143"/>
        <v>328783.84617228818</v>
      </c>
      <c r="AF353" s="85">
        <f t="shared" ca="1" si="143"/>
        <v>330504.411035322</v>
      </c>
      <c r="AG353" s="85">
        <f t="shared" ca="1" si="143"/>
        <v>331347.36132175662</v>
      </c>
      <c r="AH353" s="85">
        <f t="shared" ca="1" si="143"/>
        <v>307342.55388378794</v>
      </c>
      <c r="AI353" s="85">
        <f t="shared" ca="1" si="143"/>
        <v>309272.27690755913</v>
      </c>
      <c r="AJ353" s="85">
        <f t="shared" ca="1" si="143"/>
        <v>311209.65694530931</v>
      </c>
      <c r="AK353" s="85">
        <f t="shared" ca="1" si="143"/>
        <v>792511.02968047839</v>
      </c>
      <c r="AL353" s="85">
        <f t="shared" ca="1" si="143"/>
        <v>266139.65297861438</v>
      </c>
      <c r="AM353" s="85">
        <f t="shared" ref="AM353:AN353" ca="1" si="144">SUM(AM354:AM359)</f>
        <v>293164.2814479298</v>
      </c>
      <c r="AN353" s="85">
        <f t="shared" ca="1" si="144"/>
        <v>231854.65195257182</v>
      </c>
      <c r="AO353" s="85">
        <f t="shared" ref="AO353:AR353" ca="1" si="145">SUM(AO354:AO359)</f>
        <v>7721782.0819571409</v>
      </c>
      <c r="AP353" s="85">
        <f t="shared" ca="1" si="145"/>
        <v>-1998119.9940400613</v>
      </c>
      <c r="AQ353" s="85">
        <f t="shared" ca="1" si="145"/>
        <v>86812.405098345975</v>
      </c>
      <c r="AR353" s="85">
        <f t="shared" ca="1" si="145"/>
        <v>84819.420833107084</v>
      </c>
      <c r="AT353" s="143">
        <f ca="1">SUM(E353:AS353)</f>
        <v>15326958.67919888</v>
      </c>
    </row>
    <row r="354" spans="1:46" ht="22.5" outlineLevel="1" x14ac:dyDescent="0.2">
      <c r="A354" s="154" t="s">
        <v>388</v>
      </c>
      <c r="C354" s="266" t="str">
        <f>Параметры!$C$126</f>
        <v>тыс. руб.</v>
      </c>
      <c r="D354" s="40"/>
      <c r="E354" s="82">
        <f t="shared" ref="E354:AR354" ca="1" si="146">E56</f>
        <v>-20731.544184000002</v>
      </c>
      <c r="F354" s="82">
        <f t="shared" ca="1" si="146"/>
        <v>-28857.830096491558</v>
      </c>
      <c r="G354" s="82">
        <f t="shared" ca="1" si="146"/>
        <v>-3394.4245141073006</v>
      </c>
      <c r="H354" s="82">
        <f t="shared" ca="1" si="146"/>
        <v>3646.1119675883783</v>
      </c>
      <c r="I354" s="82">
        <f t="shared" ca="1" si="146"/>
        <v>-158.59248756996385</v>
      </c>
      <c r="J354" s="82">
        <f t="shared" ca="1" si="146"/>
        <v>2950.9259840399463</v>
      </c>
      <c r="K354" s="82">
        <f t="shared" ca="1" si="146"/>
        <v>-3043.3215844785882</v>
      </c>
      <c r="L354" s="82">
        <f t="shared" ca="1" si="146"/>
        <v>-5140.4009329217843</v>
      </c>
      <c r="M354" s="82">
        <f t="shared" ca="1" si="146"/>
        <v>13926.508000697184</v>
      </c>
      <c r="N354" s="82">
        <f t="shared" ca="1" si="146"/>
        <v>7618.4829030487308</v>
      </c>
      <c r="O354" s="82">
        <f t="shared" ca="1" si="146"/>
        <v>-3270.8501765326582</v>
      </c>
      <c r="P354" s="82">
        <f t="shared" ca="1" si="146"/>
        <v>-9808.7346485550952</v>
      </c>
      <c r="Q354" s="82">
        <f t="shared" ca="1" si="146"/>
        <v>-908.68858268713666</v>
      </c>
      <c r="R354" s="82">
        <f t="shared" ca="1" si="146"/>
        <v>-10604.840379459834</v>
      </c>
      <c r="S354" s="82">
        <f t="shared" ca="1" si="146"/>
        <v>-21969.23416270662</v>
      </c>
      <c r="T354" s="82">
        <f t="shared" ca="1" si="146"/>
        <v>-25538.430311492833</v>
      </c>
      <c r="U354" s="82">
        <f t="shared" ca="1" si="146"/>
        <v>144093.45924083516</v>
      </c>
      <c r="V354" s="82">
        <f t="shared" ca="1" si="146"/>
        <v>157439.36946676535</v>
      </c>
      <c r="W354" s="82">
        <f t="shared" ca="1" si="146"/>
        <v>164004.4906709301</v>
      </c>
      <c r="X354" s="82">
        <f t="shared" ca="1" si="146"/>
        <v>170684.31446470757</v>
      </c>
      <c r="Y354" s="82">
        <f t="shared" ca="1" si="146"/>
        <v>177481.04472905857</v>
      </c>
      <c r="Z354" s="82">
        <f t="shared" ca="1" si="146"/>
        <v>184343.79330046062</v>
      </c>
      <c r="AA354" s="82">
        <f t="shared" ca="1" si="146"/>
        <v>191327.20473962842</v>
      </c>
      <c r="AB354" s="82">
        <f t="shared" ca="1" si="146"/>
        <v>198433.19677949802</v>
      </c>
      <c r="AC354" s="82">
        <f t="shared" ca="1" si="146"/>
        <v>206149.52148175257</v>
      </c>
      <c r="AD354" s="82">
        <f t="shared" ca="1" si="146"/>
        <v>205248.46200794444</v>
      </c>
      <c r="AE354" s="82">
        <f t="shared" ca="1" si="146"/>
        <v>206005.64675419102</v>
      </c>
      <c r="AF354" s="82">
        <f t="shared" ca="1" si="146"/>
        <v>212511.76704136914</v>
      </c>
      <c r="AG354" s="82">
        <f t="shared" ca="1" si="146"/>
        <v>222089.57357060959</v>
      </c>
      <c r="AH354" s="82">
        <f t="shared" ca="1" si="146"/>
        <v>202569.5497703873</v>
      </c>
      <c r="AI354" s="82">
        <f t="shared" ca="1" si="146"/>
        <v>209082.24521972981</v>
      </c>
      <c r="AJ354" s="82">
        <f t="shared" ca="1" si="146"/>
        <v>215702.94134172195</v>
      </c>
      <c r="AK354" s="82">
        <f t="shared" ca="1" si="146"/>
        <v>210474.58144255713</v>
      </c>
      <c r="AL354" s="82">
        <f t="shared" ca="1" si="146"/>
        <v>180309.45803286985</v>
      </c>
      <c r="AM354" s="82">
        <f t="shared" ca="1" si="146"/>
        <v>225797.38152274449</v>
      </c>
      <c r="AN354" s="82">
        <f t="shared" ca="1" si="146"/>
        <v>231854.65195257182</v>
      </c>
      <c r="AO354" s="82">
        <f t="shared" ca="1" si="146"/>
        <v>69740.932996482166</v>
      </c>
      <c r="AP354" s="82">
        <f t="shared" ca="1" si="146"/>
        <v>-1998119.9940400613</v>
      </c>
      <c r="AQ354" s="82">
        <f t="shared" ca="1" si="146"/>
        <v>86812.405098345975</v>
      </c>
      <c r="AR354" s="82">
        <f t="shared" ca="1" si="146"/>
        <v>84819.420833107084</v>
      </c>
      <c r="AT354" s="30">
        <f ca="1">SUM(E354:AS354)</f>
        <v>2053570.5552125778</v>
      </c>
    </row>
    <row r="355" spans="1:46" ht="22.5" outlineLevel="1" x14ac:dyDescent="0.2">
      <c r="A355" s="251" t="s">
        <v>389</v>
      </c>
      <c r="C355" s="266" t="str">
        <f>Параметры!$C$126</f>
        <v>тыс. руб.</v>
      </c>
      <c r="D355" s="40"/>
      <c r="E355" s="82">
        <f ca="1">-E51-(0)/Параметры!E$126</f>
        <v>17556.425000000003</v>
      </c>
      <c r="F355" s="82">
        <f ca="1">-F51-(0)/Параметры!F$126</f>
        <v>24092.3</v>
      </c>
      <c r="G355" s="82">
        <f ca="1">-G51-(0)/Параметры!G$126</f>
        <v>24852.747903782285</v>
      </c>
      <c r="H355" s="82">
        <f ca="1">-H51-(0)/Параметры!H$126</f>
        <v>25756.604765640215</v>
      </c>
      <c r="I355" s="82">
        <f ca="1">-I51-(0)/Параметры!I$126</f>
        <v>26657.953556173554</v>
      </c>
      <c r="J355" s="82">
        <f ca="1">-J51-(0)/Параметры!J$126</f>
        <v>29052.254943701617</v>
      </c>
      <c r="K355" s="82">
        <f ca="1">-K51-(0)/Параметры!K$126</f>
        <v>32376.012552441913</v>
      </c>
      <c r="L355" s="82">
        <f ca="1">-L51-(0)/Параметры!L$126</f>
        <v>33774.268593279798</v>
      </c>
      <c r="M355" s="82">
        <f ca="1">-M51-(0)/Параметры!M$126</f>
        <v>37049.3993985657</v>
      </c>
      <c r="N355" s="82">
        <f ca="1">-N51-(0)/Параметры!N$126</f>
        <v>44590.384747336298</v>
      </c>
      <c r="O355" s="82">
        <f ca="1">-O51-(0)/Параметры!O$126</f>
        <v>55959.088779191989</v>
      </c>
      <c r="P355" s="82">
        <f ca="1">-P51-(0)/Параметры!P$126</f>
        <v>61918.948642438714</v>
      </c>
      <c r="Q355" s="82">
        <f ca="1">-Q51-(0)/Параметры!Q$126</f>
        <v>64927.472943235611</v>
      </c>
      <c r="R355" s="82">
        <f ca="1">-R51-(0)/Параметры!R$126</f>
        <v>75649.537228308589</v>
      </c>
      <c r="S355" s="82">
        <f ca="1">-S51-(0)/Параметры!S$126</f>
        <v>87633.210290224306</v>
      </c>
      <c r="T355" s="82">
        <f ca="1">-T51-(0)/Параметры!T$126</f>
        <v>91827.106192514708</v>
      </c>
      <c r="U355" s="82">
        <f ca="1">-U51-(0)/Параметры!U$126</f>
        <v>88040.671888780533</v>
      </c>
      <c r="V355" s="82">
        <f ca="1">-V51-(0)/Параметры!V$126</f>
        <v>84171.132277109689</v>
      </c>
      <c r="W355" s="82">
        <f ca="1">-W51-(0)/Параметры!W$126</f>
        <v>80216.659277351486</v>
      </c>
      <c r="X355" s="82">
        <f ca="1">-X51-(0)/Параметры!X$126</f>
        <v>76175.384513337529</v>
      </c>
      <c r="Y355" s="82">
        <f ca="1">-Y51-(0)/Параметры!Y$126</f>
        <v>72045.398422936807</v>
      </c>
      <c r="Z355" s="82">
        <f ca="1">-Z51-(0)/Параметры!Z$126</f>
        <v>67824.749348421683</v>
      </c>
      <c r="AA355" s="82">
        <f ca="1">-AA51-(0)/Параметры!AA$126</f>
        <v>63511.442606708013</v>
      </c>
      <c r="AB355" s="82">
        <f ca="1">-AB51-(0)/Параметры!AB$126</f>
        <v>59103.43953902334</v>
      </c>
      <c r="AC355" s="82">
        <f ca="1">-AC51-(0)/Параметры!AC$126</f>
        <v>54113.274371673891</v>
      </c>
      <c r="AD355" s="82">
        <f ca="1">-AD51-(0)/Параметры!AD$126</f>
        <v>49548.96409852332</v>
      </c>
      <c r="AE355" s="82">
        <f ca="1">-AE51-(0)/Параметры!AE$126</f>
        <v>44884.453947002956</v>
      </c>
      <c r="AF355" s="82">
        <f ca="1">-AF51-(0)/Параметры!AF$126</f>
        <v>40117.539361905016</v>
      </c>
      <c r="AG355" s="82">
        <f ca="1">-AG51-(0)/Параметры!AG$126</f>
        <v>32288.860192358734</v>
      </c>
      <c r="AH355" s="82">
        <f ca="1">-AH51-(0)/Параметры!AH$126</f>
        <v>27705.102100144552</v>
      </c>
      <c r="AI355" s="82">
        <f ca="1">-AI51-(0)/Параметры!AI$126</f>
        <v>23020.91239520723</v>
      </c>
      <c r="AJ355" s="82">
        <f ca="1">-AJ51-(0)/Параметры!AJ$126</f>
        <v>18234.085425147525</v>
      </c>
      <c r="AK355" s="82">
        <f ca="1">-AK51-(0)/Параметры!AK$126</f>
        <v>13342.366991564959</v>
      </c>
      <c r="AL355" s="82">
        <f ca="1">-AL51-(0)/Параметры!AL$126</f>
        <v>8343.4532793963353</v>
      </c>
      <c r="AM355" s="82">
        <f ca="1">-AM51-(0)/Параметры!AM$126</f>
        <v>4217.8758588145829</v>
      </c>
      <c r="AN355" s="82">
        <f ca="1">-AN51-(0)/Параметры!AN$126</f>
        <v>6.5483618527650831E-13</v>
      </c>
      <c r="AO355" s="82">
        <f ca="1">-AO51-(0)/Параметры!AO$126</f>
        <v>6.5483618527650831E-13</v>
      </c>
      <c r="AP355" s="82">
        <f ca="1">-AP51-(0)/Параметры!AP$126</f>
        <v>6.5483618527650831E-13</v>
      </c>
      <c r="AQ355" s="82">
        <f ca="1">-AQ51-(0)/Параметры!AQ$126</f>
        <v>6.5483618527650831E-13</v>
      </c>
      <c r="AR355" s="82">
        <f ca="1">-AR51-(0)/Параметры!AR$126</f>
        <v>6.5483618527650831E-13</v>
      </c>
      <c r="AT355" s="30">
        <f t="shared" ref="AT355:AT359" ca="1" si="147">SUM(E355:AS355)</f>
        <v>1640579.4814322437</v>
      </c>
    </row>
    <row r="356" spans="1:46" outlineLevel="1" x14ac:dyDescent="0.2">
      <c r="A356" s="63" t="s">
        <v>109</v>
      </c>
      <c r="C356" s="12" t="str">
        <f>Параметры!$C$126</f>
        <v>тыс. руб.</v>
      </c>
      <c r="D356" s="40"/>
      <c r="E356" s="82">
        <f t="shared" ref="E356:AR356" si="148">E65</f>
        <v>-301153.75</v>
      </c>
      <c r="F356" s="82">
        <f t="shared" ca="1" si="148"/>
        <v>-326793.75</v>
      </c>
      <c r="G356" s="82">
        <f t="shared" ca="1" si="148"/>
        <v>-64100.000000000007</v>
      </c>
      <c r="H356" s="82">
        <f t="shared" ca="1" si="148"/>
        <v>-71792</v>
      </c>
      <c r="I356" s="82">
        <f t="shared" ca="1" si="148"/>
        <v>-90768</v>
      </c>
      <c r="J356" s="82">
        <f t="shared" ca="1" si="148"/>
        <v>-191195.07809271439</v>
      </c>
      <c r="K356" s="82">
        <f t="shared" ca="1" si="148"/>
        <v>-251017.68685945566</v>
      </c>
      <c r="L356" s="82">
        <f t="shared" ca="1" si="148"/>
        <v>-129589.65171757294</v>
      </c>
      <c r="M356" s="82">
        <f t="shared" ca="1" si="148"/>
        <v>-268652.41227134393</v>
      </c>
      <c r="N356" s="82">
        <f t="shared" ca="1" si="148"/>
        <v>-540753.01301084307</v>
      </c>
      <c r="O356" s="82">
        <f t="shared" ca="1" si="148"/>
        <v>-785061.38492575171</v>
      </c>
      <c r="P356" s="82">
        <f t="shared" ca="1" si="148"/>
        <v>-442947.78078685631</v>
      </c>
      <c r="Q356" s="82">
        <f t="shared" ca="1" si="148"/>
        <v>-411431.25935957226</v>
      </c>
      <c r="R356" s="82">
        <f t="shared" ca="1" si="148"/>
        <v>-906016.57989159273</v>
      </c>
      <c r="S356" s="82">
        <f t="shared" ca="1" si="148"/>
        <v>-991061.85020460747</v>
      </c>
      <c r="T356" s="82">
        <f t="shared" ca="1" si="148"/>
        <v>-501524.67002557381</v>
      </c>
      <c r="U356" s="82">
        <f t="shared" ca="1" si="148"/>
        <v>0</v>
      </c>
      <c r="V356" s="82">
        <f t="shared" ca="1" si="148"/>
        <v>0</v>
      </c>
      <c r="W356" s="82">
        <f t="shared" ca="1" si="148"/>
        <v>0</v>
      </c>
      <c r="X356" s="82">
        <f t="shared" ca="1" si="148"/>
        <v>0</v>
      </c>
      <c r="Y356" s="82">
        <f t="shared" ca="1" si="148"/>
        <v>0</v>
      </c>
      <c r="Z356" s="82">
        <f t="shared" ca="1" si="148"/>
        <v>0</v>
      </c>
      <c r="AA356" s="82">
        <f t="shared" ca="1" si="148"/>
        <v>0</v>
      </c>
      <c r="AB356" s="82">
        <f t="shared" ca="1" si="148"/>
        <v>0</v>
      </c>
      <c r="AC356" s="82">
        <f t="shared" ca="1" si="148"/>
        <v>0</v>
      </c>
      <c r="AD356" s="82">
        <f t="shared" ca="1" si="148"/>
        <v>0</v>
      </c>
      <c r="AE356" s="82">
        <f t="shared" ca="1" si="148"/>
        <v>0</v>
      </c>
      <c r="AF356" s="82">
        <f t="shared" ca="1" si="148"/>
        <v>0</v>
      </c>
      <c r="AG356" s="82">
        <f t="shared" ca="1" si="148"/>
        <v>0</v>
      </c>
      <c r="AH356" s="82">
        <f t="shared" ca="1" si="148"/>
        <v>0</v>
      </c>
      <c r="AI356" s="82">
        <f t="shared" ca="1" si="148"/>
        <v>0</v>
      </c>
      <c r="AJ356" s="82">
        <f t="shared" ca="1" si="148"/>
        <v>0</v>
      </c>
      <c r="AK356" s="82">
        <f t="shared" ca="1" si="148"/>
        <v>491315.59464514832</v>
      </c>
      <c r="AL356" s="82">
        <f t="shared" ca="1" si="148"/>
        <v>0</v>
      </c>
      <c r="AM356" s="82">
        <f t="shared" ca="1" si="148"/>
        <v>0</v>
      </c>
      <c r="AN356" s="82">
        <f t="shared" ca="1" si="148"/>
        <v>0</v>
      </c>
      <c r="AO356" s="82">
        <f t="shared" ca="1" si="148"/>
        <v>7652041.1489606583</v>
      </c>
      <c r="AP356" s="82">
        <f t="shared" ca="1" si="148"/>
        <v>0</v>
      </c>
      <c r="AQ356" s="82">
        <f t="shared" ca="1" si="148"/>
        <v>0</v>
      </c>
      <c r="AR356" s="82">
        <f t="shared" ca="1" si="148"/>
        <v>0</v>
      </c>
      <c r="AT356" s="30">
        <f t="shared" ca="1" si="147"/>
        <v>1869497.8764599217</v>
      </c>
    </row>
    <row r="357" spans="1:46" outlineLevel="1" x14ac:dyDescent="0.2">
      <c r="A357" s="106" t="s">
        <v>149</v>
      </c>
      <c r="C357" s="12" t="str">
        <f>Параметры!$C$126</f>
        <v>тыс. руб.</v>
      </c>
      <c r="D357" s="40"/>
      <c r="E357" s="82">
        <f t="shared" ref="E357:AR357" si="149">E69</f>
        <v>301153.75</v>
      </c>
      <c r="F357" s="82">
        <f t="shared" ca="1" si="149"/>
        <v>326793.75</v>
      </c>
      <c r="G357" s="82">
        <f t="shared" ca="1" si="149"/>
        <v>64100</v>
      </c>
      <c r="H357" s="82">
        <f t="shared" ca="1" si="149"/>
        <v>71792</v>
      </c>
      <c r="I357" s="82">
        <f t="shared" ca="1" si="149"/>
        <v>72768</v>
      </c>
      <c r="J357" s="82">
        <f t="shared" ca="1" si="149"/>
        <v>137730.93169246375</v>
      </c>
      <c r="K357" s="82">
        <f t="shared" ca="1" si="149"/>
        <v>179655.74336865376</v>
      </c>
      <c r="L357" s="82">
        <f t="shared" ca="1" si="149"/>
        <v>94705.720474899892</v>
      </c>
      <c r="M357" s="82">
        <f t="shared" ca="1" si="149"/>
        <v>188056.68858994072</v>
      </c>
      <c r="N357" s="82">
        <f t="shared" ca="1" si="149"/>
        <v>378527.10910759011</v>
      </c>
      <c r="O357" s="82">
        <f t="shared" ca="1" si="149"/>
        <v>549542.96944802604</v>
      </c>
      <c r="P357" s="82">
        <f t="shared" ca="1" si="149"/>
        <v>310063.44655079942</v>
      </c>
      <c r="Q357" s="82">
        <f t="shared" ca="1" si="149"/>
        <v>288001.88155170059</v>
      </c>
      <c r="R357" s="82">
        <f t="shared" ca="1" si="149"/>
        <v>634211.60592411482</v>
      </c>
      <c r="S357" s="82">
        <f t="shared" ca="1" si="149"/>
        <v>693743.29514322511</v>
      </c>
      <c r="T357" s="82">
        <f t="shared" ca="1" si="149"/>
        <v>351067.26901790162</v>
      </c>
      <c r="U357" s="82">
        <f t="shared" ca="1" si="149"/>
        <v>0</v>
      </c>
      <c r="V357" s="82">
        <f t="shared" ca="1" si="149"/>
        <v>0</v>
      </c>
      <c r="W357" s="82">
        <f t="shared" ca="1" si="149"/>
        <v>0</v>
      </c>
      <c r="X357" s="82">
        <f t="shared" ca="1" si="149"/>
        <v>0</v>
      </c>
      <c r="Y357" s="82">
        <f t="shared" ca="1" si="149"/>
        <v>0</v>
      </c>
      <c r="Z357" s="82">
        <f t="shared" ca="1" si="149"/>
        <v>0</v>
      </c>
      <c r="AA357" s="82">
        <f t="shared" ca="1" si="149"/>
        <v>0</v>
      </c>
      <c r="AB357" s="82">
        <f t="shared" ca="1" si="149"/>
        <v>0</v>
      </c>
      <c r="AC357" s="82">
        <f t="shared" ca="1" si="149"/>
        <v>0</v>
      </c>
      <c r="AD357" s="82">
        <f t="shared" ca="1" si="149"/>
        <v>0</v>
      </c>
      <c r="AE357" s="82">
        <f t="shared" ca="1" si="149"/>
        <v>0</v>
      </c>
      <c r="AF357" s="82">
        <f t="shared" ca="1" si="149"/>
        <v>0</v>
      </c>
      <c r="AG357" s="82">
        <f t="shared" ca="1" si="149"/>
        <v>0</v>
      </c>
      <c r="AH357" s="82">
        <f t="shared" ca="1" si="149"/>
        <v>0</v>
      </c>
      <c r="AI357" s="82">
        <f t="shared" ca="1" si="149"/>
        <v>0</v>
      </c>
      <c r="AJ357" s="82">
        <f t="shared" ca="1" si="149"/>
        <v>0</v>
      </c>
      <c r="AK357" s="82">
        <f t="shared" ca="1" si="149"/>
        <v>0</v>
      </c>
      <c r="AL357" s="82">
        <f t="shared" ca="1" si="149"/>
        <v>0</v>
      </c>
      <c r="AM357" s="82">
        <f t="shared" ca="1" si="149"/>
        <v>0</v>
      </c>
      <c r="AN357" s="82">
        <f t="shared" ca="1" si="149"/>
        <v>0</v>
      </c>
      <c r="AO357" s="82">
        <f t="shared" ca="1" si="149"/>
        <v>0</v>
      </c>
      <c r="AP357" s="82">
        <f t="shared" ca="1" si="149"/>
        <v>0</v>
      </c>
      <c r="AQ357" s="82">
        <f t="shared" ca="1" si="149"/>
        <v>0</v>
      </c>
      <c r="AR357" s="82">
        <f t="shared" ca="1" si="149"/>
        <v>0</v>
      </c>
      <c r="AT357" s="30">
        <f t="shared" ca="1" si="147"/>
        <v>4641914.1608693162</v>
      </c>
    </row>
    <row r="358" spans="1:46" ht="22.5" outlineLevel="1" x14ac:dyDescent="0.2">
      <c r="A358" s="154" t="s">
        <v>1007</v>
      </c>
      <c r="C358" s="12" t="str">
        <f>Параметры!$C$126</f>
        <v>тыс. руб.</v>
      </c>
      <c r="D358" s="40"/>
      <c r="E358" s="82">
        <f t="shared" ref="E358:AR358" ca="1" si="150">E67+E68</f>
        <v>25998.471684000004</v>
      </c>
      <c r="F358" s="82">
        <f t="shared" ca="1" si="150"/>
        <v>36085.520096491557</v>
      </c>
      <c r="G358" s="82">
        <f t="shared" ca="1" si="150"/>
        <v>44751.135139393285</v>
      </c>
      <c r="H358" s="82">
        <f t="shared" ca="1" si="150"/>
        <v>38659.773441337988</v>
      </c>
      <c r="I358" s="82">
        <f t="shared" ca="1" si="150"/>
        <v>68991.707169755609</v>
      </c>
      <c r="J358" s="82">
        <f t="shared" ca="1" si="150"/>
        <v>102921.34008696143</v>
      </c>
      <c r="K358" s="82">
        <f t="shared" ca="1" si="150"/>
        <v>128684.36089240613</v>
      </c>
      <c r="L358" s="82">
        <f t="shared" ca="1" si="150"/>
        <v>95614.23064599972</v>
      </c>
      <c r="M358" s="82">
        <f t="shared" ca="1" si="150"/>
        <v>138179.81416737681</v>
      </c>
      <c r="N358" s="82">
        <f t="shared" ca="1" si="150"/>
        <v>229623.30318589031</v>
      </c>
      <c r="O358" s="82">
        <f t="shared" ca="1" si="150"/>
        <v>318484.39603749628</v>
      </c>
      <c r="P358" s="82">
        <f t="shared" ca="1" si="150"/>
        <v>225470.97384176636</v>
      </c>
      <c r="Q358" s="82">
        <f t="shared" ca="1" si="150"/>
        <v>349969.44838627812</v>
      </c>
      <c r="R358" s="82">
        <f t="shared" ca="1" si="150"/>
        <v>515770.78907253029</v>
      </c>
      <c r="S358" s="82">
        <f t="shared" ca="1" si="150"/>
        <v>560855.87177094165</v>
      </c>
      <c r="T358" s="82">
        <f t="shared" ca="1" si="150"/>
        <v>423535.2990391535</v>
      </c>
      <c r="U358" s="82">
        <f t="shared" ca="1" si="150"/>
        <v>111339.37713038866</v>
      </c>
      <c r="V358" s="82">
        <f t="shared" ca="1" si="150"/>
        <v>111642.26935101429</v>
      </c>
      <c r="W358" s="82">
        <f t="shared" ca="1" si="150"/>
        <v>184880.63551194174</v>
      </c>
      <c r="X358" s="82">
        <f t="shared" ca="1" si="150"/>
        <v>118504.18241891819</v>
      </c>
      <c r="Y358" s="82">
        <f t="shared" ca="1" si="150"/>
        <v>119058.17509128069</v>
      </c>
      <c r="Z358" s="82">
        <f t="shared" ca="1" si="150"/>
        <v>136180.23592835286</v>
      </c>
      <c r="AA358" s="82">
        <f t="shared" ca="1" si="150"/>
        <v>119987.27634050189</v>
      </c>
      <c r="AB358" s="82">
        <f t="shared" ca="1" si="150"/>
        <v>78104.497585456047</v>
      </c>
      <c r="AC358" s="82">
        <f t="shared" ca="1" si="150"/>
        <v>77929.84895555659</v>
      </c>
      <c r="AD358" s="82">
        <f t="shared" ca="1" si="150"/>
        <v>77911.990773454119</v>
      </c>
      <c r="AE358" s="82">
        <f t="shared" ca="1" si="150"/>
        <v>77893.745471094182</v>
      </c>
      <c r="AF358" s="82">
        <f t="shared" ca="1" si="150"/>
        <v>77875.10463204782</v>
      </c>
      <c r="AG358" s="82">
        <f t="shared" ca="1" si="150"/>
        <v>76968.927558788331</v>
      </c>
      <c r="AH358" s="82">
        <f t="shared" ca="1" si="150"/>
        <v>77067.902013256098</v>
      </c>
      <c r="AI358" s="82">
        <f t="shared" ca="1" si="150"/>
        <v>77169.119292622054</v>
      </c>
      <c r="AJ358" s="82">
        <f t="shared" ca="1" si="150"/>
        <v>77272.630178439838</v>
      </c>
      <c r="AK358" s="82">
        <f t="shared" ca="1" si="150"/>
        <v>77378.486601207958</v>
      </c>
      <c r="AL358" s="82">
        <f t="shared" ca="1" si="150"/>
        <v>77486.741666348185</v>
      </c>
      <c r="AM358" s="82">
        <f t="shared" ca="1" si="150"/>
        <v>63149.024066370723</v>
      </c>
      <c r="AN358" s="82">
        <f t="shared" ca="1" si="150"/>
        <v>0</v>
      </c>
      <c r="AO358" s="82">
        <f t="shared" ca="1" si="150"/>
        <v>0</v>
      </c>
      <c r="AP358" s="82">
        <f t="shared" ca="1" si="150"/>
        <v>0</v>
      </c>
      <c r="AQ358" s="82">
        <f t="shared" ca="1" si="150"/>
        <v>0</v>
      </c>
      <c r="AR358" s="82">
        <f t="shared" ca="1" si="150"/>
        <v>0</v>
      </c>
      <c r="AT358" s="30">
        <f t="shared" ca="1" si="147"/>
        <v>5121396.6052248208</v>
      </c>
    </row>
    <row r="359" spans="1:46" outlineLevel="1" x14ac:dyDescent="0.2">
      <c r="A359" s="63" t="s">
        <v>269</v>
      </c>
      <c r="C359" s="12" t="str">
        <f>Параметры!$C$126</f>
        <v>тыс. руб.</v>
      </c>
      <c r="D359" s="40"/>
      <c r="E359" s="82">
        <f>0</f>
        <v>0</v>
      </c>
      <c r="F359" s="82">
        <f>0</f>
        <v>0</v>
      </c>
      <c r="G359" s="82">
        <f>0</f>
        <v>0</v>
      </c>
      <c r="H359" s="82">
        <f>0</f>
        <v>0</v>
      </c>
      <c r="I359" s="82">
        <f>0</f>
        <v>0</v>
      </c>
      <c r="J359" s="82">
        <f>0</f>
        <v>0</v>
      </c>
      <c r="K359" s="82">
        <f>0</f>
        <v>0</v>
      </c>
      <c r="L359" s="82">
        <f>0</f>
        <v>0</v>
      </c>
      <c r="M359" s="82">
        <f>0</f>
        <v>0</v>
      </c>
      <c r="N359" s="82">
        <f>0</f>
        <v>0</v>
      </c>
      <c r="O359" s="82">
        <f>0</f>
        <v>0</v>
      </c>
      <c r="P359" s="82">
        <f>0</f>
        <v>0</v>
      </c>
      <c r="Q359" s="82">
        <f>0</f>
        <v>0</v>
      </c>
      <c r="R359" s="82">
        <f>0</f>
        <v>0</v>
      </c>
      <c r="S359" s="82">
        <f>0</f>
        <v>0</v>
      </c>
      <c r="T359" s="82">
        <f>0</f>
        <v>0</v>
      </c>
      <c r="U359" s="82">
        <f>0</f>
        <v>0</v>
      </c>
      <c r="V359" s="82">
        <f>0</f>
        <v>0</v>
      </c>
      <c r="W359" s="82">
        <f>0</f>
        <v>0</v>
      </c>
      <c r="X359" s="82">
        <f>0</f>
        <v>0</v>
      </c>
      <c r="Y359" s="82">
        <f>0</f>
        <v>0</v>
      </c>
      <c r="Z359" s="82">
        <f>0</f>
        <v>0</v>
      </c>
      <c r="AA359" s="82">
        <f>0</f>
        <v>0</v>
      </c>
      <c r="AB359" s="82">
        <f>0</f>
        <v>0</v>
      </c>
      <c r="AC359" s="82">
        <f>0</f>
        <v>0</v>
      </c>
      <c r="AD359" s="82">
        <f>0</f>
        <v>0</v>
      </c>
      <c r="AE359" s="82">
        <f>0</f>
        <v>0</v>
      </c>
      <c r="AF359" s="82">
        <f>0</f>
        <v>0</v>
      </c>
      <c r="AG359" s="82">
        <f>0</f>
        <v>0</v>
      </c>
      <c r="AH359" s="82">
        <f>0</f>
        <v>0</v>
      </c>
      <c r="AI359" s="82">
        <f>0</f>
        <v>0</v>
      </c>
      <c r="AJ359" s="82">
        <f>0</f>
        <v>0</v>
      </c>
      <c r="AK359" s="82">
        <f>0</f>
        <v>0</v>
      </c>
      <c r="AL359" s="82">
        <f>0</f>
        <v>0</v>
      </c>
      <c r="AM359" s="82">
        <f>0</f>
        <v>0</v>
      </c>
      <c r="AN359" s="82">
        <f>0</f>
        <v>0</v>
      </c>
      <c r="AO359" s="82">
        <f>0</f>
        <v>0</v>
      </c>
      <c r="AP359" s="82">
        <f>0</f>
        <v>0</v>
      </c>
      <c r="AQ359" s="82">
        <f>0</f>
        <v>0</v>
      </c>
      <c r="AR359" s="82">
        <f>0</f>
        <v>0</v>
      </c>
      <c r="AT359" s="30">
        <f t="shared" si="147"/>
        <v>0</v>
      </c>
    </row>
    <row r="360" spans="1:46" x14ac:dyDescent="0.2">
      <c r="A360" s="44" t="s">
        <v>136</v>
      </c>
      <c r="B360" s="178">
        <f ca="1">AT360</f>
        <v>9586959.7377509568</v>
      </c>
      <c r="C360" s="12" t="str">
        <f>Параметры!$C$126</f>
        <v>тыс. руб.</v>
      </c>
      <c r="D360" s="40"/>
      <c r="E360" s="82">
        <f t="shared" ref="E360:AR360" ca="1" si="151">E353/E352</f>
        <v>22823.352499999994</v>
      </c>
      <c r="F360" s="82">
        <f t="shared" ca="1" si="151"/>
        <v>31319.989999999991</v>
      </c>
      <c r="G360" s="82">
        <f t="shared" ca="1" si="151"/>
        <v>66209.458529068259</v>
      </c>
      <c r="H360" s="82">
        <f t="shared" ca="1" si="151"/>
        <v>68062.49017456657</v>
      </c>
      <c r="I360" s="82">
        <f t="shared" ca="1" si="151"/>
        <v>75940.700021885481</v>
      </c>
      <c r="J360" s="82">
        <f t="shared" ca="1" si="151"/>
        <v>78233.417052374905</v>
      </c>
      <c r="K360" s="82">
        <f t="shared" ca="1" si="151"/>
        <v>81557.332852039079</v>
      </c>
      <c r="L360" s="82">
        <f t="shared" ca="1" si="151"/>
        <v>82424.288157788993</v>
      </c>
      <c r="M360" s="82">
        <f t="shared" ca="1" si="151"/>
        <v>98126.106690064451</v>
      </c>
      <c r="N360" s="82">
        <f t="shared" ca="1" si="151"/>
        <v>105947.72258367598</v>
      </c>
      <c r="O360" s="82">
        <f t="shared" ca="1" si="151"/>
        <v>117758.95531406933</v>
      </c>
      <c r="P360" s="82">
        <f t="shared" ca="1" si="151"/>
        <v>123095.64101870086</v>
      </c>
      <c r="Q360" s="82">
        <f t="shared" ca="1" si="151"/>
        <v>242237.09539807652</v>
      </c>
      <c r="R360" s="82">
        <f t="shared" ca="1" si="151"/>
        <v>252465.90561031966</v>
      </c>
      <c r="S360" s="82">
        <f t="shared" ca="1" si="151"/>
        <v>263580.91651821311</v>
      </c>
      <c r="T360" s="82">
        <f t="shared" ca="1" si="151"/>
        <v>266283.61489994469</v>
      </c>
      <c r="U360" s="82">
        <f t="shared" ca="1" si="151"/>
        <v>264114.09226561751</v>
      </c>
      <c r="V360" s="82">
        <f t="shared" ca="1" si="151"/>
        <v>266199.26623657538</v>
      </c>
      <c r="W360" s="82">
        <f t="shared" ca="1" si="151"/>
        <v>316887.09017581522</v>
      </c>
      <c r="X360" s="82">
        <f t="shared" ca="1" si="151"/>
        <v>264419.07743624644</v>
      </c>
      <c r="Y360" s="82">
        <f t="shared" ca="1" si="151"/>
        <v>261413.0889900967</v>
      </c>
      <c r="Z360" s="82">
        <f t="shared" ca="1" si="151"/>
        <v>269919.96788185515</v>
      </c>
      <c r="AA360" s="82">
        <f t="shared" ca="1" si="151"/>
        <v>255308.71410529895</v>
      </c>
      <c r="AB360" s="82">
        <f t="shared" ca="1" si="151"/>
        <v>224044.42739647286</v>
      </c>
      <c r="AC360" s="82">
        <f t="shared" ca="1" si="151"/>
        <v>221231.04619414834</v>
      </c>
      <c r="AD360" s="82">
        <f t="shared" ca="1" si="151"/>
        <v>213289.73590116671</v>
      </c>
      <c r="AE360" s="82">
        <f t="shared" ca="1" si="151"/>
        <v>206556.22281606132</v>
      </c>
      <c r="AF360" s="82">
        <f t="shared" ca="1" si="151"/>
        <v>203482.9476204493</v>
      </c>
      <c r="AG360" s="82">
        <f t="shared" ca="1" si="151"/>
        <v>199920.45189401257</v>
      </c>
      <c r="AH360" s="82">
        <f t="shared" ca="1" si="151"/>
        <v>181726.95616098028</v>
      </c>
      <c r="AI360" s="82">
        <f t="shared" ca="1" si="151"/>
        <v>179209.3219695329</v>
      </c>
      <c r="AJ360" s="82">
        <f t="shared" ca="1" si="151"/>
        <v>176724.034715038</v>
      </c>
      <c r="AK360" s="82">
        <f t="shared" ca="1" si="151"/>
        <v>441032.72618749447</v>
      </c>
      <c r="AL360" s="82">
        <f t="shared" ca="1" si="151"/>
        <v>145143.64865280341</v>
      </c>
      <c r="AM360" s="82">
        <f t="shared" ca="1" si="151"/>
        <v>156683.20766045057</v>
      </c>
      <c r="AN360" s="82">
        <f t="shared" ca="1" si="151"/>
        <v>121436.7569883207</v>
      </c>
      <c r="AO360" s="82">
        <f t="shared" ca="1" si="151"/>
        <v>3963463.2542725415</v>
      </c>
      <c r="AP360" s="82">
        <f t="shared" ca="1" si="151"/>
        <v>-1005082.7258134476</v>
      </c>
      <c r="AQ360" s="82">
        <f t="shared" ca="1" si="151"/>
        <v>42794.206696702437</v>
      </c>
      <c r="AR360" s="82">
        <f t="shared" ca="1" si="151"/>
        <v>40975.234025937061</v>
      </c>
      <c r="AT360" s="30">
        <f ca="1">SUM(E360:AS360)</f>
        <v>9586959.7377509568</v>
      </c>
    </row>
    <row r="361" spans="1:46" x14ac:dyDescent="0.2">
      <c r="A361" s="44" t="s">
        <v>137</v>
      </c>
      <c r="C361" s="12" t="str">
        <f>Параметры!$C$126</f>
        <v>тыс. руб.</v>
      </c>
      <c r="D361" s="40"/>
      <c r="E361" s="82">
        <f t="shared" ref="E361:AR361" ca="1" si="152">E360+IF(E$2&gt;1,D361)</f>
        <v>22823.352499999994</v>
      </c>
      <c r="F361" s="82">
        <f t="shared" ca="1" si="152"/>
        <v>54143.342499999984</v>
      </c>
      <c r="G361" s="82">
        <f t="shared" ca="1" si="152"/>
        <v>120352.80102906824</v>
      </c>
      <c r="H361" s="82">
        <f t="shared" ca="1" si="152"/>
        <v>188415.29120363481</v>
      </c>
      <c r="I361" s="82">
        <f t="shared" ca="1" si="152"/>
        <v>264355.99122552027</v>
      </c>
      <c r="J361" s="82">
        <f t="shared" ca="1" si="152"/>
        <v>342589.40827789519</v>
      </c>
      <c r="K361" s="82">
        <f t="shared" ca="1" si="152"/>
        <v>424146.74112993426</v>
      </c>
      <c r="L361" s="82">
        <f t="shared" ca="1" si="152"/>
        <v>506571.02928772324</v>
      </c>
      <c r="M361" s="82">
        <f t="shared" ca="1" si="152"/>
        <v>604697.13597778766</v>
      </c>
      <c r="N361" s="82">
        <f t="shared" ca="1" si="152"/>
        <v>710644.85856146365</v>
      </c>
      <c r="O361" s="82">
        <f t="shared" ca="1" si="152"/>
        <v>828403.81387553294</v>
      </c>
      <c r="P361" s="82">
        <f t="shared" ca="1" si="152"/>
        <v>951499.45489423384</v>
      </c>
      <c r="Q361" s="82">
        <f t="shared" ca="1" si="152"/>
        <v>1193736.5502923103</v>
      </c>
      <c r="R361" s="82">
        <f t="shared" ca="1" si="152"/>
        <v>1446202.45590263</v>
      </c>
      <c r="S361" s="82">
        <f t="shared" ca="1" si="152"/>
        <v>1709783.3724208432</v>
      </c>
      <c r="T361" s="82">
        <f t="shared" ca="1" si="152"/>
        <v>1976066.987320788</v>
      </c>
      <c r="U361" s="82">
        <f t="shared" ca="1" si="152"/>
        <v>2240181.0795864053</v>
      </c>
      <c r="V361" s="82">
        <f t="shared" ca="1" si="152"/>
        <v>2506380.3458229806</v>
      </c>
      <c r="W361" s="82">
        <f t="shared" ca="1" si="152"/>
        <v>2823267.435998796</v>
      </c>
      <c r="X361" s="82">
        <f t="shared" ca="1" si="152"/>
        <v>3087686.5134350425</v>
      </c>
      <c r="Y361" s="82">
        <f t="shared" ca="1" si="152"/>
        <v>3349099.6024251394</v>
      </c>
      <c r="Z361" s="82">
        <f t="shared" ca="1" si="152"/>
        <v>3619019.5703069945</v>
      </c>
      <c r="AA361" s="82">
        <f t="shared" ca="1" si="152"/>
        <v>3874328.2844122932</v>
      </c>
      <c r="AB361" s="82">
        <f t="shared" ca="1" si="152"/>
        <v>4098372.7118087662</v>
      </c>
      <c r="AC361" s="82">
        <f t="shared" ca="1" si="152"/>
        <v>4319603.7580029145</v>
      </c>
      <c r="AD361" s="82">
        <f t="shared" ca="1" si="152"/>
        <v>4532893.4939040812</v>
      </c>
      <c r="AE361" s="82">
        <f t="shared" ca="1" si="152"/>
        <v>4739449.7167201424</v>
      </c>
      <c r="AF361" s="82">
        <f t="shared" ca="1" si="152"/>
        <v>4942932.664340592</v>
      </c>
      <c r="AG361" s="82">
        <f t="shared" ca="1" si="152"/>
        <v>5142853.1162346043</v>
      </c>
      <c r="AH361" s="82">
        <f t="shared" ca="1" si="152"/>
        <v>5324580.0723955845</v>
      </c>
      <c r="AI361" s="82">
        <f t="shared" ca="1" si="152"/>
        <v>5503789.3943651179</v>
      </c>
      <c r="AJ361" s="82">
        <f t="shared" ca="1" si="152"/>
        <v>5680513.4290801557</v>
      </c>
      <c r="AK361" s="82">
        <f t="shared" ca="1" si="152"/>
        <v>6121546.1552676503</v>
      </c>
      <c r="AL361" s="82">
        <f t="shared" ca="1" si="152"/>
        <v>6266689.8039204534</v>
      </c>
      <c r="AM361" s="82">
        <f t="shared" ca="1" si="152"/>
        <v>6423373.011580904</v>
      </c>
      <c r="AN361" s="82">
        <f t="shared" ca="1" si="152"/>
        <v>6544809.7685692245</v>
      </c>
      <c r="AO361" s="82">
        <f t="shared" ca="1" si="152"/>
        <v>10508273.022841766</v>
      </c>
      <c r="AP361" s="82">
        <f t="shared" ca="1" si="152"/>
        <v>9503190.297028318</v>
      </c>
      <c r="AQ361" s="82">
        <f t="shared" ca="1" si="152"/>
        <v>9545984.5037250202</v>
      </c>
      <c r="AR361" s="82">
        <f t="shared" ca="1" si="152"/>
        <v>9586959.7377509568</v>
      </c>
      <c r="AT361" s="30"/>
    </row>
    <row r="362" spans="1:46" x14ac:dyDescent="0.2">
      <c r="A362" s="44"/>
      <c r="D362" s="40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</row>
    <row r="363" spans="1:46" x14ac:dyDescent="0.2">
      <c r="A363" s="52" t="s">
        <v>138</v>
      </c>
      <c r="B363" s="179">
        <f ca="1">AT360</f>
        <v>9586959.7377509568</v>
      </c>
      <c r="C363" s="12" t="str">
        <f>Параметры!$C$126</f>
        <v>тыс. руб.</v>
      </c>
      <c r="D363" s="40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</row>
    <row r="364" spans="1:46" x14ac:dyDescent="0.2">
      <c r="A364" s="44"/>
      <c r="D364" s="40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</row>
    <row r="365" spans="1:46" x14ac:dyDescent="0.2">
      <c r="A365" s="52" t="s">
        <v>139</v>
      </c>
      <c r="B365" s="177" t="str">
        <f ca="1">IFERROR(IF(POWER(1+IRR(E353:AS353,B350),360/Параметры!B$12)-1&gt;999%,"-",POWER(1+IRR(E353:AS353,B350),360/Параметры!B$12)-1),"-")</f>
        <v>-</v>
      </c>
      <c r="C365" s="12" t="s">
        <v>1</v>
      </c>
      <c r="D365" s="40"/>
      <c r="E365" s="104" t="s">
        <v>283</v>
      </c>
    </row>
    <row r="366" spans="1:46" x14ac:dyDescent="0.2">
      <c r="A366" s="49" t="s">
        <v>140</v>
      </c>
      <c r="B366" s="180">
        <f ca="1">IFERROR(POWER(1+MIRR(E353:AS353,B350,Параметры!B$249),360/Параметры!B$12)-1,"-")</f>
        <v>1.1191566239169752</v>
      </c>
      <c r="C366" s="12" t="s">
        <v>1</v>
      </c>
      <c r="D366" s="40"/>
    </row>
    <row r="367" spans="1:46" x14ac:dyDescent="0.2">
      <c r="A367" s="44"/>
      <c r="D367" s="40"/>
    </row>
    <row r="368" spans="1:46" collapsed="1" x14ac:dyDescent="0.2">
      <c r="A368" s="52" t="s">
        <v>418</v>
      </c>
      <c r="B368" s="181" t="str">
        <f ca="1">IF(B369&gt;0, AT370/12, "-")</f>
        <v>-</v>
      </c>
      <c r="C368" s="12" t="s">
        <v>2</v>
      </c>
      <c r="D368" s="40"/>
    </row>
    <row r="369" spans="1:46" outlineLevel="1" x14ac:dyDescent="0.2">
      <c r="A369" s="49" t="s">
        <v>199</v>
      </c>
      <c r="B369" s="182">
        <f ca="1">MAX(E369:AS369)</f>
        <v>0</v>
      </c>
      <c r="C369" s="12" t="s">
        <v>19</v>
      </c>
      <c r="D369" s="40"/>
      <c r="E369" s="183">
        <f t="shared" ref="E369:AR369" si="153">IF(E$2&gt;1,IF(AND(D361&lt;0,E361&gt;=0),E$2,0),0)</f>
        <v>0</v>
      </c>
      <c r="F369" s="183">
        <f t="shared" ca="1" si="153"/>
        <v>0</v>
      </c>
      <c r="G369" s="183">
        <f t="shared" ca="1" si="153"/>
        <v>0</v>
      </c>
      <c r="H369" s="183">
        <f t="shared" ca="1" si="153"/>
        <v>0</v>
      </c>
      <c r="I369" s="183">
        <f t="shared" ca="1" si="153"/>
        <v>0</v>
      </c>
      <c r="J369" s="183">
        <f t="shared" ca="1" si="153"/>
        <v>0</v>
      </c>
      <c r="K369" s="183">
        <f t="shared" ca="1" si="153"/>
        <v>0</v>
      </c>
      <c r="L369" s="183">
        <f t="shared" ca="1" si="153"/>
        <v>0</v>
      </c>
      <c r="M369" s="183">
        <f t="shared" ca="1" si="153"/>
        <v>0</v>
      </c>
      <c r="N369" s="183">
        <f t="shared" ca="1" si="153"/>
        <v>0</v>
      </c>
      <c r="O369" s="183">
        <f t="shared" ca="1" si="153"/>
        <v>0</v>
      </c>
      <c r="P369" s="183">
        <f t="shared" ca="1" si="153"/>
        <v>0</v>
      </c>
      <c r="Q369" s="183">
        <f t="shared" ca="1" si="153"/>
        <v>0</v>
      </c>
      <c r="R369" s="183">
        <f t="shared" ca="1" si="153"/>
        <v>0</v>
      </c>
      <c r="S369" s="183">
        <f t="shared" ca="1" si="153"/>
        <v>0</v>
      </c>
      <c r="T369" s="183">
        <f t="shared" ca="1" si="153"/>
        <v>0</v>
      </c>
      <c r="U369" s="183">
        <f t="shared" ca="1" si="153"/>
        <v>0</v>
      </c>
      <c r="V369" s="183">
        <f t="shared" ca="1" si="153"/>
        <v>0</v>
      </c>
      <c r="W369" s="183">
        <f t="shared" ca="1" si="153"/>
        <v>0</v>
      </c>
      <c r="X369" s="183">
        <f t="shared" ca="1" si="153"/>
        <v>0</v>
      </c>
      <c r="Y369" s="183">
        <f t="shared" ca="1" si="153"/>
        <v>0</v>
      </c>
      <c r="Z369" s="183">
        <f t="shared" ca="1" si="153"/>
        <v>0</v>
      </c>
      <c r="AA369" s="183">
        <f t="shared" ca="1" si="153"/>
        <v>0</v>
      </c>
      <c r="AB369" s="183">
        <f t="shared" ca="1" si="153"/>
        <v>0</v>
      </c>
      <c r="AC369" s="183">
        <f t="shared" ca="1" si="153"/>
        <v>0</v>
      </c>
      <c r="AD369" s="183">
        <f t="shared" ca="1" si="153"/>
        <v>0</v>
      </c>
      <c r="AE369" s="183">
        <f t="shared" ca="1" si="153"/>
        <v>0</v>
      </c>
      <c r="AF369" s="183">
        <f t="shared" ca="1" si="153"/>
        <v>0</v>
      </c>
      <c r="AG369" s="183">
        <f t="shared" ca="1" si="153"/>
        <v>0</v>
      </c>
      <c r="AH369" s="183">
        <f t="shared" ca="1" si="153"/>
        <v>0</v>
      </c>
      <c r="AI369" s="183">
        <f t="shared" ca="1" si="153"/>
        <v>0</v>
      </c>
      <c r="AJ369" s="183">
        <f t="shared" ca="1" si="153"/>
        <v>0</v>
      </c>
      <c r="AK369" s="183">
        <f t="shared" ca="1" si="153"/>
        <v>0</v>
      </c>
      <c r="AL369" s="183">
        <f t="shared" ca="1" si="153"/>
        <v>0</v>
      </c>
      <c r="AM369" s="183">
        <f t="shared" ca="1" si="153"/>
        <v>0</v>
      </c>
      <c r="AN369" s="183">
        <f t="shared" ca="1" si="153"/>
        <v>0</v>
      </c>
      <c r="AO369" s="183">
        <f t="shared" ca="1" si="153"/>
        <v>0</v>
      </c>
      <c r="AP369" s="183">
        <f t="shared" ca="1" si="153"/>
        <v>0</v>
      </c>
      <c r="AQ369" s="183">
        <f t="shared" ca="1" si="153"/>
        <v>0</v>
      </c>
      <c r="AR369" s="183">
        <f t="shared" ca="1" si="153"/>
        <v>0</v>
      </c>
    </row>
    <row r="370" spans="1:46" outlineLevel="1" x14ac:dyDescent="0.2">
      <c r="A370" s="70" t="s">
        <v>192</v>
      </c>
      <c r="B370" s="185">
        <f ca="1">AT370</f>
        <v>0</v>
      </c>
      <c r="C370" s="12" t="s">
        <v>17</v>
      </c>
      <c r="D370" s="40"/>
      <c r="E370" s="184">
        <f ca="1">IF(E$2&lt;$B369,Параметры!E$40,IF(E$2=$B369,-D361/(E361-D361)*Параметры!E$40,0))</f>
        <v>0</v>
      </c>
      <c r="F370" s="184">
        <f ca="1">IF(F$2&lt;$B369,Параметры!F$40,IF(F$2=$B369,-E361/(F361-E361)*Параметры!F$40,0))</f>
        <v>0</v>
      </c>
      <c r="G370" s="184">
        <f ca="1">IF(G$2&lt;$B369,Параметры!G$40,IF(G$2=$B369,-F361/(G361-F361)*Параметры!G$40,0))</f>
        <v>0</v>
      </c>
      <c r="H370" s="184">
        <f ca="1">IF(H$2&lt;$B369,Параметры!H$40,IF(H$2=$B369,-G361/(H361-G361)*Параметры!H$40,0))</f>
        <v>0</v>
      </c>
      <c r="I370" s="184">
        <f ca="1">IF(I$2&lt;$B369,Параметры!I$40,IF(I$2=$B369,-H361/(I361-H361)*Параметры!I$40,0))</f>
        <v>0</v>
      </c>
      <c r="J370" s="184">
        <f ca="1">IF(J$2&lt;$B369,Параметры!J$40,IF(J$2=$B369,-I361/(J361-I361)*Параметры!J$40,0))</f>
        <v>0</v>
      </c>
      <c r="K370" s="184">
        <f ca="1">IF(K$2&lt;$B369,Параметры!K$40,IF(K$2=$B369,-J361/(K361-J361)*Параметры!K$40,0))</f>
        <v>0</v>
      </c>
      <c r="L370" s="184">
        <f ca="1">IF(L$2&lt;$B369,Параметры!L$40,IF(L$2=$B369,-K361/(L361-K361)*Параметры!L$40,0))</f>
        <v>0</v>
      </c>
      <c r="M370" s="184">
        <f ca="1">IF(M$2&lt;$B369,Параметры!M$40,IF(M$2=$B369,-L361/(M361-L361)*Параметры!M$40,0))</f>
        <v>0</v>
      </c>
      <c r="N370" s="184">
        <f ca="1">IF(N$2&lt;$B369,Параметры!N$40,IF(N$2=$B369,-M361/(N361-M361)*Параметры!N$40,0))</f>
        <v>0</v>
      </c>
      <c r="O370" s="184">
        <f ca="1">IF(O$2&lt;$B369,Параметры!O$40,IF(O$2=$B369,-N361/(O361-N361)*Параметры!O$40,0))</f>
        <v>0</v>
      </c>
      <c r="P370" s="184">
        <f ca="1">IF(P$2&lt;$B369,Параметры!P$40,IF(P$2=$B369,-O361/(P361-O361)*Параметры!P$40,0))</f>
        <v>0</v>
      </c>
      <c r="Q370" s="184">
        <f ca="1">IF(Q$2&lt;$B369,Параметры!Q$40,IF(Q$2=$B369,-P361/(Q361-P361)*Параметры!Q$40,0))</f>
        <v>0</v>
      </c>
      <c r="R370" s="184">
        <f ca="1">IF(R$2&lt;$B369,Параметры!R$40,IF(R$2=$B369,-Q361/(R361-Q361)*Параметры!R$40,0))</f>
        <v>0</v>
      </c>
      <c r="S370" s="184">
        <f ca="1">IF(S$2&lt;$B369,Параметры!S$40,IF(S$2=$B369,-R361/(S361-R361)*Параметры!S$40,0))</f>
        <v>0</v>
      </c>
      <c r="T370" s="184">
        <f ca="1">IF(T$2&lt;$B369,Параметры!T$40,IF(T$2=$B369,-S361/(T361-S361)*Параметры!T$40,0))</f>
        <v>0</v>
      </c>
      <c r="U370" s="184">
        <f ca="1">IF(U$2&lt;$B369,Параметры!U$40,IF(U$2=$B369,-T361/(U361-T361)*Параметры!U$40,0))</f>
        <v>0</v>
      </c>
      <c r="V370" s="184">
        <f ca="1">IF(V$2&lt;$B369,Параметры!V$40,IF(V$2=$B369,-U361/(V361-U361)*Параметры!V$40,0))</f>
        <v>0</v>
      </c>
      <c r="W370" s="184">
        <f ca="1">IF(W$2&lt;$B369,Параметры!W$40,IF(W$2=$B369,-V361/(W361-V361)*Параметры!W$40,0))</f>
        <v>0</v>
      </c>
      <c r="X370" s="184">
        <f ca="1">IF(X$2&lt;$B369,Параметры!X$40,IF(X$2=$B369,-W361/(X361-W361)*Параметры!X$40,0))</f>
        <v>0</v>
      </c>
      <c r="Y370" s="184">
        <f ca="1">IF(Y$2&lt;$B369,Параметры!Y$40,IF(Y$2=$B369,-X361/(Y361-X361)*Параметры!Y$40,0))</f>
        <v>0</v>
      </c>
      <c r="Z370" s="184">
        <f ca="1">IF(Z$2&lt;$B369,Параметры!Z$40,IF(Z$2=$B369,-Y361/(Z361-Y361)*Параметры!Z$40,0))</f>
        <v>0</v>
      </c>
      <c r="AA370" s="184">
        <f ca="1">IF(AA$2&lt;$B369,Параметры!AA$40,IF(AA$2=$B369,-Z361/(AA361-Z361)*Параметры!AA$40,0))</f>
        <v>0</v>
      </c>
      <c r="AB370" s="184">
        <f ca="1">IF(AB$2&lt;$B369,Параметры!AB$40,IF(AB$2=$B369,-AA361/(AB361-AA361)*Параметры!AB$40,0))</f>
        <v>0</v>
      </c>
      <c r="AC370" s="184">
        <f ca="1">IF(AC$2&lt;$B369,Параметры!AC$40,IF(AC$2=$B369,-AB361/(AC361-AB361)*Параметры!AC$40,0))</f>
        <v>0</v>
      </c>
      <c r="AD370" s="184">
        <f ca="1">IF(AD$2&lt;$B369,Параметры!AD$40,IF(AD$2=$B369,-AC361/(AD361-AC361)*Параметры!AD$40,0))</f>
        <v>0</v>
      </c>
      <c r="AE370" s="184">
        <f ca="1">IF(AE$2&lt;$B369,Параметры!AE$40,IF(AE$2=$B369,-AD361/(AE361-AD361)*Параметры!AE$40,0))</f>
        <v>0</v>
      </c>
      <c r="AF370" s="184">
        <f ca="1">IF(AF$2&lt;$B369,Параметры!AF$40,IF(AF$2=$B369,-AE361/(AF361-AE361)*Параметры!AF$40,0))</f>
        <v>0</v>
      </c>
      <c r="AG370" s="184">
        <f ca="1">IF(AG$2&lt;$B369,Параметры!AG$40,IF(AG$2=$B369,-AF361/(AG361-AF361)*Параметры!AG$40,0))</f>
        <v>0</v>
      </c>
      <c r="AH370" s="184">
        <f ca="1">IF(AH$2&lt;$B369,Параметры!AH$40,IF(AH$2=$B369,-AG361/(AH361-AG361)*Параметры!AH$40,0))</f>
        <v>0</v>
      </c>
      <c r="AI370" s="184">
        <f ca="1">IF(AI$2&lt;$B369,Параметры!AI$40,IF(AI$2=$B369,-AH361/(AI361-AH361)*Параметры!AI$40,0))</f>
        <v>0</v>
      </c>
      <c r="AJ370" s="184">
        <f ca="1">IF(AJ$2&lt;$B369,Параметры!AJ$40,IF(AJ$2=$B369,-AI361/(AJ361-AI361)*Параметры!AJ$40,0))</f>
        <v>0</v>
      </c>
      <c r="AK370" s="184">
        <f ca="1">IF(AK$2&lt;$B369,Параметры!AK$40,IF(AK$2=$B369,-AJ361/(AK361-AJ361)*Параметры!AK$40,0))</f>
        <v>0</v>
      </c>
      <c r="AL370" s="184">
        <f ca="1">IF(AL$2&lt;$B369,Параметры!AL$40,IF(AL$2=$B369,-AK361/(AL361-AK361)*Параметры!AL$40,0))</f>
        <v>0</v>
      </c>
      <c r="AM370" s="184">
        <f ca="1">IF(AM$2&lt;$B369,Параметры!AM$40,IF(AM$2=$B369,-AL361/(AM361-AL361)*Параметры!AM$40,0))</f>
        <v>0</v>
      </c>
      <c r="AN370" s="184">
        <f ca="1">IF(AN$2&lt;$B369,Параметры!AN$40,IF(AN$2=$B369,-AM361/(AN361-AM361)*Параметры!AN$40,0))</f>
        <v>0</v>
      </c>
      <c r="AO370" s="184">
        <f ca="1">IF(AO$2&lt;$B369,Параметры!AO$40,IF(AO$2=$B369,-AN361/(AO361-AN361)*Параметры!AO$40,0))</f>
        <v>0</v>
      </c>
      <c r="AP370" s="184">
        <f ca="1">IF(AP$2&lt;$B369,Параметры!AP$40,IF(AP$2=$B369,-AO361/(AP361-AO361)*Параметры!AP$40,0))</f>
        <v>0</v>
      </c>
      <c r="AQ370" s="184">
        <f ca="1">IF(AQ$2&lt;$B369,Параметры!AQ$40,IF(AQ$2=$B369,-AP361/(AQ361-AP361)*Параметры!AQ$40,0))</f>
        <v>0</v>
      </c>
      <c r="AR370" s="184">
        <f ca="1">IF(AR$2&lt;$B369,Параметры!AR$40,IF(AR$2=$B369,-AQ361/(AR361-AQ361)*Параметры!AR$40,0))</f>
        <v>0</v>
      </c>
      <c r="AS370" s="184"/>
      <c r="AT370" s="186">
        <f ca="1">SUM(E370:AS370)</f>
        <v>0</v>
      </c>
    </row>
    <row r="371" spans="1:46" x14ac:dyDescent="0.2">
      <c r="A371" s="45"/>
      <c r="B371" s="170"/>
      <c r="C371" s="14"/>
      <c r="D371" s="47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</row>
    <row r="372" spans="1:46" x14ac:dyDescent="0.2">
      <c r="D372" s="40"/>
    </row>
    <row r="373" spans="1:46" x14ac:dyDescent="0.2">
      <c r="D373" s="40"/>
    </row>
  </sheetData>
  <sheetProtection selectLockedCells="1" selectUnlockedCells="1"/>
  <mergeCells count="1">
    <mergeCell ref="A1:C2"/>
  </mergeCells>
  <conditionalFormatting sqref="E117:I117">
    <cfRule type="expression" dxfId="446" priority="153">
      <formula>E$117&lt;&gt;0</formula>
    </cfRule>
  </conditionalFormatting>
  <conditionalFormatting sqref="J117">
    <cfRule type="expression" dxfId="445" priority="152">
      <formula>J$117&lt;&gt;0</formula>
    </cfRule>
  </conditionalFormatting>
  <conditionalFormatting sqref="K117">
    <cfRule type="expression" dxfId="444" priority="151">
      <formula>K$117&lt;&gt;0</formula>
    </cfRule>
  </conditionalFormatting>
  <conditionalFormatting sqref="L117">
    <cfRule type="expression" dxfId="443" priority="150">
      <formula>L$117&lt;&gt;0</formula>
    </cfRule>
  </conditionalFormatting>
  <conditionalFormatting sqref="M117">
    <cfRule type="expression" dxfId="442" priority="149">
      <formula>M$117&lt;&gt;0</formula>
    </cfRule>
  </conditionalFormatting>
  <conditionalFormatting sqref="N117">
    <cfRule type="expression" dxfId="441" priority="148">
      <formula>N$117&lt;&gt;0</formula>
    </cfRule>
  </conditionalFormatting>
  <conditionalFormatting sqref="O117">
    <cfRule type="expression" dxfId="440" priority="147">
      <formula>O$117&lt;&gt;0</formula>
    </cfRule>
  </conditionalFormatting>
  <conditionalFormatting sqref="P117">
    <cfRule type="expression" dxfId="439" priority="146">
      <formula>P$117&lt;&gt;0</formula>
    </cfRule>
  </conditionalFormatting>
  <conditionalFormatting sqref="Q117">
    <cfRule type="expression" dxfId="438" priority="145">
      <formula>Q$117&lt;&gt;0</formula>
    </cfRule>
  </conditionalFormatting>
  <conditionalFormatting sqref="R117">
    <cfRule type="expression" dxfId="437" priority="144">
      <formula>R$117&lt;&gt;0</formula>
    </cfRule>
  </conditionalFormatting>
  <conditionalFormatting sqref="S117">
    <cfRule type="expression" dxfId="436" priority="143">
      <formula>S$117&lt;&gt;0</formula>
    </cfRule>
  </conditionalFormatting>
  <conditionalFormatting sqref="T117">
    <cfRule type="expression" dxfId="435" priority="142">
      <formula>T$117&lt;&gt;0</formula>
    </cfRule>
  </conditionalFormatting>
  <conditionalFormatting sqref="U117">
    <cfRule type="expression" dxfId="434" priority="141">
      <formula>U$117&lt;&gt;0</formula>
    </cfRule>
  </conditionalFormatting>
  <conditionalFormatting sqref="V117">
    <cfRule type="expression" dxfId="433" priority="140">
      <formula>V$117&lt;&gt;0</formula>
    </cfRule>
  </conditionalFormatting>
  <conditionalFormatting sqref="W117">
    <cfRule type="expression" dxfId="432" priority="139">
      <formula>W$117&lt;&gt;0</formula>
    </cfRule>
  </conditionalFormatting>
  <conditionalFormatting sqref="X117">
    <cfRule type="expression" dxfId="431" priority="138">
      <formula>X$117&lt;&gt;0</formula>
    </cfRule>
  </conditionalFormatting>
  <conditionalFormatting sqref="Y117">
    <cfRule type="expression" dxfId="430" priority="137">
      <formula>Y$117&lt;&gt;0</formula>
    </cfRule>
  </conditionalFormatting>
  <conditionalFormatting sqref="Z117">
    <cfRule type="expression" dxfId="429" priority="136">
      <formula>Z$117&lt;&gt;0</formula>
    </cfRule>
  </conditionalFormatting>
  <conditionalFormatting sqref="AA117">
    <cfRule type="expression" dxfId="428" priority="135">
      <formula>AA$117&lt;&gt;0</formula>
    </cfRule>
  </conditionalFormatting>
  <conditionalFormatting sqref="AB117">
    <cfRule type="expression" dxfId="427" priority="134">
      <formula>AB$117&lt;&gt;0</formula>
    </cfRule>
  </conditionalFormatting>
  <conditionalFormatting sqref="E77:AB77">
    <cfRule type="cellIs" dxfId="426" priority="133" operator="lessThan">
      <formula>0</formula>
    </cfRule>
  </conditionalFormatting>
  <conditionalFormatting sqref="E27:AB27">
    <cfRule type="cellIs" dxfId="425" priority="132" operator="greaterThan">
      <formula>0</formula>
    </cfRule>
  </conditionalFormatting>
  <conditionalFormatting sqref="E11:AB13 E14:AR14">
    <cfRule type="cellIs" dxfId="424" priority="131" operator="greaterThan">
      <formula>0</formula>
    </cfRule>
  </conditionalFormatting>
  <conditionalFormatting sqref="E17:AB20">
    <cfRule type="cellIs" dxfId="423" priority="130" operator="greaterThan">
      <formula>0</formula>
    </cfRule>
  </conditionalFormatting>
  <conditionalFormatting sqref="E23:AB24">
    <cfRule type="cellIs" dxfId="422" priority="129" operator="greaterThan">
      <formula>0</formula>
    </cfRule>
  </conditionalFormatting>
  <conditionalFormatting sqref="E4:AB4 E43:AR43 E81:AR81 E119:AR119 E154:AR154 E267:AR267 E307:AR307 E348:AR348 E207:AR207">
    <cfRule type="expression" dxfId="421" priority="154">
      <formula>E$2&lt;=$D$1</formula>
    </cfRule>
  </conditionalFormatting>
  <conditionalFormatting sqref="AC117">
    <cfRule type="expression" dxfId="420" priority="111">
      <formula>AC$117&lt;&gt;0</formula>
    </cfRule>
  </conditionalFormatting>
  <conditionalFormatting sqref="AC77">
    <cfRule type="cellIs" dxfId="419" priority="110" operator="lessThan">
      <formula>0</formula>
    </cfRule>
  </conditionalFormatting>
  <conditionalFormatting sqref="AC27">
    <cfRule type="cellIs" dxfId="418" priority="109" operator="greaterThan">
      <formula>0</formula>
    </cfRule>
  </conditionalFormatting>
  <conditionalFormatting sqref="AC11:AC13">
    <cfRule type="cellIs" dxfId="417" priority="108" operator="greaterThan">
      <formula>0</formula>
    </cfRule>
  </conditionalFormatting>
  <conditionalFormatting sqref="AC17:AC20">
    <cfRule type="cellIs" dxfId="416" priority="107" operator="greaterThan">
      <formula>0</formula>
    </cfRule>
  </conditionalFormatting>
  <conditionalFormatting sqref="AC23:AC24">
    <cfRule type="cellIs" dxfId="415" priority="106" operator="greaterThan">
      <formula>0</formula>
    </cfRule>
  </conditionalFormatting>
  <conditionalFormatting sqref="AC4">
    <cfRule type="expression" dxfId="414" priority="112">
      <formula>AC$2&lt;=$D$1</formula>
    </cfRule>
  </conditionalFormatting>
  <conditionalFormatting sqref="AD117">
    <cfRule type="expression" dxfId="413" priority="104">
      <formula>AD$117&lt;&gt;0</formula>
    </cfRule>
  </conditionalFormatting>
  <conditionalFormatting sqref="AD77">
    <cfRule type="cellIs" dxfId="412" priority="103" operator="lessThan">
      <formula>0</formula>
    </cfRule>
  </conditionalFormatting>
  <conditionalFormatting sqref="AD27">
    <cfRule type="cellIs" dxfId="411" priority="102" operator="greaterThan">
      <formula>0</formula>
    </cfRule>
  </conditionalFormatting>
  <conditionalFormatting sqref="AD11:AD13">
    <cfRule type="cellIs" dxfId="410" priority="101" operator="greaterThan">
      <formula>0</formula>
    </cfRule>
  </conditionalFormatting>
  <conditionalFormatting sqref="AD17:AD20">
    <cfRule type="cellIs" dxfId="409" priority="100" operator="greaterThan">
      <formula>0</formula>
    </cfRule>
  </conditionalFormatting>
  <conditionalFormatting sqref="AD23:AD24">
    <cfRule type="cellIs" dxfId="408" priority="99" operator="greaterThan">
      <formula>0</formula>
    </cfRule>
  </conditionalFormatting>
  <conditionalFormatting sqref="AD4">
    <cfRule type="expression" dxfId="407" priority="105">
      <formula>AD$2&lt;=$D$1</formula>
    </cfRule>
  </conditionalFormatting>
  <conditionalFormatting sqref="AE117">
    <cfRule type="expression" dxfId="406" priority="97">
      <formula>AE$117&lt;&gt;0</formula>
    </cfRule>
  </conditionalFormatting>
  <conditionalFormatting sqref="AE77">
    <cfRule type="cellIs" dxfId="405" priority="96" operator="lessThan">
      <formula>0</formula>
    </cfRule>
  </conditionalFormatting>
  <conditionalFormatting sqref="AE27">
    <cfRule type="cellIs" dxfId="404" priority="95" operator="greaterThan">
      <formula>0</formula>
    </cfRule>
  </conditionalFormatting>
  <conditionalFormatting sqref="AE11:AE13">
    <cfRule type="cellIs" dxfId="403" priority="94" operator="greaterThan">
      <formula>0</formula>
    </cfRule>
  </conditionalFormatting>
  <conditionalFormatting sqref="AE17:AE20">
    <cfRule type="cellIs" dxfId="402" priority="93" operator="greaterThan">
      <formula>0</formula>
    </cfRule>
  </conditionalFormatting>
  <conditionalFormatting sqref="AE23:AE24">
    <cfRule type="cellIs" dxfId="401" priority="92" operator="greaterThan">
      <formula>0</formula>
    </cfRule>
  </conditionalFormatting>
  <conditionalFormatting sqref="AE4">
    <cfRule type="expression" dxfId="400" priority="98">
      <formula>AE$2&lt;=$D$1</formula>
    </cfRule>
  </conditionalFormatting>
  <conditionalFormatting sqref="AF117">
    <cfRule type="expression" dxfId="399" priority="90">
      <formula>AF$117&lt;&gt;0</formula>
    </cfRule>
  </conditionalFormatting>
  <conditionalFormatting sqref="AF77">
    <cfRule type="cellIs" dxfId="398" priority="89" operator="lessThan">
      <formula>0</formula>
    </cfRule>
  </conditionalFormatting>
  <conditionalFormatting sqref="AF27">
    <cfRule type="cellIs" dxfId="397" priority="88" operator="greaterThan">
      <formula>0</formula>
    </cfRule>
  </conditionalFormatting>
  <conditionalFormatting sqref="AF11:AF13">
    <cfRule type="cellIs" dxfId="396" priority="87" operator="greaterThan">
      <formula>0</formula>
    </cfRule>
  </conditionalFormatting>
  <conditionalFormatting sqref="AF17:AF20">
    <cfRule type="cellIs" dxfId="395" priority="86" operator="greaterThan">
      <formula>0</formula>
    </cfRule>
  </conditionalFormatting>
  <conditionalFormatting sqref="AF23:AF24">
    <cfRule type="cellIs" dxfId="394" priority="85" operator="greaterThan">
      <formula>0</formula>
    </cfRule>
  </conditionalFormatting>
  <conditionalFormatting sqref="AF4">
    <cfRule type="expression" dxfId="393" priority="91">
      <formula>AF$2&lt;=$D$1</formula>
    </cfRule>
  </conditionalFormatting>
  <conditionalFormatting sqref="AG117">
    <cfRule type="expression" dxfId="392" priority="83">
      <formula>AG$117&lt;&gt;0</formula>
    </cfRule>
  </conditionalFormatting>
  <conditionalFormatting sqref="AG77">
    <cfRule type="cellIs" dxfId="391" priority="82" operator="lessThan">
      <formula>0</formula>
    </cfRule>
  </conditionalFormatting>
  <conditionalFormatting sqref="AG27">
    <cfRule type="cellIs" dxfId="390" priority="81" operator="greaterThan">
      <formula>0</formula>
    </cfRule>
  </conditionalFormatting>
  <conditionalFormatting sqref="AG11:AG13">
    <cfRule type="cellIs" dxfId="389" priority="80" operator="greaterThan">
      <formula>0</formula>
    </cfRule>
  </conditionalFormatting>
  <conditionalFormatting sqref="AG17:AG20">
    <cfRule type="cellIs" dxfId="388" priority="79" operator="greaterThan">
      <formula>0</formula>
    </cfRule>
  </conditionalFormatting>
  <conditionalFormatting sqref="AG23:AG24">
    <cfRule type="cellIs" dxfId="387" priority="78" operator="greaterThan">
      <formula>0</formula>
    </cfRule>
  </conditionalFormatting>
  <conditionalFormatting sqref="AG4">
    <cfRule type="expression" dxfId="386" priority="84">
      <formula>AG$2&lt;=$D$1</formula>
    </cfRule>
  </conditionalFormatting>
  <conditionalFormatting sqref="AH117">
    <cfRule type="expression" dxfId="385" priority="76">
      <formula>AH$117&lt;&gt;0</formula>
    </cfRule>
  </conditionalFormatting>
  <conditionalFormatting sqref="AH77">
    <cfRule type="cellIs" dxfId="384" priority="75" operator="lessThan">
      <formula>0</formula>
    </cfRule>
  </conditionalFormatting>
  <conditionalFormatting sqref="AH27">
    <cfRule type="cellIs" dxfId="383" priority="74" operator="greaterThan">
      <formula>0</formula>
    </cfRule>
  </conditionalFormatting>
  <conditionalFormatting sqref="AH11:AH13">
    <cfRule type="cellIs" dxfId="382" priority="73" operator="greaterThan">
      <formula>0</formula>
    </cfRule>
  </conditionalFormatting>
  <conditionalFormatting sqref="AH17:AH20">
    <cfRule type="cellIs" dxfId="381" priority="72" operator="greaterThan">
      <formula>0</formula>
    </cfRule>
  </conditionalFormatting>
  <conditionalFormatting sqref="AH23:AH24">
    <cfRule type="cellIs" dxfId="380" priority="71" operator="greaterThan">
      <formula>0</formula>
    </cfRule>
  </conditionalFormatting>
  <conditionalFormatting sqref="AH4">
    <cfRule type="expression" dxfId="379" priority="77">
      <formula>AH$2&lt;=$D$1</formula>
    </cfRule>
  </conditionalFormatting>
  <conditionalFormatting sqref="AI117">
    <cfRule type="expression" dxfId="378" priority="69">
      <formula>AI$117&lt;&gt;0</formula>
    </cfRule>
  </conditionalFormatting>
  <conditionalFormatting sqref="AI77">
    <cfRule type="cellIs" dxfId="377" priority="68" operator="lessThan">
      <formula>0</formula>
    </cfRule>
  </conditionalFormatting>
  <conditionalFormatting sqref="AI27">
    <cfRule type="cellIs" dxfId="376" priority="67" operator="greaterThan">
      <formula>0</formula>
    </cfRule>
  </conditionalFormatting>
  <conditionalFormatting sqref="AI11:AI13">
    <cfRule type="cellIs" dxfId="375" priority="66" operator="greaterThan">
      <formula>0</formula>
    </cfRule>
  </conditionalFormatting>
  <conditionalFormatting sqref="AI17:AI20">
    <cfRule type="cellIs" dxfId="374" priority="65" operator="greaterThan">
      <formula>0</formula>
    </cfRule>
  </conditionalFormatting>
  <conditionalFormatting sqref="AI23:AI24">
    <cfRule type="cellIs" dxfId="373" priority="64" operator="greaterThan">
      <formula>0</formula>
    </cfRule>
  </conditionalFormatting>
  <conditionalFormatting sqref="AI4">
    <cfRule type="expression" dxfId="372" priority="70">
      <formula>AI$2&lt;=$D$1</formula>
    </cfRule>
  </conditionalFormatting>
  <conditionalFormatting sqref="AJ117">
    <cfRule type="expression" dxfId="371" priority="62">
      <formula>AJ$117&lt;&gt;0</formula>
    </cfRule>
  </conditionalFormatting>
  <conditionalFormatting sqref="AJ77">
    <cfRule type="cellIs" dxfId="370" priority="61" operator="lessThan">
      <formula>0</formula>
    </cfRule>
  </conditionalFormatting>
  <conditionalFormatting sqref="AJ27">
    <cfRule type="cellIs" dxfId="369" priority="60" operator="greaterThan">
      <formula>0</formula>
    </cfRule>
  </conditionalFormatting>
  <conditionalFormatting sqref="AJ11:AJ13">
    <cfRule type="cellIs" dxfId="368" priority="59" operator="greaterThan">
      <formula>0</formula>
    </cfRule>
  </conditionalFormatting>
  <conditionalFormatting sqref="AJ17:AJ20">
    <cfRule type="cellIs" dxfId="367" priority="58" operator="greaterThan">
      <formula>0</formula>
    </cfRule>
  </conditionalFormatting>
  <conditionalFormatting sqref="AJ23:AJ24">
    <cfRule type="cellIs" dxfId="366" priority="57" operator="greaterThan">
      <formula>0</formula>
    </cfRule>
  </conditionalFormatting>
  <conditionalFormatting sqref="AJ4">
    <cfRule type="expression" dxfId="365" priority="63">
      <formula>AJ$2&lt;=$D$1</formula>
    </cfRule>
  </conditionalFormatting>
  <conditionalFormatting sqref="AK117">
    <cfRule type="expression" dxfId="364" priority="55">
      <formula>AK$117&lt;&gt;0</formula>
    </cfRule>
  </conditionalFormatting>
  <conditionalFormatting sqref="AK77">
    <cfRule type="cellIs" dxfId="363" priority="54" operator="lessThan">
      <formula>0</formula>
    </cfRule>
  </conditionalFormatting>
  <conditionalFormatting sqref="AK27">
    <cfRule type="cellIs" dxfId="362" priority="53" operator="greaterThan">
      <formula>0</formula>
    </cfRule>
  </conditionalFormatting>
  <conditionalFormatting sqref="AK11:AK13">
    <cfRule type="cellIs" dxfId="361" priority="52" operator="greaterThan">
      <formula>0</formula>
    </cfRule>
  </conditionalFormatting>
  <conditionalFormatting sqref="AK17:AK20">
    <cfRule type="cellIs" dxfId="360" priority="51" operator="greaterThan">
      <formula>0</formula>
    </cfRule>
  </conditionalFormatting>
  <conditionalFormatting sqref="AK23:AK24">
    <cfRule type="cellIs" dxfId="359" priority="50" operator="greaterThan">
      <formula>0</formula>
    </cfRule>
  </conditionalFormatting>
  <conditionalFormatting sqref="AK4">
    <cfRule type="expression" dxfId="358" priority="56">
      <formula>AK$2&lt;=$D$1</formula>
    </cfRule>
  </conditionalFormatting>
  <conditionalFormatting sqref="AL117">
    <cfRule type="expression" dxfId="357" priority="48">
      <formula>AL$117&lt;&gt;0</formula>
    </cfRule>
  </conditionalFormatting>
  <conditionalFormatting sqref="AL77">
    <cfRule type="cellIs" dxfId="356" priority="47" operator="lessThan">
      <formula>0</formula>
    </cfRule>
  </conditionalFormatting>
  <conditionalFormatting sqref="AL27">
    <cfRule type="cellIs" dxfId="355" priority="46" operator="greaterThan">
      <formula>0</formula>
    </cfRule>
  </conditionalFormatting>
  <conditionalFormatting sqref="AL11:AL13">
    <cfRule type="cellIs" dxfId="354" priority="45" operator="greaterThan">
      <formula>0</formula>
    </cfRule>
  </conditionalFormatting>
  <conditionalFormatting sqref="AL17:AL20">
    <cfRule type="cellIs" dxfId="353" priority="44" operator="greaterThan">
      <formula>0</formula>
    </cfRule>
  </conditionalFormatting>
  <conditionalFormatting sqref="AL23:AL24">
    <cfRule type="cellIs" dxfId="352" priority="43" operator="greaterThan">
      <formula>0</formula>
    </cfRule>
  </conditionalFormatting>
  <conditionalFormatting sqref="AL4">
    <cfRule type="expression" dxfId="351" priority="49">
      <formula>AL$2&lt;=$D$1</formula>
    </cfRule>
  </conditionalFormatting>
  <conditionalFormatting sqref="AM117">
    <cfRule type="expression" dxfId="350" priority="41">
      <formula>AM$117&lt;&gt;0</formula>
    </cfRule>
  </conditionalFormatting>
  <conditionalFormatting sqref="AM77">
    <cfRule type="cellIs" dxfId="349" priority="40" operator="lessThan">
      <formula>0</formula>
    </cfRule>
  </conditionalFormatting>
  <conditionalFormatting sqref="AM27">
    <cfRule type="cellIs" dxfId="348" priority="39" operator="greaterThan">
      <formula>0</formula>
    </cfRule>
  </conditionalFormatting>
  <conditionalFormatting sqref="AM11:AM13">
    <cfRule type="cellIs" dxfId="347" priority="38" operator="greaterThan">
      <formula>0</formula>
    </cfRule>
  </conditionalFormatting>
  <conditionalFormatting sqref="AM17:AM20">
    <cfRule type="cellIs" dxfId="346" priority="37" operator="greaterThan">
      <formula>0</formula>
    </cfRule>
  </conditionalFormatting>
  <conditionalFormatting sqref="AM23:AM24">
    <cfRule type="cellIs" dxfId="345" priority="36" operator="greaterThan">
      <formula>0</formula>
    </cfRule>
  </conditionalFormatting>
  <conditionalFormatting sqref="AM4">
    <cfRule type="expression" dxfId="344" priority="42">
      <formula>AM$2&lt;=$D$1</formula>
    </cfRule>
  </conditionalFormatting>
  <conditionalFormatting sqref="AN117">
    <cfRule type="expression" dxfId="343" priority="34">
      <formula>AN$117&lt;&gt;0</formula>
    </cfRule>
  </conditionalFormatting>
  <conditionalFormatting sqref="AN77">
    <cfRule type="cellIs" dxfId="342" priority="33" operator="lessThan">
      <formula>0</formula>
    </cfRule>
  </conditionalFormatting>
  <conditionalFormatting sqref="AN27">
    <cfRule type="cellIs" dxfId="341" priority="32" operator="greaterThan">
      <formula>0</formula>
    </cfRule>
  </conditionalFormatting>
  <conditionalFormatting sqref="AN11:AN13">
    <cfRule type="cellIs" dxfId="340" priority="31" operator="greaterThan">
      <formula>0</formula>
    </cfRule>
  </conditionalFormatting>
  <conditionalFormatting sqref="AN17:AN20">
    <cfRule type="cellIs" dxfId="339" priority="30" operator="greaterThan">
      <formula>0</formula>
    </cfRule>
  </conditionalFormatting>
  <conditionalFormatting sqref="AN23:AN24">
    <cfRule type="cellIs" dxfId="338" priority="29" operator="greaterThan">
      <formula>0</formula>
    </cfRule>
  </conditionalFormatting>
  <conditionalFormatting sqref="AN4">
    <cfRule type="expression" dxfId="337" priority="35">
      <formula>AN$2&lt;=$D$1</formula>
    </cfRule>
  </conditionalFormatting>
  <conditionalFormatting sqref="AO117">
    <cfRule type="expression" dxfId="336" priority="27">
      <formula>AO$117&lt;&gt;0</formula>
    </cfRule>
  </conditionalFormatting>
  <conditionalFormatting sqref="AO77">
    <cfRule type="cellIs" dxfId="335" priority="26" operator="lessThan">
      <formula>0</formula>
    </cfRule>
  </conditionalFormatting>
  <conditionalFormatting sqref="AO27">
    <cfRule type="cellIs" dxfId="334" priority="25" operator="greaterThan">
      <formula>0</formula>
    </cfRule>
  </conditionalFormatting>
  <conditionalFormatting sqref="AO11:AO13">
    <cfRule type="cellIs" dxfId="333" priority="24" operator="greaterThan">
      <formula>0</formula>
    </cfRule>
  </conditionalFormatting>
  <conditionalFormatting sqref="AO17:AO20">
    <cfRule type="cellIs" dxfId="332" priority="23" operator="greaterThan">
      <formula>0</formula>
    </cfRule>
  </conditionalFormatting>
  <conditionalFormatting sqref="AO23:AO24">
    <cfRule type="cellIs" dxfId="331" priority="22" operator="greaterThan">
      <formula>0</formula>
    </cfRule>
  </conditionalFormatting>
  <conditionalFormatting sqref="AO4">
    <cfRule type="expression" dxfId="330" priority="28">
      <formula>AO$2&lt;=$D$1</formula>
    </cfRule>
  </conditionalFormatting>
  <conditionalFormatting sqref="AP117">
    <cfRule type="expression" dxfId="329" priority="20">
      <formula>AP$117&lt;&gt;0</formula>
    </cfRule>
  </conditionalFormatting>
  <conditionalFormatting sqref="AP77">
    <cfRule type="cellIs" dxfId="328" priority="19" operator="lessThan">
      <formula>0</formula>
    </cfRule>
  </conditionalFormatting>
  <conditionalFormatting sqref="AP27">
    <cfRule type="cellIs" dxfId="327" priority="18" operator="greaterThan">
      <formula>0</formula>
    </cfRule>
  </conditionalFormatting>
  <conditionalFormatting sqref="AP11:AP13">
    <cfRule type="cellIs" dxfId="326" priority="17" operator="greaterThan">
      <formula>0</formula>
    </cfRule>
  </conditionalFormatting>
  <conditionalFormatting sqref="AP17:AP20">
    <cfRule type="cellIs" dxfId="325" priority="16" operator="greaterThan">
      <formula>0</formula>
    </cfRule>
  </conditionalFormatting>
  <conditionalFormatting sqref="AP23:AP24">
    <cfRule type="cellIs" dxfId="324" priority="15" operator="greaterThan">
      <formula>0</formula>
    </cfRule>
  </conditionalFormatting>
  <conditionalFormatting sqref="AP4">
    <cfRule type="expression" dxfId="323" priority="21">
      <formula>AP$2&lt;=$D$1</formula>
    </cfRule>
  </conditionalFormatting>
  <conditionalFormatting sqref="AQ117">
    <cfRule type="expression" dxfId="322" priority="13">
      <formula>AQ$117&lt;&gt;0</formula>
    </cfRule>
  </conditionalFormatting>
  <conditionalFormatting sqref="AQ77">
    <cfRule type="cellIs" dxfId="321" priority="12" operator="lessThan">
      <formula>0</formula>
    </cfRule>
  </conditionalFormatting>
  <conditionalFormatting sqref="AQ27">
    <cfRule type="cellIs" dxfId="320" priority="11" operator="greaterThan">
      <formula>0</formula>
    </cfRule>
  </conditionalFormatting>
  <conditionalFormatting sqref="AQ11:AQ13">
    <cfRule type="cellIs" dxfId="319" priority="10" operator="greaterThan">
      <formula>0</formula>
    </cfRule>
  </conditionalFormatting>
  <conditionalFormatting sqref="AQ17:AQ20">
    <cfRule type="cellIs" dxfId="318" priority="9" operator="greaterThan">
      <formula>0</formula>
    </cfRule>
  </conditionalFormatting>
  <conditionalFormatting sqref="AQ23:AQ24">
    <cfRule type="cellIs" dxfId="317" priority="8" operator="greaterThan">
      <formula>0</formula>
    </cfRule>
  </conditionalFormatting>
  <conditionalFormatting sqref="AQ4">
    <cfRule type="expression" dxfId="316" priority="14">
      <formula>AQ$2&lt;=$D$1</formula>
    </cfRule>
  </conditionalFormatting>
  <conditionalFormatting sqref="AR117">
    <cfRule type="expression" dxfId="315" priority="6">
      <formula>AR$117&lt;&gt;0</formula>
    </cfRule>
  </conditionalFormatting>
  <conditionalFormatting sqref="AR77">
    <cfRule type="cellIs" dxfId="314" priority="5" operator="lessThan">
      <formula>0</formula>
    </cfRule>
  </conditionalFormatting>
  <conditionalFormatting sqref="AR27">
    <cfRule type="cellIs" dxfId="313" priority="4" operator="greaterThan">
      <formula>0</formula>
    </cfRule>
  </conditionalFormatting>
  <conditionalFormatting sqref="AR11:AR13">
    <cfRule type="cellIs" dxfId="312" priority="3" operator="greaterThan">
      <formula>0</formula>
    </cfRule>
  </conditionalFormatting>
  <conditionalFormatting sqref="AR17:AR20">
    <cfRule type="cellIs" dxfId="311" priority="2" operator="greaterThan">
      <formula>0</formula>
    </cfRule>
  </conditionalFormatting>
  <conditionalFormatting sqref="AR23:AR24">
    <cfRule type="cellIs" dxfId="310" priority="1" operator="greaterThan">
      <formula>0</formula>
    </cfRule>
  </conditionalFormatting>
  <conditionalFormatting sqref="AR4">
    <cfRule type="expression" dxfId="309" priority="7">
      <formula>AR$2&lt;=$D$1</formula>
    </cfRule>
  </conditionalFormatting>
  <conditionalFormatting sqref="B4">
    <cfRule type="cellIs" dxfId="308" priority="128" operator="equal">
      <formula>#REF!</formula>
    </cfRule>
  </conditionalFormatting>
  <conditionalFormatting sqref="B43">
    <cfRule type="cellIs" dxfId="307" priority="127" operator="equal">
      <formula>#REF!</formula>
    </cfRule>
  </conditionalFormatting>
  <conditionalFormatting sqref="B81">
    <cfRule type="cellIs" dxfId="306" priority="126" operator="equal">
      <formula>#REF!</formula>
    </cfRule>
  </conditionalFormatting>
  <conditionalFormatting sqref="B119">
    <cfRule type="cellIs" dxfId="305" priority="125" operator="equal">
      <formula>#REF!</formula>
    </cfRule>
  </conditionalFormatting>
  <conditionalFormatting sqref="B154">
    <cfRule type="cellIs" dxfId="304" priority="124" operator="equal">
      <formula>#REF!</formula>
    </cfRule>
  </conditionalFormatting>
  <conditionalFormatting sqref="B207">
    <cfRule type="cellIs" dxfId="303" priority="121" operator="equal">
      <formula>#REF!</formula>
    </cfRule>
  </conditionalFormatting>
  <conditionalFormatting sqref="B267">
    <cfRule type="cellIs" dxfId="302" priority="120" operator="equal">
      <formula>#REF!</formula>
    </cfRule>
  </conditionalFormatting>
  <conditionalFormatting sqref="B307">
    <cfRule type="cellIs" dxfId="301" priority="119" operator="equal">
      <formula>#REF!</formula>
    </cfRule>
  </conditionalFormatting>
  <conditionalFormatting sqref="B348">
    <cfRule type="cellIs" dxfId="300" priority="118" operator="equal">
      <formula>#REF!</formula>
    </cfRule>
  </conditionalFormatting>
  <dataValidations disablePrompts="1" count="1">
    <dataValidation type="list" showInputMessage="1" showErrorMessage="1" sqref="B4 B43 B81 B119 B154 B207 B267 B307 B348" xr:uid="{00000000-0002-0000-04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1">
    <outlinePr summaryBelow="0" summaryRight="0"/>
  </sheetPr>
  <dimension ref="A1:V504"/>
  <sheetViews>
    <sheetView workbookViewId="0"/>
  </sheetViews>
  <sheetFormatPr defaultRowHeight="11.25" x14ac:dyDescent="0.2"/>
  <cols>
    <col min="1" max="1" width="2.28515625" style="29" customWidth="1"/>
    <col min="2" max="2" width="10.7109375" style="29" customWidth="1"/>
    <col min="3" max="3" width="39.85546875" style="29" customWidth="1"/>
    <col min="4" max="4" width="14" style="29" customWidth="1"/>
    <col min="5" max="10" width="9.42578125" style="29" customWidth="1"/>
    <col min="11" max="16384" width="9.140625" style="29"/>
  </cols>
  <sheetData>
    <row r="1" spans="1:22" x14ac:dyDescent="0.2">
      <c r="A1" s="190"/>
      <c r="B1" s="40"/>
    </row>
    <row r="2" spans="1:22" ht="12" thickBot="1" x14ac:dyDescent="0.25">
      <c r="A2" s="190"/>
      <c r="B2" s="40" t="s">
        <v>30</v>
      </c>
    </row>
    <row r="3" spans="1:22" ht="25.5" customHeight="1" thickBot="1" x14ac:dyDescent="0.25">
      <c r="A3" s="493" t="s">
        <v>942</v>
      </c>
      <c r="B3" s="486"/>
      <c r="C3" s="492"/>
      <c r="D3" s="492"/>
      <c r="E3" s="492"/>
      <c r="F3" s="492"/>
      <c r="G3" s="492"/>
      <c r="H3" s="492"/>
      <c r="I3" s="492"/>
      <c r="J3" s="492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</row>
    <row r="4" spans="1:22" x14ac:dyDescent="0.2">
      <c r="B4" s="40"/>
    </row>
    <row r="5" spans="1:22" x14ac:dyDescent="0.2">
      <c r="B5" s="40"/>
    </row>
    <row r="6" spans="1:22" x14ac:dyDescent="0.2">
      <c r="B6" s="40"/>
    </row>
    <row r="7" spans="1:22" x14ac:dyDescent="0.2">
      <c r="B7" s="40"/>
    </row>
    <row r="8" spans="1:22" x14ac:dyDescent="0.2">
      <c r="B8" s="40"/>
    </row>
    <row r="9" spans="1:22" x14ac:dyDescent="0.2">
      <c r="B9" s="40"/>
    </row>
    <row r="10" spans="1:22" x14ac:dyDescent="0.2">
      <c r="B10" s="40"/>
    </row>
    <row r="11" spans="1:22" x14ac:dyDescent="0.2">
      <c r="B11" s="40"/>
    </row>
    <row r="12" spans="1:22" x14ac:dyDescent="0.2">
      <c r="B12" s="40"/>
    </row>
    <row r="13" spans="1:22" x14ac:dyDescent="0.2">
      <c r="B13" s="40"/>
    </row>
    <row r="14" spans="1:22" x14ac:dyDescent="0.2">
      <c r="B14" s="40"/>
    </row>
    <row r="15" spans="1:22" x14ac:dyDescent="0.2">
      <c r="B15" s="40"/>
    </row>
    <row r="16" spans="1:22" x14ac:dyDescent="0.2">
      <c r="B16" s="40"/>
    </row>
    <row r="17" spans="1:22" x14ac:dyDescent="0.2">
      <c r="B17" s="40"/>
    </row>
    <row r="18" spans="1:22" x14ac:dyDescent="0.2">
      <c r="B18" s="40"/>
    </row>
    <row r="19" spans="1:22" x14ac:dyDescent="0.2">
      <c r="B19" s="40"/>
    </row>
    <row r="20" spans="1:22" x14ac:dyDescent="0.2">
      <c r="B20" s="40"/>
    </row>
    <row r="21" spans="1:22" x14ac:dyDescent="0.2">
      <c r="B21" s="40"/>
    </row>
    <row r="22" spans="1:22" x14ac:dyDescent="0.2">
      <c r="B22" s="40"/>
    </row>
    <row r="23" spans="1:22" x14ac:dyDescent="0.2">
      <c r="B23" s="40"/>
    </row>
    <row r="24" spans="1:22" x14ac:dyDescent="0.2">
      <c r="B24" s="40"/>
    </row>
    <row r="25" spans="1:22" x14ac:dyDescent="0.2">
      <c r="B25" s="40"/>
    </row>
    <row r="26" spans="1:22" x14ac:dyDescent="0.2">
      <c r="B26" s="40"/>
    </row>
    <row r="27" spans="1:22" x14ac:dyDescent="0.2">
      <c r="B27" s="40"/>
    </row>
    <row r="28" spans="1:22" ht="12" thickBot="1" x14ac:dyDescent="0.25">
      <c r="B28" s="40"/>
    </row>
    <row r="29" spans="1:22" ht="25.5" customHeight="1" thickBot="1" x14ac:dyDescent="0.25">
      <c r="A29" s="493" t="s">
        <v>943</v>
      </c>
      <c r="B29" s="486"/>
      <c r="C29" s="492"/>
      <c r="D29" s="492"/>
      <c r="E29" s="492"/>
      <c r="F29" s="492"/>
      <c r="G29" s="492"/>
      <c r="H29" s="492"/>
      <c r="I29" s="492"/>
      <c r="J29" s="492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</row>
    <row r="30" spans="1:22" x14ac:dyDescent="0.2">
      <c r="B30" s="40"/>
    </row>
    <row r="31" spans="1:22" x14ac:dyDescent="0.2">
      <c r="B31" s="40"/>
    </row>
    <row r="32" spans="1:22" x14ac:dyDescent="0.2">
      <c r="B32" s="40"/>
    </row>
    <row r="33" spans="2:2" x14ac:dyDescent="0.2">
      <c r="B33" s="40"/>
    </row>
    <row r="34" spans="2:2" x14ac:dyDescent="0.2">
      <c r="B34" s="40"/>
    </row>
    <row r="35" spans="2:2" x14ac:dyDescent="0.2">
      <c r="B35" s="40"/>
    </row>
    <row r="36" spans="2:2" x14ac:dyDescent="0.2">
      <c r="B36" s="40"/>
    </row>
    <row r="37" spans="2:2" x14ac:dyDescent="0.2">
      <c r="B37" s="40"/>
    </row>
    <row r="38" spans="2:2" x14ac:dyDescent="0.2">
      <c r="B38" s="40"/>
    </row>
    <row r="39" spans="2:2" x14ac:dyDescent="0.2">
      <c r="B39" s="40"/>
    </row>
    <row r="40" spans="2:2" x14ac:dyDescent="0.2">
      <c r="B40" s="40"/>
    </row>
    <row r="41" spans="2:2" x14ac:dyDescent="0.2">
      <c r="B41" s="40"/>
    </row>
    <row r="42" spans="2:2" x14ac:dyDescent="0.2">
      <c r="B42" s="40"/>
    </row>
    <row r="43" spans="2:2" x14ac:dyDescent="0.2">
      <c r="B43" s="40"/>
    </row>
    <row r="44" spans="2:2" x14ac:dyDescent="0.2">
      <c r="B44" s="40"/>
    </row>
    <row r="45" spans="2:2" x14ac:dyDescent="0.2">
      <c r="B45" s="40"/>
    </row>
    <row r="46" spans="2:2" x14ac:dyDescent="0.2">
      <c r="B46" s="40"/>
    </row>
    <row r="47" spans="2:2" x14ac:dyDescent="0.2">
      <c r="B47" s="40"/>
    </row>
    <row r="48" spans="2:2" x14ac:dyDescent="0.2">
      <c r="B48" s="40"/>
    </row>
    <row r="49" spans="1:22" x14ac:dyDescent="0.2">
      <c r="B49" s="40"/>
    </row>
    <row r="50" spans="1:22" x14ac:dyDescent="0.2">
      <c r="B50" s="40"/>
    </row>
    <row r="51" spans="1:22" x14ac:dyDescent="0.2">
      <c r="B51" s="40"/>
    </row>
    <row r="52" spans="1:22" x14ac:dyDescent="0.2">
      <c r="B52" s="40"/>
    </row>
    <row r="53" spans="1:22" x14ac:dyDescent="0.2">
      <c r="B53" s="40"/>
    </row>
    <row r="54" spans="1:22" ht="12" thickBot="1" x14ac:dyDescent="0.25">
      <c r="B54" s="40"/>
    </row>
    <row r="55" spans="1:22" ht="25.5" customHeight="1" thickBot="1" x14ac:dyDescent="0.25">
      <c r="A55" s="493" t="s">
        <v>945</v>
      </c>
      <c r="B55" s="486"/>
      <c r="C55" s="492"/>
      <c r="D55" s="492"/>
      <c r="E55" s="492"/>
      <c r="F55" s="492"/>
      <c r="G55" s="492"/>
      <c r="H55" s="492"/>
      <c r="I55" s="492"/>
      <c r="J55" s="492"/>
      <c r="K55" s="494"/>
      <c r="L55" s="494"/>
      <c r="M55" s="494"/>
      <c r="N55" s="494"/>
      <c r="O55" s="494"/>
      <c r="P55" s="494"/>
      <c r="Q55" s="494"/>
      <c r="R55" s="494"/>
      <c r="S55" s="494"/>
      <c r="T55" s="494"/>
      <c r="U55" s="494"/>
      <c r="V55" s="494"/>
    </row>
    <row r="56" spans="1:22" x14ac:dyDescent="0.2">
      <c r="B56" s="40"/>
    </row>
    <row r="57" spans="1:22" x14ac:dyDescent="0.2">
      <c r="B57" s="40"/>
    </row>
    <row r="58" spans="1:22" x14ac:dyDescent="0.2">
      <c r="B58" s="40"/>
    </row>
    <row r="59" spans="1:22" x14ac:dyDescent="0.2">
      <c r="B59" s="40"/>
    </row>
    <row r="60" spans="1:22" x14ac:dyDescent="0.2">
      <c r="B60" s="40"/>
    </row>
    <row r="61" spans="1:22" x14ac:dyDescent="0.2">
      <c r="B61" s="40"/>
    </row>
    <row r="62" spans="1:22" x14ac:dyDescent="0.2">
      <c r="B62" s="40"/>
    </row>
    <row r="63" spans="1:22" x14ac:dyDescent="0.2">
      <c r="B63" s="40"/>
    </row>
    <row r="64" spans="1:22" x14ac:dyDescent="0.2">
      <c r="B64" s="40"/>
    </row>
    <row r="65" spans="2:2" x14ac:dyDescent="0.2">
      <c r="B65" s="40"/>
    </row>
    <row r="66" spans="2:2" x14ac:dyDescent="0.2">
      <c r="B66" s="40"/>
    </row>
    <row r="67" spans="2:2" x14ac:dyDescent="0.2">
      <c r="B67" s="40"/>
    </row>
    <row r="68" spans="2:2" x14ac:dyDescent="0.2">
      <c r="B68" s="40"/>
    </row>
    <row r="69" spans="2:2" x14ac:dyDescent="0.2">
      <c r="B69" s="40"/>
    </row>
    <row r="70" spans="2:2" x14ac:dyDescent="0.2">
      <c r="B70" s="40"/>
    </row>
    <row r="71" spans="2:2" x14ac:dyDescent="0.2">
      <c r="B71" s="40"/>
    </row>
    <row r="72" spans="2:2" x14ac:dyDescent="0.2">
      <c r="B72" s="40"/>
    </row>
    <row r="73" spans="2:2" x14ac:dyDescent="0.2">
      <c r="B73" s="40"/>
    </row>
    <row r="74" spans="2:2" x14ac:dyDescent="0.2">
      <c r="B74" s="40"/>
    </row>
    <row r="75" spans="2:2" x14ac:dyDescent="0.2">
      <c r="B75" s="40"/>
    </row>
    <row r="76" spans="2:2" x14ac:dyDescent="0.2">
      <c r="B76" s="40"/>
    </row>
    <row r="77" spans="2:2" x14ac:dyDescent="0.2">
      <c r="B77" s="40"/>
    </row>
    <row r="78" spans="2:2" x14ac:dyDescent="0.2">
      <c r="B78" s="40"/>
    </row>
    <row r="79" spans="2:2" x14ac:dyDescent="0.2">
      <c r="B79" s="40"/>
    </row>
    <row r="80" spans="2:2" ht="12" thickBot="1" x14ac:dyDescent="0.25">
      <c r="B80" s="40"/>
    </row>
    <row r="81" spans="1:22" ht="25.5" customHeight="1" thickBot="1" x14ac:dyDescent="0.25">
      <c r="A81" s="493" t="s">
        <v>944</v>
      </c>
      <c r="B81" s="486"/>
      <c r="C81" s="492"/>
      <c r="D81" s="492"/>
      <c r="E81" s="492"/>
      <c r="F81" s="492"/>
      <c r="G81" s="492"/>
      <c r="H81" s="492"/>
      <c r="I81" s="492"/>
      <c r="J81" s="492"/>
      <c r="K81" s="494"/>
      <c r="L81" s="494"/>
      <c r="M81" s="494"/>
      <c r="N81" s="494"/>
      <c r="O81" s="494"/>
      <c r="P81" s="494"/>
      <c r="Q81" s="494"/>
      <c r="R81" s="494"/>
      <c r="S81" s="494"/>
      <c r="T81" s="494"/>
      <c r="U81" s="494"/>
      <c r="V81" s="494"/>
    </row>
    <row r="82" spans="1:22" x14ac:dyDescent="0.2">
      <c r="B82" s="40"/>
    </row>
    <row r="83" spans="1:22" x14ac:dyDescent="0.2">
      <c r="B83" s="40"/>
    </row>
    <row r="84" spans="1:22" x14ac:dyDescent="0.2">
      <c r="B84" s="40"/>
    </row>
    <row r="85" spans="1:22" x14ac:dyDescent="0.2">
      <c r="B85" s="40"/>
    </row>
    <row r="86" spans="1:22" x14ac:dyDescent="0.2">
      <c r="B86" s="40"/>
    </row>
    <row r="87" spans="1:22" x14ac:dyDescent="0.2">
      <c r="B87" s="40"/>
    </row>
    <row r="88" spans="1:22" x14ac:dyDescent="0.2">
      <c r="B88" s="40"/>
    </row>
    <row r="89" spans="1:22" x14ac:dyDescent="0.2">
      <c r="B89" s="40"/>
    </row>
    <row r="90" spans="1:22" x14ac:dyDescent="0.2">
      <c r="B90" s="40"/>
    </row>
    <row r="91" spans="1:22" x14ac:dyDescent="0.2">
      <c r="B91" s="40"/>
    </row>
    <row r="92" spans="1:22" x14ac:dyDescent="0.2">
      <c r="B92" s="40"/>
    </row>
    <row r="93" spans="1:22" x14ac:dyDescent="0.2">
      <c r="B93" s="40"/>
    </row>
    <row r="94" spans="1:22" x14ac:dyDescent="0.2">
      <c r="B94" s="40"/>
    </row>
    <row r="95" spans="1:22" x14ac:dyDescent="0.2">
      <c r="B95" s="40"/>
    </row>
    <row r="96" spans="1:22" x14ac:dyDescent="0.2">
      <c r="B96" s="40"/>
    </row>
    <row r="97" spans="1:22" x14ac:dyDescent="0.2">
      <c r="B97" s="40"/>
    </row>
    <row r="98" spans="1:22" x14ac:dyDescent="0.2">
      <c r="B98" s="40"/>
    </row>
    <row r="99" spans="1:22" x14ac:dyDescent="0.2">
      <c r="B99" s="40"/>
    </row>
    <row r="100" spans="1:22" x14ac:dyDescent="0.2">
      <c r="B100" s="40"/>
    </row>
    <row r="101" spans="1:22" x14ac:dyDescent="0.2">
      <c r="B101" s="40"/>
    </row>
    <row r="102" spans="1:22" x14ac:dyDescent="0.2">
      <c r="B102" s="40"/>
    </row>
    <row r="103" spans="1:22" x14ac:dyDescent="0.2">
      <c r="B103" s="40"/>
    </row>
    <row r="104" spans="1:22" x14ac:dyDescent="0.2">
      <c r="B104" s="40"/>
    </row>
    <row r="105" spans="1:22" x14ac:dyDescent="0.2">
      <c r="B105" s="40"/>
    </row>
    <row r="106" spans="1:22" ht="12" thickBot="1" x14ac:dyDescent="0.25">
      <c r="B106" s="40"/>
    </row>
    <row r="107" spans="1:22" ht="25.5" customHeight="1" thickBot="1" x14ac:dyDescent="0.25">
      <c r="A107" s="493" t="s">
        <v>946</v>
      </c>
      <c r="B107" s="486"/>
      <c r="C107" s="492"/>
      <c r="D107" s="492"/>
      <c r="E107" s="492"/>
      <c r="F107" s="492"/>
      <c r="G107" s="492"/>
      <c r="H107" s="492"/>
      <c r="I107" s="492"/>
      <c r="J107" s="492"/>
      <c r="K107" s="494"/>
      <c r="L107" s="494"/>
      <c r="M107" s="494"/>
      <c r="N107" s="494"/>
      <c r="O107" s="494"/>
      <c r="P107" s="494"/>
      <c r="Q107" s="494"/>
      <c r="R107" s="494"/>
      <c r="S107" s="494"/>
      <c r="T107" s="494"/>
      <c r="U107" s="494"/>
      <c r="V107" s="494"/>
    </row>
    <row r="108" spans="1:22" x14ac:dyDescent="0.2">
      <c r="B108" s="40"/>
    </row>
    <row r="109" spans="1:22" x14ac:dyDescent="0.2">
      <c r="B109" s="40"/>
    </row>
    <row r="110" spans="1:22" x14ac:dyDescent="0.2">
      <c r="B110" s="40"/>
    </row>
    <row r="111" spans="1:22" x14ac:dyDescent="0.2">
      <c r="B111" s="40"/>
    </row>
    <row r="112" spans="1:22" x14ac:dyDescent="0.2">
      <c r="B112" s="40"/>
    </row>
    <row r="113" spans="2:2" x14ac:dyDescent="0.2">
      <c r="B113" s="40"/>
    </row>
    <row r="114" spans="2:2" x14ac:dyDescent="0.2">
      <c r="B114" s="40"/>
    </row>
    <row r="115" spans="2:2" x14ac:dyDescent="0.2">
      <c r="B115" s="40"/>
    </row>
    <row r="116" spans="2:2" x14ac:dyDescent="0.2">
      <c r="B116" s="40"/>
    </row>
    <row r="117" spans="2:2" x14ac:dyDescent="0.2">
      <c r="B117" s="40"/>
    </row>
    <row r="118" spans="2:2" x14ac:dyDescent="0.2">
      <c r="B118" s="40"/>
    </row>
    <row r="119" spans="2:2" x14ac:dyDescent="0.2">
      <c r="B119" s="40"/>
    </row>
    <row r="120" spans="2:2" x14ac:dyDescent="0.2">
      <c r="B120" s="40"/>
    </row>
    <row r="121" spans="2:2" x14ac:dyDescent="0.2">
      <c r="B121" s="40"/>
    </row>
    <row r="122" spans="2:2" x14ac:dyDescent="0.2">
      <c r="B122" s="40"/>
    </row>
    <row r="123" spans="2:2" x14ac:dyDescent="0.2">
      <c r="B123" s="40"/>
    </row>
    <row r="124" spans="2:2" x14ac:dyDescent="0.2">
      <c r="B124" s="40"/>
    </row>
    <row r="125" spans="2:2" x14ac:dyDescent="0.2">
      <c r="B125" s="40"/>
    </row>
    <row r="126" spans="2:2" x14ac:dyDescent="0.2">
      <c r="B126" s="40"/>
    </row>
    <row r="127" spans="2:2" x14ac:dyDescent="0.2">
      <c r="B127" s="40"/>
    </row>
    <row r="128" spans="2:2" x14ac:dyDescent="0.2">
      <c r="B128" s="40"/>
    </row>
    <row r="129" spans="1:22" x14ac:dyDescent="0.2">
      <c r="B129" s="40"/>
    </row>
    <row r="130" spans="1:22" x14ac:dyDescent="0.2">
      <c r="B130" s="40"/>
    </row>
    <row r="131" spans="1:22" x14ac:dyDescent="0.2">
      <c r="B131" s="40"/>
    </row>
    <row r="132" spans="1:22" ht="12" thickBot="1" x14ac:dyDescent="0.25">
      <c r="B132" s="40"/>
    </row>
    <row r="133" spans="1:22" ht="25.5" customHeight="1" thickBot="1" x14ac:dyDescent="0.25">
      <c r="A133" s="493" t="s">
        <v>947</v>
      </c>
      <c r="B133" s="486"/>
      <c r="C133" s="492"/>
      <c r="D133" s="492"/>
      <c r="E133" s="492"/>
      <c r="F133" s="492"/>
      <c r="G133" s="492"/>
      <c r="H133" s="492"/>
      <c r="I133" s="492"/>
      <c r="J133" s="492"/>
      <c r="K133" s="494"/>
      <c r="L133" s="494"/>
      <c r="M133" s="494"/>
      <c r="N133" s="494"/>
      <c r="O133" s="494"/>
      <c r="P133" s="494"/>
      <c r="Q133" s="494"/>
      <c r="R133" s="494"/>
      <c r="S133" s="494"/>
      <c r="T133" s="494"/>
      <c r="U133" s="494"/>
      <c r="V133" s="494"/>
    </row>
    <row r="134" spans="1:22" x14ac:dyDescent="0.2">
      <c r="B134" s="40"/>
    </row>
    <row r="135" spans="1:22" x14ac:dyDescent="0.2">
      <c r="B135" s="40"/>
    </row>
    <row r="136" spans="1:22" x14ac:dyDescent="0.2">
      <c r="B136" s="40"/>
    </row>
    <row r="137" spans="1:22" x14ac:dyDescent="0.2">
      <c r="B137" s="40"/>
    </row>
    <row r="138" spans="1:22" x14ac:dyDescent="0.2">
      <c r="B138" s="40"/>
    </row>
    <row r="139" spans="1:22" x14ac:dyDescent="0.2">
      <c r="B139" s="40"/>
    </row>
    <row r="140" spans="1:22" x14ac:dyDescent="0.2">
      <c r="B140" s="40"/>
    </row>
    <row r="141" spans="1:22" x14ac:dyDescent="0.2">
      <c r="B141" s="40"/>
    </row>
    <row r="142" spans="1:22" x14ac:dyDescent="0.2">
      <c r="B142" s="40"/>
    </row>
    <row r="143" spans="1:22" x14ac:dyDescent="0.2">
      <c r="B143" s="40"/>
    </row>
    <row r="144" spans="1:22" x14ac:dyDescent="0.2">
      <c r="B144" s="40"/>
    </row>
    <row r="145" spans="1:22" x14ac:dyDescent="0.2">
      <c r="B145" s="40"/>
    </row>
    <row r="146" spans="1:22" x14ac:dyDescent="0.2">
      <c r="B146" s="40"/>
    </row>
    <row r="147" spans="1:22" x14ac:dyDescent="0.2">
      <c r="B147" s="40"/>
    </row>
    <row r="148" spans="1:22" x14ac:dyDescent="0.2">
      <c r="B148" s="40"/>
    </row>
    <row r="149" spans="1:22" x14ac:dyDescent="0.2">
      <c r="B149" s="40"/>
    </row>
    <row r="150" spans="1:22" x14ac:dyDescent="0.2">
      <c r="B150" s="40"/>
    </row>
    <row r="151" spans="1:22" x14ac:dyDescent="0.2">
      <c r="B151" s="40"/>
    </row>
    <row r="152" spans="1:22" x14ac:dyDescent="0.2">
      <c r="B152" s="40"/>
    </row>
    <row r="153" spans="1:22" x14ac:dyDescent="0.2">
      <c r="B153" s="40"/>
    </row>
    <row r="154" spans="1:22" x14ac:dyDescent="0.2">
      <c r="B154" s="40"/>
    </row>
    <row r="155" spans="1:22" x14ac:dyDescent="0.2">
      <c r="B155" s="40"/>
    </row>
    <row r="156" spans="1:22" x14ac:dyDescent="0.2">
      <c r="B156" s="40"/>
    </row>
    <row r="157" spans="1:22" x14ac:dyDescent="0.2">
      <c r="B157" s="40"/>
    </row>
    <row r="158" spans="1:22" ht="12" thickBot="1" x14ac:dyDescent="0.25">
      <c r="B158" s="40"/>
    </row>
    <row r="159" spans="1:22" ht="25.5" customHeight="1" thickBot="1" x14ac:dyDescent="0.25">
      <c r="A159" s="493" t="s">
        <v>948</v>
      </c>
      <c r="B159" s="486"/>
      <c r="C159" s="492"/>
      <c r="D159" s="492"/>
      <c r="E159" s="492"/>
      <c r="F159" s="492"/>
      <c r="G159" s="492"/>
      <c r="H159" s="492"/>
      <c r="I159" s="492"/>
      <c r="J159" s="492"/>
      <c r="K159" s="494"/>
      <c r="L159" s="494"/>
      <c r="M159" s="494"/>
      <c r="N159" s="494"/>
      <c r="O159" s="494"/>
      <c r="P159" s="494"/>
      <c r="Q159" s="494"/>
      <c r="R159" s="494"/>
      <c r="S159" s="494"/>
      <c r="T159" s="494"/>
      <c r="U159" s="494"/>
      <c r="V159" s="494"/>
    </row>
    <row r="160" spans="1:22" x14ac:dyDescent="0.2">
      <c r="B160" s="40"/>
    </row>
    <row r="161" spans="2:2" x14ac:dyDescent="0.2">
      <c r="B161" s="40"/>
    </row>
    <row r="162" spans="2:2" x14ac:dyDescent="0.2">
      <c r="B162" s="40"/>
    </row>
    <row r="163" spans="2:2" x14ac:dyDescent="0.2">
      <c r="B163" s="40"/>
    </row>
    <row r="164" spans="2:2" x14ac:dyDescent="0.2">
      <c r="B164" s="40"/>
    </row>
    <row r="165" spans="2:2" x14ac:dyDescent="0.2">
      <c r="B165" s="40"/>
    </row>
    <row r="166" spans="2:2" x14ac:dyDescent="0.2">
      <c r="B166" s="40"/>
    </row>
    <row r="167" spans="2:2" x14ac:dyDescent="0.2">
      <c r="B167" s="40"/>
    </row>
    <row r="168" spans="2:2" x14ac:dyDescent="0.2">
      <c r="B168" s="40"/>
    </row>
    <row r="169" spans="2:2" x14ac:dyDescent="0.2">
      <c r="B169" s="40"/>
    </row>
    <row r="170" spans="2:2" x14ac:dyDescent="0.2">
      <c r="B170" s="40"/>
    </row>
    <row r="171" spans="2:2" x14ac:dyDescent="0.2">
      <c r="B171" s="40"/>
    </row>
    <row r="172" spans="2:2" x14ac:dyDescent="0.2">
      <c r="B172" s="40"/>
    </row>
    <row r="173" spans="2:2" x14ac:dyDescent="0.2">
      <c r="B173" s="40"/>
    </row>
    <row r="174" spans="2:2" x14ac:dyDescent="0.2">
      <c r="B174" s="40"/>
    </row>
    <row r="175" spans="2:2" x14ac:dyDescent="0.2">
      <c r="B175" s="40"/>
    </row>
    <row r="176" spans="2:2" x14ac:dyDescent="0.2">
      <c r="B176" s="40"/>
    </row>
    <row r="177" spans="1:22" x14ac:dyDescent="0.2">
      <c r="B177" s="40"/>
    </row>
    <row r="178" spans="1:22" x14ac:dyDescent="0.2">
      <c r="B178" s="40"/>
    </row>
    <row r="179" spans="1:22" x14ac:dyDescent="0.2">
      <c r="B179" s="40"/>
    </row>
    <row r="180" spans="1:22" x14ac:dyDescent="0.2">
      <c r="B180" s="40"/>
    </row>
    <row r="181" spans="1:22" x14ac:dyDescent="0.2">
      <c r="B181" s="40"/>
    </row>
    <row r="182" spans="1:22" x14ac:dyDescent="0.2">
      <c r="B182" s="40"/>
    </row>
    <row r="183" spans="1:22" x14ac:dyDescent="0.2">
      <c r="B183" s="40"/>
    </row>
    <row r="184" spans="1:22" ht="12" thickBot="1" x14ac:dyDescent="0.25">
      <c r="B184" s="40"/>
    </row>
    <row r="185" spans="1:22" ht="25.5" customHeight="1" thickBot="1" x14ac:dyDescent="0.25">
      <c r="A185" s="493" t="s">
        <v>949</v>
      </c>
      <c r="B185" s="486"/>
      <c r="C185" s="492"/>
      <c r="D185" s="492"/>
      <c r="E185" s="492"/>
      <c r="F185" s="492"/>
      <c r="G185" s="492"/>
      <c r="H185" s="492"/>
      <c r="I185" s="492"/>
      <c r="J185" s="492"/>
      <c r="K185" s="494"/>
      <c r="L185" s="494"/>
      <c r="M185" s="494"/>
      <c r="N185" s="494"/>
      <c r="O185" s="494"/>
      <c r="P185" s="494"/>
      <c r="Q185" s="494"/>
      <c r="R185" s="494"/>
      <c r="S185" s="494"/>
      <c r="T185" s="494"/>
      <c r="U185" s="494"/>
      <c r="V185" s="494"/>
    </row>
    <row r="186" spans="1:22" x14ac:dyDescent="0.2">
      <c r="B186" s="40"/>
    </row>
    <row r="187" spans="1:22" x14ac:dyDescent="0.2">
      <c r="B187" s="40"/>
    </row>
    <row r="188" spans="1:22" x14ac:dyDescent="0.2">
      <c r="B188" s="40"/>
    </row>
    <row r="189" spans="1:22" x14ac:dyDescent="0.2">
      <c r="B189" s="40"/>
    </row>
    <row r="190" spans="1:22" x14ac:dyDescent="0.2">
      <c r="B190" s="40"/>
    </row>
    <row r="191" spans="1:22" x14ac:dyDescent="0.2">
      <c r="B191" s="40"/>
    </row>
    <row r="192" spans="1:22" x14ac:dyDescent="0.2">
      <c r="B192" s="40"/>
    </row>
    <row r="193" spans="2:2" x14ac:dyDescent="0.2">
      <c r="B193" s="40"/>
    </row>
    <row r="194" spans="2:2" x14ac:dyDescent="0.2">
      <c r="B194" s="40"/>
    </row>
    <row r="195" spans="2:2" x14ac:dyDescent="0.2">
      <c r="B195" s="40"/>
    </row>
    <row r="196" spans="2:2" x14ac:dyDescent="0.2">
      <c r="B196" s="40"/>
    </row>
    <row r="197" spans="2:2" x14ac:dyDescent="0.2">
      <c r="B197" s="40"/>
    </row>
    <row r="198" spans="2:2" x14ac:dyDescent="0.2">
      <c r="B198" s="40"/>
    </row>
    <row r="199" spans="2:2" x14ac:dyDescent="0.2">
      <c r="B199" s="40"/>
    </row>
    <row r="200" spans="2:2" x14ac:dyDescent="0.2">
      <c r="B200" s="40"/>
    </row>
    <row r="201" spans="2:2" x14ac:dyDescent="0.2">
      <c r="B201" s="40"/>
    </row>
    <row r="202" spans="2:2" x14ac:dyDescent="0.2">
      <c r="B202" s="40"/>
    </row>
    <row r="203" spans="2:2" x14ac:dyDescent="0.2">
      <c r="B203" s="40"/>
    </row>
    <row r="204" spans="2:2" x14ac:dyDescent="0.2">
      <c r="B204" s="40"/>
    </row>
    <row r="205" spans="2:2" x14ac:dyDescent="0.2">
      <c r="B205" s="40"/>
    </row>
    <row r="206" spans="2:2" x14ac:dyDescent="0.2">
      <c r="B206" s="40"/>
    </row>
    <row r="207" spans="2:2" x14ac:dyDescent="0.2">
      <c r="B207" s="40"/>
    </row>
    <row r="208" spans="2:2" x14ac:dyDescent="0.2">
      <c r="B208" s="40"/>
    </row>
    <row r="209" spans="1:22" x14ac:dyDescent="0.2">
      <c r="B209" s="40"/>
    </row>
    <row r="210" spans="1:22" ht="12" thickBot="1" x14ac:dyDescent="0.25">
      <c r="B210" s="40"/>
    </row>
    <row r="211" spans="1:22" ht="25.5" customHeight="1" thickBot="1" x14ac:dyDescent="0.25">
      <c r="A211" s="493" t="s">
        <v>381</v>
      </c>
      <c r="B211" s="486"/>
      <c r="C211" s="492"/>
      <c r="D211" s="492"/>
      <c r="E211" s="492"/>
      <c r="F211" s="492"/>
      <c r="G211" s="492"/>
      <c r="H211" s="492"/>
      <c r="I211" s="492"/>
      <c r="J211" s="495" t="str">
        <f>"NPV, " &amp;Параметры!$C$126</f>
        <v>NPV, тыс. руб.</v>
      </c>
      <c r="K211" s="494"/>
      <c r="L211" s="494"/>
      <c r="M211" s="494"/>
      <c r="N211" s="494"/>
      <c r="O211" s="494"/>
      <c r="P211" s="494"/>
      <c r="Q211" s="494"/>
      <c r="R211" s="494"/>
      <c r="S211" s="494"/>
      <c r="T211" s="494"/>
      <c r="U211" s="494"/>
      <c r="V211" s="494"/>
    </row>
    <row r="212" spans="1:22" x14ac:dyDescent="0.2">
      <c r="B212" s="40"/>
    </row>
    <row r="213" spans="1:22" x14ac:dyDescent="0.2">
      <c r="B213" s="40"/>
    </row>
    <row r="214" spans="1:22" x14ac:dyDescent="0.2">
      <c r="B214" s="40"/>
      <c r="C214" s="29" t="str">
        <f>Графики_УК!$C$397</f>
        <v>Анализ чувствительности</v>
      </c>
      <c r="D214" s="12">
        <v>0</v>
      </c>
      <c r="E214" s="12">
        <v>1</v>
      </c>
      <c r="F214" s="12">
        <v>2</v>
      </c>
      <c r="G214" s="12">
        <v>3</v>
      </c>
      <c r="H214" s="12">
        <v>4</v>
      </c>
      <c r="I214" s="12">
        <v>5</v>
      </c>
      <c r="J214" s="12">
        <v>6</v>
      </c>
    </row>
    <row r="215" spans="1:22" x14ac:dyDescent="0.2">
      <c r="B215" s="40"/>
      <c r="D215" s="266"/>
      <c r="E215" s="266"/>
      <c r="F215" s="266"/>
      <c r="G215" s="266"/>
      <c r="H215" s="266"/>
      <c r="I215" s="266"/>
      <c r="J215" s="266"/>
    </row>
    <row r="216" spans="1:22" x14ac:dyDescent="0.2">
      <c r="B216" s="40"/>
      <c r="C216" s="29" t="str">
        <f>Графики_УК!$C$418</f>
        <v>К ставкам аренды и тарифам УК для резидентов</v>
      </c>
      <c r="D216" s="26">
        <f ca="1">OFFSET(Графики_УК!$D$418,D$214,0)</f>
        <v>0.7</v>
      </c>
      <c r="E216" s="26">
        <f ca="1">OFFSET(Графики_УК!$D$418,E$214,0)</f>
        <v>0.79999999999999993</v>
      </c>
      <c r="F216" s="26">
        <f ca="1">OFFSET(Графики_УК!$D$418,F$214,0)</f>
        <v>0.89999999999999991</v>
      </c>
      <c r="G216" s="26">
        <f ca="1">OFFSET(Графики_УК!$D$418,G$214,0)</f>
        <v>0.99999999999999989</v>
      </c>
      <c r="H216" s="26">
        <f ca="1">OFFSET(Графики_УК!$D$418,H$214,0)</f>
        <v>1.0999999999999999</v>
      </c>
      <c r="I216" s="26">
        <f ca="1">OFFSET(Графики_УК!$D$418,I$214,0)</f>
        <v>1.2</v>
      </c>
      <c r="J216" s="26">
        <f ca="1">OFFSET(Графики_УК!$D$418,J$214,0)</f>
        <v>1.3</v>
      </c>
    </row>
    <row r="217" spans="1:22" x14ac:dyDescent="0.2">
      <c r="B217" s="40"/>
      <c r="D217" s="243">
        <f ca="1">OFFSET(Графики_УК!$E$418,D$214,0)</f>
        <v>-663662.18705169449</v>
      </c>
      <c r="E217" s="243">
        <f ca="1">OFFSET(Графики_УК!$E$418,E$214,0)</f>
        <v>-302190.57337789761</v>
      </c>
      <c r="F217" s="243">
        <f ca="1">OFFSET(Графики_УК!$E$418,F$214,0)</f>
        <v>58603.17688132538</v>
      </c>
      <c r="G217" s="243">
        <f ca="1">OFFSET(Графики_УК!$E$418,G$214,0)</f>
        <v>420654.86896252842</v>
      </c>
      <c r="H217" s="243">
        <f ca="1">OFFSET(Графики_УК!$E$418,H$214,0)</f>
        <v>755085.96984699473</v>
      </c>
      <c r="I217" s="243">
        <f ca="1">OFFSET(Графики_УК!$E$418,I$214,0)</f>
        <v>1087150.7902176206</v>
      </c>
      <c r="J217" s="243">
        <f ca="1">OFFSET(Графики_УК!$E$418,J$214,0)</f>
        <v>1417454.6614228268</v>
      </c>
    </row>
    <row r="218" spans="1:22" x14ac:dyDescent="0.2">
      <c r="B218" s="40"/>
      <c r="D218" s="266"/>
      <c r="E218" s="266"/>
      <c r="F218" s="266"/>
      <c r="G218" s="266"/>
      <c r="H218" s="266"/>
      <c r="I218" s="266"/>
      <c r="J218" s="266"/>
    </row>
    <row r="219" spans="1:22" x14ac:dyDescent="0.2">
      <c r="B219" s="40"/>
      <c r="C219" s="29" t="str">
        <f>Графики_УК!$C$429</f>
        <v>К заполненности площадей</v>
      </c>
      <c r="D219" s="26">
        <f ca="1">OFFSET(Графики_УК!$D$429,D$214,0)</f>
        <v>0.7</v>
      </c>
      <c r="E219" s="26">
        <f ca="1">OFFSET(Графики_УК!$D$429,E$214,0)</f>
        <v>0.79999999999999993</v>
      </c>
      <c r="F219" s="26">
        <f ca="1">OFFSET(Графики_УК!$D$429,F$214,0)</f>
        <v>0.89999999999999991</v>
      </c>
      <c r="G219" s="26">
        <f ca="1">OFFSET(Графики_УК!$D$429,G$214,0)</f>
        <v>0.99999999999999989</v>
      </c>
      <c r="H219" s="26">
        <f ca="1">OFFSET(Графики_УК!$D$429,H$214,0)</f>
        <v>1.0999999999999999</v>
      </c>
      <c r="I219" s="26">
        <f ca="1">OFFSET(Графики_УК!$D$429,I$214,0)</f>
        <v>1.2</v>
      </c>
      <c r="J219" s="26">
        <f ca="1">OFFSET(Графики_УК!$D$429,J$214,0)</f>
        <v>1.3</v>
      </c>
    </row>
    <row r="220" spans="1:22" x14ac:dyDescent="0.2">
      <c r="B220" s="40"/>
      <c r="D220" s="243">
        <f ca="1">OFFSET(Графики_УК!$E$429,D$214,0)</f>
        <v>420654.86896252848</v>
      </c>
      <c r="E220" s="243">
        <f ca="1">OFFSET(Графики_УК!$E$429,E$214,0)</f>
        <v>420654.86896252848</v>
      </c>
      <c r="F220" s="243">
        <f ca="1">OFFSET(Графики_УК!$E$429,F$214,0)</f>
        <v>420654.86896252848</v>
      </c>
      <c r="G220" s="243">
        <f ca="1">OFFSET(Графики_УК!$E$429,G$214,0)</f>
        <v>420654.86896252848</v>
      </c>
      <c r="H220" s="243">
        <f ca="1">OFFSET(Графики_УК!$E$429,H$214,0)</f>
        <v>420654.86896252848</v>
      </c>
      <c r="I220" s="243">
        <f ca="1">OFFSET(Графики_УК!$E$429,I$214,0)</f>
        <v>420654.86896252848</v>
      </c>
      <c r="J220" s="243">
        <f ca="1">OFFSET(Графики_УК!$E$429,J$214,0)</f>
        <v>420654.86896252848</v>
      </c>
    </row>
    <row r="221" spans="1:22" x14ac:dyDescent="0.2">
      <c r="B221" s="40"/>
      <c r="D221" s="266"/>
      <c r="E221" s="266"/>
      <c r="F221" s="266"/>
      <c r="G221" s="266"/>
      <c r="H221" s="266"/>
      <c r="I221" s="266"/>
      <c r="J221" s="266"/>
    </row>
    <row r="222" spans="1:22" x14ac:dyDescent="0.2">
      <c r="B222" s="40"/>
      <c r="C222" s="29" t="str">
        <f>Графики_УК!$C$440</f>
        <v>К ценам продажи площадей</v>
      </c>
      <c r="D222" s="26">
        <f ca="1">OFFSET(Графики_УК!$D$440,D$214,0)</f>
        <v>0.7</v>
      </c>
      <c r="E222" s="26">
        <f ca="1">OFFSET(Графики_УК!$D$440,E$214,0)</f>
        <v>0.79999999999999993</v>
      </c>
      <c r="F222" s="26">
        <f ca="1">OFFSET(Графики_УК!$D$440,F$214,0)</f>
        <v>0.89999999999999991</v>
      </c>
      <c r="G222" s="26">
        <f ca="1">OFFSET(Графики_УК!$D$440,G$214,0)</f>
        <v>0.99999999999999989</v>
      </c>
      <c r="H222" s="26">
        <f ca="1">OFFSET(Графики_УК!$D$440,H$214,0)</f>
        <v>1.0999999999999999</v>
      </c>
      <c r="I222" s="26">
        <f ca="1">OFFSET(Графики_УК!$D$440,I$214,0)</f>
        <v>1.2</v>
      </c>
      <c r="J222" s="26">
        <f ca="1">OFFSET(Графики_УК!$D$440,J$214,0)</f>
        <v>1.3</v>
      </c>
    </row>
    <row r="223" spans="1:22" x14ac:dyDescent="0.2">
      <c r="B223" s="40"/>
      <c r="D223" s="243">
        <f ca="1">OFFSET(Графики_УК!$E$440,D$214,0)</f>
        <v>598861.15737307037</v>
      </c>
      <c r="E223" s="243">
        <f ca="1">OFFSET(Графики_УК!$E$440,E$214,0)</f>
        <v>539459.06123622379</v>
      </c>
      <c r="F223" s="243">
        <f ca="1">OFFSET(Графики_УК!$E$440,F$214,0)</f>
        <v>480056.96509937668</v>
      </c>
      <c r="G223" s="243">
        <f ca="1">OFFSET(Графики_УК!$E$440,G$214,0)</f>
        <v>420654.86896252848</v>
      </c>
      <c r="H223" s="243">
        <f ca="1">OFFSET(Графики_УК!$E$440,H$214,0)</f>
        <v>361252.77282568126</v>
      </c>
      <c r="I223" s="243">
        <f ca="1">OFFSET(Графики_УК!$E$440,I$214,0)</f>
        <v>301850.67668883374</v>
      </c>
      <c r="J223" s="243">
        <f ca="1">OFFSET(Графики_УК!$E$440,J$214,0)</f>
        <v>242448.58055198521</v>
      </c>
    </row>
    <row r="224" spans="1:22" x14ac:dyDescent="0.2">
      <c r="B224" s="40"/>
      <c r="D224" s="266"/>
      <c r="E224" s="266"/>
      <c r="F224" s="266"/>
      <c r="G224" s="266"/>
      <c r="H224" s="266"/>
      <c r="I224" s="266"/>
      <c r="J224" s="266"/>
    </row>
    <row r="225" spans="1:22" x14ac:dyDescent="0.2">
      <c r="B225" s="40"/>
      <c r="C225" s="29" t="str">
        <f>Графики_УК!$C$451</f>
        <v>К операционным издержкам УК</v>
      </c>
      <c r="D225" s="26">
        <f ca="1">OFFSET(Графики_УК!$D$451,D$214,0)</f>
        <v>0.7</v>
      </c>
      <c r="E225" s="26">
        <f ca="1">OFFSET(Графики_УК!$D$451,E$214,0)</f>
        <v>0.79999999999999993</v>
      </c>
      <c r="F225" s="26">
        <f ca="1">OFFSET(Графики_УК!$D$451,F$214,0)</f>
        <v>0.89999999999999991</v>
      </c>
      <c r="G225" s="26">
        <f ca="1">OFFSET(Графики_УК!$D$451,G$214,0)</f>
        <v>0.99999999999999989</v>
      </c>
      <c r="H225" s="26">
        <f ca="1">OFFSET(Графики_УК!$D$451,H$214,0)</f>
        <v>1.0999999999999999</v>
      </c>
      <c r="I225" s="26">
        <f ca="1">OFFSET(Графики_УК!$D$451,I$214,0)</f>
        <v>1.2</v>
      </c>
      <c r="J225" s="26">
        <f ca="1">OFFSET(Графики_УК!$D$451,J$214,0)</f>
        <v>1.3</v>
      </c>
    </row>
    <row r="226" spans="1:22" x14ac:dyDescent="0.2">
      <c r="B226" s="40"/>
      <c r="D226" s="243">
        <f ca="1">OFFSET(Графики_УК!$E$451,D$214,0)</f>
        <v>420654.86896252848</v>
      </c>
      <c r="E226" s="243">
        <f ca="1">OFFSET(Графики_УК!$E$451,E$214,0)</f>
        <v>420654.86896252848</v>
      </c>
      <c r="F226" s="243">
        <f ca="1">OFFSET(Графики_УК!$E$451,F$214,0)</f>
        <v>420654.86896252848</v>
      </c>
      <c r="G226" s="243">
        <f ca="1">OFFSET(Графики_УК!$E$451,G$214,0)</f>
        <v>420654.86896252848</v>
      </c>
      <c r="H226" s="243">
        <f ca="1">OFFSET(Графики_УК!$E$451,H$214,0)</f>
        <v>420654.86896252848</v>
      </c>
      <c r="I226" s="243">
        <f ca="1">OFFSET(Графики_УК!$E$451,I$214,0)</f>
        <v>420654.86896252848</v>
      </c>
      <c r="J226" s="243">
        <f ca="1">OFFSET(Графики_УК!$E$451,J$214,0)</f>
        <v>420654.86896252848</v>
      </c>
    </row>
    <row r="227" spans="1:22" x14ac:dyDescent="0.2">
      <c r="B227" s="40"/>
      <c r="D227" s="266"/>
      <c r="E227" s="266"/>
      <c r="F227" s="266"/>
      <c r="G227" s="266"/>
      <c r="H227" s="266"/>
      <c r="I227" s="266"/>
      <c r="J227" s="266"/>
    </row>
    <row r="228" spans="1:22" x14ac:dyDescent="0.2">
      <c r="B228" s="40"/>
      <c r="C228" s="29" t="str">
        <f>Графики_УК!$C$473</f>
        <v>К размеру инвестиций</v>
      </c>
      <c r="D228" s="26">
        <f ca="1">OFFSET(Графики_УК!$D$473,D$214,0)</f>
        <v>0.7</v>
      </c>
      <c r="E228" s="26">
        <f ca="1">OFFSET(Графики_УК!$D$473,E$214,0)</f>
        <v>0.79999999999999993</v>
      </c>
      <c r="F228" s="26">
        <f ca="1">OFFSET(Графики_УК!$D$473,F$214,0)</f>
        <v>0.89999999999999991</v>
      </c>
      <c r="G228" s="26">
        <f ca="1">OFFSET(Графики_УК!$D$473,G$214,0)</f>
        <v>0.99999999999999989</v>
      </c>
      <c r="H228" s="26">
        <f ca="1">OFFSET(Графики_УК!$D$473,H$214,0)</f>
        <v>1.0999999999999999</v>
      </c>
      <c r="I228" s="26">
        <f ca="1">OFFSET(Графики_УК!$D$473,I$214,0)</f>
        <v>1.2</v>
      </c>
      <c r="J228" s="26">
        <f ca="1">OFFSET(Графики_УК!$D$473,J$214,0)</f>
        <v>1.3</v>
      </c>
    </row>
    <row r="229" spans="1:22" x14ac:dyDescent="0.2">
      <c r="B229" s="40"/>
      <c r="D229" s="243">
        <f ca="1">OFFSET(Графики_УК!$E$473,D$214,0)</f>
        <v>420654.86896252848</v>
      </c>
      <c r="E229" s="243">
        <f ca="1">OFFSET(Графики_УК!$E$473,E$214,0)</f>
        <v>420654.86896252848</v>
      </c>
      <c r="F229" s="243">
        <f ca="1">OFFSET(Графики_УК!$E$473,F$214,0)</f>
        <v>420654.86896252848</v>
      </c>
      <c r="G229" s="243">
        <f ca="1">OFFSET(Графики_УК!$E$473,G$214,0)</f>
        <v>420654.86896252848</v>
      </c>
      <c r="H229" s="243">
        <f ca="1">OFFSET(Графики_УК!$E$473,H$214,0)</f>
        <v>420654.86896252848</v>
      </c>
      <c r="I229" s="243">
        <f ca="1">OFFSET(Графики_УК!$E$473,I$214,0)</f>
        <v>420654.86896252848</v>
      </c>
      <c r="J229" s="243">
        <f ca="1">OFFSET(Графики_УК!$E$473,J$214,0)</f>
        <v>420654.86896252848</v>
      </c>
    </row>
    <row r="230" spans="1:22" x14ac:dyDescent="0.2">
      <c r="B230" s="40"/>
    </row>
    <row r="231" spans="1:22" x14ac:dyDescent="0.2">
      <c r="B231" s="40"/>
    </row>
    <row r="232" spans="1:22" x14ac:dyDescent="0.2">
      <c r="B232" s="40"/>
    </row>
    <row r="233" spans="1:22" x14ac:dyDescent="0.2">
      <c r="B233" s="40"/>
    </row>
    <row r="234" spans="1:22" x14ac:dyDescent="0.2">
      <c r="B234" s="40"/>
    </row>
    <row r="235" spans="1:22" x14ac:dyDescent="0.2">
      <c r="B235" s="40"/>
    </row>
    <row r="236" spans="1:22" ht="12" thickBot="1" x14ac:dyDescent="0.25">
      <c r="B236" s="40"/>
    </row>
    <row r="237" spans="1:22" ht="25.5" customHeight="1" thickBot="1" x14ac:dyDescent="0.25">
      <c r="A237" s="493" t="s">
        <v>382</v>
      </c>
      <c r="B237" s="486"/>
      <c r="C237" s="492"/>
      <c r="D237" s="492"/>
      <c r="E237" s="492"/>
      <c r="F237" s="492"/>
      <c r="G237" s="492"/>
      <c r="H237" s="492"/>
      <c r="I237" s="492"/>
      <c r="J237" s="495" t="str">
        <f>"IRR, %"</f>
        <v>IRR, %</v>
      </c>
      <c r="K237" s="494"/>
      <c r="L237" s="494"/>
      <c r="M237" s="494"/>
      <c r="N237" s="494"/>
      <c r="O237" s="494"/>
      <c r="P237" s="494"/>
      <c r="Q237" s="494"/>
      <c r="R237" s="494"/>
      <c r="S237" s="494"/>
      <c r="T237" s="494"/>
      <c r="U237" s="494"/>
      <c r="V237" s="494"/>
    </row>
    <row r="238" spans="1:22" x14ac:dyDescent="0.2">
      <c r="B238" s="40"/>
    </row>
    <row r="239" spans="1:22" x14ac:dyDescent="0.2">
      <c r="B239" s="40"/>
    </row>
    <row r="240" spans="1:22" x14ac:dyDescent="0.2">
      <c r="B240" s="40"/>
      <c r="C240" s="29" t="str">
        <f>Графики_УК!$C$397</f>
        <v>Анализ чувствительности</v>
      </c>
      <c r="D240" s="12">
        <v>0</v>
      </c>
      <c r="E240" s="12">
        <v>1</v>
      </c>
      <c r="F240" s="12">
        <v>2</v>
      </c>
      <c r="G240" s="12">
        <v>3</v>
      </c>
      <c r="H240" s="12">
        <v>4</v>
      </c>
      <c r="I240" s="12">
        <v>5</v>
      </c>
      <c r="J240" s="12">
        <v>6</v>
      </c>
      <c r="N240" s="82"/>
      <c r="P240" s="82"/>
      <c r="Q240" s="82"/>
      <c r="R240" s="82"/>
      <c r="S240" s="82"/>
      <c r="T240" s="82"/>
      <c r="U240" s="82"/>
      <c r="V240" s="82"/>
    </row>
    <row r="241" spans="2:14" x14ac:dyDescent="0.2">
      <c r="B241" s="40"/>
      <c r="D241" s="266"/>
      <c r="E241" s="266"/>
      <c r="F241" s="266"/>
      <c r="G241" s="266"/>
      <c r="H241" s="266"/>
      <c r="I241" s="266"/>
      <c r="J241" s="266"/>
      <c r="N241" s="82"/>
    </row>
    <row r="242" spans="2:14" x14ac:dyDescent="0.2">
      <c r="B242" s="40"/>
      <c r="C242" s="29" t="str">
        <f>Графики_УК!$C$418</f>
        <v>К ставкам аренды и тарифам УК для резидентов</v>
      </c>
      <c r="D242" s="26">
        <f ca="1">OFFSET(Графики_УК!$D$418,D$214,0)</f>
        <v>0.7</v>
      </c>
      <c r="E242" s="26">
        <f ca="1">OFFSET(Графики_УК!$D$418,E$214,0)</f>
        <v>0.79999999999999993</v>
      </c>
      <c r="F242" s="26">
        <f ca="1">OFFSET(Графики_УК!$D$418,F$214,0)</f>
        <v>0.89999999999999991</v>
      </c>
      <c r="G242" s="26">
        <f ca="1">OFFSET(Графики_УК!$D$418,G$214,0)</f>
        <v>0.99999999999999989</v>
      </c>
      <c r="H242" s="26">
        <f ca="1">OFFSET(Графики_УК!$D$418,H$214,0)</f>
        <v>1.0999999999999999</v>
      </c>
      <c r="I242" s="26">
        <f ca="1">OFFSET(Графики_УК!$D$418,I$214,0)</f>
        <v>1.2</v>
      </c>
      <c r="J242" s="26">
        <f ca="1">OFFSET(Графики_УК!$D$418,J$214,0)</f>
        <v>1.3</v>
      </c>
      <c r="N242" s="82"/>
    </row>
    <row r="243" spans="2:14" x14ac:dyDescent="0.2">
      <c r="B243" s="40"/>
      <c r="D243" s="320">
        <f ca="1">OFFSET(Графики_УК!$F$418,D$214,0)</f>
        <v>7.8282581387759897E-2</v>
      </c>
      <c r="E243" s="320">
        <f ca="1">OFFSET(Графики_УК!$F$418,E$214,0)</f>
        <v>8.9836975134995445E-2</v>
      </c>
      <c r="F243" s="320">
        <f ca="1">OFFSET(Графики_УК!$F$418,F$214,0)</f>
        <v>0.10142681567410783</v>
      </c>
      <c r="G243" s="320">
        <f ca="1">OFFSET(Графики_УК!$F$418,G$214,0)</f>
        <v>0.11330118433313929</v>
      </c>
      <c r="H243" s="320">
        <f ca="1">OFFSET(Графики_УК!$F$418,H$214,0)</f>
        <v>0.12514862380423142</v>
      </c>
      <c r="I243" s="320">
        <f ca="1">OFFSET(Графики_УК!$F$418,I$214,0)</f>
        <v>0.13692901915848088</v>
      </c>
      <c r="J243" s="320">
        <f ca="1">OFFSET(Графики_УК!$F$418,J$214,0)</f>
        <v>0.14864920779563673</v>
      </c>
      <c r="N243" s="82"/>
    </row>
    <row r="244" spans="2:14" x14ac:dyDescent="0.2">
      <c r="B244" s="40"/>
      <c r="D244" s="266"/>
      <c r="E244" s="266"/>
      <c r="F244" s="266"/>
      <c r="G244" s="266"/>
      <c r="H244" s="266"/>
      <c r="I244" s="266"/>
      <c r="J244" s="266"/>
      <c r="N244" s="82"/>
    </row>
    <row r="245" spans="2:14" x14ac:dyDescent="0.2">
      <c r="B245" s="40"/>
      <c r="C245" s="29" t="str">
        <f>Графики_УК!$C$429</f>
        <v>К заполненности площадей</v>
      </c>
      <c r="D245" s="26">
        <f ca="1">OFFSET(Графики_УК!$D$429,D$214,0)</f>
        <v>0.7</v>
      </c>
      <c r="E245" s="26">
        <f ca="1">OFFSET(Графики_УК!$D$429,E$214,0)</f>
        <v>0.79999999999999993</v>
      </c>
      <c r="F245" s="26">
        <f ca="1">OFFSET(Графики_УК!$D$429,F$214,0)</f>
        <v>0.89999999999999991</v>
      </c>
      <c r="G245" s="26">
        <f ca="1">OFFSET(Графики_УК!$D$429,G$214,0)</f>
        <v>0.99999999999999989</v>
      </c>
      <c r="H245" s="26">
        <f ca="1">OFFSET(Графики_УК!$D$429,H$214,0)</f>
        <v>1.0999999999999999</v>
      </c>
      <c r="I245" s="26">
        <f ca="1">OFFSET(Графики_УК!$D$429,I$214,0)</f>
        <v>1.2</v>
      </c>
      <c r="J245" s="26">
        <f ca="1">OFFSET(Графики_УК!$D$429,J$214,0)</f>
        <v>1.3</v>
      </c>
      <c r="N245" s="82"/>
    </row>
    <row r="246" spans="2:14" x14ac:dyDescent="0.2">
      <c r="B246" s="40"/>
      <c r="D246" s="320">
        <f ca="1">OFFSET(Графики_УК!$F$429,D$214,0)</f>
        <v>0.11330118433313929</v>
      </c>
      <c r="E246" s="320">
        <f ca="1">OFFSET(Графики_УК!$F$429,E$214,0)</f>
        <v>0.11330118433313929</v>
      </c>
      <c r="F246" s="320">
        <f ca="1">OFFSET(Графики_УК!$F$429,F$214,0)</f>
        <v>0.11330118433313929</v>
      </c>
      <c r="G246" s="320">
        <f ca="1">OFFSET(Графики_УК!$F$429,G$214,0)</f>
        <v>0.11330118433313929</v>
      </c>
      <c r="H246" s="320">
        <f ca="1">OFFSET(Графики_УК!$F$429,H$214,0)</f>
        <v>0.11330118433313929</v>
      </c>
      <c r="I246" s="320">
        <f ca="1">OFFSET(Графики_УК!$F$429,I$214,0)</f>
        <v>0.11330118433313929</v>
      </c>
      <c r="J246" s="320">
        <f ca="1">OFFSET(Графики_УК!$F$429,J$214,0)</f>
        <v>0.11330118433313929</v>
      </c>
      <c r="N246" s="82"/>
    </row>
    <row r="247" spans="2:14" x14ac:dyDescent="0.2">
      <c r="B247" s="40"/>
      <c r="D247" s="266"/>
      <c r="E247" s="266"/>
      <c r="F247" s="266"/>
      <c r="G247" s="266"/>
      <c r="H247" s="266"/>
      <c r="I247" s="266"/>
      <c r="J247" s="266"/>
      <c r="N247" s="82"/>
    </row>
    <row r="248" spans="2:14" x14ac:dyDescent="0.2">
      <c r="B248" s="40"/>
      <c r="C248" s="29" t="str">
        <f>Графики_УК!$C$440</f>
        <v>К ценам продажи площадей</v>
      </c>
      <c r="D248" s="26">
        <f ca="1">OFFSET(Графики_УК!$D$440,D$214,0)</f>
        <v>0.7</v>
      </c>
      <c r="E248" s="26">
        <f ca="1">OFFSET(Графики_УК!$D$440,E$214,0)</f>
        <v>0.79999999999999993</v>
      </c>
      <c r="F248" s="26">
        <f ca="1">OFFSET(Графики_УК!$D$440,F$214,0)</f>
        <v>0.89999999999999991</v>
      </c>
      <c r="G248" s="26">
        <f ca="1">OFFSET(Графики_УК!$D$440,G$214,0)</f>
        <v>0.99999999999999989</v>
      </c>
      <c r="H248" s="26">
        <f ca="1">OFFSET(Графики_УК!$D$440,H$214,0)</f>
        <v>1.0999999999999999</v>
      </c>
      <c r="I248" s="26">
        <f ca="1">OFFSET(Графики_УК!$D$440,I$214,0)</f>
        <v>1.2</v>
      </c>
      <c r="J248" s="26">
        <f ca="1">OFFSET(Графики_УК!$D$440,J$214,0)</f>
        <v>1.3</v>
      </c>
    </row>
    <row r="249" spans="2:14" x14ac:dyDescent="0.2">
      <c r="B249" s="40"/>
      <c r="D249" s="320">
        <f ca="1">OFFSET(Графики_УК!$F$440,D$214,0)</f>
        <v>0.11933980587365589</v>
      </c>
      <c r="E249" s="320">
        <f ca="1">OFFSET(Графики_УК!$F$440,E$214,0)</f>
        <v>0.11735455817291873</v>
      </c>
      <c r="F249" s="320">
        <f ca="1">OFFSET(Графики_УК!$F$440,F$214,0)</f>
        <v>0.11534196711259037</v>
      </c>
      <c r="G249" s="320">
        <f ca="1">OFFSET(Графики_УК!$F$440,G$214,0)</f>
        <v>0.11330118433313929</v>
      </c>
      <c r="H249" s="320">
        <f ca="1">OFFSET(Графики_УК!$F$440,H$214,0)</f>
        <v>0.1112313195625847</v>
      </c>
      <c r="I249" s="320">
        <f ca="1">OFFSET(Графики_УК!$F$440,I$214,0)</f>
        <v>0.10913143773661838</v>
      </c>
      <c r="J249" s="320">
        <f ca="1">OFFSET(Графики_УК!$F$440,J$214,0)</f>
        <v>0.10700055586272095</v>
      </c>
    </row>
    <row r="250" spans="2:14" x14ac:dyDescent="0.2">
      <c r="B250" s="40"/>
      <c r="D250" s="266"/>
      <c r="E250" s="266"/>
      <c r="F250" s="266"/>
      <c r="G250" s="266"/>
      <c r="H250" s="266"/>
      <c r="I250" s="266"/>
      <c r="J250" s="266"/>
    </row>
    <row r="251" spans="2:14" x14ac:dyDescent="0.2">
      <c r="B251" s="40"/>
      <c r="C251" s="29" t="str">
        <f>Графики_УК!$C$451</f>
        <v>К операционным издержкам УК</v>
      </c>
      <c r="D251" s="26">
        <f ca="1">OFFSET(Графики_УК!$D$451,D$214,0)</f>
        <v>0.7</v>
      </c>
      <c r="E251" s="26">
        <f ca="1">OFFSET(Графики_УК!$D$451,E$214,0)</f>
        <v>0.79999999999999993</v>
      </c>
      <c r="F251" s="26">
        <f ca="1">OFFSET(Графики_УК!$D$451,F$214,0)</f>
        <v>0.89999999999999991</v>
      </c>
      <c r="G251" s="26">
        <f ca="1">OFFSET(Графики_УК!$D$451,G$214,0)</f>
        <v>0.99999999999999989</v>
      </c>
      <c r="H251" s="26">
        <f ca="1">OFFSET(Графики_УК!$D$451,H$214,0)</f>
        <v>1.0999999999999999</v>
      </c>
      <c r="I251" s="26">
        <f ca="1">OFFSET(Графики_УК!$D$451,I$214,0)</f>
        <v>1.2</v>
      </c>
      <c r="J251" s="26">
        <f ca="1">OFFSET(Графики_УК!$D$451,J$214,0)</f>
        <v>1.3</v>
      </c>
    </row>
    <row r="252" spans="2:14" x14ac:dyDescent="0.2">
      <c r="B252" s="40"/>
      <c r="D252" s="320">
        <f ca="1">OFFSET(Графики_УК!$F$451,D$214,0)</f>
        <v>0.11330118433313929</v>
      </c>
      <c r="E252" s="320">
        <f ca="1">OFFSET(Графики_УК!$F$451,E$214,0)</f>
        <v>0.11330118433313929</v>
      </c>
      <c r="F252" s="320">
        <f ca="1">OFFSET(Графики_УК!$F$451,F$214,0)</f>
        <v>0.11330118433313929</v>
      </c>
      <c r="G252" s="320">
        <f ca="1">OFFSET(Графики_УК!$F$451,G$214,0)</f>
        <v>0.11330118433313929</v>
      </c>
      <c r="H252" s="320">
        <f ca="1">OFFSET(Графики_УК!$F$451,H$214,0)</f>
        <v>0.11330118433313929</v>
      </c>
      <c r="I252" s="320">
        <f ca="1">OFFSET(Графики_УК!$F$451,I$214,0)</f>
        <v>0.11330118433313929</v>
      </c>
      <c r="J252" s="320">
        <f ca="1">OFFSET(Графики_УК!$F$451,J$214,0)</f>
        <v>0.11330118433313929</v>
      </c>
    </row>
    <row r="253" spans="2:14" x14ac:dyDescent="0.2">
      <c r="B253" s="40"/>
      <c r="D253" s="266"/>
      <c r="E253" s="266"/>
      <c r="F253" s="266"/>
      <c r="G253" s="266"/>
      <c r="H253" s="266"/>
      <c r="I253" s="266"/>
      <c r="J253" s="266"/>
    </row>
    <row r="254" spans="2:14" x14ac:dyDescent="0.2">
      <c r="B254" s="40"/>
      <c r="C254" s="29" t="str">
        <f>Графики_УК!$C$473</f>
        <v>К размеру инвестиций</v>
      </c>
      <c r="D254" s="26">
        <f ca="1">OFFSET(Графики_УК!$D$473,D$214,0)</f>
        <v>0.7</v>
      </c>
      <c r="E254" s="26">
        <f ca="1">OFFSET(Графики_УК!$D$473,E$214,0)</f>
        <v>0.79999999999999993</v>
      </c>
      <c r="F254" s="26">
        <f ca="1">OFFSET(Графики_УК!$D$473,F$214,0)</f>
        <v>0.89999999999999991</v>
      </c>
      <c r="G254" s="26">
        <f ca="1">OFFSET(Графики_УК!$D$473,G$214,0)</f>
        <v>0.99999999999999989</v>
      </c>
      <c r="H254" s="26">
        <f ca="1">OFFSET(Графики_УК!$D$473,H$214,0)</f>
        <v>1.0999999999999999</v>
      </c>
      <c r="I254" s="26">
        <f ca="1">OFFSET(Графики_УК!$D$473,I$214,0)</f>
        <v>1.2</v>
      </c>
      <c r="J254" s="26">
        <f ca="1">OFFSET(Графики_УК!$D$473,J$214,0)</f>
        <v>1.3</v>
      </c>
    </row>
    <row r="255" spans="2:14" x14ac:dyDescent="0.2">
      <c r="B255" s="40"/>
      <c r="D255" s="320">
        <f ca="1">OFFSET(Графики_УК!$F$473,D$214,0)</f>
        <v>0.11330118433313929</v>
      </c>
      <c r="E255" s="320">
        <f ca="1">OFFSET(Графики_УК!$F$473,E$214,0)</f>
        <v>0.11330118433313929</v>
      </c>
      <c r="F255" s="320">
        <f ca="1">OFFSET(Графики_УК!$F$473,F$214,0)</f>
        <v>0.11330118433313929</v>
      </c>
      <c r="G255" s="320">
        <f ca="1">OFFSET(Графики_УК!$F$473,G$214,0)</f>
        <v>0.11330118433313929</v>
      </c>
      <c r="H255" s="320">
        <f ca="1">OFFSET(Графики_УК!$F$473,H$214,0)</f>
        <v>0.11330118433313929</v>
      </c>
      <c r="I255" s="320">
        <f ca="1">OFFSET(Графики_УК!$F$473,I$214,0)</f>
        <v>0.11330118433313929</v>
      </c>
      <c r="J255" s="320">
        <f ca="1">OFFSET(Графики_УК!$F$473,J$214,0)</f>
        <v>0.11330118433313929</v>
      </c>
    </row>
    <row r="256" spans="2:14" x14ac:dyDescent="0.2">
      <c r="B256" s="40"/>
    </row>
    <row r="257" spans="1:22" x14ac:dyDescent="0.2">
      <c r="B257" s="40"/>
    </row>
    <row r="258" spans="1:22" x14ac:dyDescent="0.2">
      <c r="B258" s="40"/>
    </row>
    <row r="259" spans="1:22" x14ac:dyDescent="0.2">
      <c r="B259" s="40"/>
    </row>
    <row r="260" spans="1:22" x14ac:dyDescent="0.2">
      <c r="B260" s="40"/>
    </row>
    <row r="261" spans="1:22" x14ac:dyDescent="0.2">
      <c r="B261" s="40"/>
    </row>
    <row r="262" spans="1:22" ht="12" thickBot="1" x14ac:dyDescent="0.25">
      <c r="B262" s="40"/>
    </row>
    <row r="263" spans="1:22" ht="25.5" customHeight="1" thickBot="1" x14ac:dyDescent="0.25">
      <c r="A263" s="493" t="s">
        <v>383</v>
      </c>
      <c r="B263" s="486"/>
      <c r="C263" s="492"/>
      <c r="D263" s="492"/>
      <c r="E263" s="492"/>
      <c r="F263" s="492"/>
      <c r="G263" s="492"/>
      <c r="H263" s="492"/>
      <c r="I263" s="492"/>
      <c r="J263" s="495" t="str">
        <f>"DPBP, лет / year"</f>
        <v>DPBP, лет / year</v>
      </c>
      <c r="K263" s="494"/>
      <c r="L263" s="494"/>
      <c r="M263" s="494"/>
      <c r="N263" s="494"/>
      <c r="O263" s="494"/>
      <c r="P263" s="494"/>
      <c r="Q263" s="494"/>
      <c r="R263" s="494"/>
      <c r="S263" s="494"/>
      <c r="T263" s="494"/>
      <c r="U263" s="494"/>
      <c r="V263" s="494"/>
    </row>
    <row r="264" spans="1:22" x14ac:dyDescent="0.2">
      <c r="B264" s="40"/>
    </row>
    <row r="265" spans="1:22" x14ac:dyDescent="0.2">
      <c r="B265" s="40"/>
    </row>
    <row r="266" spans="1:22" x14ac:dyDescent="0.2">
      <c r="B266" s="40"/>
      <c r="C266" s="29" t="str">
        <f>Графики_УК!$C$397</f>
        <v>Анализ чувствительности</v>
      </c>
      <c r="D266" s="12">
        <v>0</v>
      </c>
      <c r="E266" s="12">
        <v>1</v>
      </c>
      <c r="F266" s="12">
        <v>2</v>
      </c>
      <c r="G266" s="12">
        <v>3</v>
      </c>
      <c r="H266" s="12">
        <v>4</v>
      </c>
      <c r="I266" s="12">
        <v>5</v>
      </c>
      <c r="J266" s="12">
        <v>6</v>
      </c>
    </row>
    <row r="267" spans="1:22" x14ac:dyDescent="0.2">
      <c r="B267" s="40"/>
      <c r="D267" s="266"/>
      <c r="E267" s="266"/>
      <c r="F267" s="266"/>
      <c r="G267" s="266"/>
      <c r="H267" s="266"/>
      <c r="I267" s="266"/>
      <c r="J267" s="266"/>
    </row>
    <row r="268" spans="1:22" x14ac:dyDescent="0.2">
      <c r="B268" s="40"/>
      <c r="C268" s="29" t="str">
        <f>Графики_УК!$C$418</f>
        <v>К ставкам аренды и тарифам УК для резидентов</v>
      </c>
      <c r="D268" s="26">
        <f ca="1">OFFSET(Графики_УК!$D$418,D$214,0)</f>
        <v>0.7</v>
      </c>
      <c r="E268" s="26">
        <f ca="1">OFFSET(Графики_УК!$D$418,E$214,0)</f>
        <v>0.79999999999999993</v>
      </c>
      <c r="F268" s="26">
        <f ca="1">OFFSET(Графики_УК!$D$418,F$214,0)</f>
        <v>0.89999999999999991</v>
      </c>
      <c r="G268" s="26">
        <f ca="1">OFFSET(Графики_УК!$D$418,G$214,0)</f>
        <v>0.99999999999999989</v>
      </c>
      <c r="H268" s="26">
        <f ca="1">OFFSET(Графики_УК!$D$418,H$214,0)</f>
        <v>1.0999999999999999</v>
      </c>
      <c r="I268" s="26">
        <f ca="1">OFFSET(Графики_УК!$D$418,I$214,0)</f>
        <v>1.2</v>
      </c>
      <c r="J268" s="26">
        <f ca="1">OFFSET(Графики_УК!$D$418,J$214,0)</f>
        <v>1.3</v>
      </c>
    </row>
    <row r="269" spans="1:22" x14ac:dyDescent="0.2">
      <c r="B269" s="40"/>
      <c r="D269" s="376" t="e">
        <f ca="1">OFFSET(Графики_УК!$G$418,D$214,0)</f>
        <v>#N/A</v>
      </c>
      <c r="E269" s="376">
        <f ca="1">OFFSET(Графики_УК!$G$418,E$214,0)</f>
        <v>9.2194347708682827</v>
      </c>
      <c r="F269" s="376">
        <f ca="1">OFFSET(Графики_УК!$G$418,F$214,0)</f>
        <v>9.5426469799363201</v>
      </c>
      <c r="G269" s="376">
        <f ca="1">OFFSET(Графики_УК!$G$418,G$214,0)</f>
        <v>9.1618965229894886</v>
      </c>
      <c r="H269" s="376">
        <f ca="1">OFFSET(Графики_УК!$G$418,H$214,0)</f>
        <v>9.1375295051527843</v>
      </c>
      <c r="I269" s="376">
        <f ca="1">OFFSET(Графики_УК!$G$418,I$214,0)</f>
        <v>9.1147125940205136</v>
      </c>
      <c r="J269" s="376">
        <f ca="1">OFFSET(Графики_УК!$G$418,J$214,0)</f>
        <v>9.0921478833405072</v>
      </c>
    </row>
    <row r="270" spans="1:22" x14ac:dyDescent="0.2">
      <c r="B270" s="40"/>
      <c r="D270" s="266"/>
      <c r="E270" s="266"/>
      <c r="F270" s="266"/>
      <c r="G270" s="266"/>
      <c r="H270" s="266"/>
      <c r="I270" s="266"/>
      <c r="J270" s="266"/>
    </row>
    <row r="271" spans="1:22" x14ac:dyDescent="0.2">
      <c r="B271" s="40"/>
      <c r="C271" s="29" t="str">
        <f>Графики_УК!$C$429</f>
        <v>К заполненности площадей</v>
      </c>
      <c r="D271" s="26">
        <f ca="1">OFFSET(Графики_УК!$D$429,D$214,0)</f>
        <v>0.7</v>
      </c>
      <c r="E271" s="26">
        <f ca="1">OFFSET(Графики_УК!$D$429,E$214,0)</f>
        <v>0.79999999999999993</v>
      </c>
      <c r="F271" s="26">
        <f ca="1">OFFSET(Графики_УК!$D$429,F$214,0)</f>
        <v>0.89999999999999991</v>
      </c>
      <c r="G271" s="26">
        <f ca="1">OFFSET(Графики_УК!$D$429,G$214,0)</f>
        <v>0.99999999999999989</v>
      </c>
      <c r="H271" s="26">
        <f ca="1">OFFSET(Графики_УК!$D$429,H$214,0)</f>
        <v>1.0999999999999999</v>
      </c>
      <c r="I271" s="26">
        <f ca="1">OFFSET(Графики_УК!$D$429,I$214,0)</f>
        <v>1.2</v>
      </c>
      <c r="J271" s="26">
        <f ca="1">OFFSET(Графики_УК!$D$429,J$214,0)</f>
        <v>1.3</v>
      </c>
    </row>
    <row r="272" spans="1:22" x14ac:dyDescent="0.2">
      <c r="B272" s="40"/>
      <c r="D272" s="376">
        <f ca="1">OFFSET(Графики_УК!$G$429,D$214,0)</f>
        <v>9.1618965229894886</v>
      </c>
      <c r="E272" s="376">
        <f ca="1">OFFSET(Графики_УК!$G$429,E$214,0)</f>
        <v>9.1618965229894886</v>
      </c>
      <c r="F272" s="376">
        <f ca="1">OFFSET(Графики_УК!$G$429,F$214,0)</f>
        <v>9.1618965229894886</v>
      </c>
      <c r="G272" s="376">
        <f ca="1">OFFSET(Графики_УК!$G$429,G$214,0)</f>
        <v>9.1618965229894886</v>
      </c>
      <c r="H272" s="376">
        <f ca="1">OFFSET(Графики_УК!$G$429,H$214,0)</f>
        <v>9.1618965229894886</v>
      </c>
      <c r="I272" s="376">
        <f ca="1">OFFSET(Графики_УК!$G$429,I$214,0)</f>
        <v>9.1618965229894886</v>
      </c>
      <c r="J272" s="376">
        <f ca="1">OFFSET(Графики_УК!$G$429,J$214,0)</f>
        <v>9.1618965229894886</v>
      </c>
    </row>
    <row r="273" spans="2:10" x14ac:dyDescent="0.2">
      <c r="B273" s="40"/>
      <c r="D273" s="266"/>
      <c r="E273" s="266"/>
      <c r="F273" s="266"/>
      <c r="G273" s="266"/>
      <c r="H273" s="266"/>
      <c r="I273" s="266"/>
      <c r="J273" s="266"/>
    </row>
    <row r="274" spans="2:10" x14ac:dyDescent="0.2">
      <c r="B274" s="40"/>
      <c r="C274" s="29" t="str">
        <f>Графики_УК!$C$440</f>
        <v>К ценам продажи площадей</v>
      </c>
      <c r="D274" s="26">
        <f ca="1">OFFSET(Графики_УК!$D$440,D$214,0)</f>
        <v>0.7</v>
      </c>
      <c r="E274" s="26">
        <f ca="1">OFFSET(Графики_УК!$D$440,E$214,0)</f>
        <v>0.79999999999999993</v>
      </c>
      <c r="F274" s="26">
        <f ca="1">OFFSET(Графики_УК!$D$440,F$214,0)</f>
        <v>0.89999999999999991</v>
      </c>
      <c r="G274" s="26">
        <f ca="1">OFFSET(Графики_УК!$D$440,G$214,0)</f>
        <v>0.99999999999999989</v>
      </c>
      <c r="H274" s="26">
        <f ca="1">OFFSET(Графики_УК!$D$440,H$214,0)</f>
        <v>1.0999999999999999</v>
      </c>
      <c r="I274" s="26">
        <f ca="1">OFFSET(Графики_УК!$D$440,I$214,0)</f>
        <v>1.2</v>
      </c>
      <c r="J274" s="26">
        <f ca="1">OFFSET(Графики_УК!$D$440,J$214,0)</f>
        <v>1.3</v>
      </c>
    </row>
    <row r="275" spans="2:10" x14ac:dyDescent="0.2">
      <c r="B275" s="40"/>
      <c r="D275" s="376">
        <f ca="1">OFFSET(Графики_УК!$G$440,D$214,0)</f>
        <v>9.1610544279296366</v>
      </c>
      <c r="E275" s="376">
        <f ca="1">OFFSET(Графики_УК!$G$440,E$214,0)</f>
        <v>9.1613351296360523</v>
      </c>
      <c r="F275" s="376">
        <f ca="1">OFFSET(Графики_УК!$G$440,F$214,0)</f>
        <v>9.1616158279893156</v>
      </c>
      <c r="G275" s="376">
        <f ca="1">OFFSET(Графики_УК!$G$440,G$214,0)</f>
        <v>9.1618965229894886</v>
      </c>
      <c r="H275" s="376">
        <f ca="1">OFFSET(Графики_УК!$G$440,H$214,0)</f>
        <v>9.1621772146366336</v>
      </c>
      <c r="I275" s="376">
        <f ca="1">OFFSET(Графики_УК!$G$440,I$214,0)</f>
        <v>9.1624579029308091</v>
      </c>
      <c r="J275" s="376">
        <f ca="1">OFFSET(Графики_УК!$G$440,J$214,0)</f>
        <v>9.1627385878720737</v>
      </c>
    </row>
    <row r="276" spans="2:10" x14ac:dyDescent="0.2">
      <c r="B276" s="40"/>
      <c r="D276" s="266"/>
      <c r="E276" s="266"/>
      <c r="F276" s="266"/>
      <c r="G276" s="266"/>
      <c r="H276" s="266"/>
      <c r="I276" s="266"/>
      <c r="J276" s="266"/>
    </row>
    <row r="277" spans="2:10" x14ac:dyDescent="0.2">
      <c r="B277" s="40"/>
      <c r="C277" s="29" t="str">
        <f>Графики_УК!$C$451</f>
        <v>К операционным издержкам УК</v>
      </c>
      <c r="D277" s="26">
        <f ca="1">OFFSET(Графики_УК!$D$451,D$214,0)</f>
        <v>0.7</v>
      </c>
      <c r="E277" s="26">
        <f ca="1">OFFSET(Графики_УК!$D$451,E$214,0)</f>
        <v>0.79999999999999993</v>
      </c>
      <c r="F277" s="26">
        <f ca="1">OFFSET(Графики_УК!$D$451,F$214,0)</f>
        <v>0.89999999999999991</v>
      </c>
      <c r="G277" s="26">
        <f ca="1">OFFSET(Графики_УК!$D$451,G$214,0)</f>
        <v>0.99999999999999989</v>
      </c>
      <c r="H277" s="26">
        <f ca="1">OFFSET(Графики_УК!$D$451,H$214,0)</f>
        <v>1.0999999999999999</v>
      </c>
      <c r="I277" s="26">
        <f ca="1">OFFSET(Графики_УК!$D$451,I$214,0)</f>
        <v>1.2</v>
      </c>
      <c r="J277" s="26">
        <f ca="1">OFFSET(Графики_УК!$D$451,J$214,0)</f>
        <v>1.3</v>
      </c>
    </row>
    <row r="278" spans="2:10" x14ac:dyDescent="0.2">
      <c r="B278" s="40"/>
      <c r="D278" s="376">
        <f ca="1">OFFSET(Графики_УК!$G$451,D$214,0)</f>
        <v>9.1618965229894886</v>
      </c>
      <c r="E278" s="376">
        <f ca="1">OFFSET(Графики_УК!$G$451,E$214,0)</f>
        <v>9.1618965229894886</v>
      </c>
      <c r="F278" s="376">
        <f ca="1">OFFSET(Графики_УК!$G$451,F$214,0)</f>
        <v>9.1618965229894886</v>
      </c>
      <c r="G278" s="376">
        <f ca="1">OFFSET(Графики_УК!$G$451,G$214,0)</f>
        <v>9.1618965229894886</v>
      </c>
      <c r="H278" s="376">
        <f ca="1">OFFSET(Графики_УК!$G$451,H$214,0)</f>
        <v>9.1618965229894886</v>
      </c>
      <c r="I278" s="376">
        <f ca="1">OFFSET(Графики_УК!$G$451,I$214,0)</f>
        <v>9.1618965229894886</v>
      </c>
      <c r="J278" s="376">
        <f ca="1">OFFSET(Графики_УК!$G$451,J$214,0)</f>
        <v>9.1618965229894886</v>
      </c>
    </row>
    <row r="279" spans="2:10" x14ac:dyDescent="0.2">
      <c r="B279" s="40"/>
      <c r="D279" s="266"/>
      <c r="E279" s="266"/>
      <c r="F279" s="266"/>
      <c r="G279" s="266"/>
      <c r="H279" s="266"/>
      <c r="I279" s="266"/>
      <c r="J279" s="266"/>
    </row>
    <row r="280" spans="2:10" x14ac:dyDescent="0.2">
      <c r="B280" s="40"/>
      <c r="C280" s="29" t="str">
        <f>Графики_УК!$C$473</f>
        <v>К размеру инвестиций</v>
      </c>
      <c r="D280" s="26">
        <f ca="1">OFFSET(Графики_УК!$D$473,D$214,0)</f>
        <v>0.7</v>
      </c>
      <c r="E280" s="26">
        <f ca="1">OFFSET(Графики_УК!$D$473,E$214,0)</f>
        <v>0.79999999999999993</v>
      </c>
      <c r="F280" s="26">
        <f ca="1">OFFSET(Графики_УК!$D$473,F$214,0)</f>
        <v>0.89999999999999991</v>
      </c>
      <c r="G280" s="26">
        <f ca="1">OFFSET(Графики_УК!$D$473,G$214,0)</f>
        <v>0.99999999999999989</v>
      </c>
      <c r="H280" s="26">
        <f ca="1">OFFSET(Графики_УК!$D$473,H$214,0)</f>
        <v>1.0999999999999999</v>
      </c>
      <c r="I280" s="26">
        <f ca="1">OFFSET(Графики_УК!$D$473,I$214,0)</f>
        <v>1.2</v>
      </c>
      <c r="J280" s="26">
        <f ca="1">OFFSET(Графики_УК!$D$473,J$214,0)</f>
        <v>1.3</v>
      </c>
    </row>
    <row r="281" spans="2:10" x14ac:dyDescent="0.2">
      <c r="B281" s="40"/>
      <c r="D281" s="376">
        <f ca="1">OFFSET(Графики_УК!$G$473,D$214,0)</f>
        <v>9.1618965229894886</v>
      </c>
      <c r="E281" s="376">
        <f ca="1">OFFSET(Графики_УК!$G$473,E$214,0)</f>
        <v>9.1618965229894886</v>
      </c>
      <c r="F281" s="376">
        <f ca="1">OFFSET(Графики_УК!$G$473,F$214,0)</f>
        <v>9.1618965229894886</v>
      </c>
      <c r="G281" s="376">
        <f ca="1">OFFSET(Графики_УК!$G$473,G$214,0)</f>
        <v>9.1618965229894886</v>
      </c>
      <c r="H281" s="376">
        <f ca="1">OFFSET(Графики_УК!$G$473,H$214,0)</f>
        <v>9.1618965229894886</v>
      </c>
      <c r="I281" s="376">
        <f ca="1">OFFSET(Графики_УК!$G$473,I$214,0)</f>
        <v>9.1618965229894886</v>
      </c>
      <c r="J281" s="376">
        <f ca="1">OFFSET(Графики_УК!$G$473,J$214,0)</f>
        <v>9.1618965229894886</v>
      </c>
    </row>
    <row r="282" spans="2:10" x14ac:dyDescent="0.2">
      <c r="B282" s="40"/>
    </row>
    <row r="283" spans="2:10" x14ac:dyDescent="0.2">
      <c r="B283" s="40"/>
    </row>
    <row r="284" spans="2:10" x14ac:dyDescent="0.2">
      <c r="B284" s="40"/>
    </row>
    <row r="285" spans="2:10" x14ac:dyDescent="0.2">
      <c r="B285" s="40"/>
    </row>
    <row r="286" spans="2:10" x14ac:dyDescent="0.2">
      <c r="B286" s="40"/>
    </row>
    <row r="287" spans="2:10" x14ac:dyDescent="0.2">
      <c r="B287" s="40"/>
    </row>
    <row r="288" spans="2:10" x14ac:dyDescent="0.2">
      <c r="B288" s="40"/>
    </row>
    <row r="289" spans="1:22" ht="12" thickBot="1" x14ac:dyDescent="0.25">
      <c r="B289" s="40"/>
    </row>
    <row r="290" spans="1:22" ht="25.5" customHeight="1" thickBot="1" x14ac:dyDescent="0.25">
      <c r="A290" s="493" t="s">
        <v>396</v>
      </c>
      <c r="B290" s="486"/>
      <c r="C290" s="492"/>
      <c r="D290" s="492"/>
      <c r="E290" s="492"/>
      <c r="F290" s="492"/>
      <c r="G290" s="492"/>
      <c r="H290" s="492"/>
      <c r="I290" s="492"/>
      <c r="J290" s="495" t="str">
        <f>"NPV, " &amp;Параметры!$C$126</f>
        <v>NPV, тыс. руб.</v>
      </c>
      <c r="K290" s="494"/>
      <c r="L290" s="494"/>
      <c r="M290" s="494"/>
      <c r="N290" s="494"/>
      <c r="O290" s="494"/>
      <c r="P290" s="494"/>
      <c r="Q290" s="494"/>
      <c r="R290" s="494"/>
      <c r="S290" s="494"/>
      <c r="T290" s="494"/>
      <c r="U290" s="494"/>
      <c r="V290" s="494"/>
    </row>
    <row r="291" spans="1:22" x14ac:dyDescent="0.2">
      <c r="B291" s="40"/>
    </row>
    <row r="292" spans="1:22" x14ac:dyDescent="0.2">
      <c r="B292" s="40"/>
    </row>
    <row r="293" spans="1:22" x14ac:dyDescent="0.2">
      <c r="B293" s="40"/>
      <c r="C293" s="29" t="str">
        <f>Графики_УК!$C$397</f>
        <v>Анализ чувствительности</v>
      </c>
      <c r="D293" s="12">
        <v>0</v>
      </c>
      <c r="E293" s="12">
        <v>1</v>
      </c>
      <c r="F293" s="12">
        <v>2</v>
      </c>
      <c r="G293" s="12">
        <v>3</v>
      </c>
      <c r="H293" s="12">
        <v>4</v>
      </c>
      <c r="I293" s="12">
        <v>5</v>
      </c>
      <c r="J293" s="12">
        <v>6</v>
      </c>
    </row>
    <row r="294" spans="1:22" x14ac:dyDescent="0.2">
      <c r="B294" s="40"/>
      <c r="D294" s="266"/>
      <c r="E294" s="266"/>
      <c r="F294" s="266"/>
      <c r="G294" s="266"/>
      <c r="H294" s="266"/>
      <c r="I294" s="266"/>
      <c r="J294" s="266"/>
    </row>
    <row r="295" spans="1:22" x14ac:dyDescent="0.2">
      <c r="B295" s="40"/>
      <c r="C295" s="29" t="str">
        <f>Графики_УК!C462</f>
        <v>К ставке дисконтирования</v>
      </c>
      <c r="D295" s="377">
        <f ca="1">OFFSET(Графики_УК!$E$462,D$214,0)</f>
        <v>7.0898552293001363E-2</v>
      </c>
      <c r="E295" s="377">
        <f ca="1">OFFSET(Графики_УК!$E$462,E$214,0)</f>
        <v>8.1026916906287272E-2</v>
      </c>
      <c r="F295" s="377">
        <f ca="1">OFFSET(Графики_УК!$E$462,F$214,0)</f>
        <v>9.1155281519573167E-2</v>
      </c>
      <c r="G295" s="377">
        <f ca="1">OFFSET(Графики_УК!$E$462,G$214,0)</f>
        <v>0.10128364613285908</v>
      </c>
      <c r="H295" s="377">
        <f ca="1">OFFSET(Графики_УК!$E$462,H$214,0)</f>
        <v>0.11141201074614498</v>
      </c>
      <c r="I295" s="377">
        <f ca="1">OFFSET(Графики_УК!$E$462,I$214,0)</f>
        <v>0.12154037535943091</v>
      </c>
      <c r="J295" s="377">
        <f ca="1">OFFSET(Графики_УК!$E$462,J$214,0)</f>
        <v>0.13166873997271683</v>
      </c>
    </row>
    <row r="296" spans="1:22" x14ac:dyDescent="0.2">
      <c r="B296" s="40"/>
      <c r="D296" s="376">
        <f ca="1">OFFSET(Графики_УК!$F$462,D$214,0)</f>
        <v>1403024.0176785155</v>
      </c>
      <c r="E296" s="376">
        <f ca="1">OFFSET(Графики_УК!$F$462,E$214,0)</f>
        <v>1046571.7893494759</v>
      </c>
      <c r="F296" s="376">
        <f ca="1">OFFSET(Графики_УК!$F$462,F$214,0)</f>
        <v>719991.15337593562</v>
      </c>
      <c r="G296" s="376">
        <f ca="1">OFFSET(Графики_УК!$F$462,G$214,0)</f>
        <v>420654.86896252848</v>
      </c>
      <c r="H296" s="376">
        <f ca="1">OFFSET(Графики_УК!$F$462,H$214,0)</f>
        <v>146186.48132832779</v>
      </c>
      <c r="I296" s="376">
        <f ca="1">OFFSET(Графики_УК!$F$462,I$214,0)</f>
        <v>-105565.63486263245</v>
      </c>
      <c r="J296" s="376">
        <f ca="1">OFFSET(Графики_УК!$F$462,J$214,0)</f>
        <v>-336551.33687872905</v>
      </c>
    </row>
    <row r="297" spans="1:22" x14ac:dyDescent="0.2">
      <c r="B297" s="40"/>
      <c r="C297" s="29" t="str">
        <f>Графики_УК!E460</f>
        <v xml:space="preserve">Ставка дисконтирования </v>
      </c>
      <c r="D297" s="266"/>
      <c r="E297" s="266"/>
      <c r="F297" s="266"/>
      <c r="G297" s="266"/>
      <c r="H297" s="266"/>
      <c r="I297" s="266"/>
      <c r="J297" s="266"/>
    </row>
    <row r="298" spans="1:22" x14ac:dyDescent="0.2">
      <c r="B298" s="40"/>
      <c r="D298" s="26"/>
      <c r="E298" s="26"/>
      <c r="F298" s="26"/>
      <c r="G298" s="26"/>
      <c r="H298" s="26"/>
      <c r="I298" s="26"/>
      <c r="J298" s="26"/>
    </row>
    <row r="299" spans="1:22" x14ac:dyDescent="0.2">
      <c r="B299" s="40"/>
      <c r="D299" s="376"/>
      <c r="E299" s="376"/>
      <c r="F299" s="376"/>
      <c r="G299" s="376"/>
      <c r="H299" s="376"/>
      <c r="I299" s="376"/>
      <c r="J299" s="376"/>
    </row>
    <row r="300" spans="1:22" x14ac:dyDescent="0.2">
      <c r="B300" s="40"/>
      <c r="D300" s="266"/>
      <c r="E300" s="266"/>
      <c r="F300" s="266"/>
      <c r="G300" s="266"/>
      <c r="H300" s="266"/>
      <c r="I300" s="266"/>
      <c r="J300" s="266"/>
    </row>
    <row r="301" spans="1:22" x14ac:dyDescent="0.2">
      <c r="B301" s="40"/>
      <c r="D301" s="26"/>
      <c r="E301" s="26"/>
      <c r="F301" s="26"/>
      <c r="G301" s="26"/>
      <c r="H301" s="26"/>
      <c r="I301" s="26"/>
      <c r="J301" s="26"/>
    </row>
    <row r="302" spans="1:22" x14ac:dyDescent="0.2">
      <c r="B302" s="40"/>
      <c r="D302" s="376"/>
      <c r="E302" s="376"/>
      <c r="F302" s="376"/>
      <c r="G302" s="376"/>
      <c r="H302" s="376"/>
      <c r="I302" s="376"/>
      <c r="J302" s="376"/>
    </row>
    <row r="303" spans="1:22" x14ac:dyDescent="0.2">
      <c r="B303" s="40"/>
      <c r="D303" s="266"/>
      <c r="E303" s="266"/>
      <c r="F303" s="266"/>
      <c r="G303" s="266"/>
      <c r="H303" s="266"/>
      <c r="I303" s="266"/>
      <c r="J303" s="266"/>
    </row>
    <row r="304" spans="1:22" x14ac:dyDescent="0.2">
      <c r="B304" s="40"/>
      <c r="D304" s="26"/>
      <c r="E304" s="26"/>
      <c r="F304" s="26"/>
      <c r="G304" s="26"/>
      <c r="H304" s="26"/>
      <c r="I304" s="26"/>
      <c r="J304" s="26"/>
    </row>
    <row r="305" spans="1:22" x14ac:dyDescent="0.2">
      <c r="B305" s="40"/>
      <c r="D305" s="376"/>
      <c r="E305" s="376"/>
      <c r="F305" s="376"/>
      <c r="G305" s="376"/>
      <c r="H305" s="376"/>
      <c r="I305" s="376"/>
      <c r="J305" s="376"/>
    </row>
    <row r="306" spans="1:22" x14ac:dyDescent="0.2">
      <c r="B306" s="40"/>
      <c r="D306" s="266"/>
      <c r="E306" s="266"/>
      <c r="F306" s="266"/>
      <c r="G306" s="266"/>
      <c r="H306" s="266"/>
      <c r="I306" s="266"/>
      <c r="J306" s="266"/>
    </row>
    <row r="307" spans="1:22" x14ac:dyDescent="0.2">
      <c r="B307" s="40"/>
      <c r="D307" s="26"/>
      <c r="E307" s="26"/>
      <c r="F307" s="26"/>
      <c r="G307" s="26"/>
      <c r="H307" s="26"/>
      <c r="I307" s="26"/>
      <c r="J307" s="26"/>
    </row>
    <row r="308" spans="1:22" x14ac:dyDescent="0.2">
      <c r="B308" s="40"/>
      <c r="D308" s="376"/>
      <c r="E308" s="376"/>
      <c r="F308" s="376"/>
      <c r="G308" s="376"/>
      <c r="H308" s="376"/>
      <c r="I308" s="376"/>
      <c r="J308" s="376"/>
    </row>
    <row r="309" spans="1:22" x14ac:dyDescent="0.2">
      <c r="B309" s="40"/>
    </row>
    <row r="310" spans="1:22" x14ac:dyDescent="0.2">
      <c r="B310" s="40"/>
    </row>
    <row r="311" spans="1:22" x14ac:dyDescent="0.2">
      <c r="B311" s="40"/>
    </row>
    <row r="312" spans="1:22" x14ac:dyDescent="0.2">
      <c r="B312" s="40"/>
    </row>
    <row r="313" spans="1:22" x14ac:dyDescent="0.2">
      <c r="B313" s="40"/>
    </row>
    <row r="314" spans="1:22" x14ac:dyDescent="0.2">
      <c r="B314" s="40"/>
    </row>
    <row r="315" spans="1:22" ht="12" thickBot="1" x14ac:dyDescent="0.25">
      <c r="B315" s="40"/>
    </row>
    <row r="316" spans="1:22" ht="25.5" customHeight="1" thickBot="1" x14ac:dyDescent="0.25">
      <c r="A316" s="493" t="s">
        <v>397</v>
      </c>
      <c r="B316" s="486"/>
      <c r="C316" s="492"/>
      <c r="D316" s="492"/>
      <c r="E316" s="492"/>
      <c r="F316" s="492"/>
      <c r="G316" s="492"/>
      <c r="H316" s="492"/>
      <c r="I316" s="492"/>
      <c r="J316" s="495" t="str">
        <f>"DPBP, лет / year"</f>
        <v>DPBP, лет / year</v>
      </c>
      <c r="K316" s="494"/>
      <c r="L316" s="494"/>
      <c r="M316" s="494"/>
      <c r="N316" s="494"/>
      <c r="O316" s="494"/>
      <c r="P316" s="494"/>
      <c r="Q316" s="494"/>
      <c r="R316" s="494"/>
      <c r="S316" s="494"/>
      <c r="T316" s="494"/>
      <c r="U316" s="494"/>
      <c r="V316" s="494"/>
    </row>
    <row r="317" spans="1:22" x14ac:dyDescent="0.2">
      <c r="B317" s="40"/>
    </row>
    <row r="318" spans="1:22" x14ac:dyDescent="0.2">
      <c r="B318" s="40"/>
    </row>
    <row r="319" spans="1:22" x14ac:dyDescent="0.2">
      <c r="B319" s="40"/>
      <c r="C319" s="29" t="str">
        <f>Графики_УК!$C$397</f>
        <v>Анализ чувствительности</v>
      </c>
      <c r="D319" s="12">
        <v>0</v>
      </c>
      <c r="E319" s="12">
        <v>1</v>
      </c>
      <c r="F319" s="12">
        <v>2</v>
      </c>
      <c r="G319" s="12">
        <v>3</v>
      </c>
      <c r="H319" s="12">
        <v>4</v>
      </c>
      <c r="I319" s="12">
        <v>5</v>
      </c>
      <c r="J319" s="12">
        <v>6</v>
      </c>
    </row>
    <row r="320" spans="1:22" x14ac:dyDescent="0.2">
      <c r="B320" s="40"/>
      <c r="D320" s="266"/>
      <c r="E320" s="266"/>
      <c r="F320" s="266"/>
      <c r="G320" s="266"/>
      <c r="H320" s="266"/>
      <c r="I320" s="266"/>
      <c r="J320" s="266"/>
    </row>
    <row r="321" spans="2:10" x14ac:dyDescent="0.2">
      <c r="B321" s="40"/>
      <c r="C321" s="29" t="str">
        <f>Графики_УК!C462</f>
        <v>К ставке дисконтирования</v>
      </c>
      <c r="D321" s="377">
        <f ca="1">OFFSET(Графики_УК!$E$462,D$214,0)</f>
        <v>7.0898552293001363E-2</v>
      </c>
      <c r="E321" s="377">
        <f ca="1">OFFSET(Графики_УК!$E$462,E$214,0)</f>
        <v>8.1026916906287272E-2</v>
      </c>
      <c r="F321" s="377">
        <f ca="1">OFFSET(Графики_УК!$E$462,F$214,0)</f>
        <v>9.1155281519573167E-2</v>
      </c>
      <c r="G321" s="377">
        <f ca="1">OFFSET(Графики_УК!$E$462,G$214,0)</f>
        <v>0.10128364613285908</v>
      </c>
      <c r="H321" s="377">
        <f ca="1">OFFSET(Графики_УК!$E$462,H$214,0)</f>
        <v>0.11141201074614498</v>
      </c>
      <c r="I321" s="377">
        <f ca="1">OFFSET(Графики_УК!$E$462,I$214,0)</f>
        <v>0.12154037535943091</v>
      </c>
      <c r="J321" s="377">
        <f ca="1">OFFSET(Графики_УК!$E$462,J$214,0)</f>
        <v>0.13166873997271683</v>
      </c>
    </row>
    <row r="322" spans="2:10" x14ac:dyDescent="0.2">
      <c r="B322" s="40"/>
      <c r="D322" s="376">
        <f ca="1">OFFSET(Графики_УК!$H$462,D$214,0)</f>
        <v>9.1118016671453272</v>
      </c>
      <c r="E322" s="376">
        <f ca="1">OFFSET(Графики_УК!$H$462,E$214,0)</f>
        <v>9.1274122232212473</v>
      </c>
      <c r="F322" s="376">
        <f ca="1">OFFSET(Графики_УК!$H$462,F$214,0)</f>
        <v>9.144091880489432</v>
      </c>
      <c r="G322" s="376">
        <f ca="1">OFFSET(Графики_УК!$H$462,G$214,0)</f>
        <v>9.1618965229894886</v>
      </c>
      <c r="H322" s="376">
        <f ca="1">OFFSET(Графики_УК!$H$462,H$214,0)</f>
        <v>9.1808843958378912</v>
      </c>
      <c r="I322" s="376">
        <f ca="1">OFFSET(Графики_УК!$H$462,I$214,0)</f>
        <v>9.201116185222256</v>
      </c>
      <c r="J322" s="376">
        <f ca="1">OFFSET(Графики_УК!$H$462,J$214,0)</f>
        <v>9.2226551004893373</v>
      </c>
    </row>
    <row r="323" spans="2:10" x14ac:dyDescent="0.2">
      <c r="B323" s="40"/>
      <c r="C323" s="29" t="str">
        <f>Графики_УК!E460</f>
        <v xml:space="preserve">Ставка дисконтирования </v>
      </c>
      <c r="D323" s="266"/>
      <c r="E323" s="266"/>
      <c r="F323" s="266"/>
      <c r="G323" s="266"/>
      <c r="H323" s="266"/>
      <c r="I323" s="266"/>
      <c r="J323" s="266"/>
    </row>
    <row r="324" spans="2:10" x14ac:dyDescent="0.2">
      <c r="B324" s="40"/>
    </row>
    <row r="325" spans="2:10" x14ac:dyDescent="0.2">
      <c r="B325" s="40"/>
    </row>
    <row r="326" spans="2:10" x14ac:dyDescent="0.2">
      <c r="B326" s="40"/>
    </row>
    <row r="327" spans="2:10" x14ac:dyDescent="0.2">
      <c r="B327" s="40"/>
    </row>
    <row r="328" spans="2:10" x14ac:dyDescent="0.2">
      <c r="B328" s="40"/>
    </row>
    <row r="329" spans="2:10" x14ac:dyDescent="0.2">
      <c r="B329" s="40"/>
    </row>
    <row r="330" spans="2:10" x14ac:dyDescent="0.2">
      <c r="B330" s="40"/>
    </row>
    <row r="331" spans="2:10" x14ac:dyDescent="0.2">
      <c r="B331" s="40"/>
    </row>
    <row r="332" spans="2:10" x14ac:dyDescent="0.2">
      <c r="B332" s="40"/>
    </row>
    <row r="333" spans="2:10" x14ac:dyDescent="0.2">
      <c r="B333" s="40"/>
    </row>
    <row r="334" spans="2:10" x14ac:dyDescent="0.2">
      <c r="B334" s="40"/>
    </row>
    <row r="335" spans="2:10" x14ac:dyDescent="0.2">
      <c r="B335" s="40"/>
    </row>
    <row r="336" spans="2:10" x14ac:dyDescent="0.2">
      <c r="B336" s="40"/>
    </row>
    <row r="337" spans="1:22" x14ac:dyDescent="0.2">
      <c r="B337" s="40"/>
    </row>
    <row r="338" spans="1:22" x14ac:dyDescent="0.2">
      <c r="B338" s="40"/>
    </row>
    <row r="339" spans="1:22" x14ac:dyDescent="0.2">
      <c r="B339" s="40"/>
    </row>
    <row r="340" spans="1:22" x14ac:dyDescent="0.2">
      <c r="B340" s="40"/>
    </row>
    <row r="341" spans="1:22" ht="12" thickBot="1" x14ac:dyDescent="0.25">
      <c r="B341" s="40"/>
    </row>
    <row r="342" spans="1:22" ht="25.5" customHeight="1" thickBot="1" x14ac:dyDescent="0.25">
      <c r="A342" s="493" t="s">
        <v>439</v>
      </c>
      <c r="B342" s="486"/>
      <c r="C342" s="492"/>
      <c r="D342" s="492"/>
      <c r="E342" s="492"/>
      <c r="F342" s="492"/>
      <c r="G342" s="492"/>
      <c r="H342" s="492"/>
      <c r="I342" s="492"/>
      <c r="J342" s="495" t="str">
        <f>"NPV, " &amp;Параметры!$C$126</f>
        <v>NPV, тыс. руб.</v>
      </c>
      <c r="K342" s="494"/>
      <c r="L342" s="494"/>
      <c r="M342" s="494"/>
      <c r="N342" s="494"/>
      <c r="O342" s="494"/>
      <c r="P342" s="494"/>
      <c r="Q342" s="494"/>
      <c r="R342" s="494"/>
      <c r="S342" s="494"/>
      <c r="T342" s="494"/>
      <c r="U342" s="494"/>
      <c r="V342" s="494"/>
    </row>
    <row r="343" spans="1:22" x14ac:dyDescent="0.2">
      <c r="B343" s="40"/>
    </row>
    <row r="344" spans="1:22" x14ac:dyDescent="0.2">
      <c r="B344" s="40"/>
    </row>
    <row r="345" spans="1:22" x14ac:dyDescent="0.2">
      <c r="B345" s="40"/>
      <c r="C345" s="29" t="str">
        <f>Графики_УК!$C$397</f>
        <v>Анализ чувствительности</v>
      </c>
      <c r="D345" s="12">
        <v>0</v>
      </c>
      <c r="E345" s="12">
        <v>1</v>
      </c>
      <c r="F345" s="12">
        <v>2</v>
      </c>
      <c r="G345" s="12">
        <v>3</v>
      </c>
      <c r="H345" s="12">
        <v>4</v>
      </c>
      <c r="I345" s="12">
        <v>5</v>
      </c>
      <c r="J345" s="12">
        <v>6</v>
      </c>
    </row>
    <row r="346" spans="1:22" x14ac:dyDescent="0.2">
      <c r="B346" s="40"/>
      <c r="D346" s="266"/>
      <c r="E346" s="266"/>
      <c r="F346" s="266"/>
      <c r="G346" s="266"/>
      <c r="H346" s="266"/>
      <c r="I346" s="266"/>
      <c r="J346" s="266"/>
    </row>
    <row r="347" spans="1:22" ht="22.5" x14ac:dyDescent="0.2">
      <c r="B347" s="40"/>
      <c r="C347" s="43" t="str">
        <f>Графики_УК!C484</f>
        <v>К курсам валют</v>
      </c>
      <c r="D347" s="378" t="str">
        <f ca="1">OFFSET(Графики_УК!$E$484,D$214,0)</f>
        <v xml:space="preserve">78,50
92,40   </v>
      </c>
      <c r="E347" s="378" t="str">
        <f ca="1">OFFSET(Графики_УК!$E$484,E$214,0)</f>
        <v xml:space="preserve">78,50
92,40   </v>
      </c>
      <c r="F347" s="378" t="str">
        <f ca="1">OFFSET(Графики_УК!$E$484,F$214,0)</f>
        <v xml:space="preserve">78,50
92,40   </v>
      </c>
      <c r="G347" s="378" t="str">
        <f ca="1">OFFSET(Графики_УК!$E$484,G$214,0)</f>
        <v xml:space="preserve">78,50
92,40   </v>
      </c>
      <c r="H347" s="378" t="str">
        <f ca="1">OFFSET(Графики_УК!$E$484,H$214,0)</f>
        <v xml:space="preserve">78,50
92,40   </v>
      </c>
      <c r="I347" s="378" t="str">
        <f ca="1">OFFSET(Графики_УК!$E$484,I$214,0)</f>
        <v xml:space="preserve">78,50
92,40   </v>
      </c>
      <c r="J347" s="378" t="str">
        <f ca="1">OFFSET(Графики_УК!$E$484,J$214,0)</f>
        <v xml:space="preserve">78,50
92,40   </v>
      </c>
    </row>
    <row r="348" spans="1:22" x14ac:dyDescent="0.2">
      <c r="B348" s="40"/>
      <c r="D348" s="376">
        <f ca="1">OFFSET(Графики_УК!$F$484,D$214,0)</f>
        <v>420654.86896252848</v>
      </c>
      <c r="E348" s="376">
        <f ca="1">OFFSET(Графики_УК!$F$484,E$214,0)</f>
        <v>420654.86896252848</v>
      </c>
      <c r="F348" s="376">
        <f ca="1">OFFSET(Графики_УК!$F$484,F$214,0)</f>
        <v>420654.86896252848</v>
      </c>
      <c r="G348" s="376">
        <f ca="1">OFFSET(Графики_УК!$F$484,G$214,0)</f>
        <v>420654.86896252848</v>
      </c>
      <c r="H348" s="376">
        <f ca="1">OFFSET(Графики_УК!$F$484,H$214,0)</f>
        <v>420654.86896252848</v>
      </c>
      <c r="I348" s="376">
        <f ca="1">OFFSET(Графики_УК!$F$484,I$214,0)</f>
        <v>420654.86896252848</v>
      </c>
      <c r="J348" s="376">
        <f ca="1">OFFSET(Графики_УК!$F$484,J$214,0)</f>
        <v>420654.86896252848</v>
      </c>
    </row>
    <row r="349" spans="1:22" x14ac:dyDescent="0.2">
      <c r="B349" s="40"/>
      <c r="C349" s="29" t="str">
        <f>Графики_УК!E482</f>
        <v>Курсы валют: 
тыс. руб. / тыс. $
тыс. руб. / тыс. EUR</v>
      </c>
      <c r="D349" s="266"/>
      <c r="E349" s="266"/>
      <c r="F349" s="266"/>
      <c r="G349" s="266"/>
      <c r="H349" s="266"/>
      <c r="I349" s="266"/>
      <c r="J349" s="266"/>
    </row>
    <row r="350" spans="1:22" x14ac:dyDescent="0.2">
      <c r="B350" s="40"/>
    </row>
    <row r="351" spans="1:22" x14ac:dyDescent="0.2">
      <c r="B351" s="40"/>
    </row>
    <row r="352" spans="1:22" x14ac:dyDescent="0.2">
      <c r="B352" s="40"/>
    </row>
    <row r="353" spans="1:22" x14ac:dyDescent="0.2">
      <c r="B353" s="40"/>
    </row>
    <row r="354" spans="1:22" x14ac:dyDescent="0.2">
      <c r="B354" s="40"/>
    </row>
    <row r="355" spans="1:22" x14ac:dyDescent="0.2">
      <c r="B355" s="40"/>
    </row>
    <row r="356" spans="1:22" x14ac:dyDescent="0.2">
      <c r="B356" s="40"/>
    </row>
    <row r="357" spans="1:22" x14ac:dyDescent="0.2">
      <c r="B357" s="40"/>
    </row>
    <row r="358" spans="1:22" x14ac:dyDescent="0.2">
      <c r="B358" s="40"/>
    </row>
    <row r="359" spans="1:22" x14ac:dyDescent="0.2">
      <c r="B359" s="40"/>
    </row>
    <row r="360" spans="1:22" x14ac:dyDescent="0.2">
      <c r="B360" s="40"/>
    </row>
    <row r="361" spans="1:22" x14ac:dyDescent="0.2">
      <c r="B361" s="40"/>
    </row>
    <row r="362" spans="1:22" x14ac:dyDescent="0.2">
      <c r="B362" s="40"/>
    </row>
    <row r="363" spans="1:22" x14ac:dyDescent="0.2">
      <c r="B363" s="40"/>
    </row>
    <row r="364" spans="1:22" x14ac:dyDescent="0.2">
      <c r="B364" s="40"/>
    </row>
    <row r="365" spans="1:22" x14ac:dyDescent="0.2">
      <c r="B365" s="40"/>
    </row>
    <row r="366" spans="1:22" x14ac:dyDescent="0.2">
      <c r="B366" s="40"/>
    </row>
    <row r="367" spans="1:22" ht="12" thickBot="1" x14ac:dyDescent="0.25">
      <c r="B367" s="40"/>
    </row>
    <row r="368" spans="1:22" ht="25.5" customHeight="1" thickBot="1" x14ac:dyDescent="0.25">
      <c r="A368" s="493" t="s">
        <v>440</v>
      </c>
      <c r="B368" s="486"/>
      <c r="C368" s="492"/>
      <c r="D368" s="492"/>
      <c r="E368" s="492"/>
      <c r="F368" s="492"/>
      <c r="G368" s="492"/>
      <c r="H368" s="492"/>
      <c r="I368" s="492"/>
      <c r="J368" s="495" t="str">
        <f>"NPV, " &amp;Параметры!$C$126</f>
        <v>NPV, тыс. руб.</v>
      </c>
      <c r="K368" s="494"/>
      <c r="L368" s="494"/>
      <c r="M368" s="494"/>
      <c r="N368" s="494"/>
      <c r="O368" s="494"/>
      <c r="P368" s="494"/>
      <c r="Q368" s="494"/>
      <c r="R368" s="494"/>
      <c r="S368" s="494"/>
      <c r="T368" s="494"/>
      <c r="U368" s="494"/>
      <c r="V368" s="494"/>
    </row>
    <row r="369" spans="2:10" x14ac:dyDescent="0.2">
      <c r="B369" s="40"/>
    </row>
    <row r="370" spans="2:10" x14ac:dyDescent="0.2">
      <c r="B370" s="40"/>
    </row>
    <row r="371" spans="2:10" x14ac:dyDescent="0.2">
      <c r="B371" s="40"/>
      <c r="C371" s="29" t="str">
        <f>Графики_УК!$C$397</f>
        <v>Анализ чувствительности</v>
      </c>
      <c r="D371" s="12">
        <v>0</v>
      </c>
      <c r="E371" s="12">
        <v>1</v>
      </c>
      <c r="F371" s="12">
        <v>2</v>
      </c>
      <c r="G371" s="12">
        <v>3</v>
      </c>
      <c r="H371" s="12">
        <v>4</v>
      </c>
      <c r="I371" s="12">
        <v>5</v>
      </c>
      <c r="J371" s="12">
        <v>6</v>
      </c>
    </row>
    <row r="372" spans="2:10" x14ac:dyDescent="0.2">
      <c r="B372" s="40"/>
      <c r="D372" s="266"/>
      <c r="E372" s="266"/>
      <c r="F372" s="266"/>
      <c r="G372" s="266"/>
      <c r="H372" s="266"/>
      <c r="I372" s="266"/>
      <c r="J372" s="266"/>
    </row>
    <row r="373" spans="2:10" x14ac:dyDescent="0.2">
      <c r="B373" s="40"/>
      <c r="C373" s="43" t="str">
        <f>Графики_УК!C495</f>
        <v>К инфляции</v>
      </c>
      <c r="D373" s="378">
        <f ca="1">OFFSET(Графики_УК!$E$495,D$214,0)</f>
        <v>3.5847241570710418E-2</v>
      </c>
      <c r="E373" s="378">
        <f ca="1">OFFSET(Графики_УК!$E$495,E$214,0)</f>
        <v>3.5847241570710418E-2</v>
      </c>
      <c r="F373" s="378">
        <f ca="1">OFFSET(Графики_УК!$E$495,F$214,0)</f>
        <v>3.5847241570710418E-2</v>
      </c>
      <c r="G373" s="378">
        <f ca="1">OFFSET(Графики_УК!$E$495,G$214,0)</f>
        <v>3.5847241570710418E-2</v>
      </c>
      <c r="H373" s="378">
        <f ca="1">OFFSET(Графики_УК!$E$495,H$214,0)</f>
        <v>3.5847241570710418E-2</v>
      </c>
      <c r="I373" s="378">
        <f ca="1">OFFSET(Графики_УК!$E$495,I$214,0)</f>
        <v>3.5847241570710418E-2</v>
      </c>
      <c r="J373" s="378">
        <f ca="1">OFFSET(Графики_УК!$E$495,J$214,0)</f>
        <v>3.5847241570710418E-2</v>
      </c>
    </row>
    <row r="374" spans="2:10" x14ac:dyDescent="0.2">
      <c r="B374" s="40"/>
      <c r="D374" s="376">
        <f ca="1">OFFSET(Графики_УК!$F$495,D$214,0)</f>
        <v>420654.86896252848</v>
      </c>
      <c r="E374" s="376">
        <f ca="1">OFFSET(Графики_УК!$F$495,E$214,0)</f>
        <v>420654.86896252848</v>
      </c>
      <c r="F374" s="376">
        <f ca="1">OFFSET(Графики_УК!$F$495,F$214,0)</f>
        <v>420654.86896252848</v>
      </c>
      <c r="G374" s="376">
        <f ca="1">OFFSET(Графики_УК!$F$495,G$214,0)</f>
        <v>420654.86896252848</v>
      </c>
      <c r="H374" s="376">
        <f ca="1">OFFSET(Графики_УК!$F$495,H$214,0)</f>
        <v>420654.86896252848</v>
      </c>
      <c r="I374" s="376">
        <f ca="1">OFFSET(Графики_УК!$F$495,I$214,0)</f>
        <v>420654.86896252848</v>
      </c>
      <c r="J374" s="376">
        <f ca="1">OFFSET(Графики_УК!$F$495,J$214,0)</f>
        <v>420654.86896252848</v>
      </c>
    </row>
    <row r="375" spans="2:10" x14ac:dyDescent="0.2">
      <c r="B375" s="40"/>
      <c r="C375" s="29" t="str">
        <f>Графики_УК!E493</f>
        <v>Инфляция</v>
      </c>
      <c r="D375" s="266"/>
      <c r="E375" s="266"/>
      <c r="F375" s="266"/>
      <c r="G375" s="266"/>
      <c r="H375" s="266"/>
      <c r="I375" s="266"/>
      <c r="J375" s="266"/>
    </row>
    <row r="376" spans="2:10" x14ac:dyDescent="0.2">
      <c r="B376" s="40"/>
    </row>
    <row r="377" spans="2:10" x14ac:dyDescent="0.2">
      <c r="B377" s="40"/>
    </row>
    <row r="378" spans="2:10" x14ac:dyDescent="0.2">
      <c r="B378" s="40"/>
    </row>
    <row r="379" spans="2:10" x14ac:dyDescent="0.2">
      <c r="B379" s="40"/>
    </row>
    <row r="380" spans="2:10" x14ac:dyDescent="0.2">
      <c r="B380" s="40"/>
    </row>
    <row r="381" spans="2:10" x14ac:dyDescent="0.2">
      <c r="B381" s="40"/>
    </row>
    <row r="382" spans="2:10" x14ac:dyDescent="0.2">
      <c r="B382" s="40"/>
    </row>
    <row r="383" spans="2:10" x14ac:dyDescent="0.2">
      <c r="B383" s="40"/>
    </row>
    <row r="384" spans="2:10" x14ac:dyDescent="0.2">
      <c r="B384" s="40"/>
    </row>
    <row r="385" spans="1:13" x14ac:dyDescent="0.2">
      <c r="B385" s="40"/>
    </row>
    <row r="386" spans="1:13" x14ac:dyDescent="0.2">
      <c r="B386" s="40"/>
    </row>
    <row r="387" spans="1:13" x14ac:dyDescent="0.2">
      <c r="B387" s="40"/>
    </row>
    <row r="388" spans="1:13" x14ac:dyDescent="0.2">
      <c r="B388" s="40"/>
    </row>
    <row r="389" spans="1:13" x14ac:dyDescent="0.2">
      <c r="B389" s="40"/>
    </row>
    <row r="390" spans="1:13" x14ac:dyDescent="0.2">
      <c r="B390" s="40"/>
    </row>
    <row r="391" spans="1:13" x14ac:dyDescent="0.2">
      <c r="B391" s="40"/>
    </row>
    <row r="392" spans="1:13" x14ac:dyDescent="0.2">
      <c r="B392" s="40"/>
    </row>
    <row r="393" spans="1:13" x14ac:dyDescent="0.2">
      <c r="B393" s="40"/>
    </row>
    <row r="394" spans="1:13" x14ac:dyDescent="0.2">
      <c r="B394" s="40"/>
    </row>
    <row r="395" spans="1:13" x14ac:dyDescent="0.2">
      <c r="B395" s="40"/>
    </row>
    <row r="396" spans="1:13" x14ac:dyDescent="0.2">
      <c r="B396" s="40"/>
    </row>
    <row r="397" spans="1:13" ht="14.25" customHeight="1" x14ac:dyDescent="0.2">
      <c r="A397" s="367"/>
      <c r="B397" s="367"/>
      <c r="C397" s="368" t="s">
        <v>462</v>
      </c>
      <c r="D397" s="367"/>
      <c r="E397" s="367"/>
      <c r="F397" s="367"/>
      <c r="G397" s="367"/>
      <c r="H397" s="367"/>
      <c r="I397" s="367"/>
      <c r="J397" s="367"/>
      <c r="K397" s="367"/>
      <c r="L397" s="367"/>
      <c r="M397" s="367"/>
    </row>
    <row r="398" spans="1:13" x14ac:dyDescent="0.2">
      <c r="C398" s="162"/>
    </row>
    <row r="399" spans="1:13" ht="27" customHeight="1" x14ac:dyDescent="0.2">
      <c r="C399" s="379" t="s">
        <v>952</v>
      </c>
      <c r="D399" s="382">
        <v>1</v>
      </c>
      <c r="E399" s="139" t="s">
        <v>957</v>
      </c>
    </row>
    <row r="400" spans="1:13" ht="27" customHeight="1" x14ac:dyDescent="0.2">
      <c r="C400" s="380" t="s">
        <v>935</v>
      </c>
      <c r="D400" s="383">
        <v>1</v>
      </c>
      <c r="E400" s="139" t="s">
        <v>956</v>
      </c>
    </row>
    <row r="401" spans="3:7" ht="27" customHeight="1" x14ac:dyDescent="0.2">
      <c r="C401" s="380" t="s">
        <v>954</v>
      </c>
      <c r="D401" s="383">
        <v>1</v>
      </c>
      <c r="E401" s="139" t="s">
        <v>958</v>
      </c>
    </row>
    <row r="402" spans="3:7" ht="27" customHeight="1" x14ac:dyDescent="0.2">
      <c r="C402" s="380" t="s">
        <v>950</v>
      </c>
      <c r="D402" s="383">
        <v>1</v>
      </c>
      <c r="E402" s="139"/>
    </row>
    <row r="403" spans="3:7" ht="27" customHeight="1" x14ac:dyDescent="0.2">
      <c r="C403" s="380" t="s">
        <v>395</v>
      </c>
      <c r="D403" s="383">
        <v>1</v>
      </c>
      <c r="E403" s="139"/>
    </row>
    <row r="404" spans="3:7" ht="27" customHeight="1" x14ac:dyDescent="0.2">
      <c r="C404" s="380" t="s">
        <v>432</v>
      </c>
      <c r="D404" s="383">
        <v>1</v>
      </c>
      <c r="E404" s="139"/>
    </row>
    <row r="405" spans="3:7" ht="27" customHeight="1" x14ac:dyDescent="0.2">
      <c r="C405" s="380" t="s">
        <v>434</v>
      </c>
      <c r="D405" s="383">
        <v>1</v>
      </c>
      <c r="E405" s="139"/>
    </row>
    <row r="406" spans="3:7" ht="27" customHeight="1" x14ac:dyDescent="0.2">
      <c r="C406" s="381" t="s">
        <v>375</v>
      </c>
      <c r="D406" s="384">
        <v>1</v>
      </c>
      <c r="E406" s="139" t="s">
        <v>959</v>
      </c>
    </row>
    <row r="407" spans="3:7" x14ac:dyDescent="0.2">
      <c r="C407" s="162"/>
    </row>
    <row r="408" spans="3:7" x14ac:dyDescent="0.2">
      <c r="C408" s="219" t="s">
        <v>465</v>
      </c>
      <c r="D408" s="385">
        <f ca="1">Результаты_УК!$B$288</f>
        <v>420654.86896252848</v>
      </c>
    </row>
    <row r="409" spans="3:7" x14ac:dyDescent="0.2">
      <c r="C409" s="219" t="s">
        <v>466</v>
      </c>
      <c r="D409" s="386">
        <f ca="1">Результаты_УК!$B$290</f>
        <v>0.11330118433313929</v>
      </c>
    </row>
    <row r="410" spans="3:7" x14ac:dyDescent="0.2">
      <c r="C410" s="219" t="s">
        <v>467</v>
      </c>
      <c r="D410" s="387">
        <f ca="1">Результаты_УК!$B$301</f>
        <v>9.1618965229894886</v>
      </c>
    </row>
    <row r="411" spans="3:7" x14ac:dyDescent="0.2">
      <c r="C411" s="219" t="s">
        <v>468</v>
      </c>
      <c r="D411" s="388">
        <f ca="1">Результаты_УК!$B$269</f>
        <v>0.10128364613285909</v>
      </c>
    </row>
    <row r="412" spans="3:7" x14ac:dyDescent="0.2">
      <c r="C412" s="162"/>
    </row>
    <row r="413" spans="3:7" x14ac:dyDescent="0.2">
      <c r="C413" s="162"/>
    </row>
    <row r="414" spans="3:7" x14ac:dyDescent="0.2">
      <c r="C414" s="162"/>
    </row>
    <row r="415" spans="3:7" x14ac:dyDescent="0.2">
      <c r="C415" s="162"/>
    </row>
    <row r="416" spans="3:7" x14ac:dyDescent="0.2">
      <c r="C416" s="240" t="s">
        <v>376</v>
      </c>
      <c r="D416" s="242" t="s">
        <v>420</v>
      </c>
      <c r="E416" s="242" t="s">
        <v>421</v>
      </c>
      <c r="F416" s="242" t="s">
        <v>423</v>
      </c>
      <c r="G416" s="242" t="s">
        <v>422</v>
      </c>
    </row>
    <row r="417" spans="3:7" x14ac:dyDescent="0.2">
      <c r="C417" s="219" t="s">
        <v>377</v>
      </c>
      <c r="D417" s="297">
        <v>1</v>
      </c>
      <c r="E417" s="243">
        <f ca="1">Графики_УК!$D$408</f>
        <v>420654.86896252848</v>
      </c>
      <c r="F417" s="245">
        <f ca="1">IF(Графики_УК!$D$409 = "-", NA(),Графики_УК!$D$409)</f>
        <v>0.11330118433313929</v>
      </c>
      <c r="G417" s="246">
        <f ca="1">IF(Графики_УК!$D$410= "-", NA(),Графики_УК!$D$410)</f>
        <v>9.1618965229894886</v>
      </c>
    </row>
    <row r="418" spans="3:7" x14ac:dyDescent="0.2">
      <c r="C418" s="1029" t="s">
        <v>953</v>
      </c>
      <c r="D418" s="298">
        <f>D417-30%</f>
        <v>0.7</v>
      </c>
      <c r="E418" s="288">
        <f t="dataTable" ref="E418:G424" dt2D="0" dtr="0" r1="D399" ca="1"/>
        <v>-663662.18705169449</v>
      </c>
      <c r="F418" s="289">
        <v>7.8282581387759897E-2</v>
      </c>
      <c r="G418" s="290" t="e">
        <v>#N/A</v>
      </c>
    </row>
    <row r="419" spans="3:7" x14ac:dyDescent="0.2">
      <c r="C419" s="1029"/>
      <c r="D419" s="299">
        <f>D418+10%</f>
        <v>0.79999999999999993</v>
      </c>
      <c r="E419" s="291">
        <v>-302190.57337789761</v>
      </c>
      <c r="F419" s="292">
        <v>8.9836975134995445E-2</v>
      </c>
      <c r="G419" s="293">
        <v>9.2194347708682827</v>
      </c>
    </row>
    <row r="420" spans="3:7" x14ac:dyDescent="0.2">
      <c r="C420" s="1029"/>
      <c r="D420" s="299">
        <f t="shared" ref="D420:D424" si="0">D419+10%</f>
        <v>0.89999999999999991</v>
      </c>
      <c r="E420" s="291">
        <v>58603.17688132538</v>
      </c>
      <c r="F420" s="292">
        <v>0.10142681567410783</v>
      </c>
      <c r="G420" s="293">
        <v>9.5426469799363201</v>
      </c>
    </row>
    <row r="421" spans="3:7" x14ac:dyDescent="0.2">
      <c r="C421" s="1029"/>
      <c r="D421" s="299">
        <f t="shared" si="0"/>
        <v>0.99999999999999989</v>
      </c>
      <c r="E421" s="291">
        <v>420654.86896252842</v>
      </c>
      <c r="F421" s="292">
        <v>0.11330118433313929</v>
      </c>
      <c r="G421" s="293">
        <v>9.1618965229894886</v>
      </c>
    </row>
    <row r="422" spans="3:7" x14ac:dyDescent="0.2">
      <c r="C422" s="1029"/>
      <c r="D422" s="299">
        <f t="shared" si="0"/>
        <v>1.0999999999999999</v>
      </c>
      <c r="E422" s="291">
        <v>755085.96984699473</v>
      </c>
      <c r="F422" s="292">
        <v>0.12514862380423142</v>
      </c>
      <c r="G422" s="293">
        <v>9.1375295051527843</v>
      </c>
    </row>
    <row r="423" spans="3:7" x14ac:dyDescent="0.2">
      <c r="C423" s="1029"/>
      <c r="D423" s="299">
        <f t="shared" si="0"/>
        <v>1.2</v>
      </c>
      <c r="E423" s="291">
        <v>1087150.7902176206</v>
      </c>
      <c r="F423" s="292">
        <v>0.13692901915848088</v>
      </c>
      <c r="G423" s="293">
        <v>9.1147125940205136</v>
      </c>
    </row>
    <row r="424" spans="3:7" x14ac:dyDescent="0.2">
      <c r="C424" s="1029"/>
      <c r="D424" s="300">
        <f t="shared" si="0"/>
        <v>1.3</v>
      </c>
      <c r="E424" s="294">
        <v>1417454.6614228268</v>
      </c>
      <c r="F424" s="295">
        <v>0.14864920779563673</v>
      </c>
      <c r="G424" s="296">
        <v>9.0921478833405072</v>
      </c>
    </row>
    <row r="425" spans="3:7" x14ac:dyDescent="0.2">
      <c r="C425" s="162"/>
    </row>
    <row r="426" spans="3:7" x14ac:dyDescent="0.2">
      <c r="C426" s="162"/>
    </row>
    <row r="427" spans="3:7" ht="22.5" x14ac:dyDescent="0.2">
      <c r="C427" s="240" t="s">
        <v>376</v>
      </c>
      <c r="D427" s="242" t="s">
        <v>374</v>
      </c>
      <c r="E427" s="242" t="s">
        <v>421</v>
      </c>
      <c r="F427" s="242" t="s">
        <v>423</v>
      </c>
      <c r="G427" s="242" t="s">
        <v>422</v>
      </c>
    </row>
    <row r="428" spans="3:7" x14ac:dyDescent="0.2">
      <c r="C428" s="219" t="s">
        <v>377</v>
      </c>
      <c r="D428" s="297">
        <v>1</v>
      </c>
      <c r="E428" s="243">
        <f ca="1">Графики_УК!$D$408</f>
        <v>420654.86896252848</v>
      </c>
      <c r="F428" s="245">
        <f ca="1">IF(Графики_УК!$D$409 = "-", NA(),Графики_УК!$D$409)</f>
        <v>0.11330118433313929</v>
      </c>
      <c r="G428" s="246">
        <f ca="1">IF(Графики_УК!$D$410= "-", NA(),Графики_УК!$D$410)</f>
        <v>9.1618965229894886</v>
      </c>
    </row>
    <row r="429" spans="3:7" x14ac:dyDescent="0.2">
      <c r="C429" s="1029" t="s">
        <v>936</v>
      </c>
      <c r="D429" s="298">
        <f>D428-30%</f>
        <v>0.7</v>
      </c>
      <c r="E429" s="288">
        <f t="dataTable" ref="E429:G435" dt2D="0" dtr="0" r1="D400" ca="1"/>
        <v>420654.86896252848</v>
      </c>
      <c r="F429" s="289">
        <v>0.11330118433313929</v>
      </c>
      <c r="G429" s="290">
        <v>9.1618965229894886</v>
      </c>
    </row>
    <row r="430" spans="3:7" x14ac:dyDescent="0.2">
      <c r="C430" s="1029"/>
      <c r="D430" s="299">
        <f>D429+10%</f>
        <v>0.79999999999999993</v>
      </c>
      <c r="E430" s="291">
        <v>420654.86896252848</v>
      </c>
      <c r="F430" s="292">
        <v>0.11330118433313929</v>
      </c>
      <c r="G430" s="293">
        <v>9.1618965229894886</v>
      </c>
    </row>
    <row r="431" spans="3:7" x14ac:dyDescent="0.2">
      <c r="C431" s="1029"/>
      <c r="D431" s="299">
        <f t="shared" ref="D431:D435" si="1">D430+10%</f>
        <v>0.89999999999999991</v>
      </c>
      <c r="E431" s="291">
        <v>420654.86896252848</v>
      </c>
      <c r="F431" s="292">
        <v>0.11330118433313929</v>
      </c>
      <c r="G431" s="293">
        <v>9.1618965229894886</v>
      </c>
    </row>
    <row r="432" spans="3:7" x14ac:dyDescent="0.2">
      <c r="C432" s="1029"/>
      <c r="D432" s="299">
        <f t="shared" si="1"/>
        <v>0.99999999999999989</v>
      </c>
      <c r="E432" s="291">
        <v>420654.86896252848</v>
      </c>
      <c r="F432" s="292">
        <v>0.11330118433313929</v>
      </c>
      <c r="G432" s="293">
        <v>9.1618965229894886</v>
      </c>
    </row>
    <row r="433" spans="3:7" x14ac:dyDescent="0.2">
      <c r="C433" s="1029"/>
      <c r="D433" s="299">
        <f t="shared" si="1"/>
        <v>1.0999999999999999</v>
      </c>
      <c r="E433" s="291">
        <v>420654.86896252848</v>
      </c>
      <c r="F433" s="292">
        <v>0.11330118433313929</v>
      </c>
      <c r="G433" s="293">
        <v>9.1618965229894886</v>
      </c>
    </row>
    <row r="434" spans="3:7" x14ac:dyDescent="0.2">
      <c r="C434" s="1029"/>
      <c r="D434" s="299">
        <f t="shared" si="1"/>
        <v>1.2</v>
      </c>
      <c r="E434" s="291">
        <v>420654.86896252848</v>
      </c>
      <c r="F434" s="292">
        <v>0.11330118433313929</v>
      </c>
      <c r="G434" s="293">
        <v>9.1618965229894886</v>
      </c>
    </row>
    <row r="435" spans="3:7" x14ac:dyDescent="0.2">
      <c r="C435" s="1029"/>
      <c r="D435" s="300">
        <f t="shared" si="1"/>
        <v>1.3</v>
      </c>
      <c r="E435" s="294">
        <v>420654.86896252848</v>
      </c>
      <c r="F435" s="295">
        <v>0.11330118433313929</v>
      </c>
      <c r="G435" s="296">
        <v>9.1618965229894886</v>
      </c>
    </row>
    <row r="436" spans="3:7" x14ac:dyDescent="0.2">
      <c r="C436" s="105"/>
      <c r="D436" s="244"/>
      <c r="E436" s="266"/>
      <c r="F436" s="82"/>
    </row>
    <row r="437" spans="3:7" x14ac:dyDescent="0.2">
      <c r="C437" s="162"/>
    </row>
    <row r="438" spans="3:7" ht="22.5" x14ac:dyDescent="0.2">
      <c r="C438" s="240" t="s">
        <v>376</v>
      </c>
      <c r="D438" s="242" t="s">
        <v>378</v>
      </c>
      <c r="E438" s="242" t="s">
        <v>421</v>
      </c>
      <c r="F438" s="242" t="s">
        <v>423</v>
      </c>
      <c r="G438" s="242" t="s">
        <v>422</v>
      </c>
    </row>
    <row r="439" spans="3:7" x14ac:dyDescent="0.2">
      <c r="C439" s="219" t="s">
        <v>377</v>
      </c>
      <c r="D439" s="297">
        <v>1</v>
      </c>
      <c r="E439" s="243">
        <f ca="1">Графики_УК!$D$408</f>
        <v>420654.86896252848</v>
      </c>
      <c r="F439" s="245">
        <f ca="1">IF(Графики_УК!$D$409 = "-", NA(),Графики_УК!$D$409)</f>
        <v>0.11330118433313929</v>
      </c>
      <c r="G439" s="246">
        <f ca="1">IF(Графики_УК!$D$410= "-", NA(),Графики_УК!$D$410)</f>
        <v>9.1618965229894886</v>
      </c>
    </row>
    <row r="440" spans="3:7" x14ac:dyDescent="0.2">
      <c r="C440" s="1029" t="s">
        <v>955</v>
      </c>
      <c r="D440" s="298">
        <f>D439-30%</f>
        <v>0.7</v>
      </c>
      <c r="E440" s="288">
        <f t="dataTable" ref="E440:G446" dt2D="0" dtr="0" r1="D401" ca="1"/>
        <v>598861.15737307037</v>
      </c>
      <c r="F440" s="289">
        <v>0.11933980587365589</v>
      </c>
      <c r="G440" s="290">
        <v>9.1610544279296366</v>
      </c>
    </row>
    <row r="441" spans="3:7" x14ac:dyDescent="0.2">
      <c r="C441" s="1029"/>
      <c r="D441" s="299">
        <f>D440+10%</f>
        <v>0.79999999999999993</v>
      </c>
      <c r="E441" s="291">
        <v>539459.06123622379</v>
      </c>
      <c r="F441" s="292">
        <v>0.11735455817291873</v>
      </c>
      <c r="G441" s="293">
        <v>9.1613351296360523</v>
      </c>
    </row>
    <row r="442" spans="3:7" x14ac:dyDescent="0.2">
      <c r="C442" s="1029"/>
      <c r="D442" s="299">
        <f t="shared" ref="D442:D446" si="2">D441+10%</f>
        <v>0.89999999999999991</v>
      </c>
      <c r="E442" s="291">
        <v>480056.96509937668</v>
      </c>
      <c r="F442" s="292">
        <v>0.11534196711259037</v>
      </c>
      <c r="G442" s="293">
        <v>9.1616158279893156</v>
      </c>
    </row>
    <row r="443" spans="3:7" x14ac:dyDescent="0.2">
      <c r="C443" s="1029"/>
      <c r="D443" s="299">
        <f t="shared" si="2"/>
        <v>0.99999999999999989</v>
      </c>
      <c r="E443" s="291">
        <v>420654.86896252848</v>
      </c>
      <c r="F443" s="292">
        <v>0.11330118433313929</v>
      </c>
      <c r="G443" s="293">
        <v>9.1618965229894886</v>
      </c>
    </row>
    <row r="444" spans="3:7" x14ac:dyDescent="0.2">
      <c r="C444" s="1029"/>
      <c r="D444" s="299">
        <f t="shared" si="2"/>
        <v>1.0999999999999999</v>
      </c>
      <c r="E444" s="291">
        <v>361252.77282568126</v>
      </c>
      <c r="F444" s="292">
        <v>0.1112313195625847</v>
      </c>
      <c r="G444" s="293">
        <v>9.1621772146366336</v>
      </c>
    </row>
    <row r="445" spans="3:7" x14ac:dyDescent="0.2">
      <c r="C445" s="1029"/>
      <c r="D445" s="299">
        <f t="shared" si="2"/>
        <v>1.2</v>
      </c>
      <c r="E445" s="291">
        <v>301850.67668883374</v>
      </c>
      <c r="F445" s="292">
        <v>0.10913143773661838</v>
      </c>
      <c r="G445" s="293">
        <v>9.1624579029308091</v>
      </c>
    </row>
    <row r="446" spans="3:7" x14ac:dyDescent="0.2">
      <c r="C446" s="1029"/>
      <c r="D446" s="300">
        <f t="shared" si="2"/>
        <v>1.3</v>
      </c>
      <c r="E446" s="294">
        <v>242448.58055198521</v>
      </c>
      <c r="F446" s="295">
        <v>0.10700055586272095</v>
      </c>
      <c r="G446" s="296">
        <v>9.1627385878720737</v>
      </c>
    </row>
    <row r="447" spans="3:7" x14ac:dyDescent="0.2">
      <c r="C447" s="162"/>
    </row>
    <row r="448" spans="3:7" x14ac:dyDescent="0.2">
      <c r="C448" s="162"/>
    </row>
    <row r="449" spans="3:8" ht="22.5" x14ac:dyDescent="0.2">
      <c r="C449" s="240" t="s">
        <v>376</v>
      </c>
      <c r="D449" s="242" t="s">
        <v>379</v>
      </c>
      <c r="E449" s="242" t="s">
        <v>421</v>
      </c>
      <c r="F449" s="242" t="s">
        <v>423</v>
      </c>
      <c r="G449" s="242" t="s">
        <v>422</v>
      </c>
    </row>
    <row r="450" spans="3:8" x14ac:dyDescent="0.2">
      <c r="C450" s="219" t="s">
        <v>377</v>
      </c>
      <c r="D450" s="297">
        <v>1</v>
      </c>
      <c r="E450" s="243">
        <f ca="1">Графики_УК!$D$408</f>
        <v>420654.86896252848</v>
      </c>
      <c r="F450" s="245">
        <f ca="1">IF(Графики_УК!$D$409 = "-", NA(),Графики_УК!$D$409)</f>
        <v>0.11330118433313929</v>
      </c>
      <c r="G450" s="246">
        <f ca="1">IF(Графики_УК!$D$410= "-", NA(),Графики_УК!$D$410)</f>
        <v>9.1618965229894886</v>
      </c>
    </row>
    <row r="451" spans="3:8" x14ac:dyDescent="0.2">
      <c r="C451" s="1029" t="s">
        <v>951</v>
      </c>
      <c r="D451" s="298">
        <f>D450-30%</f>
        <v>0.7</v>
      </c>
      <c r="E451" s="288">
        <f t="dataTable" ref="E451:G457" dt2D="0" dtr="0" r1="D402" ca="1"/>
        <v>420654.86896252848</v>
      </c>
      <c r="F451" s="289">
        <v>0.11330118433313929</v>
      </c>
      <c r="G451" s="290">
        <v>9.1618965229894886</v>
      </c>
    </row>
    <row r="452" spans="3:8" x14ac:dyDescent="0.2">
      <c r="C452" s="1029"/>
      <c r="D452" s="299">
        <f>D451+10%</f>
        <v>0.79999999999999993</v>
      </c>
      <c r="E452" s="291">
        <v>420654.86896252848</v>
      </c>
      <c r="F452" s="292">
        <v>0.11330118433313929</v>
      </c>
      <c r="G452" s="293">
        <v>9.1618965229894886</v>
      </c>
    </row>
    <row r="453" spans="3:8" x14ac:dyDescent="0.2">
      <c r="C453" s="1029"/>
      <c r="D453" s="299">
        <f t="shared" ref="D453:D457" si="3">D452+10%</f>
        <v>0.89999999999999991</v>
      </c>
      <c r="E453" s="291">
        <v>420654.86896252848</v>
      </c>
      <c r="F453" s="292">
        <v>0.11330118433313929</v>
      </c>
      <c r="G453" s="293">
        <v>9.1618965229894886</v>
      </c>
    </row>
    <row r="454" spans="3:8" x14ac:dyDescent="0.2">
      <c r="C454" s="1029"/>
      <c r="D454" s="299">
        <f t="shared" si="3"/>
        <v>0.99999999999999989</v>
      </c>
      <c r="E454" s="291">
        <v>420654.86896252848</v>
      </c>
      <c r="F454" s="292">
        <v>0.11330118433313929</v>
      </c>
      <c r="G454" s="293">
        <v>9.1618965229894886</v>
      </c>
    </row>
    <row r="455" spans="3:8" x14ac:dyDescent="0.2">
      <c r="C455" s="1029"/>
      <c r="D455" s="299">
        <f t="shared" si="3"/>
        <v>1.0999999999999999</v>
      </c>
      <c r="E455" s="291">
        <v>420654.86896252848</v>
      </c>
      <c r="F455" s="292">
        <v>0.11330118433313929</v>
      </c>
      <c r="G455" s="293">
        <v>9.1618965229894886</v>
      </c>
    </row>
    <row r="456" spans="3:8" x14ac:dyDescent="0.2">
      <c r="C456" s="1029"/>
      <c r="D456" s="299">
        <f t="shared" si="3"/>
        <v>1.2</v>
      </c>
      <c r="E456" s="291">
        <v>420654.86896252848</v>
      </c>
      <c r="F456" s="292">
        <v>0.11330118433313929</v>
      </c>
      <c r="G456" s="293">
        <v>9.1618965229894886</v>
      </c>
    </row>
    <row r="457" spans="3:8" x14ac:dyDescent="0.2">
      <c r="C457" s="1029"/>
      <c r="D457" s="300">
        <f t="shared" si="3"/>
        <v>1.3</v>
      </c>
      <c r="E457" s="294">
        <v>420654.86896252848</v>
      </c>
      <c r="F457" s="295">
        <v>0.11330118433313929</v>
      </c>
      <c r="G457" s="296">
        <v>9.1618965229894886</v>
      </c>
    </row>
    <row r="458" spans="3:8" x14ac:dyDescent="0.2">
      <c r="C458" s="162"/>
    </row>
    <row r="459" spans="3:8" x14ac:dyDescent="0.2">
      <c r="C459" s="162"/>
    </row>
    <row r="460" spans="3:8" ht="45" x14ac:dyDescent="0.2">
      <c r="C460" s="240" t="s">
        <v>376</v>
      </c>
      <c r="D460" s="242" t="s">
        <v>461</v>
      </c>
      <c r="E460" s="242" t="s">
        <v>394</v>
      </c>
      <c r="F460" s="242" t="s">
        <v>421</v>
      </c>
      <c r="G460" s="242" t="s">
        <v>423</v>
      </c>
      <c r="H460" s="242" t="s">
        <v>422</v>
      </c>
    </row>
    <row r="461" spans="3:8" x14ac:dyDescent="0.2">
      <c r="C461" s="219" t="s">
        <v>377</v>
      </c>
      <c r="D461" s="297">
        <v>1</v>
      </c>
      <c r="E461" s="245">
        <f ca="1">Графики_УК!$D$411</f>
        <v>0.10128364613285909</v>
      </c>
      <c r="F461" s="243">
        <f ca="1">Графики_УК!$D$408</f>
        <v>420654.86896252848</v>
      </c>
      <c r="G461" s="245">
        <f ca="1">IF(Графики_УК!$D$409 = "-", NA(),Графики_УК!$D$409)</f>
        <v>0.11330118433313929</v>
      </c>
      <c r="H461" s="246">
        <f ca="1">IF(Графики_УК!$D$410= "-", NA(),Графики_УК!$D$410)</f>
        <v>9.1618965229894886</v>
      </c>
    </row>
    <row r="462" spans="3:8" x14ac:dyDescent="0.2">
      <c r="C462" s="1029" t="s">
        <v>393</v>
      </c>
      <c r="D462" s="298">
        <f>D461-30%</f>
        <v>0.7</v>
      </c>
      <c r="E462" s="289">
        <f t="dataTable" ref="E462:H468" dt2D="0" dtr="0" r1="D403" ca="1"/>
        <v>7.0898552293001363E-2</v>
      </c>
      <c r="F462" s="288">
        <v>1403024.0176785155</v>
      </c>
      <c r="G462" s="289">
        <v>0.11330118433314018</v>
      </c>
      <c r="H462" s="290">
        <v>9.1118016671453272</v>
      </c>
    </row>
    <row r="463" spans="3:8" x14ac:dyDescent="0.2">
      <c r="C463" s="1029"/>
      <c r="D463" s="299">
        <f>D462+10%</f>
        <v>0.79999999999999993</v>
      </c>
      <c r="E463" s="292">
        <v>8.1026916906287272E-2</v>
      </c>
      <c r="F463" s="291">
        <v>1046571.7893494759</v>
      </c>
      <c r="G463" s="292">
        <v>0.11330118433314018</v>
      </c>
      <c r="H463" s="293">
        <v>9.1274122232212473</v>
      </c>
    </row>
    <row r="464" spans="3:8" x14ac:dyDescent="0.2">
      <c r="C464" s="1029"/>
      <c r="D464" s="299">
        <f t="shared" ref="D464:D468" si="4">D463+10%</f>
        <v>0.89999999999999991</v>
      </c>
      <c r="E464" s="292">
        <v>9.1155281519573167E-2</v>
      </c>
      <c r="F464" s="291">
        <v>719991.15337593562</v>
      </c>
      <c r="G464" s="292">
        <v>0.11330118433313929</v>
      </c>
      <c r="H464" s="293">
        <v>9.144091880489432</v>
      </c>
    </row>
    <row r="465" spans="3:8" x14ac:dyDescent="0.2">
      <c r="C465" s="1029"/>
      <c r="D465" s="299">
        <f t="shared" si="4"/>
        <v>0.99999999999999989</v>
      </c>
      <c r="E465" s="292">
        <v>0.10128364613285908</v>
      </c>
      <c r="F465" s="291">
        <v>420654.86896252848</v>
      </c>
      <c r="G465" s="292">
        <v>0.11330118433313929</v>
      </c>
      <c r="H465" s="293">
        <v>9.1618965229894886</v>
      </c>
    </row>
    <row r="466" spans="3:8" x14ac:dyDescent="0.2">
      <c r="C466" s="1029"/>
      <c r="D466" s="299">
        <f t="shared" si="4"/>
        <v>1.0999999999999999</v>
      </c>
      <c r="E466" s="292">
        <v>0.11141201074614498</v>
      </c>
      <c r="F466" s="291">
        <v>146186.48132832779</v>
      </c>
      <c r="G466" s="292">
        <v>0.11330118433313929</v>
      </c>
      <c r="H466" s="293">
        <v>9.1808843958378912</v>
      </c>
    </row>
    <row r="467" spans="3:8" x14ac:dyDescent="0.2">
      <c r="C467" s="1029"/>
      <c r="D467" s="299">
        <f t="shared" si="4"/>
        <v>1.2</v>
      </c>
      <c r="E467" s="292">
        <v>0.12154037535943091</v>
      </c>
      <c r="F467" s="291">
        <v>-105565.63486263245</v>
      </c>
      <c r="G467" s="292">
        <v>0.11330118433313929</v>
      </c>
      <c r="H467" s="293">
        <v>9.201116185222256</v>
      </c>
    </row>
    <row r="468" spans="3:8" x14ac:dyDescent="0.2">
      <c r="C468" s="1029"/>
      <c r="D468" s="300">
        <f t="shared" si="4"/>
        <v>1.3</v>
      </c>
      <c r="E468" s="295">
        <v>0.13166873997271683</v>
      </c>
      <c r="F468" s="294">
        <v>-336551.33687872905</v>
      </c>
      <c r="G468" s="295">
        <v>0.11330118433313929</v>
      </c>
      <c r="H468" s="296">
        <v>9.2226551004893373</v>
      </c>
    </row>
    <row r="469" spans="3:8" x14ac:dyDescent="0.2">
      <c r="C469" s="162"/>
    </row>
    <row r="470" spans="3:8" x14ac:dyDescent="0.2">
      <c r="C470" s="162"/>
    </row>
    <row r="471" spans="3:8" x14ac:dyDescent="0.2">
      <c r="C471" s="240" t="s">
        <v>376</v>
      </c>
      <c r="D471" s="242" t="s">
        <v>424</v>
      </c>
      <c r="E471" s="242" t="s">
        <v>421</v>
      </c>
      <c r="F471" s="242" t="s">
        <v>423</v>
      </c>
      <c r="G471" s="242" t="s">
        <v>422</v>
      </c>
    </row>
    <row r="472" spans="3:8" x14ac:dyDescent="0.2">
      <c r="C472" s="219" t="s">
        <v>377</v>
      </c>
      <c r="D472" s="297">
        <v>1</v>
      </c>
      <c r="E472" s="243">
        <f ca="1">Графики_УК!$D$408</f>
        <v>420654.86896252848</v>
      </c>
      <c r="F472" s="245">
        <f ca="1">IF(Графики_УК!$D$409 = "-", NA(),Графики_УК!$D$409)</f>
        <v>0.11330118433313929</v>
      </c>
      <c r="G472" s="246">
        <f ca="1">IF(Графики_УК!$D$410= "-", NA(),Графики_УК!$D$410)</f>
        <v>9.1618965229894886</v>
      </c>
    </row>
    <row r="473" spans="3:8" x14ac:dyDescent="0.2">
      <c r="C473" s="1029" t="s">
        <v>380</v>
      </c>
      <c r="D473" s="298">
        <f>D472-30%</f>
        <v>0.7</v>
      </c>
      <c r="E473" s="288">
        <f t="dataTable" ref="E473:G479" dt2D="0" dtr="0" r1="D406" ca="1"/>
        <v>420654.86896252848</v>
      </c>
      <c r="F473" s="289">
        <v>0.11330118433313929</v>
      </c>
      <c r="G473" s="290">
        <v>9.1618965229894886</v>
      </c>
    </row>
    <row r="474" spans="3:8" x14ac:dyDescent="0.2">
      <c r="C474" s="1029"/>
      <c r="D474" s="299">
        <f>D473+10%</f>
        <v>0.79999999999999993</v>
      </c>
      <c r="E474" s="291">
        <v>420654.86896252848</v>
      </c>
      <c r="F474" s="292">
        <v>0.11330118433313929</v>
      </c>
      <c r="G474" s="293">
        <v>9.1618965229894886</v>
      </c>
    </row>
    <row r="475" spans="3:8" x14ac:dyDescent="0.2">
      <c r="C475" s="1029"/>
      <c r="D475" s="299">
        <f t="shared" ref="D475:D479" si="5">D474+10%</f>
        <v>0.89999999999999991</v>
      </c>
      <c r="E475" s="291">
        <v>420654.86896252848</v>
      </c>
      <c r="F475" s="292">
        <v>0.11330118433313929</v>
      </c>
      <c r="G475" s="293">
        <v>9.1618965229894886</v>
      </c>
    </row>
    <row r="476" spans="3:8" x14ac:dyDescent="0.2">
      <c r="C476" s="1029"/>
      <c r="D476" s="299">
        <f t="shared" si="5"/>
        <v>0.99999999999999989</v>
      </c>
      <c r="E476" s="291">
        <v>420654.86896252848</v>
      </c>
      <c r="F476" s="292">
        <v>0.11330118433313929</v>
      </c>
      <c r="G476" s="293">
        <v>9.1618965229894886</v>
      </c>
    </row>
    <row r="477" spans="3:8" x14ac:dyDescent="0.2">
      <c r="C477" s="1029"/>
      <c r="D477" s="299">
        <f t="shared" si="5"/>
        <v>1.0999999999999999</v>
      </c>
      <c r="E477" s="291">
        <v>420654.86896252848</v>
      </c>
      <c r="F477" s="292">
        <v>0.11330118433313929</v>
      </c>
      <c r="G477" s="293">
        <v>9.1618965229894886</v>
      </c>
    </row>
    <row r="478" spans="3:8" x14ac:dyDescent="0.2">
      <c r="C478" s="1029"/>
      <c r="D478" s="299">
        <f t="shared" si="5"/>
        <v>1.2</v>
      </c>
      <c r="E478" s="291">
        <v>420654.86896252848</v>
      </c>
      <c r="F478" s="292">
        <v>0.11330118433313929</v>
      </c>
      <c r="G478" s="293">
        <v>9.1618965229894886</v>
      </c>
    </row>
    <row r="479" spans="3:8" x14ac:dyDescent="0.2">
      <c r="C479" s="1029"/>
      <c r="D479" s="300">
        <f t="shared" si="5"/>
        <v>1.3</v>
      </c>
      <c r="E479" s="294">
        <v>420654.86896252848</v>
      </c>
      <c r="F479" s="295">
        <v>0.11330118433313929</v>
      </c>
      <c r="G479" s="296">
        <v>9.1618965229894886</v>
      </c>
    </row>
    <row r="480" spans="3:8" x14ac:dyDescent="0.2">
      <c r="C480" s="162"/>
    </row>
    <row r="481" spans="3:8" x14ac:dyDescent="0.2">
      <c r="C481" s="162"/>
    </row>
    <row r="482" spans="3:8" ht="67.5" x14ac:dyDescent="0.2">
      <c r="C482" s="240" t="s">
        <v>376</v>
      </c>
      <c r="D482" s="242" t="s">
        <v>436</v>
      </c>
      <c r="E482" s="242" t="s">
        <v>1098</v>
      </c>
      <c r="F482" s="242" t="s">
        <v>421</v>
      </c>
      <c r="G482" s="242" t="s">
        <v>423</v>
      </c>
      <c r="H482" s="242" t="s">
        <v>422</v>
      </c>
    </row>
    <row r="483" spans="3:8" ht="22.5" x14ac:dyDescent="0.2">
      <c r="C483" s="219" t="s">
        <v>377</v>
      </c>
      <c r="D483" s="297">
        <v>1</v>
      </c>
      <c r="E483" s="369" t="str">
        <f ca="1" xml:space="preserve"> TEXT(AVERAGE(Параметры!D109:OFFSET(Параметры!D109,0,Параметры!$B$24-1)),"# ##0,00") &amp; CHAR(10) &amp; TEXT(AVERAGE(Параметры!D118:OFFSET(Параметры!D118,0,Параметры!$B$24-1)),"# ##0,00") &amp; "   "</f>
        <v xml:space="preserve">78,50
92,40   </v>
      </c>
      <c r="F483" s="243">
        <f ca="1">Графики_УК!$D$408</f>
        <v>420654.86896252848</v>
      </c>
      <c r="G483" s="245">
        <f ca="1">IF(Графики_УК!$D$409 = "-", NA(),Графики_УК!$D$409)</f>
        <v>0.11330118433313929</v>
      </c>
      <c r="H483" s="246">
        <f ca="1">IF(Графики_УК!$D$410= "-", NA(),Графики_УК!$D$410)</f>
        <v>9.1618965229894886</v>
      </c>
    </row>
    <row r="484" spans="3:8" ht="22.5" x14ac:dyDescent="0.2">
      <c r="C484" s="1029" t="s">
        <v>433</v>
      </c>
      <c r="D484" s="298">
        <f>D483-30%</f>
        <v>0.7</v>
      </c>
      <c r="E484" s="370" t="str">
        <f t="dataTable" ref="E484:H490" dt2D="0" dtr="0" r1="D404" ca="1"/>
        <v xml:space="preserve">78,50
92,40   </v>
      </c>
      <c r="F484" s="288">
        <v>420654.86896252848</v>
      </c>
      <c r="G484" s="289">
        <v>0.11330118433313929</v>
      </c>
      <c r="H484" s="290">
        <v>9.1618965229894886</v>
      </c>
    </row>
    <row r="485" spans="3:8" ht="22.5" x14ac:dyDescent="0.2">
      <c r="C485" s="1029"/>
      <c r="D485" s="299">
        <f>D484+10%</f>
        <v>0.79999999999999993</v>
      </c>
      <c r="E485" s="371" t="str">
        <v xml:space="preserve">78,50
92,40   </v>
      </c>
      <c r="F485" s="291">
        <v>420654.86896252848</v>
      </c>
      <c r="G485" s="292">
        <v>0.11330118433313929</v>
      </c>
      <c r="H485" s="293">
        <v>9.1618965229894886</v>
      </c>
    </row>
    <row r="486" spans="3:8" ht="22.5" x14ac:dyDescent="0.2">
      <c r="C486" s="1029"/>
      <c r="D486" s="299">
        <f t="shared" ref="D486:D490" si="6">D485+10%</f>
        <v>0.89999999999999991</v>
      </c>
      <c r="E486" s="371" t="str">
        <v xml:space="preserve">78,50
92,40   </v>
      </c>
      <c r="F486" s="291">
        <v>420654.86896252848</v>
      </c>
      <c r="G486" s="292">
        <v>0.11330118433313929</v>
      </c>
      <c r="H486" s="293">
        <v>9.1618965229894886</v>
      </c>
    </row>
    <row r="487" spans="3:8" ht="22.5" x14ac:dyDescent="0.2">
      <c r="C487" s="1029"/>
      <c r="D487" s="299">
        <f t="shared" si="6"/>
        <v>0.99999999999999989</v>
      </c>
      <c r="E487" s="371" t="str">
        <v xml:space="preserve">78,50
92,40   </v>
      </c>
      <c r="F487" s="291">
        <v>420654.86896252848</v>
      </c>
      <c r="G487" s="292">
        <v>0.11330118433313929</v>
      </c>
      <c r="H487" s="293">
        <v>9.1618965229894886</v>
      </c>
    </row>
    <row r="488" spans="3:8" ht="22.5" x14ac:dyDescent="0.2">
      <c r="C488" s="1029"/>
      <c r="D488" s="299">
        <f t="shared" si="6"/>
        <v>1.0999999999999999</v>
      </c>
      <c r="E488" s="371" t="str">
        <v xml:space="preserve">78,50
92,40   </v>
      </c>
      <c r="F488" s="291">
        <v>420654.86896252848</v>
      </c>
      <c r="G488" s="292">
        <v>0.11330118433313929</v>
      </c>
      <c r="H488" s="293">
        <v>9.1618965229894886</v>
      </c>
    </row>
    <row r="489" spans="3:8" ht="22.5" x14ac:dyDescent="0.2">
      <c r="C489" s="1029"/>
      <c r="D489" s="299">
        <f t="shared" si="6"/>
        <v>1.2</v>
      </c>
      <c r="E489" s="371" t="str">
        <v xml:space="preserve">78,50
92,40   </v>
      </c>
      <c r="F489" s="291">
        <v>420654.86896252848</v>
      </c>
      <c r="G489" s="292">
        <v>0.11330118433313929</v>
      </c>
      <c r="H489" s="293">
        <v>9.1618965229894886</v>
      </c>
    </row>
    <row r="490" spans="3:8" ht="22.5" x14ac:dyDescent="0.2">
      <c r="C490" s="1029"/>
      <c r="D490" s="300">
        <f t="shared" si="6"/>
        <v>1.3</v>
      </c>
      <c r="E490" s="372" t="str">
        <v xml:space="preserve">78,50
92,40   </v>
      </c>
      <c r="F490" s="294">
        <v>420654.86896252848</v>
      </c>
      <c r="G490" s="295">
        <v>0.11330118433313929</v>
      </c>
      <c r="H490" s="296">
        <v>9.1618965229894886</v>
      </c>
    </row>
    <row r="491" spans="3:8" x14ac:dyDescent="0.2">
      <c r="C491" s="162"/>
    </row>
    <row r="492" spans="3:8" x14ac:dyDescent="0.2">
      <c r="C492" s="162"/>
    </row>
    <row r="493" spans="3:8" ht="46.5" customHeight="1" x14ac:dyDescent="0.2">
      <c r="C493" s="240" t="s">
        <v>376</v>
      </c>
      <c r="D493" s="242" t="s">
        <v>437</v>
      </c>
      <c r="E493" s="224" t="s">
        <v>443</v>
      </c>
      <c r="F493" s="242" t="s">
        <v>421</v>
      </c>
      <c r="G493" s="242" t="s">
        <v>423</v>
      </c>
      <c r="H493" s="242" t="s">
        <v>422</v>
      </c>
    </row>
    <row r="494" spans="3:8" x14ac:dyDescent="0.2">
      <c r="C494" s="219" t="s">
        <v>377</v>
      </c>
      <c r="D494" s="297">
        <v>1</v>
      </c>
      <c r="E494" s="243">
        <f ca="1">AVERAGE(Параметры!E65:OFFSET(Параметры!E65,0,Параметры!$B$24-1))</f>
        <v>3.5847241570710418E-2</v>
      </c>
      <c r="F494" s="243">
        <f ca="1">Графики_УК!$D$408</f>
        <v>420654.86896252848</v>
      </c>
      <c r="G494" s="245">
        <f ca="1">IF(Графики_УК!$D$409 = "-", NA(),Графики_УК!$D$409)</f>
        <v>0.11330118433313929</v>
      </c>
      <c r="H494" s="246">
        <f ca="1">IF(Графики_УК!$D$410= "-", NA(),Графики_УК!$D$410)</f>
        <v>9.1618965229894886</v>
      </c>
    </row>
    <row r="495" spans="3:8" x14ac:dyDescent="0.2">
      <c r="C495" s="1029" t="s">
        <v>435</v>
      </c>
      <c r="D495" s="298">
        <f>D494-30%</f>
        <v>0.7</v>
      </c>
      <c r="E495" s="289">
        <f t="dataTable" ref="E495:H501" dt2D="0" dtr="0" r1="D405" ca="1"/>
        <v>3.5847241570710418E-2</v>
      </c>
      <c r="F495" s="288">
        <v>420654.86896252848</v>
      </c>
      <c r="G495" s="289">
        <v>0.11330118433313929</v>
      </c>
      <c r="H495" s="290">
        <v>9.1618965229894886</v>
      </c>
    </row>
    <row r="496" spans="3:8" x14ac:dyDescent="0.2">
      <c r="C496" s="1029"/>
      <c r="D496" s="299">
        <f>D495+10%</f>
        <v>0.79999999999999993</v>
      </c>
      <c r="E496" s="292">
        <v>3.5847241570710418E-2</v>
      </c>
      <c r="F496" s="291">
        <v>420654.86896252848</v>
      </c>
      <c r="G496" s="292">
        <v>0.11330118433313929</v>
      </c>
      <c r="H496" s="293">
        <v>9.1618965229894886</v>
      </c>
    </row>
    <row r="497" spans="3:8" x14ac:dyDescent="0.2">
      <c r="C497" s="1029"/>
      <c r="D497" s="299">
        <f t="shared" ref="D497:D501" si="7">D496+10%</f>
        <v>0.89999999999999991</v>
      </c>
      <c r="E497" s="292">
        <v>3.5847241570710418E-2</v>
      </c>
      <c r="F497" s="291">
        <v>420654.86896252848</v>
      </c>
      <c r="G497" s="292">
        <v>0.11330118433313929</v>
      </c>
      <c r="H497" s="293">
        <v>9.1618965229894886</v>
      </c>
    </row>
    <row r="498" spans="3:8" x14ac:dyDescent="0.2">
      <c r="C498" s="1029"/>
      <c r="D498" s="299">
        <f t="shared" si="7"/>
        <v>0.99999999999999989</v>
      </c>
      <c r="E498" s="292">
        <v>3.5847241570710418E-2</v>
      </c>
      <c r="F498" s="291">
        <v>420654.86896252848</v>
      </c>
      <c r="G498" s="292">
        <v>0.11330118433313929</v>
      </c>
      <c r="H498" s="293">
        <v>9.1618965229894886</v>
      </c>
    </row>
    <row r="499" spans="3:8" x14ac:dyDescent="0.2">
      <c r="C499" s="1029"/>
      <c r="D499" s="299">
        <f t="shared" si="7"/>
        <v>1.0999999999999999</v>
      </c>
      <c r="E499" s="292">
        <v>3.5847241570710418E-2</v>
      </c>
      <c r="F499" s="291">
        <v>420654.86896252848</v>
      </c>
      <c r="G499" s="292">
        <v>0.11330118433313929</v>
      </c>
      <c r="H499" s="293">
        <v>9.1618965229894886</v>
      </c>
    </row>
    <row r="500" spans="3:8" x14ac:dyDescent="0.2">
      <c r="C500" s="1029"/>
      <c r="D500" s="299">
        <f t="shared" si="7"/>
        <v>1.2</v>
      </c>
      <c r="E500" s="292">
        <v>3.5847241570710418E-2</v>
      </c>
      <c r="F500" s="291">
        <v>420654.86896252848</v>
      </c>
      <c r="G500" s="292">
        <v>0.11330118433313929</v>
      </c>
      <c r="H500" s="293">
        <v>9.1618965229894886</v>
      </c>
    </row>
    <row r="501" spans="3:8" x14ac:dyDescent="0.2">
      <c r="C501" s="1029"/>
      <c r="D501" s="300">
        <f t="shared" si="7"/>
        <v>1.3</v>
      </c>
      <c r="E501" s="295">
        <v>3.5847241570710418E-2</v>
      </c>
      <c r="F501" s="294">
        <v>420654.86896252848</v>
      </c>
      <c r="G501" s="295">
        <v>0.11330118433313929</v>
      </c>
      <c r="H501" s="296">
        <v>9.1618965229894886</v>
      </c>
    </row>
    <row r="502" spans="3:8" x14ac:dyDescent="0.2">
      <c r="C502" s="162"/>
    </row>
    <row r="503" spans="3:8" x14ac:dyDescent="0.2">
      <c r="C503" s="162"/>
    </row>
    <row r="504" spans="3:8" ht="111" customHeight="1" x14ac:dyDescent="0.2">
      <c r="C504" s="1030" t="s">
        <v>479</v>
      </c>
      <c r="D504" s="1030"/>
      <c r="E504" s="1030"/>
      <c r="F504" s="1030"/>
      <c r="G504" s="1030"/>
      <c r="H504" s="1030"/>
    </row>
  </sheetData>
  <sheetProtection formatCells="0"/>
  <mergeCells count="9">
    <mergeCell ref="C484:C490"/>
    <mergeCell ref="C495:C501"/>
    <mergeCell ref="C504:H504"/>
    <mergeCell ref="C418:C424"/>
    <mergeCell ref="C429:C435"/>
    <mergeCell ref="C440:C446"/>
    <mergeCell ref="C451:C457"/>
    <mergeCell ref="C462:C468"/>
    <mergeCell ref="C473:C479"/>
  </mergeCells>
  <conditionalFormatting sqref="E418:E424 E484:F490">
    <cfRule type="cellIs" dxfId="299" priority="53" operator="lessThan">
      <formula>0</formula>
    </cfRule>
  </conditionalFormatting>
  <conditionalFormatting sqref="G418:G424">
    <cfRule type="cellIs" dxfId="298" priority="50" operator="lessThanOrEqual">
      <formula>0</formula>
    </cfRule>
  </conditionalFormatting>
  <conditionalFormatting sqref="E429:E435">
    <cfRule type="cellIs" dxfId="297" priority="44" operator="lessThan">
      <formula>0</formula>
    </cfRule>
  </conditionalFormatting>
  <conditionalFormatting sqref="E440:E446">
    <cfRule type="cellIs" dxfId="296" priority="43" operator="lessThan">
      <formula>0</formula>
    </cfRule>
  </conditionalFormatting>
  <conditionalFormatting sqref="E451:E457">
    <cfRule type="cellIs" dxfId="295" priority="42" operator="lessThan">
      <formula>0</formula>
    </cfRule>
  </conditionalFormatting>
  <conditionalFormatting sqref="E473:E479">
    <cfRule type="cellIs" dxfId="294" priority="41" operator="lessThan">
      <formula>0</formula>
    </cfRule>
  </conditionalFormatting>
  <conditionalFormatting sqref="F418:G424">
    <cfRule type="containsErrors" dxfId="293" priority="54">
      <formula>ISERROR(F418)</formula>
    </cfRule>
  </conditionalFormatting>
  <conditionalFormatting sqref="G429:G435">
    <cfRule type="cellIs" dxfId="292" priority="39" operator="lessThanOrEqual">
      <formula>0</formula>
    </cfRule>
  </conditionalFormatting>
  <conditionalFormatting sqref="G429:G435">
    <cfRule type="containsErrors" dxfId="291" priority="40">
      <formula>ISERROR(G429)</formula>
    </cfRule>
  </conditionalFormatting>
  <conditionalFormatting sqref="G440:G446">
    <cfRule type="cellIs" dxfId="290" priority="36" operator="lessThanOrEqual">
      <formula>0</formula>
    </cfRule>
  </conditionalFormatting>
  <conditionalFormatting sqref="G440:G446">
    <cfRule type="containsErrors" dxfId="289" priority="37">
      <formula>ISERROR(G440)</formula>
    </cfRule>
  </conditionalFormatting>
  <conditionalFormatting sqref="G451:G457">
    <cfRule type="cellIs" dxfId="288" priority="33" operator="lessThanOrEqual">
      <formula>0</formula>
    </cfRule>
  </conditionalFormatting>
  <conditionalFormatting sqref="G451:G457">
    <cfRule type="containsErrors" dxfId="287" priority="34">
      <formula>ISERROR(G451)</formula>
    </cfRule>
  </conditionalFormatting>
  <conditionalFormatting sqref="G473:G479">
    <cfRule type="cellIs" dxfId="286" priority="30" operator="lessThanOrEqual">
      <formula>0</formula>
    </cfRule>
  </conditionalFormatting>
  <conditionalFormatting sqref="G473:G479">
    <cfRule type="containsErrors" dxfId="285" priority="31">
      <formula>ISERROR(G473)</formula>
    </cfRule>
  </conditionalFormatting>
  <conditionalFormatting sqref="E462:F468">
    <cfRule type="cellIs" dxfId="284" priority="28" operator="lessThan">
      <formula>0</formula>
    </cfRule>
  </conditionalFormatting>
  <conditionalFormatting sqref="H462:H468">
    <cfRule type="cellIs" dxfId="283" priority="26" operator="lessThanOrEqual">
      <formula>0</formula>
    </cfRule>
  </conditionalFormatting>
  <conditionalFormatting sqref="H462:H468">
    <cfRule type="containsErrors" dxfId="282" priority="27">
      <formula>ISERROR(H462)</formula>
    </cfRule>
  </conditionalFormatting>
  <conditionalFormatting sqref="E495:F501">
    <cfRule type="cellIs" dxfId="281" priority="22" operator="lessThan">
      <formula>0</formula>
    </cfRule>
  </conditionalFormatting>
  <conditionalFormatting sqref="H495:H501">
    <cfRule type="cellIs" dxfId="280" priority="20" operator="lessThanOrEqual">
      <formula>0</formula>
    </cfRule>
  </conditionalFormatting>
  <conditionalFormatting sqref="H495:H501">
    <cfRule type="containsErrors" dxfId="279" priority="21">
      <formula>ISERROR(H495)</formula>
    </cfRule>
  </conditionalFormatting>
  <conditionalFormatting sqref="H484:H490">
    <cfRule type="cellIs" dxfId="278" priority="17" operator="lessThanOrEqual">
      <formula>0</formula>
    </cfRule>
  </conditionalFormatting>
  <conditionalFormatting sqref="H484:H490">
    <cfRule type="containsErrors" dxfId="277" priority="18">
      <formula>ISERROR(H484)</formula>
    </cfRule>
  </conditionalFormatting>
  <conditionalFormatting sqref="F418:F424">
    <cfRule type="cellIs" dxfId="276" priority="52" operator="lessThan">
      <formula>$D$411</formula>
    </cfRule>
  </conditionalFormatting>
  <conditionalFormatting sqref="F429:F435">
    <cfRule type="containsErrors" dxfId="275" priority="14">
      <formula>ISERROR(F429)</formula>
    </cfRule>
  </conditionalFormatting>
  <conditionalFormatting sqref="F429:F435">
    <cfRule type="cellIs" dxfId="274" priority="13" operator="lessThan">
      <formula>$D$411</formula>
    </cfRule>
  </conditionalFormatting>
  <conditionalFormatting sqref="F440:F446">
    <cfRule type="containsErrors" dxfId="273" priority="12">
      <formula>ISERROR(F440)</formula>
    </cfRule>
  </conditionalFormatting>
  <conditionalFormatting sqref="F440:F446">
    <cfRule type="cellIs" dxfId="272" priority="11" operator="lessThan">
      <formula>$D$411</formula>
    </cfRule>
  </conditionalFormatting>
  <conditionalFormatting sqref="F451:F457">
    <cfRule type="containsErrors" dxfId="271" priority="10">
      <formula>ISERROR(F451)</formula>
    </cfRule>
  </conditionalFormatting>
  <conditionalFormatting sqref="F451:F457">
    <cfRule type="cellIs" dxfId="270" priority="9" operator="lessThan">
      <formula>$D$411</formula>
    </cfRule>
  </conditionalFormatting>
  <conditionalFormatting sqref="G462:G468">
    <cfRule type="containsErrors" dxfId="269" priority="8">
      <formula>ISERROR(G462)</formula>
    </cfRule>
  </conditionalFormatting>
  <conditionalFormatting sqref="G462:G468">
    <cfRule type="cellIs" dxfId="268" priority="7" operator="lessThan">
      <formula>$D$411</formula>
    </cfRule>
  </conditionalFormatting>
  <conditionalFormatting sqref="F473:F479">
    <cfRule type="containsErrors" dxfId="267" priority="6">
      <formula>ISERROR(F473)</formula>
    </cfRule>
  </conditionalFormatting>
  <conditionalFormatting sqref="F473:F479">
    <cfRule type="cellIs" dxfId="266" priority="5" operator="lessThan">
      <formula>$D$411</formula>
    </cfRule>
  </conditionalFormatting>
  <conditionalFormatting sqref="G484:G490">
    <cfRule type="containsErrors" dxfId="265" priority="4">
      <formula>ISERROR(G484)</formula>
    </cfRule>
  </conditionalFormatting>
  <conditionalFormatting sqref="G484:G490">
    <cfRule type="cellIs" dxfId="264" priority="3" operator="lessThan">
      <formula>$D$411</formula>
    </cfRule>
  </conditionalFormatting>
  <conditionalFormatting sqref="G495:G501">
    <cfRule type="containsErrors" dxfId="263" priority="2">
      <formula>ISERROR(G495)</formula>
    </cfRule>
  </conditionalFormatting>
  <conditionalFormatting sqref="G495:G501">
    <cfRule type="cellIs" dxfId="262" priority="1" operator="lessThan">
      <formula>$D$411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5" operator="containsText" id="{5BC16C9E-9EF6-4CD8-9A5D-2705099C39BD}">
            <xm:f>NOT(ISERROR(SEARCH("-",G418)))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G418:G424</xm:sqref>
        </x14:conditionalFormatting>
        <x14:conditionalFormatting xmlns:xm="http://schemas.microsoft.com/office/excel/2006/main">
          <x14:cfRule type="containsText" priority="51" operator="containsText" id="{295D4492-7E1A-4936-80AB-2F21C64B57FD}">
            <xm:f>NOT(ISERROR(SEARCH("-",L418)))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L418</xm:sqref>
        </x14:conditionalFormatting>
        <x14:conditionalFormatting xmlns:xm="http://schemas.microsoft.com/office/excel/2006/main">
          <x14:cfRule type="containsText" priority="49" operator="containsText" id="{172C98A1-7078-4C72-8CE3-9D57D16E3BBD}">
            <xm:f>NOT(ISERROR(SEARCH("-",L429)))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L429</xm:sqref>
        </x14:conditionalFormatting>
        <x14:conditionalFormatting xmlns:xm="http://schemas.microsoft.com/office/excel/2006/main">
          <x14:cfRule type="containsText" priority="48" operator="containsText" id="{2CE8B31D-ACEC-469E-A228-6967D9FCCC52}">
            <xm:f>NOT(ISERROR(SEARCH("-",L440)))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L440</xm:sqref>
        </x14:conditionalFormatting>
        <x14:conditionalFormatting xmlns:xm="http://schemas.microsoft.com/office/excel/2006/main">
          <x14:cfRule type="containsText" priority="47" operator="containsText" id="{E5F34A44-4724-4211-9BC6-8DFEAB5807FE}">
            <xm:f>NOT(ISERROR(SEARCH("-",L451)))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L451</xm:sqref>
        </x14:conditionalFormatting>
        <x14:conditionalFormatting xmlns:xm="http://schemas.microsoft.com/office/excel/2006/main">
          <x14:cfRule type="containsText" priority="46" operator="containsText" id="{C5C3E140-D4FA-4BB7-A11E-893DEEDAFF90}">
            <xm:f>NOT(ISERROR(SEARCH("-",L473)))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L473</xm:sqref>
        </x14:conditionalFormatting>
        <x14:conditionalFormatting xmlns:xm="http://schemas.microsoft.com/office/excel/2006/main">
          <x14:cfRule type="containsText" priority="38" operator="containsText" id="{589FEE38-5668-41F0-BAAD-4AA045DE3644}">
            <xm:f>NOT(ISERROR(SEARCH("-",G429)))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G429:G435</xm:sqref>
        </x14:conditionalFormatting>
        <x14:conditionalFormatting xmlns:xm="http://schemas.microsoft.com/office/excel/2006/main">
          <x14:cfRule type="containsText" priority="35" operator="containsText" id="{3A96819D-26B5-4A60-AD80-D9213A3D614D}">
            <xm:f>NOT(ISERROR(SEARCH("-",G440)))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G440:G446</xm:sqref>
        </x14:conditionalFormatting>
        <x14:conditionalFormatting xmlns:xm="http://schemas.microsoft.com/office/excel/2006/main">
          <x14:cfRule type="containsText" priority="32" operator="containsText" id="{B6903FDC-1A88-472A-A63E-744F7103ED02}">
            <xm:f>NOT(ISERROR(SEARCH("-",G451)))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G451:G457</xm:sqref>
        </x14:conditionalFormatting>
        <x14:conditionalFormatting xmlns:xm="http://schemas.microsoft.com/office/excel/2006/main">
          <x14:cfRule type="containsText" priority="29" operator="containsText" id="{63F7F50B-12D0-4F00-AAE6-351DB2931CD0}">
            <xm:f>NOT(ISERROR(SEARCH("-",G473)))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G473:G479</xm:sqref>
        </x14:conditionalFormatting>
        <x14:conditionalFormatting xmlns:xm="http://schemas.microsoft.com/office/excel/2006/main">
          <x14:cfRule type="containsText" priority="25" operator="containsText" id="{AB2D250E-DA4D-451E-9991-462E849D0C51}">
            <xm:f>NOT(ISERROR(SEARCH("-",H462)))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H462:H468</xm:sqref>
        </x14:conditionalFormatting>
        <x14:conditionalFormatting xmlns:xm="http://schemas.microsoft.com/office/excel/2006/main">
          <x14:cfRule type="containsText" priority="24" operator="containsText" id="{39BD4FB5-86D1-4146-9EEA-F2A310C03919}">
            <xm:f>NOT(ISERROR(SEARCH("-",L484)))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L484</xm:sqref>
        </x14:conditionalFormatting>
        <x14:conditionalFormatting xmlns:xm="http://schemas.microsoft.com/office/excel/2006/main">
          <x14:cfRule type="containsText" priority="23" operator="containsText" id="{B7BBA1C1-7588-4F81-AA10-BF736D6A198F}">
            <xm:f>NOT(ISERROR(SEARCH("-",L495)))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L495</xm:sqref>
        </x14:conditionalFormatting>
        <x14:conditionalFormatting xmlns:xm="http://schemas.microsoft.com/office/excel/2006/main">
          <x14:cfRule type="containsText" priority="19" operator="containsText" id="{2E0317C7-F139-4D0E-B389-885694873378}">
            <xm:f>NOT(ISERROR(SEARCH("-",H495)))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H495:H501</xm:sqref>
        </x14:conditionalFormatting>
        <x14:conditionalFormatting xmlns:xm="http://schemas.microsoft.com/office/excel/2006/main">
          <x14:cfRule type="containsText" priority="16" operator="containsText" id="{AF4B425A-2198-491E-9168-FB6E770FE108}">
            <xm:f>NOT(ISERROR(SEARCH("-",H484)))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H484:H490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23">
    <outlinePr summaryBelow="0" summaryRight="0"/>
  </sheetPr>
  <dimension ref="A1:AT244"/>
  <sheetViews>
    <sheetView workbookViewId="0">
      <selection sqref="A1:C2"/>
    </sheetView>
  </sheetViews>
  <sheetFormatPr defaultRowHeight="11.25" outlineLevelRow="1" x14ac:dyDescent="0.2"/>
  <cols>
    <col min="1" max="1" width="50.7109375" style="29" customWidth="1"/>
    <col min="2" max="2" width="11" style="29" customWidth="1"/>
    <col min="3" max="3" width="9.85546875" style="29" customWidth="1"/>
    <col min="4" max="4" width="10.7109375" style="40" customWidth="1"/>
    <col min="5" max="44" width="8.7109375" style="29" customWidth="1"/>
    <col min="45" max="45" width="1.7109375" style="29" customWidth="1"/>
    <col min="46" max="46" width="10.42578125" style="104" customWidth="1"/>
    <col min="47" max="16384" width="9.140625" style="29"/>
  </cols>
  <sheetData>
    <row r="1" spans="1:46" s="1" customFormat="1" ht="12.75" customHeight="1" x14ac:dyDescent="0.2">
      <c r="A1" s="1028" t="str">
        <f xml:space="preserve"> Параметры!$A$4</f>
        <v xml:space="preserve">Проект создания ИП «Бугры» на территории Ленинградской области
</v>
      </c>
      <c r="B1" s="1028"/>
      <c r="C1" s="1028"/>
      <c r="D1" s="102"/>
      <c r="E1" s="16" t="str">
        <f>Параметры!E$53</f>
        <v>1 кв. 2020</v>
      </c>
      <c r="F1" s="16" t="str">
        <f>Параметры!F$53</f>
        <v>2 кв. 2020</v>
      </c>
      <c r="G1" s="16" t="str">
        <f>Параметры!G$53</f>
        <v>3 кв. 2020</v>
      </c>
      <c r="H1" s="16" t="str">
        <f>Параметры!H$53</f>
        <v>4 кв. 2020</v>
      </c>
      <c r="I1" s="16" t="str">
        <f>Параметры!I$53</f>
        <v>1 кв. 2021</v>
      </c>
      <c r="J1" s="16" t="str">
        <f>Параметры!J$53</f>
        <v>2 кв. 2021</v>
      </c>
      <c r="K1" s="16" t="str">
        <f>Параметры!K$53</f>
        <v>3 кв. 2021</v>
      </c>
      <c r="L1" s="16" t="str">
        <f>Параметры!L$53</f>
        <v>4 кв. 2021</v>
      </c>
      <c r="M1" s="16" t="str">
        <f>Параметры!M$53</f>
        <v>1 кв. 2022</v>
      </c>
      <c r="N1" s="16" t="str">
        <f>Параметры!N$53</f>
        <v>2 кв. 2022</v>
      </c>
      <c r="O1" s="16" t="str">
        <f>Параметры!O$53</f>
        <v>3 кв. 2022</v>
      </c>
      <c r="P1" s="16" t="str">
        <f>Параметры!P$53</f>
        <v>4 кв. 2022</v>
      </c>
      <c r="Q1" s="16" t="str">
        <f>Параметры!Q$53</f>
        <v>1 кв. 2023</v>
      </c>
      <c r="R1" s="16" t="str">
        <f>Параметры!R$53</f>
        <v>2 кв. 2023</v>
      </c>
      <c r="S1" s="16" t="str">
        <f>Параметры!S$53</f>
        <v>3 кв. 2023</v>
      </c>
      <c r="T1" s="16" t="str">
        <f>Параметры!T$53</f>
        <v>4 кв. 2023</v>
      </c>
      <c r="U1" s="16" t="str">
        <f>Параметры!U$53</f>
        <v>1 кв. 2024</v>
      </c>
      <c r="V1" s="16" t="str">
        <f>Параметры!V$53</f>
        <v>2 кв. 2024</v>
      </c>
      <c r="W1" s="16" t="str">
        <f>Параметры!W$53</f>
        <v>3 кв. 2024</v>
      </c>
      <c r="X1" s="16" t="str">
        <f>Параметры!X$53</f>
        <v>4 кв. 2024</v>
      </c>
      <c r="Y1" s="16" t="str">
        <f>Параметры!Y$53</f>
        <v>1 кв. 2025</v>
      </c>
      <c r="Z1" s="16" t="str">
        <f>Параметры!Z$53</f>
        <v>2 кв. 2025</v>
      </c>
      <c r="AA1" s="16" t="str">
        <f>Параметры!AA$53</f>
        <v>3 кв. 2025</v>
      </c>
      <c r="AB1" s="16" t="str">
        <f>Параметры!AB$53</f>
        <v>4 кв. 2025</v>
      </c>
      <c r="AC1" s="16" t="str">
        <f>Параметры!AC$53</f>
        <v>1 кв. 2026</v>
      </c>
      <c r="AD1" s="16" t="str">
        <f>Параметры!AD$53</f>
        <v>2 кв. 2026</v>
      </c>
      <c r="AE1" s="16" t="str">
        <f>Параметры!AE$53</f>
        <v>3 кв. 2026</v>
      </c>
      <c r="AF1" s="16" t="str">
        <f>Параметры!AF$53</f>
        <v>4 кв. 2026</v>
      </c>
      <c r="AG1" s="16" t="str">
        <f>Параметры!AG$53</f>
        <v>1 кв. 2027</v>
      </c>
      <c r="AH1" s="16" t="str">
        <f>Параметры!AH$53</f>
        <v>2 кв. 2027</v>
      </c>
      <c r="AI1" s="16" t="str">
        <f>Параметры!AI$53</f>
        <v>3 кв. 2027</v>
      </c>
      <c r="AJ1" s="16" t="str">
        <f>Параметры!AJ$53</f>
        <v>4 кв. 2027</v>
      </c>
      <c r="AK1" s="16" t="str">
        <f>Параметры!AK$53</f>
        <v>1 кв. 2028</v>
      </c>
      <c r="AL1" s="16" t="str">
        <f>Параметры!AL$53</f>
        <v>2 кв. 2028</v>
      </c>
      <c r="AM1" s="16" t="str">
        <f>Параметры!AM$53</f>
        <v>3 кв. 2028</v>
      </c>
      <c r="AN1" s="16" t="str">
        <f>Параметры!AN$53</f>
        <v>4 кв. 2028</v>
      </c>
      <c r="AO1" s="16" t="str">
        <f>Параметры!AO$53</f>
        <v>1 кв. 2029</v>
      </c>
      <c r="AP1" s="16" t="str">
        <f>Параметры!AP$53</f>
        <v>2 кв. 2029</v>
      </c>
      <c r="AQ1" s="16" t="str">
        <f>Параметры!AQ$53</f>
        <v>3 кв. 2029</v>
      </c>
      <c r="AR1" s="16" t="str">
        <f>Параметры!AR$53</f>
        <v>4 кв. 2029</v>
      </c>
      <c r="AS1" s="16"/>
      <c r="AT1" s="17" t="s">
        <v>0</v>
      </c>
    </row>
    <row r="2" spans="1:46" s="1" customFormat="1" ht="12.75" customHeight="1" x14ac:dyDescent="0.2">
      <c r="A2" s="1028"/>
      <c r="B2" s="1028"/>
      <c r="C2" s="1028"/>
      <c r="D2" s="102">
        <f>Деятельность_УК!D2</f>
        <v>1</v>
      </c>
      <c r="E2" s="16">
        <f>Параметры!E36</f>
        <v>1</v>
      </c>
      <c r="F2" s="16">
        <f>Параметры!F36</f>
        <v>2</v>
      </c>
      <c r="G2" s="16">
        <f>Параметры!G36</f>
        <v>3</v>
      </c>
      <c r="H2" s="16">
        <f>Параметры!H36</f>
        <v>4</v>
      </c>
      <c r="I2" s="16">
        <f>Параметры!I36</f>
        <v>5</v>
      </c>
      <c r="J2" s="16">
        <f>Параметры!J36</f>
        <v>6</v>
      </c>
      <c r="K2" s="16">
        <f>Параметры!K36</f>
        <v>7</v>
      </c>
      <c r="L2" s="16">
        <f>Параметры!L36</f>
        <v>8</v>
      </c>
      <c r="M2" s="16">
        <f>Параметры!M36</f>
        <v>9</v>
      </c>
      <c r="N2" s="16">
        <f>Параметры!N36</f>
        <v>10</v>
      </c>
      <c r="O2" s="16">
        <f>Параметры!O36</f>
        <v>11</v>
      </c>
      <c r="P2" s="16">
        <f>Параметры!P36</f>
        <v>12</v>
      </c>
      <c r="Q2" s="16">
        <f>Параметры!Q36</f>
        <v>13</v>
      </c>
      <c r="R2" s="16">
        <f>Параметры!R36</f>
        <v>14</v>
      </c>
      <c r="S2" s="16">
        <f>Параметры!S36</f>
        <v>15</v>
      </c>
      <c r="T2" s="16">
        <f>Параметры!T36</f>
        <v>16</v>
      </c>
      <c r="U2" s="16">
        <f>Параметры!U36</f>
        <v>17</v>
      </c>
      <c r="V2" s="16">
        <f>Параметры!V36</f>
        <v>18</v>
      </c>
      <c r="W2" s="16">
        <f>Параметры!W36</f>
        <v>19</v>
      </c>
      <c r="X2" s="16">
        <f>Параметры!X36</f>
        <v>20</v>
      </c>
      <c r="Y2" s="16">
        <f>Параметры!Y36</f>
        <v>21</v>
      </c>
      <c r="Z2" s="16">
        <f>Параметры!Z36</f>
        <v>22</v>
      </c>
      <c r="AA2" s="16">
        <f>Параметры!AA36</f>
        <v>23</v>
      </c>
      <c r="AB2" s="16">
        <f>Параметры!AB36</f>
        <v>24</v>
      </c>
      <c r="AC2" s="16">
        <f>Параметры!AC36</f>
        <v>25</v>
      </c>
      <c r="AD2" s="16">
        <f>Параметры!AD36</f>
        <v>26</v>
      </c>
      <c r="AE2" s="16">
        <f>Параметры!AE36</f>
        <v>27</v>
      </c>
      <c r="AF2" s="16">
        <f>Параметры!AF36</f>
        <v>28</v>
      </c>
      <c r="AG2" s="16">
        <f>Параметры!AG36</f>
        <v>29</v>
      </c>
      <c r="AH2" s="16">
        <f>Параметры!AH36</f>
        <v>30</v>
      </c>
      <c r="AI2" s="16">
        <f>Параметры!AI36</f>
        <v>31</v>
      </c>
      <c r="AJ2" s="16">
        <f>Параметры!AJ36</f>
        <v>32</v>
      </c>
      <c r="AK2" s="16">
        <f>Параметры!AK36</f>
        <v>33</v>
      </c>
      <c r="AL2" s="16">
        <f>Параметры!AL36</f>
        <v>34</v>
      </c>
      <c r="AM2" s="16">
        <f>Параметры!AM36</f>
        <v>35</v>
      </c>
      <c r="AN2" s="16">
        <f>Параметры!AN36</f>
        <v>36</v>
      </c>
      <c r="AO2" s="16">
        <f>Параметры!AO36</f>
        <v>37</v>
      </c>
      <c r="AP2" s="16">
        <f>Параметры!AP36</f>
        <v>38</v>
      </c>
      <c r="AQ2" s="16">
        <f>Параметры!AQ36</f>
        <v>39</v>
      </c>
      <c r="AR2" s="16">
        <f>Параметры!AR36</f>
        <v>40</v>
      </c>
      <c r="AS2" s="16"/>
      <c r="AT2" s="19"/>
    </row>
    <row r="4" spans="1:46" s="309" customFormat="1" x14ac:dyDescent="0.2">
      <c r="A4" s="427" t="s">
        <v>518</v>
      </c>
      <c r="B4" s="364">
        <v>1</v>
      </c>
      <c r="C4" s="428" t="s">
        <v>517</v>
      </c>
      <c r="D4" s="313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11"/>
      <c r="AS4" s="311"/>
      <c r="AT4" s="314"/>
    </row>
    <row r="5" spans="1:46" s="308" customFormat="1" ht="12" thickBot="1" x14ac:dyDescent="0.25">
      <c r="A5" s="315"/>
      <c r="B5" s="316"/>
      <c r="C5" s="316"/>
      <c r="D5" s="317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</row>
    <row r="6" spans="1:46" s="43" customFormat="1" ht="25.5" customHeight="1" thickBot="1" x14ac:dyDescent="0.25">
      <c r="A6" s="481" t="s">
        <v>667</v>
      </c>
      <c r="B6" s="479"/>
      <c r="C6" s="485"/>
      <c r="D6" s="486"/>
      <c r="E6" s="479" t="str">
        <f>CHOOSE($D$2,Параметры!E$53,Параметры!E$54)</f>
        <v>1 кв. 2020</v>
      </c>
      <c r="F6" s="479" t="str">
        <f>CHOOSE($D$2,Параметры!F$53,Параметры!F$54)</f>
        <v>2 кв. 2020</v>
      </c>
      <c r="G6" s="479" t="str">
        <f>CHOOSE($D$2,Параметры!G$53,Параметры!G$54)</f>
        <v>3 кв. 2020</v>
      </c>
      <c r="H6" s="479" t="str">
        <f>CHOOSE($D$2,Параметры!H$53,Параметры!H$54)</f>
        <v>4 кв. 2020</v>
      </c>
      <c r="I6" s="479" t="str">
        <f>CHOOSE($D$2,Параметры!I$53,Параметры!I$54)</f>
        <v>1 кв. 2021</v>
      </c>
      <c r="J6" s="479" t="str">
        <f>CHOOSE($D$2,Параметры!J$53,Параметры!J$54)</f>
        <v>2 кв. 2021</v>
      </c>
      <c r="K6" s="479" t="str">
        <f>CHOOSE($D$2,Параметры!K$53,Параметры!K$54)</f>
        <v>3 кв. 2021</v>
      </c>
      <c r="L6" s="479" t="str">
        <f>CHOOSE($D$2,Параметры!L$53,Параметры!L$54)</f>
        <v>4 кв. 2021</v>
      </c>
      <c r="M6" s="479" t="str">
        <f>CHOOSE($D$2,Параметры!M$53,Параметры!M$54)</f>
        <v>1 кв. 2022</v>
      </c>
      <c r="N6" s="479" t="str">
        <f>CHOOSE($D$2,Параметры!N$53,Параметры!N$54)</f>
        <v>2 кв. 2022</v>
      </c>
      <c r="O6" s="479" t="str">
        <f>CHOOSE($D$2,Параметры!O$53,Параметры!O$54)</f>
        <v>3 кв. 2022</v>
      </c>
      <c r="P6" s="479" t="str">
        <f>CHOOSE($D$2,Параметры!P$53,Параметры!P$54)</f>
        <v>4 кв. 2022</v>
      </c>
      <c r="Q6" s="479" t="str">
        <f>CHOOSE($D$2,Параметры!Q$53,Параметры!Q$54)</f>
        <v>1 кв. 2023</v>
      </c>
      <c r="R6" s="479" t="str">
        <f>CHOOSE($D$2,Параметры!R$53,Параметры!R$54)</f>
        <v>2 кв. 2023</v>
      </c>
      <c r="S6" s="479" t="str">
        <f>CHOOSE($D$2,Параметры!S$53,Параметры!S$54)</f>
        <v>3 кв. 2023</v>
      </c>
      <c r="T6" s="479" t="str">
        <f>CHOOSE($D$2,Параметры!T$53,Параметры!T$54)</f>
        <v>4 кв. 2023</v>
      </c>
      <c r="U6" s="479" t="str">
        <f>CHOOSE($D$2,Параметры!U$53,Параметры!U$54)</f>
        <v>1 кв. 2024</v>
      </c>
      <c r="V6" s="479" t="str">
        <f>CHOOSE($D$2,Параметры!V$53,Параметры!V$54)</f>
        <v>2 кв. 2024</v>
      </c>
      <c r="W6" s="479" t="str">
        <f>CHOOSE($D$2,Параметры!W$53,Параметры!W$54)</f>
        <v>3 кв. 2024</v>
      </c>
      <c r="X6" s="479" t="str">
        <f>CHOOSE($D$2,Параметры!X$53,Параметры!X$54)</f>
        <v>4 кв. 2024</v>
      </c>
      <c r="Y6" s="479" t="str">
        <f>CHOOSE($D$2,Параметры!Y$53,Параметры!Y$54)</f>
        <v>1 кв. 2025</v>
      </c>
      <c r="Z6" s="479" t="str">
        <f>CHOOSE($D$2,Параметры!Z$53,Параметры!Z$54)</f>
        <v>2 кв. 2025</v>
      </c>
      <c r="AA6" s="479" t="str">
        <f>CHOOSE($D$2,Параметры!AA$53,Параметры!AA$54)</f>
        <v>3 кв. 2025</v>
      </c>
      <c r="AB6" s="479" t="str">
        <f>CHOOSE($D$2,Параметры!AB$53,Параметры!AB$54)</f>
        <v>4 кв. 2025</v>
      </c>
      <c r="AC6" s="479" t="str">
        <f>CHOOSE($D$2,Параметры!AC$53,Параметры!AC$54)</f>
        <v>1 кв. 2026</v>
      </c>
      <c r="AD6" s="479" t="str">
        <f>CHOOSE($D$2,Параметры!AD$53,Параметры!AD$54)</f>
        <v>2 кв. 2026</v>
      </c>
      <c r="AE6" s="479" t="str">
        <f>CHOOSE($D$2,Параметры!AE$53,Параметры!AE$54)</f>
        <v>3 кв. 2026</v>
      </c>
      <c r="AF6" s="479" t="str">
        <f>CHOOSE($D$2,Параметры!AF$53,Параметры!AF$54)</f>
        <v>4 кв. 2026</v>
      </c>
      <c r="AG6" s="479" t="str">
        <f>CHOOSE($D$2,Параметры!AG$53,Параметры!AG$54)</f>
        <v>1 кв. 2027</v>
      </c>
      <c r="AH6" s="479" t="str">
        <f>CHOOSE($D$2,Параметры!AH$53,Параметры!AH$54)</f>
        <v>2 кв. 2027</v>
      </c>
      <c r="AI6" s="479" t="str">
        <f>CHOOSE($D$2,Параметры!AI$53,Параметры!AI$54)</f>
        <v>3 кв. 2027</v>
      </c>
      <c r="AJ6" s="479" t="str">
        <f>CHOOSE($D$2,Параметры!AJ$53,Параметры!AJ$54)</f>
        <v>4 кв. 2027</v>
      </c>
      <c r="AK6" s="479" t="str">
        <f>CHOOSE($D$2,Параметры!AK$53,Параметры!AK$54)</f>
        <v>1 кв. 2028</v>
      </c>
      <c r="AL6" s="479" t="str">
        <f>CHOOSE($D$2,Параметры!AL$53,Параметры!AL$54)</f>
        <v>2 кв. 2028</v>
      </c>
      <c r="AM6" s="479" t="str">
        <f>CHOOSE($D$2,Параметры!AM$53,Параметры!AM$54)</f>
        <v>3 кв. 2028</v>
      </c>
      <c r="AN6" s="479" t="str">
        <f>CHOOSE($D$2,Параметры!AN$53,Параметры!AN$54)</f>
        <v>4 кв. 2028</v>
      </c>
      <c r="AO6" s="479" t="str">
        <f>CHOOSE($D$2,Параметры!AO$53,Параметры!AO$54)</f>
        <v>1 кв. 2029</v>
      </c>
      <c r="AP6" s="479" t="str">
        <f>CHOOSE($D$2,Параметры!AP$53,Параметры!AP$54)</f>
        <v>2 кв. 2029</v>
      </c>
      <c r="AQ6" s="479" t="str">
        <f>CHOOSE($D$2,Параметры!AQ$53,Параметры!AQ$54)</f>
        <v>3 кв. 2029</v>
      </c>
      <c r="AR6" s="479" t="str">
        <f>CHOOSE($D$2,Параметры!AR$53,Параметры!AR$54)</f>
        <v>4 кв. 2029</v>
      </c>
      <c r="AS6" s="485"/>
      <c r="AT6" s="485" t="s">
        <v>0</v>
      </c>
    </row>
    <row r="8" spans="1:46" ht="22.5" x14ac:dyDescent="0.2">
      <c r="A8" s="163" t="s">
        <v>771</v>
      </c>
    </row>
    <row r="9" spans="1:46" x14ac:dyDescent="0.2">
      <c r="A9" s="154" t="str">
        <f>ИД!B63</f>
        <v>Корпус А4</v>
      </c>
      <c r="C9" s="266" t="s">
        <v>520</v>
      </c>
      <c r="D9" s="65"/>
      <c r="E9" s="82">
        <f>ИД!D63*Графики!$D$324</f>
        <v>0</v>
      </c>
      <c r="F9" s="82">
        <f>ИД!E63*Графики!$D$324</f>
        <v>0</v>
      </c>
      <c r="G9" s="82">
        <f>ИД!F63*Графики!$D$324</f>
        <v>14500</v>
      </c>
      <c r="H9" s="82">
        <f>ИД!G63*Графики!$D$324</f>
        <v>14500</v>
      </c>
      <c r="I9" s="82">
        <f>ИД!H63*Графики!$D$324</f>
        <v>14500</v>
      </c>
      <c r="J9" s="82">
        <f>ИД!I63*Графики!$D$324</f>
        <v>14500</v>
      </c>
      <c r="K9" s="82">
        <f>ИД!J63*Графики!$D$324</f>
        <v>14500</v>
      </c>
      <c r="L9" s="82">
        <f>ИД!K63*Графики!$D$324</f>
        <v>14500</v>
      </c>
      <c r="M9" s="82">
        <f>ИД!L63*Графики!$D$324</f>
        <v>14500</v>
      </c>
      <c r="N9" s="82">
        <f>ИД!M63*Графики!$D$324</f>
        <v>14500</v>
      </c>
      <c r="O9" s="82">
        <f>ИД!N63*Графики!$D$324</f>
        <v>14500</v>
      </c>
      <c r="P9" s="82">
        <f>ИД!O63*Графики!$D$324</f>
        <v>14500</v>
      </c>
      <c r="Q9" s="82">
        <f>ИД!P63*Графики!$D$324</f>
        <v>14500</v>
      </c>
      <c r="R9" s="82">
        <f>ИД!Q63*Графики!$D$324</f>
        <v>14500</v>
      </c>
      <c r="S9" s="82">
        <f>ИД!R63*Графики!$D$324</f>
        <v>14500</v>
      </c>
      <c r="T9" s="82">
        <f>ИД!S63*Графики!$D$324</f>
        <v>14500</v>
      </c>
      <c r="U9" s="82">
        <f>ИД!T63*Графики!$D$324</f>
        <v>14500</v>
      </c>
      <c r="V9" s="82">
        <f>ИД!U63*Графики!$D$324</f>
        <v>14500</v>
      </c>
      <c r="W9" s="82">
        <f>ИД!V63*Графики!$D$324</f>
        <v>14500</v>
      </c>
      <c r="X9" s="82">
        <f>ИД!W63*Графики!$D$324</f>
        <v>14500</v>
      </c>
      <c r="Y9" s="82">
        <f>ИД!X63*Графики!$D$324</f>
        <v>14500</v>
      </c>
      <c r="Z9" s="82">
        <f>ИД!Y63*Графики!$D$324</f>
        <v>14500</v>
      </c>
      <c r="AA9" s="82">
        <f>ИД!Z63*Графики!$D$324</f>
        <v>14500</v>
      </c>
      <c r="AB9" s="82">
        <f>ИД!AA63*Графики!$D$324</f>
        <v>14500</v>
      </c>
      <c r="AC9" s="82">
        <f>ИД!AB63*Графики!$D$324</f>
        <v>14500</v>
      </c>
      <c r="AD9" s="82">
        <f>ИД!AC63*Графики!$D$324</f>
        <v>14500</v>
      </c>
      <c r="AE9" s="82">
        <f>ИД!AD63*Графики!$D$324</f>
        <v>14500</v>
      </c>
      <c r="AF9" s="82">
        <f>ИД!AE63*Графики!$D$324</f>
        <v>14500</v>
      </c>
      <c r="AG9" s="82">
        <f>ИД!AF63*Графики!$D$324</f>
        <v>14500</v>
      </c>
      <c r="AH9" s="82">
        <f>ИД!AG63*Графики!$D$324</f>
        <v>14500</v>
      </c>
      <c r="AI9" s="82">
        <f>ИД!AH63*Графики!$D$324</f>
        <v>14500</v>
      </c>
      <c r="AJ9" s="82">
        <f>ИД!AI63*Графики!$D$324</f>
        <v>14500</v>
      </c>
      <c r="AK9" s="82">
        <f>ИД!AJ63*Графики!$D$324</f>
        <v>14500</v>
      </c>
      <c r="AL9" s="82">
        <f>ИД!AK63*Графики!$D$324</f>
        <v>14500</v>
      </c>
      <c r="AM9" s="82">
        <f>ИД!AL63*Графики!$D$324</f>
        <v>14500</v>
      </c>
      <c r="AN9" s="82">
        <f>ИД!AM63*Графики!$D$324</f>
        <v>14500</v>
      </c>
      <c r="AO9" s="82">
        <f>ИД!AN63*Графики!$D$324</f>
        <v>14500</v>
      </c>
      <c r="AP9" s="82">
        <f>ИД!AO63*Графики!$D$324</f>
        <v>14500</v>
      </c>
      <c r="AQ9" s="82">
        <f>ИД!AP63*Графики!$D$324</f>
        <v>14500</v>
      </c>
      <c r="AR9" s="82">
        <f>ИД!AQ63*Графики!$D$324</f>
        <v>14500</v>
      </c>
      <c r="AT9" s="137"/>
    </row>
    <row r="10" spans="1:46" x14ac:dyDescent="0.2">
      <c r="A10" s="154" t="str">
        <f>ИД!B64</f>
        <v>Корпус B2</v>
      </c>
      <c r="C10" s="266" t="s">
        <v>520</v>
      </c>
      <c r="D10" s="65"/>
      <c r="E10" s="82">
        <f>ИД!D64*Графики!$D$324</f>
        <v>0</v>
      </c>
      <c r="F10" s="82">
        <f>ИД!E64*Графики!$D$324</f>
        <v>0</v>
      </c>
      <c r="G10" s="82">
        <f>ИД!F64*Графики!$D$324</f>
        <v>0</v>
      </c>
      <c r="H10" s="82">
        <f>ИД!G64*Графики!$D$324</f>
        <v>0</v>
      </c>
      <c r="I10" s="82">
        <f>ИД!H64*Графики!$D$324</f>
        <v>0</v>
      </c>
      <c r="J10" s="82">
        <f>ИД!I64*Графики!$D$324</f>
        <v>0</v>
      </c>
      <c r="K10" s="82">
        <f>ИД!J64*Графики!$D$324</f>
        <v>0</v>
      </c>
      <c r="L10" s="82">
        <f>ИД!K64*Графики!$D$324</f>
        <v>0</v>
      </c>
      <c r="M10" s="82">
        <f>ИД!L64*Графики!$D$324</f>
        <v>7220</v>
      </c>
      <c r="N10" s="82">
        <f>ИД!M64*Графики!$D$324</f>
        <v>7220</v>
      </c>
      <c r="O10" s="82">
        <f>ИД!N64*Графики!$D$324</f>
        <v>7220</v>
      </c>
      <c r="P10" s="82">
        <f>ИД!O64*Графики!$D$324</f>
        <v>7220</v>
      </c>
      <c r="Q10" s="82">
        <f>ИД!P64*Графики!$D$324</f>
        <v>7220</v>
      </c>
      <c r="R10" s="82">
        <f>ИД!Q64*Графики!$D$324</f>
        <v>7220</v>
      </c>
      <c r="S10" s="82">
        <f>ИД!R64*Графики!$D$324</f>
        <v>7220</v>
      </c>
      <c r="T10" s="82">
        <f>ИД!S64*Графики!$D$324</f>
        <v>7220</v>
      </c>
      <c r="U10" s="82">
        <f>ИД!T64*Графики!$D$324</f>
        <v>7220</v>
      </c>
      <c r="V10" s="82">
        <f>ИД!U64*Графики!$D$324</f>
        <v>7220</v>
      </c>
      <c r="W10" s="82">
        <f>ИД!V64*Графики!$D$324</f>
        <v>7220</v>
      </c>
      <c r="X10" s="82">
        <f>ИД!W64*Графики!$D$324</f>
        <v>7220</v>
      </c>
      <c r="Y10" s="82">
        <f>ИД!X64*Графики!$D$324</f>
        <v>7220</v>
      </c>
      <c r="Z10" s="82">
        <f>ИД!Y64*Графики!$D$324</f>
        <v>7220</v>
      </c>
      <c r="AA10" s="82">
        <f>ИД!Z64*Графики!$D$324</f>
        <v>7220</v>
      </c>
      <c r="AB10" s="82">
        <f>ИД!AA64*Графики!$D$324</f>
        <v>7220</v>
      </c>
      <c r="AC10" s="82">
        <f>ИД!AB64*Графики!$D$324</f>
        <v>7220</v>
      </c>
      <c r="AD10" s="82">
        <f>ИД!AC64*Графики!$D$324</f>
        <v>7220</v>
      </c>
      <c r="AE10" s="82">
        <f>ИД!AD64*Графики!$D$324</f>
        <v>7220</v>
      </c>
      <c r="AF10" s="82">
        <f>ИД!AE64*Графики!$D$324</f>
        <v>7220</v>
      </c>
      <c r="AG10" s="82">
        <f>ИД!AF64*Графики!$D$324</f>
        <v>7220</v>
      </c>
      <c r="AH10" s="82">
        <f>ИД!AG64*Графики!$D$324</f>
        <v>7220</v>
      </c>
      <c r="AI10" s="82">
        <f>ИД!AH64*Графики!$D$324</f>
        <v>7220</v>
      </c>
      <c r="AJ10" s="82">
        <f>ИД!AI64*Графики!$D$324</f>
        <v>7220</v>
      </c>
      <c r="AK10" s="82">
        <f>ИД!AJ64*Графики!$D$324</f>
        <v>7220</v>
      </c>
      <c r="AL10" s="82">
        <f>ИД!AK64*Графики!$D$324</f>
        <v>7220</v>
      </c>
      <c r="AM10" s="82">
        <f>ИД!AL64*Графики!$D$324</f>
        <v>7220</v>
      </c>
      <c r="AN10" s="82">
        <f>ИД!AM64*Графики!$D$324</f>
        <v>7220</v>
      </c>
      <c r="AO10" s="82">
        <f>ИД!AN64*Графики!$D$324</f>
        <v>7220</v>
      </c>
      <c r="AP10" s="82">
        <f>ИД!AO64*Графики!$D$324</f>
        <v>7220</v>
      </c>
      <c r="AQ10" s="82">
        <f>ИД!AP64*Графики!$D$324</f>
        <v>7220</v>
      </c>
      <c r="AR10" s="82">
        <f>ИД!AQ64*Графики!$D$324</f>
        <v>7220</v>
      </c>
    </row>
    <row r="11" spans="1:46" x14ac:dyDescent="0.2">
      <c r="A11" s="154" t="str">
        <f>ИД!B69</f>
        <v>БП с ЦОД</v>
      </c>
      <c r="C11" s="266" t="s">
        <v>520</v>
      </c>
      <c r="D11" s="65"/>
      <c r="E11" s="82">
        <f>ИД!D69*Графики!$D$324</f>
        <v>0</v>
      </c>
      <c r="F11" s="82">
        <f>ИД!E69*Графики!$D$324</f>
        <v>0</v>
      </c>
      <c r="G11" s="82">
        <f>ИД!F69*Графики!$D$324</f>
        <v>0</v>
      </c>
      <c r="H11" s="82">
        <f>ИД!G69*Графики!$D$324</f>
        <v>0</v>
      </c>
      <c r="I11" s="82">
        <f>ИД!H69*Графики!$D$324</f>
        <v>0</v>
      </c>
      <c r="J11" s="82">
        <f>ИД!I69*Графики!$D$324</f>
        <v>0</v>
      </c>
      <c r="K11" s="82">
        <f>ИД!J69*Графики!$D$324</f>
        <v>0</v>
      </c>
      <c r="L11" s="82">
        <f>ИД!K69*Графики!$D$324</f>
        <v>0</v>
      </c>
      <c r="M11" s="82">
        <f>ИД!L69*Графики!$D$324</f>
        <v>0</v>
      </c>
      <c r="N11" s="82">
        <f>ИД!M69*Графики!$D$324</f>
        <v>0</v>
      </c>
      <c r="O11" s="82">
        <f>ИД!N69*Графики!$D$324</f>
        <v>0</v>
      </c>
      <c r="P11" s="82">
        <f>ИД!O69*Графики!$D$324</f>
        <v>0</v>
      </c>
      <c r="Q11" s="82">
        <f>ИД!P69*Графики!$D$324</f>
        <v>0</v>
      </c>
      <c r="R11" s="82">
        <f>ИД!Q69*Графики!$D$324</f>
        <v>0</v>
      </c>
      <c r="S11" s="82">
        <f>ИД!R69*Графики!$D$324</f>
        <v>0</v>
      </c>
      <c r="T11" s="82">
        <f>ИД!S69*Графики!$D$324</f>
        <v>0</v>
      </c>
      <c r="U11" s="82">
        <f>ИД!T69*Графики!$D$324</f>
        <v>24365</v>
      </c>
      <c r="V11" s="82">
        <f>ИД!U69*Графики!$D$324</f>
        <v>24365</v>
      </c>
      <c r="W11" s="82">
        <f>ИД!V69*Графики!$D$324</f>
        <v>24365</v>
      </c>
      <c r="X11" s="82">
        <f>ИД!W69*Графики!$D$324</f>
        <v>24365</v>
      </c>
      <c r="Y11" s="82">
        <f>ИД!X69*Графики!$D$324</f>
        <v>24365</v>
      </c>
      <c r="Z11" s="82">
        <f>ИД!Y69*Графики!$D$324</f>
        <v>24365</v>
      </c>
      <c r="AA11" s="82">
        <f>ИД!Z69*Графики!$D$324</f>
        <v>24365</v>
      </c>
      <c r="AB11" s="82">
        <f>ИД!AA69*Графики!$D$324</f>
        <v>24365</v>
      </c>
      <c r="AC11" s="82">
        <f>ИД!AB69*Графики!$D$324</f>
        <v>24365</v>
      </c>
      <c r="AD11" s="82">
        <f>ИД!AC69*Графики!$D$324</f>
        <v>24365</v>
      </c>
      <c r="AE11" s="82">
        <f>ИД!AD69*Графики!$D$324</f>
        <v>24365</v>
      </c>
      <c r="AF11" s="82">
        <f>ИД!AE69*Графики!$D$324</f>
        <v>24365</v>
      </c>
      <c r="AG11" s="82">
        <f>ИД!AF69*Графики!$D$324</f>
        <v>24365</v>
      </c>
      <c r="AH11" s="82">
        <f>ИД!AG69*Графики!$D$324</f>
        <v>24365</v>
      </c>
      <c r="AI11" s="82">
        <f>ИД!AH69*Графики!$D$324</f>
        <v>24365</v>
      </c>
      <c r="AJ11" s="82">
        <f>ИД!AI69*Графики!$D$324</f>
        <v>24365</v>
      </c>
      <c r="AK11" s="82">
        <f>ИД!AJ69*Графики!$D$324</f>
        <v>24365</v>
      </c>
      <c r="AL11" s="82">
        <f>ИД!AK69*Графики!$D$324</f>
        <v>24365</v>
      </c>
      <c r="AM11" s="82">
        <f>ИД!AL69*Графики!$D$324</f>
        <v>24365</v>
      </c>
      <c r="AN11" s="82">
        <f>ИД!AM69*Графики!$D$324</f>
        <v>24365</v>
      </c>
      <c r="AO11" s="82">
        <f>ИД!AN69*Графики!$D$324</f>
        <v>24365</v>
      </c>
      <c r="AP11" s="82">
        <f>ИД!AO69*Графики!$D$324</f>
        <v>24365</v>
      </c>
      <c r="AQ11" s="82">
        <f>ИД!AP69*Графики!$D$324</f>
        <v>24365</v>
      </c>
      <c r="AR11" s="82">
        <f>ИД!AQ69*Графики!$D$324</f>
        <v>24365</v>
      </c>
    </row>
    <row r="12" spans="1:46" x14ac:dyDescent="0.2">
      <c r="A12" s="154" t="str">
        <f>ИД!B70</f>
        <v>Корпус B1</v>
      </c>
      <c r="C12" s="266" t="s">
        <v>520</v>
      </c>
      <c r="D12" s="65"/>
      <c r="E12" s="82">
        <f>ИД!D70*Графики!$D$324</f>
        <v>0</v>
      </c>
      <c r="F12" s="82">
        <f>ИД!E70*Графики!$D$324</f>
        <v>0</v>
      </c>
      <c r="G12" s="82">
        <f>ИД!F70*Графики!$D$324</f>
        <v>0</v>
      </c>
      <c r="H12" s="82">
        <f>ИД!G70*Графики!$D$324</f>
        <v>0</v>
      </c>
      <c r="I12" s="82">
        <f>ИД!H70*Графики!$D$324</f>
        <v>0</v>
      </c>
      <c r="J12" s="82">
        <f>ИД!I70*Графики!$D$324</f>
        <v>0</v>
      </c>
      <c r="K12" s="82">
        <f>ИД!J70*Графики!$D$324</f>
        <v>0</v>
      </c>
      <c r="L12" s="82">
        <f>ИД!K70*Графики!$D$324</f>
        <v>0</v>
      </c>
      <c r="M12" s="82">
        <f>ИД!L70*Графики!$D$324</f>
        <v>0</v>
      </c>
      <c r="N12" s="82">
        <f>ИД!M70*Графики!$D$324</f>
        <v>0</v>
      </c>
      <c r="O12" s="82">
        <f>ИД!N70*Графики!$D$324</f>
        <v>0</v>
      </c>
      <c r="P12" s="82">
        <f>ИД!O70*Графики!$D$324</f>
        <v>0</v>
      </c>
      <c r="Q12" s="82">
        <f>ИД!P70*Графики!$D$324</f>
        <v>3610</v>
      </c>
      <c r="R12" s="82">
        <f>ИД!Q70*Графики!$D$324</f>
        <v>3610</v>
      </c>
      <c r="S12" s="82">
        <f>ИД!R70*Графики!$D$324</f>
        <v>3610</v>
      </c>
      <c r="T12" s="82">
        <f>ИД!S70*Графики!$D$324</f>
        <v>3610</v>
      </c>
      <c r="U12" s="82">
        <f>ИД!T70*Графики!$D$324</f>
        <v>3610</v>
      </c>
      <c r="V12" s="82">
        <f>ИД!U70*Графики!$D$324</f>
        <v>3610</v>
      </c>
      <c r="W12" s="82">
        <f>ИД!V70*Графики!$D$324</f>
        <v>3610</v>
      </c>
      <c r="X12" s="82">
        <f>ИД!W70*Графики!$D$324</f>
        <v>3610</v>
      </c>
      <c r="Y12" s="82">
        <f>ИД!X70*Графики!$D$324</f>
        <v>3610</v>
      </c>
      <c r="Z12" s="82">
        <f>ИД!Y70*Графики!$D$324</f>
        <v>3610</v>
      </c>
      <c r="AA12" s="82">
        <f>ИД!Z70*Графики!$D$324</f>
        <v>3610</v>
      </c>
      <c r="AB12" s="82">
        <f>ИД!AA70*Графики!$D$324</f>
        <v>3610</v>
      </c>
      <c r="AC12" s="82">
        <f>ИД!AB70*Графики!$D$324</f>
        <v>3610</v>
      </c>
      <c r="AD12" s="82">
        <f>ИД!AC70*Графики!$D$324</f>
        <v>3610</v>
      </c>
      <c r="AE12" s="82">
        <f>ИД!AD70*Графики!$D$324</f>
        <v>3610</v>
      </c>
      <c r="AF12" s="82">
        <f>ИД!AE70*Графики!$D$324</f>
        <v>3610</v>
      </c>
      <c r="AG12" s="82">
        <f>ИД!AF70*Графики!$D$324</f>
        <v>3610</v>
      </c>
      <c r="AH12" s="82">
        <f>ИД!AG70*Графики!$D$324</f>
        <v>3610</v>
      </c>
      <c r="AI12" s="82">
        <f>ИД!AH70*Графики!$D$324</f>
        <v>3610</v>
      </c>
      <c r="AJ12" s="82">
        <f>ИД!AI70*Графики!$D$324</f>
        <v>3610</v>
      </c>
      <c r="AK12" s="82">
        <f>ИД!AJ70*Графики!$D$324</f>
        <v>3610</v>
      </c>
      <c r="AL12" s="82">
        <f>ИД!AK70*Графики!$D$324</f>
        <v>3610</v>
      </c>
      <c r="AM12" s="82">
        <f>ИД!AL70*Графики!$D$324</f>
        <v>3610</v>
      </c>
      <c r="AN12" s="82">
        <f>ИД!AM70*Графики!$D$324</f>
        <v>3610</v>
      </c>
      <c r="AO12" s="82">
        <f>ИД!AN70*Графики!$D$324</f>
        <v>3610</v>
      </c>
      <c r="AP12" s="82">
        <f>ИД!AO70*Графики!$D$324</f>
        <v>3610</v>
      </c>
      <c r="AQ12" s="82">
        <f>ИД!AP70*Графики!$D$324</f>
        <v>3610</v>
      </c>
      <c r="AR12" s="82">
        <f>ИД!AQ70*Графики!$D$324</f>
        <v>3610</v>
      </c>
    </row>
    <row r="13" spans="1:46" x14ac:dyDescent="0.2">
      <c r="A13" s="154" t="str">
        <f>ИД!B71</f>
        <v>Корпус B3</v>
      </c>
      <c r="C13" s="266" t="s">
        <v>520</v>
      </c>
      <c r="D13" s="65"/>
      <c r="E13" s="82">
        <f>ИД!D71*Графики!$D$324</f>
        <v>0</v>
      </c>
      <c r="F13" s="82">
        <f>ИД!E71*Графики!$D$324</f>
        <v>0</v>
      </c>
      <c r="G13" s="82">
        <f>ИД!F71*Графики!$D$324</f>
        <v>0</v>
      </c>
      <c r="H13" s="82">
        <f>ИД!G71*Графики!$D$324</f>
        <v>0</v>
      </c>
      <c r="I13" s="82">
        <f>ИД!H71*Графики!$D$324</f>
        <v>0</v>
      </c>
      <c r="J13" s="82">
        <f>ИД!I71*Графики!$D$324</f>
        <v>0</v>
      </c>
      <c r="K13" s="82">
        <f>ИД!J71*Графики!$D$324</f>
        <v>0</v>
      </c>
      <c r="L13" s="82">
        <f>ИД!K71*Графики!$D$324</f>
        <v>0</v>
      </c>
      <c r="M13" s="82">
        <f>ИД!L71*Графики!$D$324</f>
        <v>0</v>
      </c>
      <c r="N13" s="82">
        <f>ИД!M71*Графики!$D$324</f>
        <v>0</v>
      </c>
      <c r="O13" s="82">
        <f>ИД!N71*Графики!$D$324</f>
        <v>0</v>
      </c>
      <c r="P13" s="82">
        <f>ИД!O71*Графики!$D$324</f>
        <v>0</v>
      </c>
      <c r="Q13" s="82">
        <f>ИД!P71*Графики!$D$324</f>
        <v>0</v>
      </c>
      <c r="R13" s="82">
        <f>ИД!Q71*Графики!$D$324</f>
        <v>0</v>
      </c>
      <c r="S13" s="82">
        <f>ИД!R71*Графики!$D$324</f>
        <v>0</v>
      </c>
      <c r="T13" s="82">
        <f>ИД!S71*Графики!$D$324</f>
        <v>0</v>
      </c>
      <c r="U13" s="82">
        <f>ИД!T71*Графики!$D$324</f>
        <v>8630</v>
      </c>
      <c r="V13" s="82">
        <f>ИД!U71*Графики!$D$324</f>
        <v>8630</v>
      </c>
      <c r="W13" s="82">
        <f>ИД!V71*Графики!$D$324</f>
        <v>8630</v>
      </c>
      <c r="X13" s="82">
        <f>ИД!W71*Графики!$D$324</f>
        <v>8630</v>
      </c>
      <c r="Y13" s="82">
        <f>ИД!X71*Графики!$D$324</f>
        <v>8630</v>
      </c>
      <c r="Z13" s="82">
        <f>ИД!Y71*Графики!$D$324</f>
        <v>8630</v>
      </c>
      <c r="AA13" s="82">
        <f>ИД!Z71*Графики!$D$324</f>
        <v>8630</v>
      </c>
      <c r="AB13" s="82">
        <f>ИД!AA71*Графики!$D$324</f>
        <v>8630</v>
      </c>
      <c r="AC13" s="82">
        <f>ИД!AB71*Графики!$D$324</f>
        <v>8630</v>
      </c>
      <c r="AD13" s="82">
        <f>ИД!AC71*Графики!$D$324</f>
        <v>8630</v>
      </c>
      <c r="AE13" s="82">
        <f>ИД!AD71*Графики!$D$324</f>
        <v>8630</v>
      </c>
      <c r="AF13" s="82">
        <f>ИД!AE71*Графики!$D$324</f>
        <v>8630</v>
      </c>
      <c r="AG13" s="82">
        <f>ИД!AF71*Графики!$D$324</f>
        <v>8630</v>
      </c>
      <c r="AH13" s="82">
        <f>ИД!AG71*Графики!$D$324</f>
        <v>8630</v>
      </c>
      <c r="AI13" s="82">
        <f>ИД!AH71*Графики!$D$324</f>
        <v>8630</v>
      </c>
      <c r="AJ13" s="82">
        <f>ИД!AI71*Графики!$D$324</f>
        <v>8630</v>
      </c>
      <c r="AK13" s="82">
        <f>ИД!AJ71*Графики!$D$324</f>
        <v>8630</v>
      </c>
      <c r="AL13" s="82">
        <f>ИД!AK71*Графики!$D$324</f>
        <v>8630</v>
      </c>
      <c r="AM13" s="82">
        <f>ИД!AL71*Графики!$D$324</f>
        <v>8630</v>
      </c>
      <c r="AN13" s="82">
        <f>ИД!AM71*Графики!$D$324</f>
        <v>8630</v>
      </c>
      <c r="AO13" s="82">
        <f>ИД!AN71*Графики!$D$324</f>
        <v>8630</v>
      </c>
      <c r="AP13" s="82">
        <f>ИД!AO71*Графики!$D$324</f>
        <v>8630</v>
      </c>
      <c r="AQ13" s="82">
        <f>ИД!AP71*Графики!$D$324</f>
        <v>8630</v>
      </c>
      <c r="AR13" s="82">
        <f>ИД!AQ71*Графики!$D$324</f>
        <v>8630</v>
      </c>
    </row>
    <row r="14" spans="1:46" x14ac:dyDescent="0.2">
      <c r="A14" s="154" t="str">
        <f>ИД!B72</f>
        <v>Объект II очереди</v>
      </c>
      <c r="C14" s="266" t="s">
        <v>520</v>
      </c>
      <c r="D14" s="65"/>
      <c r="E14" s="82">
        <f>ИД!D72*Графики!$D$324</f>
        <v>0</v>
      </c>
      <c r="F14" s="82">
        <f>ИД!E72*Графики!$D$324</f>
        <v>0</v>
      </c>
      <c r="G14" s="82">
        <f>ИД!F72*Графики!$D$324</f>
        <v>0</v>
      </c>
      <c r="H14" s="82">
        <f>ИД!G72*Графики!$D$324</f>
        <v>0</v>
      </c>
      <c r="I14" s="82">
        <f>ИД!H72*Графики!$D$324</f>
        <v>0</v>
      </c>
      <c r="J14" s="82">
        <f>ИД!I72*Графики!$D$324</f>
        <v>0</v>
      </c>
      <c r="K14" s="82">
        <f>ИД!J72*Графики!$D$324</f>
        <v>0</v>
      </c>
      <c r="L14" s="82">
        <f>ИД!K72*Графики!$D$324</f>
        <v>0</v>
      </c>
      <c r="M14" s="82">
        <f>ИД!L72*Графики!$D$324</f>
        <v>0</v>
      </c>
      <c r="N14" s="82">
        <f>ИД!M72*Графики!$D$324</f>
        <v>0</v>
      </c>
      <c r="O14" s="82">
        <f>ИД!N72*Графики!$D$324</f>
        <v>0</v>
      </c>
      <c r="P14" s="82">
        <f>ИД!O72*Графики!$D$324</f>
        <v>0</v>
      </c>
      <c r="Q14" s="82">
        <f>ИД!P72*Графики!$D$324</f>
        <v>0</v>
      </c>
      <c r="R14" s="82">
        <f>ИД!Q72*Графики!$D$324</f>
        <v>0</v>
      </c>
      <c r="S14" s="82">
        <f>ИД!R72*Графики!$D$324</f>
        <v>0</v>
      </c>
      <c r="T14" s="82">
        <f>ИД!S72*Графики!$D$324</f>
        <v>0</v>
      </c>
      <c r="U14" s="82">
        <f>ИД!T72*Графики!$D$324</f>
        <v>22255</v>
      </c>
      <c r="V14" s="82">
        <f>ИД!U72*Графики!$D$324</f>
        <v>22255</v>
      </c>
      <c r="W14" s="82">
        <f>ИД!V72*Графики!$D$324</f>
        <v>22255</v>
      </c>
      <c r="X14" s="82">
        <f>ИД!W72*Графики!$D$324</f>
        <v>22255</v>
      </c>
      <c r="Y14" s="82">
        <f>ИД!X72*Графики!$D$324</f>
        <v>22255</v>
      </c>
      <c r="Z14" s="82">
        <f>ИД!Y72*Графики!$D$324</f>
        <v>22255</v>
      </c>
      <c r="AA14" s="82">
        <f>ИД!Z72*Графики!$D$324</f>
        <v>22255</v>
      </c>
      <c r="AB14" s="82">
        <f>ИД!AA72*Графики!$D$324</f>
        <v>22255</v>
      </c>
      <c r="AC14" s="82">
        <f>ИД!AB72*Графики!$D$324</f>
        <v>22255</v>
      </c>
      <c r="AD14" s="82">
        <f>ИД!AC72*Графики!$D$324</f>
        <v>22255</v>
      </c>
      <c r="AE14" s="82">
        <f>ИД!AD72*Графики!$D$324</f>
        <v>22255</v>
      </c>
      <c r="AF14" s="82">
        <f>ИД!AE72*Графики!$D$324</f>
        <v>22255</v>
      </c>
      <c r="AG14" s="82">
        <f>ИД!AF72*Графики!$D$324</f>
        <v>22255</v>
      </c>
      <c r="AH14" s="82">
        <f>ИД!AG72*Графики!$D$324</f>
        <v>22255</v>
      </c>
      <c r="AI14" s="82">
        <f>ИД!AH72*Графики!$D$324</f>
        <v>22255</v>
      </c>
      <c r="AJ14" s="82">
        <f>ИД!AI72*Графики!$D$324</f>
        <v>22255</v>
      </c>
      <c r="AK14" s="82">
        <f>ИД!AJ72*Графики!$D$324</f>
        <v>22255</v>
      </c>
      <c r="AL14" s="82">
        <f>ИД!AK72*Графики!$D$324</f>
        <v>22255</v>
      </c>
      <c r="AM14" s="82">
        <f>ИД!AL72*Графики!$D$324</f>
        <v>22255</v>
      </c>
      <c r="AN14" s="82">
        <f>ИД!AM72*Графики!$D$324</f>
        <v>22255</v>
      </c>
      <c r="AO14" s="82">
        <f>ИД!AN72*Графики!$D$324</f>
        <v>22255</v>
      </c>
      <c r="AP14" s="82">
        <f>ИД!AO72*Графики!$D$324</f>
        <v>22255</v>
      </c>
      <c r="AQ14" s="82">
        <f>ИД!AP72*Графики!$D$324</f>
        <v>22255</v>
      </c>
      <c r="AR14" s="82">
        <f>ИД!AQ72*Графики!$D$324</f>
        <v>22255</v>
      </c>
    </row>
    <row r="15" spans="1:46" x14ac:dyDescent="0.2">
      <c r="A15" s="60" t="s">
        <v>489</v>
      </c>
      <c r="C15" s="224" t="s">
        <v>520</v>
      </c>
      <c r="D15" s="65"/>
      <c r="E15" s="85">
        <f t="shared" ref="E15:AR15" si="0">SUM(E9:E14)</f>
        <v>0</v>
      </c>
      <c r="F15" s="85">
        <f t="shared" si="0"/>
        <v>0</v>
      </c>
      <c r="G15" s="85">
        <f t="shared" si="0"/>
        <v>14500</v>
      </c>
      <c r="H15" s="85">
        <f t="shared" si="0"/>
        <v>14500</v>
      </c>
      <c r="I15" s="85">
        <f t="shared" si="0"/>
        <v>14500</v>
      </c>
      <c r="J15" s="85">
        <f t="shared" si="0"/>
        <v>14500</v>
      </c>
      <c r="K15" s="85">
        <f t="shared" si="0"/>
        <v>14500</v>
      </c>
      <c r="L15" s="85">
        <f t="shared" si="0"/>
        <v>14500</v>
      </c>
      <c r="M15" s="85">
        <f t="shared" si="0"/>
        <v>21720</v>
      </c>
      <c r="N15" s="85">
        <f t="shared" si="0"/>
        <v>21720</v>
      </c>
      <c r="O15" s="85">
        <f t="shared" si="0"/>
        <v>21720</v>
      </c>
      <c r="P15" s="85">
        <f t="shared" si="0"/>
        <v>21720</v>
      </c>
      <c r="Q15" s="85">
        <f t="shared" si="0"/>
        <v>25330</v>
      </c>
      <c r="R15" s="85">
        <f t="shared" si="0"/>
        <v>25330</v>
      </c>
      <c r="S15" s="85">
        <f t="shared" si="0"/>
        <v>25330</v>
      </c>
      <c r="T15" s="85">
        <f t="shared" si="0"/>
        <v>25330</v>
      </c>
      <c r="U15" s="85">
        <f t="shared" si="0"/>
        <v>80580</v>
      </c>
      <c r="V15" s="85">
        <f t="shared" si="0"/>
        <v>80580</v>
      </c>
      <c r="W15" s="85">
        <f t="shared" si="0"/>
        <v>80580</v>
      </c>
      <c r="X15" s="85">
        <f t="shared" si="0"/>
        <v>80580</v>
      </c>
      <c r="Y15" s="85">
        <f t="shared" si="0"/>
        <v>80580</v>
      </c>
      <c r="Z15" s="85">
        <f t="shared" si="0"/>
        <v>80580</v>
      </c>
      <c r="AA15" s="85">
        <f t="shared" si="0"/>
        <v>80580</v>
      </c>
      <c r="AB15" s="85">
        <f t="shared" si="0"/>
        <v>80580</v>
      </c>
      <c r="AC15" s="85">
        <f t="shared" si="0"/>
        <v>80580</v>
      </c>
      <c r="AD15" s="85">
        <f t="shared" si="0"/>
        <v>80580</v>
      </c>
      <c r="AE15" s="85">
        <f t="shared" si="0"/>
        <v>80580</v>
      </c>
      <c r="AF15" s="85">
        <f t="shared" si="0"/>
        <v>80580</v>
      </c>
      <c r="AG15" s="85">
        <f t="shared" si="0"/>
        <v>80580</v>
      </c>
      <c r="AH15" s="85">
        <f t="shared" si="0"/>
        <v>80580</v>
      </c>
      <c r="AI15" s="85">
        <f t="shared" si="0"/>
        <v>80580</v>
      </c>
      <c r="AJ15" s="85">
        <f t="shared" si="0"/>
        <v>80580</v>
      </c>
      <c r="AK15" s="85">
        <f t="shared" si="0"/>
        <v>80580</v>
      </c>
      <c r="AL15" s="85">
        <f t="shared" si="0"/>
        <v>80580</v>
      </c>
      <c r="AM15" s="85">
        <f t="shared" si="0"/>
        <v>80580</v>
      </c>
      <c r="AN15" s="85">
        <f t="shared" si="0"/>
        <v>80580</v>
      </c>
      <c r="AO15" s="85">
        <f t="shared" si="0"/>
        <v>80580</v>
      </c>
      <c r="AP15" s="85">
        <f t="shared" si="0"/>
        <v>80580</v>
      </c>
      <c r="AQ15" s="85">
        <f t="shared" si="0"/>
        <v>80580</v>
      </c>
      <c r="AR15" s="85">
        <f t="shared" si="0"/>
        <v>80580</v>
      </c>
    </row>
    <row r="17" spans="1:46" s="60" customFormat="1" x14ac:dyDescent="0.2">
      <c r="A17" s="60" t="s">
        <v>800</v>
      </c>
      <c r="C17" s="224" t="s">
        <v>1</v>
      </c>
      <c r="D17" s="159"/>
      <c r="E17" s="559">
        <f t="shared" ref="E17:AR17" si="1">E15/MAX($E$15:$AR$15)</f>
        <v>0</v>
      </c>
      <c r="F17" s="559">
        <f t="shared" si="1"/>
        <v>0</v>
      </c>
      <c r="G17" s="559">
        <f t="shared" si="1"/>
        <v>0.17994539587987093</v>
      </c>
      <c r="H17" s="559">
        <f t="shared" si="1"/>
        <v>0.17994539587987093</v>
      </c>
      <c r="I17" s="559">
        <f t="shared" si="1"/>
        <v>0.17994539587987093</v>
      </c>
      <c r="J17" s="559">
        <f t="shared" si="1"/>
        <v>0.17994539587987093</v>
      </c>
      <c r="K17" s="559">
        <f t="shared" si="1"/>
        <v>0.17994539587987093</v>
      </c>
      <c r="L17" s="559">
        <f t="shared" si="1"/>
        <v>0.17994539587987093</v>
      </c>
      <c r="M17" s="559">
        <f t="shared" si="1"/>
        <v>0.2695457930007446</v>
      </c>
      <c r="N17" s="559">
        <f t="shared" si="1"/>
        <v>0.2695457930007446</v>
      </c>
      <c r="O17" s="559">
        <f t="shared" si="1"/>
        <v>0.2695457930007446</v>
      </c>
      <c r="P17" s="559">
        <f t="shared" si="1"/>
        <v>0.2695457930007446</v>
      </c>
      <c r="Q17" s="559">
        <f t="shared" si="1"/>
        <v>0.31434599156118143</v>
      </c>
      <c r="R17" s="559">
        <f t="shared" si="1"/>
        <v>0.31434599156118143</v>
      </c>
      <c r="S17" s="559">
        <f t="shared" si="1"/>
        <v>0.31434599156118143</v>
      </c>
      <c r="T17" s="559">
        <f t="shared" si="1"/>
        <v>0.31434599156118143</v>
      </c>
      <c r="U17" s="559">
        <f t="shared" si="1"/>
        <v>1</v>
      </c>
      <c r="V17" s="559">
        <f t="shared" si="1"/>
        <v>1</v>
      </c>
      <c r="W17" s="559">
        <f t="shared" si="1"/>
        <v>1</v>
      </c>
      <c r="X17" s="559">
        <f t="shared" si="1"/>
        <v>1</v>
      </c>
      <c r="Y17" s="559">
        <f t="shared" si="1"/>
        <v>1</v>
      </c>
      <c r="Z17" s="559">
        <f t="shared" si="1"/>
        <v>1</v>
      </c>
      <c r="AA17" s="559">
        <f t="shared" si="1"/>
        <v>1</v>
      </c>
      <c r="AB17" s="559">
        <f t="shared" si="1"/>
        <v>1</v>
      </c>
      <c r="AC17" s="559">
        <f t="shared" si="1"/>
        <v>1</v>
      </c>
      <c r="AD17" s="559">
        <f t="shared" si="1"/>
        <v>1</v>
      </c>
      <c r="AE17" s="559">
        <f t="shared" si="1"/>
        <v>1</v>
      </c>
      <c r="AF17" s="559">
        <f t="shared" si="1"/>
        <v>1</v>
      </c>
      <c r="AG17" s="559">
        <f t="shared" si="1"/>
        <v>1</v>
      </c>
      <c r="AH17" s="559">
        <f t="shared" si="1"/>
        <v>1</v>
      </c>
      <c r="AI17" s="559">
        <f t="shared" si="1"/>
        <v>1</v>
      </c>
      <c r="AJ17" s="559">
        <f t="shared" si="1"/>
        <v>1</v>
      </c>
      <c r="AK17" s="559">
        <f t="shared" si="1"/>
        <v>1</v>
      </c>
      <c r="AL17" s="559">
        <f t="shared" si="1"/>
        <v>1</v>
      </c>
      <c r="AM17" s="559">
        <f t="shared" si="1"/>
        <v>1</v>
      </c>
      <c r="AN17" s="559">
        <f t="shared" si="1"/>
        <v>1</v>
      </c>
      <c r="AO17" s="559">
        <f t="shared" si="1"/>
        <v>1</v>
      </c>
      <c r="AP17" s="559">
        <f t="shared" si="1"/>
        <v>1</v>
      </c>
      <c r="AQ17" s="559">
        <f t="shared" si="1"/>
        <v>1</v>
      </c>
      <c r="AR17" s="559">
        <f t="shared" si="1"/>
        <v>1</v>
      </c>
      <c r="AT17" s="256"/>
    </row>
    <row r="19" spans="1:46" s="60" customFormat="1" ht="22.5" x14ac:dyDescent="0.2">
      <c r="A19" s="163" t="s">
        <v>725</v>
      </c>
      <c r="C19" s="224" t="s">
        <v>498</v>
      </c>
      <c r="D19" s="159"/>
      <c r="E19" s="548">
        <f>ИД!D81</f>
        <v>0</v>
      </c>
      <c r="F19" s="548">
        <f>ИД!E81</f>
        <v>0</v>
      </c>
      <c r="G19" s="548">
        <f>ИД!F81</f>
        <v>2.5732191610821546</v>
      </c>
      <c r="H19" s="548">
        <f>ИД!G81</f>
        <v>2.5732191610821546</v>
      </c>
      <c r="I19" s="548">
        <f>ИД!H81</f>
        <v>2.5732191610821546</v>
      </c>
      <c r="J19" s="548">
        <f>ИД!I81</f>
        <v>2.5732191610821546</v>
      </c>
      <c r="K19" s="548">
        <f>ИД!J81</f>
        <v>2.5732191610821546</v>
      </c>
      <c r="L19" s="548">
        <f>ИД!K81</f>
        <v>2.5732191610821546</v>
      </c>
      <c r="M19" s="548">
        <f>ИД!L81</f>
        <v>3.8545048399106481</v>
      </c>
      <c r="N19" s="548">
        <f>ИД!M81</f>
        <v>3.8545048399106481</v>
      </c>
      <c r="O19" s="548">
        <f>ИД!N81</f>
        <v>3.8545048399106481</v>
      </c>
      <c r="P19" s="548">
        <f>ИД!O81</f>
        <v>3.8545048399106481</v>
      </c>
      <c r="Q19" s="548">
        <f>ИД!P81</f>
        <v>4.4951476793248943</v>
      </c>
      <c r="R19" s="548">
        <f>ИД!Q81</f>
        <v>4.4951476793248943</v>
      </c>
      <c r="S19" s="548">
        <f>ИД!R81</f>
        <v>4.4951476793248943</v>
      </c>
      <c r="T19" s="548">
        <f>ИД!S81</f>
        <v>4.4951476793248943</v>
      </c>
      <c r="U19" s="548">
        <f>ИД!T81</f>
        <v>14.3</v>
      </c>
      <c r="V19" s="548">
        <f>ИД!U81</f>
        <v>14.3</v>
      </c>
      <c r="W19" s="548">
        <f>ИД!V81</f>
        <v>14.3</v>
      </c>
      <c r="X19" s="548">
        <f>ИД!W81</f>
        <v>14.3</v>
      </c>
      <c r="Y19" s="548">
        <f>ИД!X81</f>
        <v>14.3</v>
      </c>
      <c r="Z19" s="548">
        <f>ИД!Y81</f>
        <v>14.3</v>
      </c>
      <c r="AA19" s="548">
        <f>ИД!Z81</f>
        <v>14.3</v>
      </c>
      <c r="AB19" s="548">
        <f>ИД!AA81</f>
        <v>14.3</v>
      </c>
      <c r="AC19" s="548">
        <f>ИД!AB81</f>
        <v>14.3</v>
      </c>
      <c r="AD19" s="548">
        <f>ИД!AC81</f>
        <v>14.3</v>
      </c>
      <c r="AE19" s="548">
        <f>ИД!AD81</f>
        <v>14.3</v>
      </c>
      <c r="AF19" s="548">
        <f>ИД!AE81</f>
        <v>14.3</v>
      </c>
      <c r="AG19" s="548">
        <f>ИД!AF81</f>
        <v>14.3</v>
      </c>
      <c r="AH19" s="548">
        <f>ИД!AG81</f>
        <v>14.3</v>
      </c>
      <c r="AI19" s="548">
        <f>ИД!AH81</f>
        <v>14.3</v>
      </c>
      <c r="AJ19" s="548">
        <f>ИД!AI81</f>
        <v>14.3</v>
      </c>
      <c r="AK19" s="548">
        <f>ИД!AJ81</f>
        <v>14.3</v>
      </c>
      <c r="AL19" s="548">
        <f>ИД!AK81</f>
        <v>14.3</v>
      </c>
      <c r="AM19" s="548">
        <f>ИД!AL81</f>
        <v>14.3</v>
      </c>
      <c r="AN19" s="548">
        <f>ИД!AM81</f>
        <v>14.3</v>
      </c>
      <c r="AO19" s="548">
        <f>ИД!AN81</f>
        <v>14.3</v>
      </c>
      <c r="AP19" s="548">
        <f>ИД!AO81</f>
        <v>14.3</v>
      </c>
      <c r="AQ19" s="548">
        <f>ИД!AP81</f>
        <v>14.3</v>
      </c>
      <c r="AR19" s="548">
        <f>ИД!AQ81</f>
        <v>14.3</v>
      </c>
      <c r="AT19" s="256"/>
    </row>
    <row r="20" spans="1:46" s="60" customFormat="1" x14ac:dyDescent="0.2">
      <c r="A20" s="163"/>
      <c r="C20" s="224"/>
      <c r="D20" s="159"/>
      <c r="E20" s="548"/>
      <c r="F20" s="548"/>
      <c r="G20" s="548"/>
      <c r="H20" s="548"/>
      <c r="I20" s="548"/>
      <c r="J20" s="548"/>
      <c r="K20" s="548"/>
      <c r="L20" s="548"/>
      <c r="M20" s="54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8"/>
      <c r="Y20" s="548"/>
      <c r="Z20" s="548"/>
      <c r="AA20" s="548"/>
      <c r="AB20" s="548"/>
      <c r="AC20" s="548"/>
      <c r="AD20" s="548"/>
      <c r="AE20" s="548"/>
      <c r="AF20" s="548"/>
      <c r="AG20" s="548"/>
      <c r="AH20" s="548"/>
      <c r="AI20" s="548"/>
      <c r="AJ20" s="548"/>
      <c r="AK20" s="548"/>
      <c r="AL20" s="548"/>
      <c r="AM20" s="548"/>
      <c r="AN20" s="548"/>
      <c r="AO20" s="548"/>
      <c r="AP20" s="548"/>
      <c r="AQ20" s="548"/>
      <c r="AR20" s="548"/>
      <c r="AT20" s="256"/>
    </row>
    <row r="21" spans="1:46" s="60" customFormat="1" x14ac:dyDescent="0.2">
      <c r="A21" s="163" t="s">
        <v>724</v>
      </c>
      <c r="C21" s="224" t="s">
        <v>368</v>
      </c>
      <c r="D21" s="159"/>
      <c r="E21" s="557">
        <f>ИД!D60</f>
        <v>0</v>
      </c>
      <c r="F21" s="557">
        <f>ИД!E60</f>
        <v>0</v>
      </c>
      <c r="G21" s="557">
        <f>ИД!F60</f>
        <v>1</v>
      </c>
      <c r="H21" s="557">
        <f>ИД!G60</f>
        <v>1</v>
      </c>
      <c r="I21" s="557">
        <f>ИД!H60</f>
        <v>1</v>
      </c>
      <c r="J21" s="557">
        <f>ИД!I60</f>
        <v>1</v>
      </c>
      <c r="K21" s="557">
        <f>ИД!J60</f>
        <v>1</v>
      </c>
      <c r="L21" s="557">
        <f>ИД!K60</f>
        <v>1</v>
      </c>
      <c r="M21" s="557">
        <f>ИД!L60</f>
        <v>2</v>
      </c>
      <c r="N21" s="557">
        <f>ИД!M60</f>
        <v>2</v>
      </c>
      <c r="O21" s="557">
        <f>ИД!N60</f>
        <v>2</v>
      </c>
      <c r="P21" s="557">
        <f>ИД!O60</f>
        <v>2</v>
      </c>
      <c r="Q21" s="557">
        <f>ИД!P60</f>
        <v>3</v>
      </c>
      <c r="R21" s="557">
        <f>ИД!Q60</f>
        <v>3</v>
      </c>
      <c r="S21" s="557">
        <f>ИД!R60</f>
        <v>3</v>
      </c>
      <c r="T21" s="557">
        <f>ИД!S60</f>
        <v>3</v>
      </c>
      <c r="U21" s="557">
        <f>ИД!T60</f>
        <v>7</v>
      </c>
      <c r="V21" s="557">
        <f>ИД!U60</f>
        <v>7</v>
      </c>
      <c r="W21" s="557">
        <f>ИД!V60</f>
        <v>7</v>
      </c>
      <c r="X21" s="557">
        <f>ИД!W60</f>
        <v>7</v>
      </c>
      <c r="Y21" s="557">
        <f>ИД!X60</f>
        <v>7</v>
      </c>
      <c r="Z21" s="557">
        <f>ИД!Y60</f>
        <v>7</v>
      </c>
      <c r="AA21" s="557">
        <f>ИД!Z60</f>
        <v>7</v>
      </c>
      <c r="AB21" s="557">
        <f>ИД!AA60</f>
        <v>7</v>
      </c>
      <c r="AC21" s="557">
        <f>ИД!AB60</f>
        <v>7</v>
      </c>
      <c r="AD21" s="557">
        <f>ИД!AC60</f>
        <v>7</v>
      </c>
      <c r="AE21" s="557">
        <f>ИД!AD60</f>
        <v>7</v>
      </c>
      <c r="AF21" s="557">
        <f>ИД!AE60</f>
        <v>7</v>
      </c>
      <c r="AG21" s="557">
        <f>ИД!AF60</f>
        <v>7</v>
      </c>
      <c r="AH21" s="557">
        <f>ИД!AG60</f>
        <v>7</v>
      </c>
      <c r="AI21" s="557">
        <f>ИД!AH60</f>
        <v>7</v>
      </c>
      <c r="AJ21" s="557">
        <f>ИД!AI60</f>
        <v>7</v>
      </c>
      <c r="AK21" s="557">
        <f>ИД!AJ60</f>
        <v>7</v>
      </c>
      <c r="AL21" s="557">
        <f>ИД!AK60</f>
        <v>7</v>
      </c>
      <c r="AM21" s="557">
        <f>ИД!AL60</f>
        <v>7</v>
      </c>
      <c r="AN21" s="557">
        <f>ИД!AM60</f>
        <v>7</v>
      </c>
      <c r="AO21" s="557">
        <f>ИД!AN60</f>
        <v>7</v>
      </c>
      <c r="AP21" s="557">
        <f>ИД!AO60</f>
        <v>7</v>
      </c>
      <c r="AQ21" s="557">
        <f>ИД!AP60</f>
        <v>7</v>
      </c>
      <c r="AR21" s="557">
        <f>ИД!AQ60</f>
        <v>7</v>
      </c>
      <c r="AT21" s="256"/>
    </row>
    <row r="23" spans="1:46" x14ac:dyDescent="0.2">
      <c r="A23" s="60" t="s">
        <v>364</v>
      </c>
    </row>
    <row r="24" spans="1:46" x14ac:dyDescent="0.2">
      <c r="A24" s="248" t="s">
        <v>801</v>
      </c>
    </row>
    <row r="25" spans="1:46" x14ac:dyDescent="0.2">
      <c r="A25" s="247" t="s">
        <v>794</v>
      </c>
      <c r="C25" s="266" t="str">
        <f>Параметры!$C$126</f>
        <v>тыс. руб.</v>
      </c>
      <c r="D25" s="65"/>
      <c r="E25" s="554">
        <v>0</v>
      </c>
      <c r="F25" s="90">
        <f ca="1">(F15-E15)*ИД!$C$43/ИД!$C$270*F29*Графики!$D$321</f>
        <v>0</v>
      </c>
      <c r="G25" s="90">
        <f ca="1">(G15-F15)*ИД!$C$43/ИД!$C$270*G29*Графики!$D$321</f>
        <v>1770457.5577066271</v>
      </c>
      <c r="H25" s="90">
        <f ca="1">(H15-G15)*ИД!$C$43/ИД!$C$270*H29*Графики!$D$321</f>
        <v>0</v>
      </c>
      <c r="I25" s="90">
        <f ca="1">(I15-H15)*ИД!$C$43/ИД!$C$270*I29*Графики!$D$321</f>
        <v>0</v>
      </c>
      <c r="J25" s="90">
        <f ca="1">(J15-I15)*ИД!$C$43/ИД!$C$270*J29*Графики!$D$321</f>
        <v>0</v>
      </c>
      <c r="K25" s="90">
        <f ca="1">(K15-J15)*ИД!$C$43/ИД!$C$270*K29*Графики!$D$321</f>
        <v>0</v>
      </c>
      <c r="L25" s="90">
        <f ca="1">(L15-K15)*ИД!$C$43/ИД!$C$270*L29*Графики!$D$321</f>
        <v>0</v>
      </c>
      <c r="M25" s="90">
        <f ca="1">(M15-L15)*ИД!$C$43/ИД!$C$270*M29*Графики!$D$321</f>
        <v>918923.97855491226</v>
      </c>
      <c r="N25" s="90">
        <f ca="1">(N15-M15)*ИД!$C$43/ИД!$C$270*N29*Графики!$D$321</f>
        <v>0</v>
      </c>
      <c r="O25" s="90">
        <f ca="1">(O15-N15)*ИД!$C$43/ИД!$C$270*O29*Графики!$D$321</f>
        <v>0</v>
      </c>
      <c r="P25" s="90">
        <f ca="1">(P15-O15)*ИД!$C$43/ИД!$C$270*P29*Графики!$D$321</f>
        <v>0</v>
      </c>
      <c r="Q25" s="90">
        <f ca="1">(Q15-P15)*ИД!$C$43/ИД!$C$270*Q29*Графики!$D$321</f>
        <v>479311.000629218</v>
      </c>
      <c r="R25" s="90">
        <f ca="1">(R15-Q15)*ИД!$C$43/ИД!$C$270*R29*Графики!$D$321</f>
        <v>0</v>
      </c>
      <c r="S25" s="90">
        <f ca="1">(S15-R15)*ИД!$C$43/ИД!$C$270*S29*Графики!$D$321</f>
        <v>0</v>
      </c>
      <c r="T25" s="90">
        <f ca="1">(T15-S15)*ИД!$C$43/ИД!$C$270*T29*Графики!$D$321</f>
        <v>0</v>
      </c>
      <c r="U25" s="90">
        <f ca="1">(U15-T15)*ИД!$C$43/ИД!$C$270*U29*Графики!$D$321</f>
        <v>7657760.1236832738</v>
      </c>
      <c r="V25" s="90">
        <f ca="1">(V15-U15)*ИД!$C$43/ИД!$C$270*V29*Графики!$D$321</f>
        <v>0</v>
      </c>
      <c r="W25" s="90">
        <f ca="1">(W15-V15)*ИД!$C$43/ИД!$C$270*W29*Графики!$D$321</f>
        <v>0</v>
      </c>
      <c r="X25" s="90">
        <f ca="1">(X15-W15)*ИД!$C$43/ИД!$C$270*X29*Графики!$D$321</f>
        <v>0</v>
      </c>
      <c r="Y25" s="90">
        <f ca="1">(Y15-X15)*ИД!$C$43/ИД!$C$270*Y29*Графики!$D$321</f>
        <v>0</v>
      </c>
      <c r="Z25" s="90">
        <f ca="1">(Z15-Y15)*ИД!$C$43/ИД!$C$270*Z29*Графики!$D$321</f>
        <v>0</v>
      </c>
      <c r="AA25" s="90">
        <f ca="1">(AA15-Z15)*ИД!$C$43/ИД!$C$270*AA29*Графики!$D$321</f>
        <v>0</v>
      </c>
      <c r="AB25" s="90">
        <f ca="1">(AB15-AA15)*ИД!$C$43/ИД!$C$270*AB29*Графики!$D$321</f>
        <v>0</v>
      </c>
      <c r="AC25" s="90">
        <f ca="1">(AC15-AB15)*ИД!$C$43/ИД!$C$270*AC29*Графики!$D$321</f>
        <v>0</v>
      </c>
      <c r="AD25" s="90">
        <f ca="1">(AD15-AC15)*ИД!$C$43/ИД!$C$270*AD29*Графики!$D$321</f>
        <v>0</v>
      </c>
      <c r="AE25" s="90">
        <f ca="1">(AE15-AD15)*ИД!$C$43/ИД!$C$270*AE29*Графики!$D$321</f>
        <v>0</v>
      </c>
      <c r="AF25" s="90">
        <f ca="1">(AF15-AE15)*ИД!$C$43/ИД!$C$270*AF29*Графики!$D$321</f>
        <v>0</v>
      </c>
      <c r="AG25" s="90">
        <f ca="1">(AG15-AF15)*ИД!$C$43/ИД!$C$270*AG29*Графики!$D$321</f>
        <v>0</v>
      </c>
      <c r="AH25" s="90">
        <f ca="1">(AH15-AG15)*ИД!$C$43/ИД!$C$270*AH29*Графики!$D$321</f>
        <v>0</v>
      </c>
      <c r="AI25" s="90">
        <f ca="1">(AI15-AH15)*ИД!$C$43/ИД!$C$270*AI29*Графики!$D$321</f>
        <v>0</v>
      </c>
      <c r="AJ25" s="90">
        <f ca="1">(AJ15-AI15)*ИД!$C$43/ИД!$C$270*AJ29*Графики!$D$321</f>
        <v>0</v>
      </c>
      <c r="AK25" s="90">
        <f ca="1">(AK15-AJ15)*ИД!$C$43/ИД!$C$270*AK29*Графики!$D$321</f>
        <v>0</v>
      </c>
      <c r="AL25" s="90">
        <f ca="1">(AL15-AK15)*ИД!$C$43/ИД!$C$270*AL29*Графики!$D$321</f>
        <v>0</v>
      </c>
      <c r="AM25" s="90">
        <f ca="1">(AM15-AL15)*ИД!$C$43/ИД!$C$270*AM29*Графики!$D$321</f>
        <v>0</v>
      </c>
      <c r="AN25" s="90">
        <f ca="1">(AN15-AM15)*ИД!$C$43/ИД!$C$270*AN29*Графики!$D$321</f>
        <v>0</v>
      </c>
      <c r="AO25" s="90">
        <f ca="1">(AO15-AN15)*ИД!$C$43/ИД!$C$270*AO29*Графики!$D$321</f>
        <v>0</v>
      </c>
      <c r="AP25" s="90">
        <f ca="1">(AP15-AO15)*ИД!$C$43/ИД!$C$270*AP29*Графики!$D$321</f>
        <v>0</v>
      </c>
      <c r="AQ25" s="90">
        <f ca="1">(AQ15-AP15)*ИД!$C$43/ИД!$C$270*AQ29*Графики!$D$321</f>
        <v>0</v>
      </c>
      <c r="AR25" s="90">
        <f ca="1">(AR15-AQ15)*ИД!$C$43/ИД!$C$270*AR29*Графики!$D$321</f>
        <v>0</v>
      </c>
      <c r="AT25" s="30">
        <f ca="1">SUM(E25:AS25)</f>
        <v>10826452.66057403</v>
      </c>
    </row>
    <row r="26" spans="1:46" x14ac:dyDescent="0.2">
      <c r="A26" s="247" t="s">
        <v>642</v>
      </c>
      <c r="C26" s="266" t="str">
        <f>Параметры!$C$126</f>
        <v>тыс. руб.</v>
      </c>
      <c r="D26" s="65"/>
      <c r="E26" s="82">
        <f>E25</f>
        <v>0</v>
      </c>
      <c r="F26" s="82">
        <f ca="1">E26+F25</f>
        <v>0</v>
      </c>
      <c r="G26" s="82">
        <f t="shared" ref="G26:AR26" ca="1" si="2">F26+G25</f>
        <v>1770457.5577066271</v>
      </c>
      <c r="H26" s="82">
        <f t="shared" ca="1" si="2"/>
        <v>1770457.5577066271</v>
      </c>
      <c r="I26" s="82">
        <f t="shared" ca="1" si="2"/>
        <v>1770457.5577066271</v>
      </c>
      <c r="J26" s="82">
        <f t="shared" ca="1" si="2"/>
        <v>1770457.5577066271</v>
      </c>
      <c r="K26" s="82">
        <f t="shared" ca="1" si="2"/>
        <v>1770457.5577066271</v>
      </c>
      <c r="L26" s="82">
        <f t="shared" ca="1" si="2"/>
        <v>1770457.5577066271</v>
      </c>
      <c r="M26" s="82">
        <f t="shared" ca="1" si="2"/>
        <v>2689381.5362615394</v>
      </c>
      <c r="N26" s="82">
        <f t="shared" ca="1" si="2"/>
        <v>2689381.5362615394</v>
      </c>
      <c r="O26" s="82">
        <f t="shared" ca="1" si="2"/>
        <v>2689381.5362615394</v>
      </c>
      <c r="P26" s="82">
        <f t="shared" ca="1" si="2"/>
        <v>2689381.5362615394</v>
      </c>
      <c r="Q26" s="82">
        <f t="shared" ca="1" si="2"/>
        <v>3168692.5368907573</v>
      </c>
      <c r="R26" s="82">
        <f t="shared" ca="1" si="2"/>
        <v>3168692.5368907573</v>
      </c>
      <c r="S26" s="82">
        <f t="shared" ca="1" si="2"/>
        <v>3168692.5368907573</v>
      </c>
      <c r="T26" s="82">
        <f t="shared" ca="1" si="2"/>
        <v>3168692.5368907573</v>
      </c>
      <c r="U26" s="82">
        <f t="shared" ca="1" si="2"/>
        <v>10826452.66057403</v>
      </c>
      <c r="V26" s="82">
        <f t="shared" ca="1" si="2"/>
        <v>10826452.66057403</v>
      </c>
      <c r="W26" s="82">
        <f t="shared" ca="1" si="2"/>
        <v>10826452.66057403</v>
      </c>
      <c r="X26" s="82">
        <f t="shared" ca="1" si="2"/>
        <v>10826452.66057403</v>
      </c>
      <c r="Y26" s="82">
        <f t="shared" ca="1" si="2"/>
        <v>10826452.66057403</v>
      </c>
      <c r="Z26" s="82">
        <f t="shared" ca="1" si="2"/>
        <v>10826452.66057403</v>
      </c>
      <c r="AA26" s="82">
        <f t="shared" ca="1" si="2"/>
        <v>10826452.66057403</v>
      </c>
      <c r="AB26" s="82">
        <f t="shared" ca="1" si="2"/>
        <v>10826452.66057403</v>
      </c>
      <c r="AC26" s="82">
        <f t="shared" ca="1" si="2"/>
        <v>10826452.66057403</v>
      </c>
      <c r="AD26" s="82">
        <f t="shared" ca="1" si="2"/>
        <v>10826452.66057403</v>
      </c>
      <c r="AE26" s="82">
        <f t="shared" ca="1" si="2"/>
        <v>10826452.66057403</v>
      </c>
      <c r="AF26" s="82">
        <f t="shared" ca="1" si="2"/>
        <v>10826452.66057403</v>
      </c>
      <c r="AG26" s="82">
        <f t="shared" ca="1" si="2"/>
        <v>10826452.66057403</v>
      </c>
      <c r="AH26" s="82">
        <f t="shared" ca="1" si="2"/>
        <v>10826452.66057403</v>
      </c>
      <c r="AI26" s="82">
        <f t="shared" ca="1" si="2"/>
        <v>10826452.66057403</v>
      </c>
      <c r="AJ26" s="82">
        <f t="shared" ca="1" si="2"/>
        <v>10826452.66057403</v>
      </c>
      <c r="AK26" s="82">
        <f t="shared" ca="1" si="2"/>
        <v>10826452.66057403</v>
      </c>
      <c r="AL26" s="82">
        <f t="shared" ca="1" si="2"/>
        <v>10826452.66057403</v>
      </c>
      <c r="AM26" s="82">
        <f t="shared" ca="1" si="2"/>
        <v>10826452.66057403</v>
      </c>
      <c r="AN26" s="82">
        <f t="shared" ca="1" si="2"/>
        <v>10826452.66057403</v>
      </c>
      <c r="AO26" s="82">
        <f t="shared" ca="1" si="2"/>
        <v>10826452.66057403</v>
      </c>
      <c r="AP26" s="82">
        <f t="shared" ca="1" si="2"/>
        <v>10826452.66057403</v>
      </c>
      <c r="AQ26" s="82">
        <f t="shared" ca="1" si="2"/>
        <v>10826452.66057403</v>
      </c>
      <c r="AR26" s="82">
        <f t="shared" ca="1" si="2"/>
        <v>10826452.66057403</v>
      </c>
    </row>
    <row r="27" spans="1:46" outlineLevel="1" x14ac:dyDescent="0.2">
      <c r="A27" s="544" t="str">
        <f>Параметры!$A$96</f>
        <v>Изменение стоимости инвестиций в основной капитал</v>
      </c>
      <c r="B27" s="263" t="s">
        <v>391</v>
      </c>
      <c r="C27" s="21" t="s">
        <v>14</v>
      </c>
      <c r="E27" s="362">
        <f>CHOOSE($E$2,Параметры!E$96,Параметры!E$113,Параметры!E$122)</f>
        <v>0</v>
      </c>
      <c r="F27" s="362">
        <f>CHOOSE($E$2,Параметры!F$96,Параметры!F$113,Параметры!F$122)</f>
        <v>0</v>
      </c>
      <c r="G27" s="362">
        <f>CHOOSE($E$2,Параметры!G$96,Параметры!G$113,Параметры!G$122)</f>
        <v>0</v>
      </c>
      <c r="H27" s="362">
        <f>CHOOSE($E$2,Параметры!H$96,Параметры!H$113,Параметры!H$122)</f>
        <v>0</v>
      </c>
      <c r="I27" s="362">
        <f>CHOOSE($E$2,Параметры!I$96,Параметры!I$113,Параметры!I$122)</f>
        <v>4.2377116826678662E-2</v>
      </c>
      <c r="J27" s="362">
        <f>CHOOSE($E$2,Параметры!J$96,Параметры!J$113,Параметры!J$122)</f>
        <v>4.2377116826678662E-2</v>
      </c>
      <c r="K27" s="362">
        <f>CHOOSE($E$2,Параметры!K$96,Параметры!K$113,Параметры!K$122)</f>
        <v>4.2377116826678662E-2</v>
      </c>
      <c r="L27" s="362">
        <f>CHOOSE($E$2,Параметры!L$96,Параметры!L$113,Параметры!L$122)</f>
        <v>4.2377116826678662E-2</v>
      </c>
      <c r="M27" s="362">
        <f>CHOOSE($E$2,Параметры!M$96,Параметры!M$113,Параметры!M$122)</f>
        <v>4.3200551547204036E-2</v>
      </c>
      <c r="N27" s="362">
        <f>CHOOSE($E$2,Параметры!N$96,Параметры!N$113,Параметры!N$122)</f>
        <v>4.3200551547204036E-2</v>
      </c>
      <c r="O27" s="362">
        <f>CHOOSE($E$2,Параметры!O$96,Параметры!O$113,Параметры!O$122)</f>
        <v>4.3200551547204036E-2</v>
      </c>
      <c r="P27" s="362">
        <f>CHOOSE($E$2,Параметры!P$96,Параметры!P$113,Параметры!P$122)</f>
        <v>4.3200551547204036E-2</v>
      </c>
      <c r="Q27" s="362">
        <f>CHOOSE($E$2,Параметры!Q$96,Параметры!Q$113,Параметры!Q$122)</f>
        <v>4.3900921854207908E-2</v>
      </c>
      <c r="R27" s="362">
        <f>CHOOSE($E$2,Параметры!R$96,Параметры!R$113,Параметры!R$122)</f>
        <v>4.3900921854207908E-2</v>
      </c>
      <c r="S27" s="362">
        <f>CHOOSE($E$2,Параметры!S$96,Параметры!S$113,Параметры!S$122)</f>
        <v>4.3900921854207908E-2</v>
      </c>
      <c r="T27" s="362">
        <f>CHOOSE($E$2,Параметры!T$96,Параметры!T$113,Параметры!T$122)</f>
        <v>4.3900921854207908E-2</v>
      </c>
      <c r="U27" s="362">
        <f>CHOOSE($E$2,Параметры!U$96,Параметры!U$113,Параметры!U$122)</f>
        <v>4.4300646272306343E-2</v>
      </c>
      <c r="V27" s="362">
        <f>CHOOSE($E$2,Параметры!V$96,Параметры!V$113,Параметры!V$122)</f>
        <v>4.4300646272306343E-2</v>
      </c>
      <c r="W27" s="362">
        <f>CHOOSE($E$2,Параметры!W$96,Параметры!W$113,Параметры!W$122)</f>
        <v>4.4300646272306343E-2</v>
      </c>
      <c r="X27" s="362">
        <f>CHOOSE($E$2,Параметры!X$96,Параметры!X$113,Параметры!X$122)</f>
        <v>4.4300646272306343E-2</v>
      </c>
      <c r="Y27" s="362">
        <f>CHOOSE($E$2,Параметры!Y$96,Параметры!Y$113,Параметры!Y$122)</f>
        <v>4.3300646272306453E-2</v>
      </c>
      <c r="Z27" s="362">
        <f>CHOOSE($E$2,Параметры!Z$96,Параметры!Z$113,Параметры!Z$122)</f>
        <v>4.3300646272306453E-2</v>
      </c>
      <c r="AA27" s="362">
        <f>CHOOSE($E$2,Параметры!AA$96,Параметры!AA$113,Параметры!AA$122)</f>
        <v>4.3300646272306453E-2</v>
      </c>
      <c r="AB27" s="362">
        <f>CHOOSE($E$2,Параметры!AB$96,Параметры!AB$113,Параметры!AB$122)</f>
        <v>4.3300646272306453E-2</v>
      </c>
      <c r="AC27" s="362">
        <f>CHOOSE($E$2,Параметры!AC$96,Параметры!AC$113,Параметры!AC$122)</f>
        <v>4.2300646272306563E-2</v>
      </c>
      <c r="AD27" s="362">
        <f>CHOOSE($E$2,Параметры!AD$96,Параметры!AD$113,Параметры!AD$122)</f>
        <v>4.2300646272306563E-2</v>
      </c>
      <c r="AE27" s="362">
        <f>CHOOSE($E$2,Параметры!AE$96,Параметры!AE$113,Параметры!AE$122)</f>
        <v>4.2300646272306563E-2</v>
      </c>
      <c r="AF27" s="362">
        <f>CHOOSE($E$2,Параметры!AF$96,Параметры!AF$113,Параметры!AF$122)</f>
        <v>4.2300646272306563E-2</v>
      </c>
      <c r="AG27" s="362">
        <f>CHOOSE($E$2,Параметры!AG$96,Параметры!AG$113,Параметры!AG$122)</f>
        <v>4.1300646272306452E-2</v>
      </c>
      <c r="AH27" s="362">
        <f>CHOOSE($E$2,Параметры!AH$96,Параметры!AH$113,Параметры!AH$122)</f>
        <v>4.1300646272306452E-2</v>
      </c>
      <c r="AI27" s="362">
        <f>CHOOSE($E$2,Параметры!AI$96,Параметры!AI$113,Параметры!AI$122)</f>
        <v>4.1300646272306452E-2</v>
      </c>
      <c r="AJ27" s="362">
        <f>CHOOSE($E$2,Параметры!AJ$96,Параметры!AJ$113,Параметры!AJ$122)</f>
        <v>4.1300646272306452E-2</v>
      </c>
      <c r="AK27" s="362">
        <f>CHOOSE($E$2,Параметры!AK$96,Параметры!AK$113,Параметры!AK$122)</f>
        <v>4.0300646272306562E-2</v>
      </c>
      <c r="AL27" s="362">
        <f>CHOOSE($E$2,Параметры!AL$96,Параметры!AL$113,Параметры!AL$122)</f>
        <v>4.0300646272306562E-2</v>
      </c>
      <c r="AM27" s="362">
        <f>CHOOSE($E$2,Параметры!AM$96,Параметры!AM$113,Параметры!AM$122)</f>
        <v>4.0300646272306562E-2</v>
      </c>
      <c r="AN27" s="362">
        <f>CHOOSE($E$2,Параметры!AN$96,Параметры!AN$113,Параметры!AN$122)</f>
        <v>4.0300646272306562E-2</v>
      </c>
      <c r="AO27" s="362">
        <f>CHOOSE($E$2,Параметры!AO$96,Параметры!AO$113,Параметры!AO$122)</f>
        <v>4.0300646272306562E-2</v>
      </c>
      <c r="AP27" s="362">
        <f>CHOOSE($E$2,Параметры!AP$96,Параметры!AP$113,Параметры!AP$122)</f>
        <v>4.0300646272306562E-2</v>
      </c>
      <c r="AQ27" s="362">
        <f>CHOOSE($E$2,Параметры!AQ$96,Параметры!AQ$113,Параметры!AQ$122)</f>
        <v>4.0300646272306562E-2</v>
      </c>
      <c r="AR27" s="362">
        <f>CHOOSE($E$2,Параметры!AR$96,Параметры!AR$113,Параметры!AR$122)</f>
        <v>4.0300646272306562E-2</v>
      </c>
      <c r="AS27" s="127"/>
      <c r="AT27" s="119"/>
    </row>
    <row r="28" spans="1:46" outlineLevel="1" x14ac:dyDescent="0.2">
      <c r="A28" s="302" t="s">
        <v>392</v>
      </c>
      <c r="B28" s="25"/>
      <c r="C28" s="21" t="s">
        <v>133</v>
      </c>
      <c r="E28" s="416">
        <f ca="1">IF(E$2=1,1,IF(Параметры!$B$62=1,POWER(1+OFFSET(E27,0,-1),Параметры!E$39/360),1) * IF(E$2&gt;1,D28, 1))</f>
        <v>1</v>
      </c>
      <c r="F28" s="416">
        <f ca="1">IF(F$2=1,1,IF(Параметры!$B$62=1,POWER(1+OFFSET(F27,0,-1),Параметры!F$39/360),1) * IF(F$2&gt;1,E28, 1))</f>
        <v>1</v>
      </c>
      <c r="G28" s="416">
        <f ca="1">IF(G$2=1,1,IF(Параметры!$B$62=1,POWER(1+OFFSET(G27,0,-1),Параметры!G$39/360),1) * IF(G$2&gt;1,F28, 1))</f>
        <v>1</v>
      </c>
      <c r="H28" s="416">
        <f ca="1">IF(H$2=1,1,IF(Параметры!$B$62=1,POWER(1+OFFSET(H27,0,-1),Параметры!H$39/360),1) * IF(H$2&gt;1,G28, 1))</f>
        <v>1</v>
      </c>
      <c r="I28" s="416">
        <f ca="1">IF(I$2=1,1,IF(Параметры!$B$62=1,POWER(1+OFFSET(I27,0,-1),Параметры!I$39/360),1) * IF(I$2&gt;1,H28, 1))</f>
        <v>1</v>
      </c>
      <c r="J28" s="416">
        <f ca="1">IF(J$2=1,1,IF(Параметры!$B$62=1,POWER(1+OFFSET(J27,0,-1),Параметры!J$39/360),1) * IF(J$2&gt;1,I28, 1))</f>
        <v>1.010429965366642</v>
      </c>
      <c r="K28" s="416">
        <f ca="1">IF(K$2=1,1,IF(Параметры!$B$62=1,POWER(1+OFFSET(K27,0,-1),Параметры!K$39/360),1) * IF(K$2&gt;1,J28, 1))</f>
        <v>1.0209687149108333</v>
      </c>
      <c r="L28" s="416">
        <f ca="1">IF(L$2=1,1,IF(Параметры!$B$62=1,POWER(1+OFFSET(L27,0,-1),Параметры!L$39/360),1) * IF(L$2&gt;1,K28, 1))</f>
        <v>1.0316173832477782</v>
      </c>
      <c r="M28" s="416">
        <f ca="1">IF(M$2=1,1,IF(Параметры!$B$62=1,POWER(1+OFFSET(M27,0,-1),Параметры!M$39/360),1) * IF(M$2&gt;1,L28, 1))</f>
        <v>1.0423771168266784</v>
      </c>
      <c r="N28" s="416">
        <f ca="1">IF(N$2=1,1,IF(Параметры!$B$62=1,POWER(1+OFFSET(N27,0,-1),Параметры!N$39/360),1) * IF(N$2&gt;1,M28, 1))</f>
        <v>1.0534570182430962</v>
      </c>
      <c r="O28" s="416">
        <f ca="1">IF(O$2=1,1,IF(Параметры!$B$62=1,POWER(1+OFFSET(O27,0,-1),Параметры!O$39/360),1) * IF(O$2&gt;1,N28, 1))</f>
        <v>1.0646546929811036</v>
      </c>
      <c r="P28" s="416">
        <f ca="1">IF(P$2=1,1,IF(Параметры!$B$62=1,POWER(1+OFFSET(P27,0,-1),Параметры!P$39/360),1) * IF(P$2&gt;1,O28, 1))</f>
        <v>1.0759713929070083</v>
      </c>
      <c r="Q28" s="416">
        <f ca="1">IF(Q$2=1,1,IF(Параметры!$B$62=1,POWER(1+OFFSET(Q27,0,-1),Параметры!Q$39/360),1) * IF(Q$2&gt;1,P28, 1))</f>
        <v>1.0874083831937758</v>
      </c>
      <c r="R28" s="416">
        <f ca="1">IF(R$2=1,1,IF(Параметры!$B$62=1,POWER(1+OFFSET(R27,0,-1),Параметры!R$39/360),1) * IF(R$2&gt;1,Q28, 1))</f>
        <v>1.0991513485462314</v>
      </c>
      <c r="S28" s="416">
        <f ca="1">IF(S$2=1,1,IF(Параметры!$B$62=1,POWER(1+OFFSET(S27,0,-1),Параметры!S$39/360),1) * IF(S$2&gt;1,R28, 1))</f>
        <v>1.111021126637489</v>
      </c>
      <c r="T28" s="416">
        <f ca="1">IF(T$2=1,1,IF(Параметры!$B$62=1,POWER(1+OFFSET(T27,0,-1),Параметры!T$39/360),1) * IF(T$2&gt;1,S28, 1))</f>
        <v>1.1230190869232388</v>
      </c>
      <c r="U28" s="416">
        <f ca="1">IF(U$2=1,1,IF(Параметры!$B$62=1,POWER(1+OFFSET(U27,0,-1),Параметры!U$39/360),1) * IF(U$2&gt;1,T28, 1))</f>
        <v>1.1351466136479762</v>
      </c>
      <c r="V28" s="416">
        <f ca="1">IF(V$2=1,1,IF(Параметры!$B$62=1,POWER(1+OFFSET(V27,0,-1),Параметры!V$39/360),1) * IF(V$2&gt;1,U28, 1))</f>
        <v>1.1475149296443805</v>
      </c>
      <c r="W28" s="416">
        <f ca="1">IF(W$2=1,1,IF(Параметры!$B$62=1,POWER(1+OFFSET(W27,0,-1),Параметры!W$39/360),1) * IF(W$2&gt;1,V28, 1))</f>
        <v>1.1600180081804847</v>
      </c>
      <c r="X28" s="416">
        <f ca="1">IF(X$2=1,1,IF(Параметры!$B$62=1,POWER(1+OFFSET(X27,0,-1),Параметры!X$39/360),1) * IF(X$2&gt;1,W28, 1))</f>
        <v>1.1726573176002502</v>
      </c>
      <c r="Y28" s="416">
        <f ca="1">IF(Y$2=1,1,IF(Параметры!$B$62=1,POWER(1+OFFSET(Y27,0,-1),Параметры!Y$39/360),1) * IF(Y$2&gt;1,X28, 1))</f>
        <v>1.1854343422464018</v>
      </c>
      <c r="Z28" s="416">
        <f ca="1">IF(Z$2=1,1,IF(Параметры!$B$62=1,POWER(1+OFFSET(Z27,0,-1),Параметры!Z$39/360),1) * IF(Z$2&gt;1,Y28, 1))</f>
        <v>1.1980636008288987</v>
      </c>
      <c r="AA28" s="416">
        <f ca="1">IF(AA$2=1,1,IF(Параметры!$B$62=1,POWER(1+OFFSET(AA27,0,-1),Параметры!AA$39/360),1) * IF(AA$2&gt;1,Z28, 1))</f>
        <v>1.2108274077087238</v>
      </c>
      <c r="AB28" s="416">
        <f ca="1">IF(AB$2=1,1,IF(Параметры!$B$62=1,POWER(1+OFFSET(AB27,0,-1),Параметры!AB$39/360),1) * IF(AB$2&gt;1,AA28, 1))</f>
        <v>1.2237271963227012</v>
      </c>
      <c r="AC28" s="416">
        <f ca="1">IF(AC$2=1,1,IF(Параметры!$B$62=1,POWER(1+OFFSET(AC27,0,-1),Параметры!AC$39/360),1) * IF(AC$2&gt;1,AB28, 1))</f>
        <v>1.2367644153790571</v>
      </c>
      <c r="AD28" s="416">
        <f ca="1">IF(AD$2=1,1,IF(Параметры!$B$62=1,POWER(1+OFFSET(AD27,0,-1),Параметры!AD$39/360),1) * IF(AD$2&gt;1,AC28, 1))</f>
        <v>1.2496409054028248</v>
      </c>
      <c r="AE28" s="416">
        <f ca="1">IF(AE$2=1,1,IF(Параметры!$B$62=1,POWER(1+OFFSET(AE27,0,-1),Параметры!AE$39/360),1) * IF(AE$2&gt;1,AD28, 1))</f>
        <v>1.2626514581415853</v>
      </c>
      <c r="AF28" s="416">
        <f ca="1">IF(AF$2=1,1,IF(Параметры!$B$62=1,POWER(1+OFFSET(AF27,0,-1),Параметры!AF$39/360),1) * IF(AF$2&gt;1,AE28, 1))</f>
        <v>1.2757974693803327</v>
      </c>
      <c r="AG28" s="416">
        <f ca="1">IF(AG$2=1,1,IF(Параметры!$B$62=1,POWER(1+OFFSET(AG27,0,-1),Параметры!AG$39/360),1) * IF(AG$2&gt;1,AF28, 1))</f>
        <v>1.2890803494361831</v>
      </c>
      <c r="AH28" s="416">
        <f ca="1">IF(AH$2=1,1,IF(Параметры!$B$62=1,POWER(1+OFFSET(AH27,0,-1),Параметры!AH$39/360),1) * IF(AH$2&gt;1,AG28, 1))</f>
        <v>1.3021890006211045</v>
      </c>
      <c r="AI28" s="416">
        <f ca="1">IF(AI$2=1,1,IF(Параметры!$B$62=1,POWER(1+OFFSET(AI27,0,-1),Параметры!AI$39/360),1) * IF(AI$2&gt;1,AH28, 1))</f>
        <v>1.3154309536098765</v>
      </c>
      <c r="AJ28" s="416">
        <f ca="1">IF(AJ$2=1,1,IF(Параметры!$B$62=1,POWER(1+OFFSET(AJ27,0,-1),Параметры!AJ$39/360),1) * IF(AJ$2&gt;1,AI28, 1))</f>
        <v>1.3288075639478298</v>
      </c>
      <c r="AK28" s="416">
        <f ca="1">IF(AK$2=1,1,IF(Параметры!$B$62=1,POWER(1+OFFSET(AK27,0,-1),Параметры!AK$39/360),1) * IF(AK$2&gt;1,AJ28, 1))</f>
        <v>1.3423202009648287</v>
      </c>
      <c r="AL28" s="416">
        <f ca="1">IF(AL$2=1,1,IF(Параметры!$B$62=1,POWER(1+OFFSET(AL27,0,-1),Параметры!AL$39/360),1) * IF(AL$2&gt;1,AK28, 1))</f>
        <v>1.3556445833613653</v>
      </c>
      <c r="AM28" s="416">
        <f ca="1">IF(AM$2=1,1,IF(Параметры!$B$62=1,POWER(1+OFFSET(AM27,0,-1),Параметры!AM$39/360),1) * IF(AM$2&gt;1,AL28, 1))</f>
        <v>1.3691012286606887</v>
      </c>
      <c r="AN28" s="416">
        <f ca="1">IF(AN$2=1,1,IF(Параметры!$B$62=1,POWER(1+OFFSET(AN27,0,-1),Параметры!AN$39/360),1) * IF(AN$2&gt;1,AM28, 1))</f>
        <v>1.382691449754829</v>
      </c>
      <c r="AO28" s="416">
        <f ca="1">IF(AO$2=1,1,IF(Параметры!$B$62=1,POWER(1+OFFSET(AO27,0,-1),Параметры!AO$39/360),1) * IF(AO$2&gt;1,AN28, 1))</f>
        <v>1.3964165725680835</v>
      </c>
      <c r="AP28" s="416">
        <f ca="1">IF(AP$2=1,1,IF(Параметры!$B$62=1,POWER(1+OFFSET(AP27,0,-1),Параметры!AP$39/360),1) * IF(AP$2&gt;1,AO28, 1))</f>
        <v>1.4102779361863798</v>
      </c>
      <c r="AQ28" s="416">
        <f ca="1">IF(AQ$2=1,1,IF(Параметры!$B$62=1,POWER(1+OFFSET(AQ27,0,-1),Параметры!AQ$39/360),1) * IF(AQ$2&gt;1,AP28, 1))</f>
        <v>1.424276892987923</v>
      </c>
      <c r="AR28" s="416">
        <f ca="1">IF(AR$2=1,1,IF(Параметры!$B$62=1,POWER(1+OFFSET(AR27,0,-1),Параметры!AR$39/360),1) * IF(AR$2&gt;1,AQ28, 1))</f>
        <v>1.4384148087751407</v>
      </c>
      <c r="AS28" s="128"/>
      <c r="AT28" s="117"/>
    </row>
    <row r="29" spans="1:46" outlineLevel="1" x14ac:dyDescent="0.2">
      <c r="A29" s="319" t="s">
        <v>491</v>
      </c>
      <c r="B29" s="24"/>
      <c r="C29" s="2" t="s">
        <v>133</v>
      </c>
      <c r="D29" s="310"/>
      <c r="E29" s="417">
        <f>IF(E$2=1,1,CHOOSE($E$2,E28,IF(Параметры!E$43=1,E28,D29),IF(Параметры!E$48=1,E28,D29),IF(Параметры!E$45&lt;&gt;Параметры!D$45,E28,D29),IF(Параметры!E$50&lt;&gt;Параметры!D$50,E28,D29)))</f>
        <v>1</v>
      </c>
      <c r="F29" s="417">
        <f ca="1">IF(F$2=1,1,CHOOSE($E$2,F28,IF(Параметры!F$43=1,F28,E29),IF(Параметры!F$48=1,F28,E29),IF(Параметры!F$45&lt;&gt;Параметры!E$45,F28,E29),IF(Параметры!F$50&lt;&gt;Параметры!E$50,F28,E29)))</f>
        <v>1</v>
      </c>
      <c r="G29" s="417">
        <f ca="1">IF(G$2=1,1,CHOOSE($E$2,G28,IF(Параметры!G$43=1,G28,F29),IF(Параметры!G$48=1,G28,F29),IF(Параметры!G$45&lt;&gt;Параметры!F$45,G28,F29),IF(Параметры!G$50&lt;&gt;Параметры!F$50,G28,F29)))</f>
        <v>1</v>
      </c>
      <c r="H29" s="417">
        <f ca="1">IF(H$2=1,1,CHOOSE($E$2,H28,IF(Параметры!H$43=1,H28,G29),IF(Параметры!H$48=1,H28,G29),IF(Параметры!H$45&lt;&gt;Параметры!G$45,H28,G29),IF(Параметры!H$50&lt;&gt;Параметры!G$50,H28,G29)))</f>
        <v>1</v>
      </c>
      <c r="I29" s="417">
        <f ca="1">IF(I$2=1,1,CHOOSE($E$2,I28,IF(Параметры!I$43=1,I28,H29),IF(Параметры!I$48=1,I28,H29),IF(Параметры!I$45&lt;&gt;Параметры!H$45,I28,H29),IF(Параметры!I$50&lt;&gt;Параметры!H$50,I28,H29)))</f>
        <v>1</v>
      </c>
      <c r="J29" s="417">
        <f ca="1">IF(J$2=1,1,CHOOSE($E$2,J28,IF(Параметры!J$43=1,J28,I29),IF(Параметры!J$48=1,J28,I29),IF(Параметры!J$45&lt;&gt;Параметры!I$45,J28,I29),IF(Параметры!J$50&lt;&gt;Параметры!I$50,J28,I29)))</f>
        <v>1.010429965366642</v>
      </c>
      <c r="K29" s="417">
        <f ca="1">IF(K$2=1,1,CHOOSE($E$2,K28,IF(Параметры!K$43=1,K28,J29),IF(Параметры!K$48=1,K28,J29),IF(Параметры!K$45&lt;&gt;Параметры!J$45,K28,J29),IF(Параметры!K$50&lt;&gt;Параметры!J$50,K28,J29)))</f>
        <v>1.0209687149108333</v>
      </c>
      <c r="L29" s="417">
        <f ca="1">IF(L$2=1,1,CHOOSE($E$2,L28,IF(Параметры!L$43=1,L28,K29),IF(Параметры!L$48=1,L28,K29),IF(Параметры!L$45&lt;&gt;Параметры!K$45,L28,K29),IF(Параметры!L$50&lt;&gt;Параметры!K$50,L28,K29)))</f>
        <v>1.0316173832477782</v>
      </c>
      <c r="M29" s="417">
        <f ca="1">IF(M$2=1,1,CHOOSE($E$2,M28,IF(Параметры!M$43=1,M28,L29),IF(Параметры!M$48=1,M28,L29),IF(Параметры!M$45&lt;&gt;Параметры!L$45,M28,L29),IF(Параметры!M$50&lt;&gt;Параметры!L$50,M28,L29)))</f>
        <v>1.0423771168266784</v>
      </c>
      <c r="N29" s="417">
        <f ca="1">IF(N$2=1,1,CHOOSE($E$2,N28,IF(Параметры!N$43=1,N28,M29),IF(Параметры!N$48=1,N28,M29),IF(Параметры!N$45&lt;&gt;Параметры!M$45,N28,M29),IF(Параметры!N$50&lt;&gt;Параметры!M$50,N28,M29)))</f>
        <v>1.0534570182430962</v>
      </c>
      <c r="O29" s="417">
        <f ca="1">IF(O$2=1,1,CHOOSE($E$2,O28,IF(Параметры!O$43=1,O28,N29),IF(Параметры!O$48=1,O28,N29),IF(Параметры!O$45&lt;&gt;Параметры!N$45,O28,N29),IF(Параметры!O$50&lt;&gt;Параметры!N$50,O28,N29)))</f>
        <v>1.0646546929811036</v>
      </c>
      <c r="P29" s="417">
        <f ca="1">IF(P$2=1,1,CHOOSE($E$2,P28,IF(Параметры!P$43=1,P28,O29),IF(Параметры!P$48=1,P28,O29),IF(Параметры!P$45&lt;&gt;Параметры!O$45,P28,O29),IF(Параметры!P$50&lt;&gt;Параметры!O$50,P28,O29)))</f>
        <v>1.0759713929070083</v>
      </c>
      <c r="Q29" s="417">
        <f ca="1">IF(Q$2=1,1,CHOOSE($E$2,Q28,IF(Параметры!Q$43=1,Q28,P29),IF(Параметры!Q$48=1,Q28,P29),IF(Параметры!Q$45&lt;&gt;Параметры!P$45,Q28,P29),IF(Параметры!Q$50&lt;&gt;Параметры!P$50,Q28,P29)))</f>
        <v>1.0874083831937758</v>
      </c>
      <c r="R29" s="417">
        <f ca="1">IF(R$2=1,1,CHOOSE($E$2,R28,IF(Параметры!R$43=1,R28,Q29),IF(Параметры!R$48=1,R28,Q29),IF(Параметры!R$45&lt;&gt;Параметры!Q$45,R28,Q29),IF(Параметры!R$50&lt;&gt;Параметры!Q$50,R28,Q29)))</f>
        <v>1.0991513485462314</v>
      </c>
      <c r="S29" s="417">
        <f ca="1">IF(S$2=1,1,CHOOSE($E$2,S28,IF(Параметры!S$43=1,S28,R29),IF(Параметры!S$48=1,S28,R29),IF(Параметры!S$45&lt;&gt;Параметры!R$45,S28,R29),IF(Параметры!S$50&lt;&gt;Параметры!R$50,S28,R29)))</f>
        <v>1.111021126637489</v>
      </c>
      <c r="T29" s="417">
        <f ca="1">IF(T$2=1,1,CHOOSE($E$2,T28,IF(Параметры!T$43=1,T28,S29),IF(Параметры!T$48=1,T28,S29),IF(Параметры!T$45&lt;&gt;Параметры!S$45,T28,S29),IF(Параметры!T$50&lt;&gt;Параметры!S$50,T28,S29)))</f>
        <v>1.1230190869232388</v>
      </c>
      <c r="U29" s="417">
        <f ca="1">IF(U$2=1,1,CHOOSE($E$2,U28,IF(Параметры!U$43=1,U28,T29),IF(Параметры!U$48=1,U28,T29),IF(Параметры!U$45&lt;&gt;Параметры!T$45,U28,T29),IF(Параметры!U$50&lt;&gt;Параметры!T$50,U28,T29)))</f>
        <v>1.1351466136479762</v>
      </c>
      <c r="V29" s="417">
        <f ca="1">IF(V$2=1,1,CHOOSE($E$2,V28,IF(Параметры!V$43=1,V28,U29),IF(Параметры!V$48=1,V28,U29),IF(Параметры!V$45&lt;&gt;Параметры!U$45,V28,U29),IF(Параметры!V$50&lt;&gt;Параметры!U$50,V28,U29)))</f>
        <v>1.1475149296443805</v>
      </c>
      <c r="W29" s="417">
        <f ca="1">IF(W$2=1,1,CHOOSE($E$2,W28,IF(Параметры!W$43=1,W28,V29),IF(Параметры!W$48=1,W28,V29),IF(Параметры!W$45&lt;&gt;Параметры!V$45,W28,V29),IF(Параметры!W$50&lt;&gt;Параметры!V$50,W28,V29)))</f>
        <v>1.1600180081804847</v>
      </c>
      <c r="X29" s="417">
        <f ca="1">IF(X$2=1,1,CHOOSE($E$2,X28,IF(Параметры!X$43=1,X28,W29),IF(Параметры!X$48=1,X28,W29),IF(Параметры!X$45&lt;&gt;Параметры!W$45,X28,W29),IF(Параметры!X$50&lt;&gt;Параметры!W$50,X28,W29)))</f>
        <v>1.1726573176002502</v>
      </c>
      <c r="Y29" s="417">
        <f ca="1">IF(Y$2=1,1,CHOOSE($E$2,Y28,IF(Параметры!Y$43=1,Y28,X29),IF(Параметры!Y$48=1,Y28,X29),IF(Параметры!Y$45&lt;&gt;Параметры!X$45,Y28,X29),IF(Параметры!Y$50&lt;&gt;Параметры!X$50,Y28,X29)))</f>
        <v>1.1854343422464018</v>
      </c>
      <c r="Z29" s="417">
        <f ca="1">IF(Z$2=1,1,CHOOSE($E$2,Z28,IF(Параметры!Z$43=1,Z28,Y29),IF(Параметры!Z$48=1,Z28,Y29),IF(Параметры!Z$45&lt;&gt;Параметры!Y$45,Z28,Y29),IF(Параметры!Z$50&lt;&gt;Параметры!Y$50,Z28,Y29)))</f>
        <v>1.1980636008288987</v>
      </c>
      <c r="AA29" s="417">
        <f ca="1">IF(AA$2=1,1,CHOOSE($E$2,AA28,IF(Параметры!AA$43=1,AA28,Z29),IF(Параметры!AA$48=1,AA28,Z29),IF(Параметры!AA$45&lt;&gt;Параметры!Z$45,AA28,Z29),IF(Параметры!AA$50&lt;&gt;Параметры!Z$50,AA28,Z29)))</f>
        <v>1.2108274077087238</v>
      </c>
      <c r="AB29" s="417">
        <f ca="1">IF(AB$2=1,1,CHOOSE($E$2,AB28,IF(Параметры!AB$43=1,AB28,AA29),IF(Параметры!AB$48=1,AB28,AA29),IF(Параметры!AB$45&lt;&gt;Параметры!AA$45,AB28,AA29),IF(Параметры!AB$50&lt;&gt;Параметры!AA$50,AB28,AA29)))</f>
        <v>1.2237271963227012</v>
      </c>
      <c r="AC29" s="417">
        <f ca="1">IF(AC$2=1,1,CHOOSE($E$2,AC28,IF(Параметры!AC$43=1,AC28,AB29),IF(Параметры!AC$48=1,AC28,AB29),IF(Параметры!AC$45&lt;&gt;Параметры!AB$45,AC28,AB29),IF(Параметры!AC$50&lt;&gt;Параметры!AB$50,AC28,AB29)))</f>
        <v>1.2367644153790571</v>
      </c>
      <c r="AD29" s="417">
        <f ca="1">IF(AD$2=1,1,CHOOSE($E$2,AD28,IF(Параметры!AD$43=1,AD28,AC29),IF(Параметры!AD$48=1,AD28,AC29),IF(Параметры!AD$45&lt;&gt;Параметры!AC$45,AD28,AC29),IF(Параметры!AD$50&lt;&gt;Параметры!AC$50,AD28,AC29)))</f>
        <v>1.2496409054028248</v>
      </c>
      <c r="AE29" s="417">
        <f ca="1">IF(AE$2=1,1,CHOOSE($E$2,AE28,IF(Параметры!AE$43=1,AE28,AD29),IF(Параметры!AE$48=1,AE28,AD29),IF(Параметры!AE$45&lt;&gt;Параметры!AD$45,AE28,AD29),IF(Параметры!AE$50&lt;&gt;Параметры!AD$50,AE28,AD29)))</f>
        <v>1.2626514581415853</v>
      </c>
      <c r="AF29" s="417">
        <f ca="1">IF(AF$2=1,1,CHOOSE($E$2,AF28,IF(Параметры!AF$43=1,AF28,AE29),IF(Параметры!AF$48=1,AF28,AE29),IF(Параметры!AF$45&lt;&gt;Параметры!AE$45,AF28,AE29),IF(Параметры!AF$50&lt;&gt;Параметры!AE$50,AF28,AE29)))</f>
        <v>1.2757974693803327</v>
      </c>
      <c r="AG29" s="417">
        <f ca="1">IF(AG$2=1,1,CHOOSE($E$2,AG28,IF(Параметры!AG$43=1,AG28,AF29),IF(Параметры!AG$48=1,AG28,AF29),IF(Параметры!AG$45&lt;&gt;Параметры!AF$45,AG28,AF29),IF(Параметры!AG$50&lt;&gt;Параметры!AF$50,AG28,AF29)))</f>
        <v>1.2890803494361831</v>
      </c>
      <c r="AH29" s="417">
        <f ca="1">IF(AH$2=1,1,CHOOSE($E$2,AH28,IF(Параметры!AH$43=1,AH28,AG29),IF(Параметры!AH$48=1,AH28,AG29),IF(Параметры!AH$45&lt;&gt;Параметры!AG$45,AH28,AG29),IF(Параметры!AH$50&lt;&gt;Параметры!AG$50,AH28,AG29)))</f>
        <v>1.3021890006211045</v>
      </c>
      <c r="AI29" s="417">
        <f ca="1">IF(AI$2=1,1,CHOOSE($E$2,AI28,IF(Параметры!AI$43=1,AI28,AH29),IF(Параметры!AI$48=1,AI28,AH29),IF(Параметры!AI$45&lt;&gt;Параметры!AH$45,AI28,AH29),IF(Параметры!AI$50&lt;&gt;Параметры!AH$50,AI28,AH29)))</f>
        <v>1.3154309536098765</v>
      </c>
      <c r="AJ29" s="417">
        <f ca="1">IF(AJ$2=1,1,CHOOSE($E$2,AJ28,IF(Параметры!AJ$43=1,AJ28,AI29),IF(Параметры!AJ$48=1,AJ28,AI29),IF(Параметры!AJ$45&lt;&gt;Параметры!AI$45,AJ28,AI29),IF(Параметры!AJ$50&lt;&gt;Параметры!AI$50,AJ28,AI29)))</f>
        <v>1.3288075639478298</v>
      </c>
      <c r="AK29" s="417">
        <f ca="1">IF(AK$2=1,1,CHOOSE($E$2,AK28,IF(Параметры!AK$43=1,AK28,AJ29),IF(Параметры!AK$48=1,AK28,AJ29),IF(Параметры!AK$45&lt;&gt;Параметры!AJ$45,AK28,AJ29),IF(Параметры!AK$50&lt;&gt;Параметры!AJ$50,AK28,AJ29)))</f>
        <v>1.3423202009648287</v>
      </c>
      <c r="AL29" s="417">
        <f ca="1">IF(AL$2=1,1,CHOOSE($E$2,AL28,IF(Параметры!AL$43=1,AL28,AK29),IF(Параметры!AL$48=1,AL28,AK29),IF(Параметры!AL$45&lt;&gt;Параметры!AK$45,AL28,AK29),IF(Параметры!AL$50&lt;&gt;Параметры!AK$50,AL28,AK29)))</f>
        <v>1.3556445833613653</v>
      </c>
      <c r="AM29" s="417">
        <f ca="1">IF(AM$2=1,1,CHOOSE($E$2,AM28,IF(Параметры!AM$43=1,AM28,AL29),IF(Параметры!AM$48=1,AM28,AL29),IF(Параметры!AM$45&lt;&gt;Параметры!AL$45,AM28,AL29),IF(Параметры!AM$50&lt;&gt;Параметры!AL$50,AM28,AL29)))</f>
        <v>1.3691012286606887</v>
      </c>
      <c r="AN29" s="417">
        <f ca="1">IF(AN$2=1,1,CHOOSE($E$2,AN28,IF(Параметры!AN$43=1,AN28,AM29),IF(Параметры!AN$48=1,AN28,AM29),IF(Параметры!AN$45&lt;&gt;Параметры!AM$45,AN28,AM29),IF(Параметры!AN$50&lt;&gt;Параметры!AM$50,AN28,AM29)))</f>
        <v>1.382691449754829</v>
      </c>
      <c r="AO29" s="417">
        <f ca="1">IF(AO$2=1,1,CHOOSE($E$2,AO28,IF(Параметры!AO$43=1,AO28,AN29),IF(Параметры!AO$48=1,AO28,AN29),IF(Параметры!AO$45&lt;&gt;Параметры!AN$45,AO28,AN29),IF(Параметры!AO$50&lt;&gt;Параметры!AN$50,AO28,AN29)))</f>
        <v>1.3964165725680835</v>
      </c>
      <c r="AP29" s="417">
        <f ca="1">IF(AP$2=1,1,CHOOSE($E$2,AP28,IF(Параметры!AP$43=1,AP28,AO29),IF(Параметры!AP$48=1,AP28,AO29),IF(Параметры!AP$45&lt;&gt;Параметры!AO$45,AP28,AO29),IF(Параметры!AP$50&lt;&gt;Параметры!AO$50,AP28,AO29)))</f>
        <v>1.4102779361863798</v>
      </c>
      <c r="AQ29" s="417">
        <f ca="1">IF(AQ$2=1,1,CHOOSE($E$2,AQ28,IF(Параметры!AQ$43=1,AQ28,AP29),IF(Параметры!AQ$48=1,AQ28,AP29),IF(Параметры!AQ$45&lt;&gt;Параметры!AP$45,AQ28,AP29),IF(Параметры!AQ$50&lt;&gt;Параметры!AP$50,AQ28,AP29)))</f>
        <v>1.424276892987923</v>
      </c>
      <c r="AR29" s="417">
        <f ca="1">IF(AR$2=1,1,CHOOSE($E$2,AR28,IF(Параметры!AR$43=1,AR28,AQ29),IF(Параметры!AR$48=1,AR28,AQ29),IF(Параметры!AR$45&lt;&gt;Параметры!AQ$45,AR28,AQ29),IF(Параметры!AR$50&lt;&gt;Параметры!AQ$50,AR28,AQ29)))</f>
        <v>1.4384148087751407</v>
      </c>
      <c r="AS29" s="120"/>
      <c r="AT29" s="116"/>
    </row>
    <row r="30" spans="1:46" x14ac:dyDescent="0.2">
      <c r="A30" s="248" t="s">
        <v>802</v>
      </c>
    </row>
    <row r="31" spans="1:46" x14ac:dyDescent="0.2">
      <c r="A31" s="247" t="s">
        <v>803</v>
      </c>
      <c r="C31" s="266" t="str">
        <f>Параметры!$C$126</f>
        <v>тыс. руб.</v>
      </c>
      <c r="D31" s="65"/>
      <c r="E31" s="554">
        <v>0</v>
      </c>
      <c r="F31" s="90">
        <f>Деятельность_УК!E435*1.2*Графики!$D$321</f>
        <v>0</v>
      </c>
      <c r="G31" s="90">
        <f ca="1">Деятельность_УК!F435*1.2*Графики!$D$321</f>
        <v>0</v>
      </c>
      <c r="H31" s="90">
        <f ca="1">Деятельность_УК!G435*1.2*Графики!$D$321</f>
        <v>0</v>
      </c>
      <c r="I31" s="90">
        <f ca="1">Деятельность_УК!H435*1.2*Графики!$D$321</f>
        <v>0</v>
      </c>
      <c r="J31" s="90">
        <f ca="1">Деятельность_УК!I435*1.2*Графики!$D$321</f>
        <v>0</v>
      </c>
      <c r="K31" s="90">
        <f ca="1">Деятельность_УК!J435*1.2*Графики!$D$321</f>
        <v>0</v>
      </c>
      <c r="L31" s="90">
        <f ca="1">Деятельность_УК!K435*1.2*Графики!$D$321</f>
        <v>0</v>
      </c>
      <c r="M31" s="90">
        <f ca="1">Деятельность_УК!L435*1.2*Графики!$D$321</f>
        <v>0</v>
      </c>
      <c r="N31" s="90">
        <f ca="1">Деятельность_УК!M435*1.2*Графики!$D$321</f>
        <v>0</v>
      </c>
      <c r="O31" s="90">
        <f ca="1">Деятельность_УК!N435*1.2*Графики!$D$321</f>
        <v>0</v>
      </c>
      <c r="P31" s="90">
        <f ca="1">Деятельность_УК!O435*1.2*Графики!$D$321</f>
        <v>0</v>
      </c>
      <c r="Q31" s="90">
        <f ca="1">Деятельность_УК!P435*1.2*Графики!$D$321</f>
        <v>0</v>
      </c>
      <c r="R31" s="90">
        <f ca="1">Деятельность_УК!Q435*1.2*Графики!$D$321</f>
        <v>0</v>
      </c>
      <c r="S31" s="90">
        <f ca="1">Деятельность_УК!R435*1.2*Графики!$D$321</f>
        <v>0</v>
      </c>
      <c r="T31" s="90">
        <f ca="1">Деятельность_УК!S435*1.2*Графики!$D$321</f>
        <v>0</v>
      </c>
      <c r="U31" s="90">
        <f ca="1">Деятельность_УК!T435*1.2*Графики!$D$321</f>
        <v>0</v>
      </c>
      <c r="V31" s="90">
        <f ca="1">Деятельность_УК!U435*1.2*Графики!$D$321</f>
        <v>0</v>
      </c>
      <c r="W31" s="90">
        <f ca="1">Деятельность_УК!V435*1.2*Графики!$D$321</f>
        <v>0</v>
      </c>
      <c r="X31" s="90">
        <f ca="1">Деятельность_УК!W435*1.2*Графики!$D$321</f>
        <v>0</v>
      </c>
      <c r="Y31" s="90">
        <f ca="1">Деятельность_УК!X435*1.2*Графики!$D$321</f>
        <v>0</v>
      </c>
      <c r="Z31" s="90">
        <f ca="1">Деятельность_УК!Y435*1.2*Графики!$D$321</f>
        <v>0</v>
      </c>
      <c r="AA31" s="90">
        <f ca="1">Деятельность_УК!Z435*1.2*Графики!$D$321</f>
        <v>0</v>
      </c>
      <c r="AB31" s="90">
        <f ca="1">Деятельность_УК!AA435*1.2*Графики!$D$321</f>
        <v>0</v>
      </c>
      <c r="AC31" s="90">
        <f ca="1">Деятельность_УК!AB435*1.2*Графики!$D$321</f>
        <v>0</v>
      </c>
      <c r="AD31" s="90">
        <f ca="1">Деятельность_УК!AC435*1.2*Графики!$D$321</f>
        <v>0</v>
      </c>
      <c r="AE31" s="90">
        <f ca="1">Деятельность_УК!AD435*1.2*Графики!$D$321</f>
        <v>0</v>
      </c>
      <c r="AF31" s="90">
        <f ca="1">Деятельность_УК!AE435*1.2*Графики!$D$321</f>
        <v>0</v>
      </c>
      <c r="AG31" s="90">
        <f ca="1">Деятельность_УК!AF435*1.2*Графики!$D$321</f>
        <v>0</v>
      </c>
      <c r="AH31" s="90">
        <f ca="1">Деятельность_УК!AG435*1.2*Графики!$D$321</f>
        <v>0</v>
      </c>
      <c r="AI31" s="90">
        <f ca="1">Деятельность_УК!AH435*1.2*Графики!$D$321</f>
        <v>0</v>
      </c>
      <c r="AJ31" s="90">
        <f ca="1">Деятельность_УК!AI435*1.2*Графики!$D$321</f>
        <v>0</v>
      </c>
      <c r="AK31" s="90">
        <f ca="1">Деятельность_УК!AJ435*1.2*Графики!$D$321</f>
        <v>0</v>
      </c>
      <c r="AL31" s="90">
        <f ca="1">Деятельность_УК!AK435*1.2*Графики!$D$321</f>
        <v>491315.59464514832</v>
      </c>
      <c r="AM31" s="90">
        <f ca="1">Деятельность_УК!AL435*1.2*Графики!$D$321</f>
        <v>0</v>
      </c>
      <c r="AN31" s="90">
        <f ca="1">Деятельность_УК!AM435*1.2*Графики!$D$321</f>
        <v>0</v>
      </c>
      <c r="AO31" s="90">
        <f ca="1">Деятельность_УК!AN435*1.2*Графики!$D$321</f>
        <v>0</v>
      </c>
      <c r="AP31" s="90">
        <f ca="1">Деятельность_УК!AO435*1.2*Графики!$D$321</f>
        <v>7652041.1489606574</v>
      </c>
      <c r="AQ31" s="90">
        <f ca="1">Деятельность_УК!AP435*1.2*Графики!$D$321</f>
        <v>0</v>
      </c>
      <c r="AR31" s="90">
        <f ca="1">Деятельность_УК!AQ435*1.2*Графики!$D$321</f>
        <v>0</v>
      </c>
      <c r="AT31" s="30">
        <f ca="1">SUM(E31:AS31)</f>
        <v>8143356.7436058056</v>
      </c>
    </row>
    <row r="32" spans="1:46" x14ac:dyDescent="0.2">
      <c r="A32" s="247" t="s">
        <v>804</v>
      </c>
      <c r="C32" s="266" t="str">
        <f>Параметры!$C$126</f>
        <v>тыс. руб.</v>
      </c>
      <c r="D32" s="65"/>
      <c r="E32" s="82">
        <f>E31</f>
        <v>0</v>
      </c>
      <c r="F32" s="82">
        <f>E32+F31</f>
        <v>0</v>
      </c>
      <c r="G32" s="82">
        <f t="shared" ref="G32" ca="1" si="3">F32+G31</f>
        <v>0</v>
      </c>
      <c r="H32" s="82">
        <f t="shared" ref="H32" ca="1" si="4">G32+H31</f>
        <v>0</v>
      </c>
      <c r="I32" s="82">
        <f t="shared" ref="I32" ca="1" si="5">H32+I31</f>
        <v>0</v>
      </c>
      <c r="J32" s="82">
        <f t="shared" ref="J32" ca="1" si="6">I32+J31</f>
        <v>0</v>
      </c>
      <c r="K32" s="82">
        <f t="shared" ref="K32" ca="1" si="7">J32+K31</f>
        <v>0</v>
      </c>
      <c r="L32" s="82">
        <f t="shared" ref="L32" ca="1" si="8">K32+L31</f>
        <v>0</v>
      </c>
      <c r="M32" s="82">
        <f t="shared" ref="M32" ca="1" si="9">L32+M31</f>
        <v>0</v>
      </c>
      <c r="N32" s="82">
        <f t="shared" ref="N32" ca="1" si="10">M32+N31</f>
        <v>0</v>
      </c>
      <c r="O32" s="82">
        <f t="shared" ref="O32" ca="1" si="11">N32+O31</f>
        <v>0</v>
      </c>
      <c r="P32" s="82">
        <f t="shared" ref="P32" ca="1" si="12">O32+P31</f>
        <v>0</v>
      </c>
      <c r="Q32" s="82">
        <f t="shared" ref="Q32" ca="1" si="13">P32+Q31</f>
        <v>0</v>
      </c>
      <c r="R32" s="82">
        <f t="shared" ref="R32" ca="1" si="14">Q32+R31</f>
        <v>0</v>
      </c>
      <c r="S32" s="82">
        <f t="shared" ref="S32" ca="1" si="15">R32+S31</f>
        <v>0</v>
      </c>
      <c r="T32" s="82">
        <f t="shared" ref="T32" ca="1" si="16">S32+T31</f>
        <v>0</v>
      </c>
      <c r="U32" s="82">
        <f t="shared" ref="U32" ca="1" si="17">T32+U31</f>
        <v>0</v>
      </c>
      <c r="V32" s="82">
        <f t="shared" ref="V32" ca="1" si="18">U32+V31</f>
        <v>0</v>
      </c>
      <c r="W32" s="82">
        <f t="shared" ref="W32" ca="1" si="19">V32+W31</f>
        <v>0</v>
      </c>
      <c r="X32" s="82">
        <f t="shared" ref="X32" ca="1" si="20">W32+X31</f>
        <v>0</v>
      </c>
      <c r="Y32" s="82">
        <f t="shared" ref="Y32" ca="1" si="21">X32+Y31</f>
        <v>0</v>
      </c>
      <c r="Z32" s="82">
        <f t="shared" ref="Z32" ca="1" si="22">Y32+Z31</f>
        <v>0</v>
      </c>
      <c r="AA32" s="82">
        <f t="shared" ref="AA32" ca="1" si="23">Z32+AA31</f>
        <v>0</v>
      </c>
      <c r="AB32" s="82">
        <f t="shared" ref="AB32" ca="1" si="24">AA32+AB31</f>
        <v>0</v>
      </c>
      <c r="AC32" s="82">
        <f t="shared" ref="AC32" ca="1" si="25">AB32+AC31</f>
        <v>0</v>
      </c>
      <c r="AD32" s="82">
        <f t="shared" ref="AD32" ca="1" si="26">AC32+AD31</f>
        <v>0</v>
      </c>
      <c r="AE32" s="82">
        <f t="shared" ref="AE32" ca="1" si="27">AD32+AE31</f>
        <v>0</v>
      </c>
      <c r="AF32" s="82">
        <f t="shared" ref="AF32" ca="1" si="28">AE32+AF31</f>
        <v>0</v>
      </c>
      <c r="AG32" s="82">
        <f t="shared" ref="AG32" ca="1" si="29">AF32+AG31</f>
        <v>0</v>
      </c>
      <c r="AH32" s="82">
        <f t="shared" ref="AH32" ca="1" si="30">AG32+AH31</f>
        <v>0</v>
      </c>
      <c r="AI32" s="82">
        <f t="shared" ref="AI32" ca="1" si="31">AH32+AI31</f>
        <v>0</v>
      </c>
      <c r="AJ32" s="82">
        <f t="shared" ref="AJ32" ca="1" si="32">AI32+AJ31</f>
        <v>0</v>
      </c>
      <c r="AK32" s="82">
        <f t="shared" ref="AK32" ca="1" si="33">AJ32+AK31</f>
        <v>0</v>
      </c>
      <c r="AL32" s="82">
        <f t="shared" ref="AL32" ca="1" si="34">AK32+AL31</f>
        <v>491315.59464514832</v>
      </c>
      <c r="AM32" s="82">
        <f t="shared" ref="AM32" ca="1" si="35">AL32+AM31</f>
        <v>491315.59464514832</v>
      </c>
      <c r="AN32" s="82">
        <f t="shared" ref="AN32" ca="1" si="36">AM32+AN31</f>
        <v>491315.59464514832</v>
      </c>
      <c r="AO32" s="82">
        <f t="shared" ref="AO32" ca="1" si="37">AN32+AO31</f>
        <v>491315.59464514832</v>
      </c>
      <c r="AP32" s="82">
        <f t="shared" ref="AP32" ca="1" si="38">AO32+AP31</f>
        <v>8143356.7436058056</v>
      </c>
      <c r="AQ32" s="82">
        <f t="shared" ref="AQ32" ca="1" si="39">AP32+AQ31</f>
        <v>8143356.7436058056</v>
      </c>
      <c r="AR32" s="82">
        <f t="shared" ref="AR32" ca="1" si="40">AQ32+AR31</f>
        <v>8143356.7436058056</v>
      </c>
    </row>
    <row r="33" spans="1:46" outlineLevel="1" x14ac:dyDescent="0.2">
      <c r="A33" s="544" t="str">
        <f>Параметры!$A$101</f>
        <v>Изменение цен в строительстве</v>
      </c>
      <c r="B33" s="263" t="s">
        <v>391</v>
      </c>
      <c r="C33" s="21" t="s">
        <v>14</v>
      </c>
      <c r="E33" s="362">
        <f>CHOOSE($E$2,Параметры!E$101,Параметры!E$113,Параметры!E$122)</f>
        <v>0</v>
      </c>
      <c r="F33" s="362">
        <f>CHOOSE($E$2,Параметры!F$101,Параметры!F$113,Параметры!F$122)</f>
        <v>0</v>
      </c>
      <c r="G33" s="362">
        <f>CHOOSE($E$2,Параметры!G$101,Параметры!G$113,Параметры!G$122)</f>
        <v>0</v>
      </c>
      <c r="H33" s="362">
        <f>CHOOSE($E$2,Параметры!H$101,Параметры!H$113,Параметры!H$122)</f>
        <v>0</v>
      </c>
      <c r="I33" s="362">
        <f>CHOOSE($E$2,Параметры!I$101,Параметры!I$113,Параметры!I$122)</f>
        <v>5.1271423484030576E-2</v>
      </c>
      <c r="J33" s="362">
        <f>CHOOSE($E$2,Параметры!J$101,Параметры!J$113,Параметры!J$122)</f>
        <v>5.1271423484030576E-2</v>
      </c>
      <c r="K33" s="362">
        <f>CHOOSE($E$2,Параметры!K$101,Параметры!K$113,Параметры!K$122)</f>
        <v>5.1271423484030576E-2</v>
      </c>
      <c r="L33" s="362">
        <f>CHOOSE($E$2,Параметры!L$101,Параметры!L$113,Параметры!L$122)</f>
        <v>5.1271423484030576E-2</v>
      </c>
      <c r="M33" s="362">
        <f>CHOOSE($E$2,Параметры!M$101,Параметры!M$113,Параметры!M$122)</f>
        <v>5.0363387780470337E-2</v>
      </c>
      <c r="N33" s="362">
        <f>CHOOSE($E$2,Параметры!N$101,Параметры!N$113,Параметры!N$122)</f>
        <v>5.0363387780470337E-2</v>
      </c>
      <c r="O33" s="362">
        <f>CHOOSE($E$2,Параметры!O$101,Параметры!O$113,Параметры!O$122)</f>
        <v>5.0363387780470337E-2</v>
      </c>
      <c r="P33" s="362">
        <f>CHOOSE($E$2,Параметры!P$101,Параметры!P$113,Параметры!P$122)</f>
        <v>5.0363387780470337E-2</v>
      </c>
      <c r="Q33" s="362">
        <f>CHOOSE($E$2,Параметры!Q$101,Параметры!Q$113,Параметры!Q$122)</f>
        <v>4.9267330074872273E-2</v>
      </c>
      <c r="R33" s="362">
        <f>CHOOSE($E$2,Параметры!R$101,Параметры!R$113,Параметры!R$122)</f>
        <v>4.9267330074872273E-2</v>
      </c>
      <c r="S33" s="362">
        <f>CHOOSE($E$2,Параметры!S$101,Параметры!S$113,Параметры!S$122)</f>
        <v>4.9267330074872273E-2</v>
      </c>
      <c r="T33" s="362">
        <f>CHOOSE($E$2,Параметры!T$101,Параметры!T$113,Параметры!T$122)</f>
        <v>4.9267330074872273E-2</v>
      </c>
      <c r="U33" s="362">
        <f>CHOOSE($E$2,Параметры!U$101,Параметры!U$113,Параметры!U$122)</f>
        <v>4.7273106547426114E-2</v>
      </c>
      <c r="V33" s="362">
        <f>CHOOSE($E$2,Параметры!V$101,Параметры!V$113,Параметры!V$122)</f>
        <v>4.7273106547426114E-2</v>
      </c>
      <c r="W33" s="362">
        <f>CHOOSE($E$2,Параметры!W$101,Параметры!W$113,Параметры!W$122)</f>
        <v>4.7273106547426114E-2</v>
      </c>
      <c r="X33" s="362">
        <f>CHOOSE($E$2,Параметры!X$101,Параметры!X$113,Параметры!X$122)</f>
        <v>4.7273106547426114E-2</v>
      </c>
      <c r="Y33" s="362">
        <f>CHOOSE($E$2,Параметры!Y$101,Параметры!Y$113,Параметры!Y$122)</f>
        <v>4.5942308087647987E-2</v>
      </c>
      <c r="Z33" s="362">
        <f>CHOOSE($E$2,Параметры!Z$101,Параметры!Z$113,Параметры!Z$122)</f>
        <v>4.5942308087647987E-2</v>
      </c>
      <c r="AA33" s="362">
        <f>CHOOSE($E$2,Параметры!AA$101,Параметры!AA$113,Параметры!AA$122)</f>
        <v>4.5942308087647987E-2</v>
      </c>
      <c r="AB33" s="362">
        <f>CHOOSE($E$2,Параметры!AB$101,Параметры!AB$113,Параметры!AB$122)</f>
        <v>4.5942308087647987E-2</v>
      </c>
      <c r="AC33" s="362">
        <f>CHOOSE($E$2,Параметры!AC$101,Параметры!AC$113,Параметры!AC$122)</f>
        <v>4.6084178846717894E-2</v>
      </c>
      <c r="AD33" s="362">
        <f>CHOOSE($E$2,Параметры!AD$101,Параметры!AD$113,Параметры!AD$122)</f>
        <v>4.6084178846717894E-2</v>
      </c>
      <c r="AE33" s="362">
        <f>CHOOSE($E$2,Параметры!AE$101,Параметры!AE$113,Параметры!AE$122)</f>
        <v>4.6084178846717894E-2</v>
      </c>
      <c r="AF33" s="362">
        <f>CHOOSE($E$2,Параметры!AF$101,Параметры!AF$113,Параметры!AF$122)</f>
        <v>4.6084178846717894E-2</v>
      </c>
      <c r="AG33" s="362">
        <f>CHOOSE($E$2,Параметры!AG$101,Параметры!AG$113,Параметры!AG$122)</f>
        <v>4.6049823800539347E-2</v>
      </c>
      <c r="AH33" s="362">
        <f>CHOOSE($E$2,Параметры!AH$101,Параметры!AH$113,Параметры!AH$122)</f>
        <v>4.6049823800539347E-2</v>
      </c>
      <c r="AI33" s="362">
        <f>CHOOSE($E$2,Параметры!AI$101,Параметры!AI$113,Параметры!AI$122)</f>
        <v>4.6049823800539347E-2</v>
      </c>
      <c r="AJ33" s="362">
        <f>CHOOSE($E$2,Параметры!AJ$101,Параметры!AJ$113,Параметры!AJ$122)</f>
        <v>4.6049823800539347E-2</v>
      </c>
      <c r="AK33" s="362">
        <f>CHOOSE($E$2,Параметры!AK$101,Параметры!AK$113,Параметры!AK$122)</f>
        <v>4.6154378696228848E-2</v>
      </c>
      <c r="AL33" s="362">
        <f>CHOOSE($E$2,Параметры!AL$101,Параметры!AL$113,Параметры!AL$122)</f>
        <v>4.6154378696228848E-2</v>
      </c>
      <c r="AM33" s="362">
        <f>CHOOSE($E$2,Параметры!AM$101,Параметры!AM$113,Параметры!AM$122)</f>
        <v>4.6154378696228848E-2</v>
      </c>
      <c r="AN33" s="362">
        <f>CHOOSE($E$2,Параметры!AN$101,Параметры!AN$113,Параметры!AN$122)</f>
        <v>4.6154378696228848E-2</v>
      </c>
      <c r="AO33" s="362">
        <f>CHOOSE($E$2,Параметры!AO$101,Параметры!AO$113,Параметры!AO$122)</f>
        <v>4.601469397743041E-2</v>
      </c>
      <c r="AP33" s="362">
        <f>CHOOSE($E$2,Параметры!AP$101,Параметры!AP$113,Параметры!AP$122)</f>
        <v>4.601469397743041E-2</v>
      </c>
      <c r="AQ33" s="362">
        <f>CHOOSE($E$2,Параметры!AQ$101,Параметры!AQ$113,Параметры!AQ$122)</f>
        <v>4.601469397743041E-2</v>
      </c>
      <c r="AR33" s="362">
        <f>CHOOSE($E$2,Параметры!AR$101,Параметры!AR$113,Параметры!AR$122)</f>
        <v>4.601469397743041E-2</v>
      </c>
      <c r="AS33" s="127"/>
      <c r="AT33" s="119"/>
    </row>
    <row r="34" spans="1:46" outlineLevel="1" x14ac:dyDescent="0.2">
      <c r="A34" s="302" t="s">
        <v>392</v>
      </c>
      <c r="B34" s="25"/>
      <c r="C34" s="21" t="s">
        <v>133</v>
      </c>
      <c r="E34" s="416">
        <f ca="1">IF(E$2=1,1,IF(Параметры!$B$62=1,POWER(1+OFFSET(E33,0,-1),Параметры!E$39/360),1) * IF(E$2&gt;1,D34, 1))</f>
        <v>1</v>
      </c>
      <c r="F34" s="416">
        <f ca="1">IF(F$2=1,1,IF(Параметры!$B$62=1,POWER(1+OFFSET(F33,0,-1),Параметры!F$39/360),1) * IF(F$2&gt;1,E34, 1))</f>
        <v>1</v>
      </c>
      <c r="G34" s="416">
        <f ca="1">IF(G$2=1,1,IF(Параметры!$B$62=1,POWER(1+OFFSET(G33,0,-1),Параметры!G$39/360),1) * IF(G$2&gt;1,F34, 1))</f>
        <v>1</v>
      </c>
      <c r="H34" s="416">
        <f ca="1">IF(H$2=1,1,IF(Параметры!$B$62=1,POWER(1+OFFSET(H33,0,-1),Параметры!H$39/360),1) * IF(H$2&gt;1,G34, 1))</f>
        <v>1</v>
      </c>
      <c r="I34" s="416">
        <f ca="1">IF(I$2=1,1,IF(Параметры!$B$62=1,POWER(1+OFFSET(I33,0,-1),Параметры!I$39/360),1) * IF(I$2&gt;1,H34, 1))</f>
        <v>1</v>
      </c>
      <c r="J34" s="416">
        <f ca="1">IF(J$2=1,1,IF(Параметры!$B$62=1,POWER(1+OFFSET(J33,0,-1),Параметры!J$39/360),1) * IF(J$2&gt;1,I34, 1))</f>
        <v>1.0125785303077766</v>
      </c>
      <c r="K34" s="416">
        <f ca="1">IF(K$2=1,1,IF(Параметры!$B$62=1,POWER(1+OFFSET(K33,0,-1),Параметры!K$39/360),1) * IF(K$2&gt;1,J34, 1))</f>
        <v>1.0253152800402567</v>
      </c>
      <c r="L34" s="416">
        <f ca="1">IF(L$2=1,1,IF(Параметры!$B$62=1,POWER(1+OFFSET(L33,0,-1),Параметры!L$39/360),1) * IF(L$2&gt;1,K34, 1))</f>
        <v>1.0382122393652695</v>
      </c>
      <c r="M34" s="416">
        <f ca="1">IF(M$2=1,1,IF(Параметры!$B$62=1,POWER(1+OFFSET(M33,0,-1),Параметры!M$39/360),1) * IF(M$2&gt;1,L34, 1))</f>
        <v>1.0512714234840301</v>
      </c>
      <c r="N34" s="416">
        <f ca="1">IF(N$2=1,1,IF(Параметры!$B$62=1,POWER(1+OFFSET(N33,0,-1),Параметры!N$39/360),1) * IF(N$2&gt;1,M34, 1))</f>
        <v>1.0642649340894372</v>
      </c>
      <c r="O34" s="416">
        <f ca="1">IF(O$2=1,1,IF(Параметры!$B$62=1,POWER(1+OFFSET(O33,0,-1),Параметры!O$39/360),1) * IF(O$2&gt;1,N34, 1))</f>
        <v>1.0774190419621925</v>
      </c>
      <c r="P34" s="416">
        <f ca="1">IF(P$2=1,1,IF(Параметры!$B$62=1,POWER(1+OFFSET(P33,0,-1),Параметры!P$39/360),1) * IF(P$2&gt;1,O34, 1))</f>
        <v>1.0907357320533275</v>
      </c>
      <c r="Q34" s="416">
        <f ca="1">IF(Q$2=1,1,IF(Параметры!$B$62=1,POWER(1+OFFSET(Q33,0,-1),Параметры!Q$39/360),1) * IF(Q$2&gt;1,P34, 1))</f>
        <v>1.1042170138474832</v>
      </c>
      <c r="R34" s="416">
        <f ca="1">IF(R$2=1,1,IF(Параметры!$B$62=1,POWER(1+OFFSET(R33,0,-1),Параметры!R$39/360),1) * IF(R$2&gt;1,Q34, 1))</f>
        <v>1.117573183534714</v>
      </c>
      <c r="S34" s="416">
        <f ca="1">IF(S$2=1,1,IF(Параметры!$B$62=1,POWER(1+OFFSET(S33,0,-1),Параметры!S$39/360),1) * IF(S$2&gt;1,R34, 1))</f>
        <v>1.1310909041367352</v>
      </c>
      <c r="T34" s="416">
        <f ca="1">IF(T$2=1,1,IF(Параметры!$B$62=1,POWER(1+OFFSET(T33,0,-1),Параметры!T$39/360),1) * IF(T$2&gt;1,S34, 1))</f>
        <v>1.1447721297091389</v>
      </c>
      <c r="U34" s="416">
        <f ca="1">IF(U$2=1,1,IF(Параметры!$B$62=1,POWER(1+OFFSET(U33,0,-1),Параметры!U$39/360),1) * IF(U$2&gt;1,T34, 1))</f>
        <v>1.1586188379429967</v>
      </c>
      <c r="V34" s="416">
        <f ca="1">IF(V$2=1,1,IF(Параметры!$B$62=1,POWER(1+OFFSET(V33,0,-1),Параметры!V$39/360),1) * IF(V$2&gt;1,U34, 1))</f>
        <v>1.1720754602177208</v>
      </c>
      <c r="W34" s="416">
        <f ca="1">IF(W$2=1,1,IF(Параметры!$B$62=1,POWER(1+OFFSET(W33,0,-1),Параметры!W$39/360),1) * IF(W$2&gt;1,V34, 1))</f>
        <v>1.1856883726174754</v>
      </c>
      <c r="X34" s="416">
        <f ca="1">IF(X$2=1,1,IF(Параметры!$B$62=1,POWER(1+OFFSET(X33,0,-1),Параметры!X$39/360),1) * IF(X$2&gt;1,W34, 1))</f>
        <v>1.1994593903528445</v>
      </c>
      <c r="Y34" s="416">
        <f ca="1">IF(Y$2=1,1,IF(Параметры!$B$62=1,POWER(1+OFFSET(Y33,0,-1),Параметры!Y$39/360),1) * IF(Y$2&gt;1,X34, 1))</f>
        <v>1.2133903497169312</v>
      </c>
      <c r="Z34" s="416">
        <f ca="1">IF(Z$2=1,1,IF(Параметры!$B$62=1,POWER(1+OFFSET(Z33,0,-1),Параметры!Z$39/360),1) * IF(Z$2&gt;1,Y34, 1))</f>
        <v>1.2270929733184746</v>
      </c>
      <c r="AA34" s="416">
        <f ca="1">IF(AA$2=1,1,IF(Параметры!$B$62=1,POWER(1+OFFSET(AA33,0,-1),Параметры!AA$39/360),1) * IF(AA$2&gt;1,Z34, 1))</f>
        <v>1.240950338461855</v>
      </c>
      <c r="AB34" s="416">
        <f ca="1">IF(AB$2=1,1,IF(Параметры!$B$62=1,POWER(1+OFFSET(AB33,0,-1),Параметры!AB$39/360),1) * IF(AB$2&gt;1,AA34, 1))</f>
        <v>1.254964192618613</v>
      </c>
      <c r="AC34" s="416">
        <f ca="1">IF(AC$2=1,1,IF(Параметры!$B$62=1,POWER(1+OFFSET(AC33,0,-1),Параметры!AC$39/360),1) * IF(AC$2&gt;1,AB34, 1))</f>
        <v>1.269136302994206</v>
      </c>
      <c r="AD34" s="416">
        <f ca="1">IF(AD$2=1,1,IF(Параметры!$B$62=1,POWER(1+OFFSET(AD33,0,-1),Параметры!AD$39/360),1) * IF(AD$2&gt;1,AC34, 1))</f>
        <v>1.2835119766901881</v>
      </c>
      <c r="AE34" s="416">
        <f ca="1">IF(AE$2=1,1,IF(Параметры!$B$62=1,POWER(1+OFFSET(AE33,0,-1),Параметры!AE$39/360),1) * IF(AE$2&gt;1,AD34, 1))</f>
        <v>1.2980504855313992</v>
      </c>
      <c r="AF34" s="416">
        <f ca="1">IF(AF$2=1,1,IF(Параметры!$B$62=1,POWER(1+OFFSET(AF33,0,-1),Параметры!AF$39/360),1) * IF(AF$2&gt;1,AE34, 1))</f>
        <v>1.3127536739729293</v>
      </c>
      <c r="AG34" s="416">
        <f ca="1">IF(AG$2=1,1,IF(Параметры!$B$62=1,POWER(1+OFFSET(AG33,0,-1),Параметры!AG$39/360),1) * IF(AG$2&gt;1,AF34, 1))</f>
        <v>1.3276234073622537</v>
      </c>
      <c r="AH34" s="416">
        <f ca="1">IF(AH$2=1,1,IF(Параметры!$B$62=1,POWER(1+OFFSET(AH33,0,-1),Параметры!AH$39/360),1) * IF(AH$2&gt;1,AG34, 1))</f>
        <v>1.3426505482618092</v>
      </c>
      <c r="AI34" s="416">
        <f ca="1">IF(AI$2=1,1,IF(Параметры!$B$62=1,POWER(1+OFFSET(AI33,0,-1),Параметры!AI$39/360),1) * IF(AI$2&gt;1,AH34, 1))</f>
        <v>1.3578477787834389</v>
      </c>
      <c r="AJ34" s="416">
        <f ca="1">IF(AJ$2=1,1,IF(Параметры!$B$62=1,POWER(1+OFFSET(AJ33,0,-1),Параметры!AJ$39/360),1) * IF(AJ$2&gt;1,AI34, 1))</f>
        <v>1.3732170241423072</v>
      </c>
      <c r="AK34" s="416">
        <f ca="1">IF(AK$2=1,1,IF(Параметры!$B$62=1,POWER(1+OFFSET(AK33,0,-1),Параметры!AK$39/360),1) * IF(AK$2&gt;1,AJ34, 1))</f>
        <v>1.3887602313447576</v>
      </c>
      <c r="AL34" s="416">
        <f ca="1">IF(AL$2=1,1,IF(Параметры!$B$62=1,POWER(1+OFFSET(AL33,0,-1),Параметры!AL$39/360),1) * IF(AL$2&gt;1,AK34, 1))</f>
        <v>1.4045144632916067</v>
      </c>
      <c r="AM34" s="416">
        <f ca="1">IF(AM$2=1,1,IF(Параметры!$B$62=1,POWER(1+OFFSET(AM33,0,-1),Параметры!AM$39/360),1) * IF(AM$2&gt;1,AL34, 1))</f>
        <v>1.4204474127871249</v>
      </c>
      <c r="AN34" s="416">
        <f ca="1">IF(AN$2=1,1,IF(Параметры!$B$62=1,POWER(1+OFFSET(AN33,0,-1),Параметры!AN$39/360),1) * IF(AN$2&gt;1,AM34, 1))</f>
        <v>1.4365611072206708</v>
      </c>
      <c r="AO34" s="416">
        <f ca="1">IF(AO$2=1,1,IF(Параметры!$B$62=1,POWER(1+OFFSET(AO33,0,-1),Параметры!AO$39/360),1) * IF(AO$2&gt;1,AN34, 1))</f>
        <v>1.4528575969805062</v>
      </c>
      <c r="AP34" s="416">
        <f ca="1">IF(AP$2=1,1,IF(Параметры!$B$62=1,POWER(1+OFFSET(AP33,0,-1),Параметры!AP$39/360),1) * IF(AP$2&gt;1,AO34, 1))</f>
        <v>1.4692899059567068</v>
      </c>
      <c r="AQ34" s="416">
        <f ca="1">IF(AQ$2=1,1,IF(Параметры!$B$62=1,POWER(1+OFFSET(AQ33,0,-1),Параметры!AQ$39/360),1) * IF(AQ$2&gt;1,AP34, 1))</f>
        <v>1.4859080698844529</v>
      </c>
      <c r="AR34" s="416">
        <f ca="1">IF(AR$2=1,1,IF(Параметры!$B$62=1,POWER(1+OFFSET(AR33,0,-1),Параметры!AR$39/360),1) * IF(AR$2&gt;1,AQ34, 1))</f>
        <v>1.5027141908458721</v>
      </c>
      <c r="AS34" s="128"/>
      <c r="AT34" s="117"/>
    </row>
    <row r="35" spans="1:46" outlineLevel="1" x14ac:dyDescent="0.2">
      <c r="A35" s="319" t="s">
        <v>491</v>
      </c>
      <c r="B35" s="24"/>
      <c r="C35" s="2" t="s">
        <v>133</v>
      </c>
      <c r="D35" s="310"/>
      <c r="E35" s="417">
        <f>IF(E$2=1,1,CHOOSE($E$2,E34,IF(Параметры!E$43=1,E34,D35),IF(Параметры!E$48=1,E34,D35),IF(Параметры!E$45&lt;&gt;Параметры!D$45,E34,D35),IF(Параметры!E$50&lt;&gt;Параметры!D$50,E34,D35)))</f>
        <v>1</v>
      </c>
      <c r="F35" s="417">
        <f ca="1">IF(F$2=1,1,CHOOSE($E$2,F34,IF(Параметры!F$43=1,F34,E35),IF(Параметры!F$48=1,F34,E35),IF(Параметры!F$45&lt;&gt;Параметры!E$45,F34,E35),IF(Параметры!F$50&lt;&gt;Параметры!E$50,F34,E35)))</f>
        <v>1</v>
      </c>
      <c r="G35" s="417">
        <f ca="1">IF(G$2=1,1,CHOOSE($E$2,G34,IF(Параметры!G$43=1,G34,F35),IF(Параметры!G$48=1,G34,F35),IF(Параметры!G$45&lt;&gt;Параметры!F$45,G34,F35),IF(Параметры!G$50&lt;&gt;Параметры!F$50,G34,F35)))</f>
        <v>1</v>
      </c>
      <c r="H35" s="417">
        <f ca="1">IF(H$2=1,1,CHOOSE($E$2,H34,IF(Параметры!H$43=1,H34,G35),IF(Параметры!H$48=1,H34,G35),IF(Параметры!H$45&lt;&gt;Параметры!G$45,H34,G35),IF(Параметры!H$50&lt;&gt;Параметры!G$50,H34,G35)))</f>
        <v>1</v>
      </c>
      <c r="I35" s="417">
        <f ca="1">IF(I$2=1,1,CHOOSE($E$2,I34,IF(Параметры!I$43=1,I34,H35),IF(Параметры!I$48=1,I34,H35),IF(Параметры!I$45&lt;&gt;Параметры!H$45,I34,H35),IF(Параметры!I$50&lt;&gt;Параметры!H$50,I34,H35)))</f>
        <v>1</v>
      </c>
      <c r="J35" s="417">
        <f ca="1">IF(J$2=1,1,CHOOSE($E$2,J34,IF(Параметры!J$43=1,J34,I35),IF(Параметры!J$48=1,J34,I35),IF(Параметры!J$45&lt;&gt;Параметры!I$45,J34,I35),IF(Параметры!J$50&lt;&gt;Параметры!I$50,J34,I35)))</f>
        <v>1.0125785303077766</v>
      </c>
      <c r="K35" s="417">
        <f ca="1">IF(K$2=1,1,CHOOSE($E$2,K34,IF(Параметры!K$43=1,K34,J35),IF(Параметры!K$48=1,K34,J35),IF(Параметры!K$45&lt;&gt;Параметры!J$45,K34,J35),IF(Параметры!K$50&lt;&gt;Параметры!J$50,K34,J35)))</f>
        <v>1.0253152800402567</v>
      </c>
      <c r="L35" s="417">
        <f ca="1">IF(L$2=1,1,CHOOSE($E$2,L34,IF(Параметры!L$43=1,L34,K35),IF(Параметры!L$48=1,L34,K35),IF(Параметры!L$45&lt;&gt;Параметры!K$45,L34,K35),IF(Параметры!L$50&lt;&gt;Параметры!K$50,L34,K35)))</f>
        <v>1.0382122393652695</v>
      </c>
      <c r="M35" s="417">
        <f ca="1">IF(M$2=1,1,CHOOSE($E$2,M34,IF(Параметры!M$43=1,M34,L35),IF(Параметры!M$48=1,M34,L35),IF(Параметры!M$45&lt;&gt;Параметры!L$45,M34,L35),IF(Параметры!M$50&lt;&gt;Параметры!L$50,M34,L35)))</f>
        <v>1.0512714234840301</v>
      </c>
      <c r="N35" s="417">
        <f ca="1">IF(N$2=1,1,CHOOSE($E$2,N34,IF(Параметры!N$43=1,N34,M35),IF(Параметры!N$48=1,N34,M35),IF(Параметры!N$45&lt;&gt;Параметры!M$45,N34,M35),IF(Параметры!N$50&lt;&gt;Параметры!M$50,N34,M35)))</f>
        <v>1.0642649340894372</v>
      </c>
      <c r="O35" s="417">
        <f ca="1">IF(O$2=1,1,CHOOSE($E$2,O34,IF(Параметры!O$43=1,O34,N35),IF(Параметры!O$48=1,O34,N35),IF(Параметры!O$45&lt;&gt;Параметры!N$45,O34,N35),IF(Параметры!O$50&lt;&gt;Параметры!N$50,O34,N35)))</f>
        <v>1.0774190419621925</v>
      </c>
      <c r="P35" s="417">
        <f ca="1">IF(P$2=1,1,CHOOSE($E$2,P34,IF(Параметры!P$43=1,P34,O35),IF(Параметры!P$48=1,P34,O35),IF(Параметры!P$45&lt;&gt;Параметры!O$45,P34,O35),IF(Параметры!P$50&lt;&gt;Параметры!O$50,P34,O35)))</f>
        <v>1.0907357320533275</v>
      </c>
      <c r="Q35" s="417">
        <f ca="1">IF(Q$2=1,1,CHOOSE($E$2,Q34,IF(Параметры!Q$43=1,Q34,P35),IF(Параметры!Q$48=1,Q34,P35),IF(Параметры!Q$45&lt;&gt;Параметры!P$45,Q34,P35),IF(Параметры!Q$50&lt;&gt;Параметры!P$50,Q34,P35)))</f>
        <v>1.1042170138474832</v>
      </c>
      <c r="R35" s="417">
        <f ca="1">IF(R$2=1,1,CHOOSE($E$2,R34,IF(Параметры!R$43=1,R34,Q35),IF(Параметры!R$48=1,R34,Q35),IF(Параметры!R$45&lt;&gt;Параметры!Q$45,R34,Q35),IF(Параметры!R$50&lt;&gt;Параметры!Q$50,R34,Q35)))</f>
        <v>1.117573183534714</v>
      </c>
      <c r="S35" s="417">
        <f ca="1">IF(S$2=1,1,CHOOSE($E$2,S34,IF(Параметры!S$43=1,S34,R35),IF(Параметры!S$48=1,S34,R35),IF(Параметры!S$45&lt;&gt;Параметры!R$45,S34,R35),IF(Параметры!S$50&lt;&gt;Параметры!R$50,S34,R35)))</f>
        <v>1.1310909041367352</v>
      </c>
      <c r="T35" s="417">
        <f ca="1">IF(T$2=1,1,CHOOSE($E$2,T34,IF(Параметры!T$43=1,T34,S35),IF(Параметры!T$48=1,T34,S35),IF(Параметры!T$45&lt;&gt;Параметры!S$45,T34,S35),IF(Параметры!T$50&lt;&gt;Параметры!S$50,T34,S35)))</f>
        <v>1.1447721297091389</v>
      </c>
      <c r="U35" s="417">
        <f ca="1">IF(U$2=1,1,CHOOSE($E$2,U34,IF(Параметры!U$43=1,U34,T35),IF(Параметры!U$48=1,U34,T35),IF(Параметры!U$45&lt;&gt;Параметры!T$45,U34,T35),IF(Параметры!U$50&lt;&gt;Параметры!T$50,U34,T35)))</f>
        <v>1.1586188379429967</v>
      </c>
      <c r="V35" s="417">
        <f ca="1">IF(V$2=1,1,CHOOSE($E$2,V34,IF(Параметры!V$43=1,V34,U35),IF(Параметры!V$48=1,V34,U35),IF(Параметры!V$45&lt;&gt;Параметры!U$45,V34,U35),IF(Параметры!V$50&lt;&gt;Параметры!U$50,V34,U35)))</f>
        <v>1.1720754602177208</v>
      </c>
      <c r="W35" s="417">
        <f ca="1">IF(W$2=1,1,CHOOSE($E$2,W34,IF(Параметры!W$43=1,W34,V35),IF(Параметры!W$48=1,W34,V35),IF(Параметры!W$45&lt;&gt;Параметры!V$45,W34,V35),IF(Параметры!W$50&lt;&gt;Параметры!V$50,W34,V35)))</f>
        <v>1.1856883726174754</v>
      </c>
      <c r="X35" s="417">
        <f ca="1">IF(X$2=1,1,CHOOSE($E$2,X34,IF(Параметры!X$43=1,X34,W35),IF(Параметры!X$48=1,X34,W35),IF(Параметры!X$45&lt;&gt;Параметры!W$45,X34,W35),IF(Параметры!X$50&lt;&gt;Параметры!W$50,X34,W35)))</f>
        <v>1.1994593903528445</v>
      </c>
      <c r="Y35" s="417">
        <f ca="1">IF(Y$2=1,1,CHOOSE($E$2,Y34,IF(Параметры!Y$43=1,Y34,X35),IF(Параметры!Y$48=1,Y34,X35),IF(Параметры!Y$45&lt;&gt;Параметры!X$45,Y34,X35),IF(Параметры!Y$50&lt;&gt;Параметры!X$50,Y34,X35)))</f>
        <v>1.2133903497169312</v>
      </c>
      <c r="Z35" s="417">
        <f ca="1">IF(Z$2=1,1,CHOOSE($E$2,Z34,IF(Параметры!Z$43=1,Z34,Y35),IF(Параметры!Z$48=1,Z34,Y35),IF(Параметры!Z$45&lt;&gt;Параметры!Y$45,Z34,Y35),IF(Параметры!Z$50&lt;&gt;Параметры!Y$50,Z34,Y35)))</f>
        <v>1.2270929733184746</v>
      </c>
      <c r="AA35" s="417">
        <f ca="1">IF(AA$2=1,1,CHOOSE($E$2,AA34,IF(Параметры!AA$43=1,AA34,Z35),IF(Параметры!AA$48=1,AA34,Z35),IF(Параметры!AA$45&lt;&gt;Параметры!Z$45,AA34,Z35),IF(Параметры!AA$50&lt;&gt;Параметры!Z$50,AA34,Z35)))</f>
        <v>1.240950338461855</v>
      </c>
      <c r="AB35" s="417">
        <f ca="1">IF(AB$2=1,1,CHOOSE($E$2,AB34,IF(Параметры!AB$43=1,AB34,AA35),IF(Параметры!AB$48=1,AB34,AA35),IF(Параметры!AB$45&lt;&gt;Параметры!AA$45,AB34,AA35),IF(Параметры!AB$50&lt;&gt;Параметры!AA$50,AB34,AA35)))</f>
        <v>1.254964192618613</v>
      </c>
      <c r="AC35" s="417">
        <f ca="1">IF(AC$2=1,1,CHOOSE($E$2,AC34,IF(Параметры!AC$43=1,AC34,AB35),IF(Параметры!AC$48=1,AC34,AB35),IF(Параметры!AC$45&lt;&gt;Параметры!AB$45,AC34,AB35),IF(Параметры!AC$50&lt;&gt;Параметры!AB$50,AC34,AB35)))</f>
        <v>1.269136302994206</v>
      </c>
      <c r="AD35" s="417">
        <f ca="1">IF(AD$2=1,1,CHOOSE($E$2,AD34,IF(Параметры!AD$43=1,AD34,AC35),IF(Параметры!AD$48=1,AD34,AC35),IF(Параметры!AD$45&lt;&gt;Параметры!AC$45,AD34,AC35),IF(Параметры!AD$50&lt;&gt;Параметры!AC$50,AD34,AC35)))</f>
        <v>1.2835119766901881</v>
      </c>
      <c r="AE35" s="417">
        <f ca="1">IF(AE$2=1,1,CHOOSE($E$2,AE34,IF(Параметры!AE$43=1,AE34,AD35),IF(Параметры!AE$48=1,AE34,AD35),IF(Параметры!AE$45&lt;&gt;Параметры!AD$45,AE34,AD35),IF(Параметры!AE$50&lt;&gt;Параметры!AD$50,AE34,AD35)))</f>
        <v>1.2980504855313992</v>
      </c>
      <c r="AF35" s="417">
        <f ca="1">IF(AF$2=1,1,CHOOSE($E$2,AF34,IF(Параметры!AF$43=1,AF34,AE35),IF(Параметры!AF$48=1,AF34,AE35),IF(Параметры!AF$45&lt;&gt;Параметры!AE$45,AF34,AE35),IF(Параметры!AF$50&lt;&gt;Параметры!AE$50,AF34,AE35)))</f>
        <v>1.3127536739729293</v>
      </c>
      <c r="AG35" s="417">
        <f ca="1">IF(AG$2=1,1,CHOOSE($E$2,AG34,IF(Параметры!AG$43=1,AG34,AF35),IF(Параметры!AG$48=1,AG34,AF35),IF(Параметры!AG$45&lt;&gt;Параметры!AF$45,AG34,AF35),IF(Параметры!AG$50&lt;&gt;Параметры!AF$50,AG34,AF35)))</f>
        <v>1.3276234073622537</v>
      </c>
      <c r="AH35" s="417">
        <f ca="1">IF(AH$2=1,1,CHOOSE($E$2,AH34,IF(Параметры!AH$43=1,AH34,AG35),IF(Параметры!AH$48=1,AH34,AG35),IF(Параметры!AH$45&lt;&gt;Параметры!AG$45,AH34,AG35),IF(Параметры!AH$50&lt;&gt;Параметры!AG$50,AH34,AG35)))</f>
        <v>1.3426505482618092</v>
      </c>
      <c r="AI35" s="417">
        <f ca="1">IF(AI$2=1,1,CHOOSE($E$2,AI34,IF(Параметры!AI$43=1,AI34,AH35),IF(Параметры!AI$48=1,AI34,AH35),IF(Параметры!AI$45&lt;&gt;Параметры!AH$45,AI34,AH35),IF(Параметры!AI$50&lt;&gt;Параметры!AH$50,AI34,AH35)))</f>
        <v>1.3578477787834389</v>
      </c>
      <c r="AJ35" s="417">
        <f ca="1">IF(AJ$2=1,1,CHOOSE($E$2,AJ34,IF(Параметры!AJ$43=1,AJ34,AI35),IF(Параметры!AJ$48=1,AJ34,AI35),IF(Параметры!AJ$45&lt;&gt;Параметры!AI$45,AJ34,AI35),IF(Параметры!AJ$50&lt;&gt;Параметры!AI$50,AJ34,AI35)))</f>
        <v>1.3732170241423072</v>
      </c>
      <c r="AK35" s="417">
        <f ca="1">IF(AK$2=1,1,CHOOSE($E$2,AK34,IF(Параметры!AK$43=1,AK34,AJ35),IF(Параметры!AK$48=1,AK34,AJ35),IF(Параметры!AK$45&lt;&gt;Параметры!AJ$45,AK34,AJ35),IF(Параметры!AK$50&lt;&gt;Параметры!AJ$50,AK34,AJ35)))</f>
        <v>1.3887602313447576</v>
      </c>
      <c r="AL35" s="417">
        <f ca="1">IF(AL$2=1,1,CHOOSE($E$2,AL34,IF(Параметры!AL$43=1,AL34,AK35),IF(Параметры!AL$48=1,AL34,AK35),IF(Параметры!AL$45&lt;&gt;Параметры!AK$45,AL34,AK35),IF(Параметры!AL$50&lt;&gt;Параметры!AK$50,AL34,AK35)))</f>
        <v>1.4045144632916067</v>
      </c>
      <c r="AM35" s="417">
        <f ca="1">IF(AM$2=1,1,CHOOSE($E$2,AM34,IF(Параметры!AM$43=1,AM34,AL35),IF(Параметры!AM$48=1,AM34,AL35),IF(Параметры!AM$45&lt;&gt;Параметры!AL$45,AM34,AL35),IF(Параметры!AM$50&lt;&gt;Параметры!AL$50,AM34,AL35)))</f>
        <v>1.4204474127871249</v>
      </c>
      <c r="AN35" s="417">
        <f ca="1">IF(AN$2=1,1,CHOOSE($E$2,AN34,IF(Параметры!AN$43=1,AN34,AM35),IF(Параметры!AN$48=1,AN34,AM35),IF(Параметры!AN$45&lt;&gt;Параметры!AM$45,AN34,AM35),IF(Параметры!AN$50&lt;&gt;Параметры!AM$50,AN34,AM35)))</f>
        <v>1.4365611072206708</v>
      </c>
      <c r="AO35" s="417">
        <f ca="1">IF(AO$2=1,1,CHOOSE($E$2,AO34,IF(Параметры!AO$43=1,AO34,AN35),IF(Параметры!AO$48=1,AO34,AN35),IF(Параметры!AO$45&lt;&gt;Параметры!AN$45,AO34,AN35),IF(Параметры!AO$50&lt;&gt;Параметры!AN$50,AO34,AN35)))</f>
        <v>1.4528575969805062</v>
      </c>
      <c r="AP35" s="417">
        <f ca="1">IF(AP$2=1,1,CHOOSE($E$2,AP34,IF(Параметры!AP$43=1,AP34,AO35),IF(Параметры!AP$48=1,AP34,AO35),IF(Параметры!AP$45&lt;&gt;Параметры!AO$45,AP34,AO35),IF(Параметры!AP$50&lt;&gt;Параметры!AO$50,AP34,AO35)))</f>
        <v>1.4692899059567068</v>
      </c>
      <c r="AQ35" s="417">
        <f ca="1">IF(AQ$2=1,1,CHOOSE($E$2,AQ34,IF(Параметры!AQ$43=1,AQ34,AP35),IF(Параметры!AQ$48=1,AQ34,AP35),IF(Параметры!AQ$45&lt;&gt;Параметры!AP$45,AQ34,AP35),IF(Параметры!AQ$50&lt;&gt;Параметры!AP$50,AQ34,AP35)))</f>
        <v>1.4859080698844529</v>
      </c>
      <c r="AR35" s="417">
        <f ca="1">IF(AR$2=1,1,CHOOSE($E$2,AR34,IF(Параметры!AR$43=1,AR34,AQ35),IF(Параметры!AR$48=1,AR34,AQ35),IF(Параметры!AR$45&lt;&gt;Параметры!AQ$45,AR34,AQ35),IF(Параметры!AR$50&lt;&gt;Параметры!AQ$50,AR34,AQ35)))</f>
        <v>1.5027141908458721</v>
      </c>
      <c r="AS35" s="120"/>
      <c r="AT35" s="116"/>
    </row>
    <row r="36" spans="1:46" x14ac:dyDescent="0.2">
      <c r="A36" s="248" t="s">
        <v>853</v>
      </c>
    </row>
    <row r="37" spans="1:46" x14ac:dyDescent="0.2">
      <c r="A37" s="247" t="s">
        <v>654</v>
      </c>
      <c r="C37" s="266" t="str">
        <f>Параметры!$C$126</f>
        <v>тыс. руб.</v>
      </c>
      <c r="D37" s="65"/>
      <c r="E37" s="82">
        <f>-SUM(Результаты_УК!E58:E62)-SUM(Деятельность_УК!E393,Деятельность_УК!E394,Деятельность_УК!E396,Деятельность_УК!E397)*1.2</f>
        <v>301153.75</v>
      </c>
      <c r="F37" s="82">
        <f ca="1">-SUM(Результаты_УК!F58:F62)-SUM(Деятельность_УК!F393,Деятельность_УК!F394,Деятельность_УК!F396,Деятельность_УК!F397)*1.2</f>
        <v>326793.75</v>
      </c>
      <c r="G37" s="82">
        <f ca="1">-SUM(Результаты_УК!G58:G62)-SUM(Деятельность_УК!G393,Деятельность_УК!G394,Деятельность_УК!G396,Деятельность_УК!G397)*1.2</f>
        <v>64100.000000000007</v>
      </c>
      <c r="H37" s="82">
        <f ca="1">-SUM(Результаты_УК!H58:H62)-SUM(Деятельность_УК!H393,Деятельность_УК!H394,Деятельность_УК!H396,Деятельность_УК!H397)*1.2</f>
        <v>71792</v>
      </c>
      <c r="I37" s="82">
        <f ca="1">-SUM(Результаты_УК!I58:I62)-SUM(Деятельность_УК!I393,Деятельность_УК!I394,Деятельность_УК!I396,Деятельность_УК!I397)*1.2</f>
        <v>90768</v>
      </c>
      <c r="J37" s="82">
        <f ca="1">-SUM(Результаты_УК!J58:J62)-SUM(Деятельность_УК!J393,Деятельность_УК!J394,Деятельность_УК!J396,Деятельность_УК!J397)*1.2</f>
        <v>191195.07809271439</v>
      </c>
      <c r="K37" s="82">
        <f ca="1">-SUM(Результаты_УК!K58:K62)-SUM(Деятельность_УК!K393,Деятельность_УК!K394,Деятельность_УК!K396,Деятельность_УК!K397)*1.2</f>
        <v>251017.68685945566</v>
      </c>
      <c r="L37" s="82">
        <f ca="1">-SUM(Результаты_УК!L58:L62)-SUM(Деятельность_УК!L393,Деятельность_УК!L394,Деятельность_УК!L396,Деятельность_УК!L397)*1.2</f>
        <v>129589.65171757294</v>
      </c>
      <c r="M37" s="82">
        <f ca="1">-SUM(Результаты_УК!M58:M62)-SUM(Деятельность_УК!M393,Деятельность_УК!M394,Деятельность_УК!M396,Деятельность_УК!M397)*1.2</f>
        <v>73588.999643882154</v>
      </c>
      <c r="N37" s="82">
        <f ca="1">-SUM(Результаты_УК!N58:N62)-SUM(Деятельность_УК!N393,Деятельность_УК!N394,Деятельность_УК!N396,Деятельность_УК!N397)*1.2</f>
        <v>111747.81807939091</v>
      </c>
      <c r="O37" s="82">
        <f ca="1">-SUM(Результаты_УК!O58:O62)-SUM(Деятельность_УК!O393,Деятельность_УК!O394,Деятельность_УК!O396,Деятельность_УК!O397)*1.2</f>
        <v>150838.66587470705</v>
      </c>
      <c r="P37" s="82">
        <f ca="1">-SUM(Результаты_УК!P58:P62)-SUM(Деятельность_УК!P393,Деятельность_УК!P394,Деятельность_УК!P396,Деятельность_УК!P397)*1.2</f>
        <v>38175.750621866493</v>
      </c>
      <c r="Q37" s="82">
        <f ca="1">-SUM(Результаты_УК!Q58:Q62)-SUM(Деятельность_УК!Q393,Деятельность_УК!Q394,Деятельность_УК!Q396,Деятельность_УК!Q397)*1.2</f>
        <v>0</v>
      </c>
      <c r="R37" s="82">
        <f ca="1">-SUM(Результаты_УК!R58:R62)-SUM(Деятельность_УК!R393,Деятельность_УК!R394,Деятельность_УК!R396,Деятельность_УК!R397)*1.2</f>
        <v>0</v>
      </c>
      <c r="S37" s="82">
        <f ca="1">-SUM(Результаты_УК!S58:S62)-SUM(Деятельность_УК!S393,Деятельность_УК!S394,Деятельность_УК!S396,Деятельность_УК!S397)*1.2</f>
        <v>0</v>
      </c>
      <c r="T37" s="82">
        <f ca="1">-SUM(Результаты_УК!T58:T62)-SUM(Деятельность_УК!T393,Деятельность_УК!T394,Деятельность_УК!T396,Деятельность_УК!T397)*1.2</f>
        <v>0</v>
      </c>
      <c r="U37" s="82">
        <f ca="1">-SUM(Результаты_УК!U58:U62)-SUM(Деятельность_УК!U393,Деятельность_УК!U394,Деятельность_УК!U396,Деятельность_УК!U397)*1.2</f>
        <v>0</v>
      </c>
      <c r="V37" s="82">
        <f ca="1">-SUM(Результаты_УК!V58:V62)-SUM(Деятельность_УК!V393,Деятельность_УК!V394,Деятельность_УК!V396,Деятельность_УК!V397)*1.2</f>
        <v>0</v>
      </c>
      <c r="W37" s="82">
        <f ca="1">-SUM(Результаты_УК!W58:W62)-SUM(Деятельность_УК!W393,Деятельность_УК!W394,Деятельность_УК!W396,Деятельность_УК!W397)*1.2</f>
        <v>0</v>
      </c>
      <c r="X37" s="82">
        <f ca="1">-SUM(Результаты_УК!X58:X62)-SUM(Деятельность_УК!X393,Деятельность_УК!X394,Деятельность_УК!X396,Деятельность_УК!X397)*1.2</f>
        <v>0</v>
      </c>
      <c r="Y37" s="82">
        <f ca="1">-SUM(Результаты_УК!Y58:Y62)-SUM(Деятельность_УК!Y393,Деятельность_УК!Y394,Деятельность_УК!Y396,Деятельность_УК!Y397)*1.2</f>
        <v>0</v>
      </c>
      <c r="Z37" s="82">
        <f ca="1">-SUM(Результаты_УК!Z58:Z62)-SUM(Деятельность_УК!Z393,Деятельность_УК!Z394,Деятельность_УК!Z396,Деятельность_УК!Z397)*1.2</f>
        <v>0</v>
      </c>
      <c r="AA37" s="82">
        <f ca="1">-SUM(Результаты_УК!AA58:AA62)-SUM(Деятельность_УК!AA393,Деятельность_УК!AA394,Деятельность_УК!AA396,Деятельность_УК!AA397)*1.2</f>
        <v>0</v>
      </c>
      <c r="AB37" s="82">
        <f ca="1">-SUM(Результаты_УК!AB58:AB62)-SUM(Деятельность_УК!AB393,Деятельность_УК!AB394,Деятельность_УК!AB396,Деятельность_УК!AB397)*1.2</f>
        <v>0</v>
      </c>
      <c r="AC37" s="82">
        <f ca="1">-SUM(Результаты_УК!AC58:AC62)-SUM(Деятельность_УК!AC393,Деятельность_УК!AC394,Деятельность_УК!AC396,Деятельность_УК!AC397)*1.2</f>
        <v>0</v>
      </c>
      <c r="AD37" s="82">
        <f ca="1">-SUM(Результаты_УК!AD58:AD62)-SUM(Деятельность_УК!AD393,Деятельность_УК!AD394,Деятельность_УК!AD396,Деятельность_УК!AD397)*1.2</f>
        <v>0</v>
      </c>
      <c r="AE37" s="82">
        <f ca="1">-SUM(Результаты_УК!AE58:AE62)-SUM(Деятельность_УК!AE393,Деятельность_УК!AE394,Деятельность_УК!AE396,Деятельность_УК!AE397)*1.2</f>
        <v>0</v>
      </c>
      <c r="AF37" s="82">
        <f ca="1">-SUM(Результаты_УК!AF58:AF62)-SUM(Деятельность_УК!AF393,Деятельность_УК!AF394,Деятельность_УК!AF396,Деятельность_УК!AF397)*1.2</f>
        <v>0</v>
      </c>
      <c r="AG37" s="82">
        <f ca="1">-SUM(Результаты_УК!AG58:AG62)-SUM(Деятельность_УК!AG393,Деятельность_УК!AG394,Деятельность_УК!AG396,Деятельность_УК!AG397)*1.2</f>
        <v>0</v>
      </c>
      <c r="AH37" s="82">
        <f ca="1">-SUM(Результаты_УК!AH58:AH62)-SUM(Деятельность_УК!AH393,Деятельность_УК!AH394,Деятельность_УК!AH396,Деятельность_УК!AH397)*1.2</f>
        <v>0</v>
      </c>
      <c r="AI37" s="82">
        <f ca="1">-SUM(Результаты_УК!AI58:AI62)-SUM(Деятельность_УК!AI393,Деятельность_УК!AI394,Деятельность_УК!AI396,Деятельность_УК!AI397)*1.2</f>
        <v>0</v>
      </c>
      <c r="AJ37" s="82">
        <f ca="1">-SUM(Результаты_УК!AJ58:AJ62)-SUM(Деятельность_УК!AJ393,Деятельность_УК!AJ394,Деятельность_УК!AJ396,Деятельность_УК!AJ397)*1.2</f>
        <v>0</v>
      </c>
      <c r="AK37" s="82">
        <f ca="1">-SUM(Результаты_УК!AK58:AK62)-SUM(Деятельность_УК!AK393,Деятельность_УК!AK394,Деятельность_УК!AK396,Деятельность_УК!AK397)*1.2</f>
        <v>0</v>
      </c>
      <c r="AL37" s="82">
        <f ca="1">-SUM(Результаты_УК!AL58:AL62)-SUM(Деятельность_УК!AL393,Деятельность_УК!AL394,Деятельность_УК!AL396,Деятельность_УК!AL397)*1.2</f>
        <v>0</v>
      </c>
      <c r="AM37" s="82">
        <f ca="1">-SUM(Результаты_УК!AM58:AM62)-SUM(Деятельность_УК!AM393,Деятельность_УК!AM394,Деятельность_УК!AM396,Деятельность_УК!AM397)*1.2</f>
        <v>0</v>
      </c>
      <c r="AN37" s="82">
        <f ca="1">-SUM(Результаты_УК!AN58:AN62)-SUM(Деятельность_УК!AN393,Деятельность_УК!AN394,Деятельность_УК!AN396,Деятельность_УК!AN397)*1.2</f>
        <v>0</v>
      </c>
      <c r="AO37" s="82">
        <f ca="1">-SUM(Результаты_УК!AO58:AO62)-SUM(Деятельность_УК!AO393,Деятельность_УК!AO394,Деятельность_УК!AO396,Деятельность_УК!AO397)*1.2</f>
        <v>0</v>
      </c>
      <c r="AP37" s="82">
        <f ca="1">-SUM(Результаты_УК!AP58:AP62)-SUM(Деятельность_УК!AP393,Деятельность_УК!AP394,Деятельность_УК!AP396,Деятельность_УК!AP397)*1.2</f>
        <v>0</v>
      </c>
      <c r="AQ37" s="82">
        <f ca="1">-SUM(Результаты_УК!AQ58:AQ62)-SUM(Деятельность_УК!AQ393,Деятельность_УК!AQ394,Деятельность_УК!AQ396,Деятельность_УК!AQ397)*1.2</f>
        <v>0</v>
      </c>
      <c r="AR37" s="82">
        <f ca="1">-SUM(Результаты_УК!AR58:AR62)-SUM(Деятельность_УК!AR393,Деятельность_УК!AR394,Деятельность_УК!AR396,Деятельность_УК!AR397)*1.2</f>
        <v>0</v>
      </c>
      <c r="AT37" s="30">
        <f ca="1">SUM(E37:AS37)</f>
        <v>1800761.1508895899</v>
      </c>
    </row>
    <row r="38" spans="1:46" x14ac:dyDescent="0.2">
      <c r="A38" s="247" t="s">
        <v>655</v>
      </c>
      <c r="C38" s="266" t="str">
        <f>Параметры!$C$126</f>
        <v>тыс. руб.</v>
      </c>
      <c r="D38" s="65"/>
      <c r="E38" s="90">
        <f>E37</f>
        <v>301153.75</v>
      </c>
      <c r="F38" s="82">
        <f ca="1">E38+F37</f>
        <v>627947.5</v>
      </c>
      <c r="G38" s="82">
        <f t="shared" ref="G38:AR38" ca="1" si="41">F38+G37</f>
        <v>692047.5</v>
      </c>
      <c r="H38" s="82">
        <f t="shared" ca="1" si="41"/>
        <v>763839.5</v>
      </c>
      <c r="I38" s="82">
        <f t="shared" ca="1" si="41"/>
        <v>854607.5</v>
      </c>
      <c r="J38" s="82">
        <f t="shared" ca="1" si="41"/>
        <v>1045802.5780927144</v>
      </c>
      <c r="K38" s="82">
        <f t="shared" ca="1" si="41"/>
        <v>1296820.2649521702</v>
      </c>
      <c r="L38" s="82">
        <f t="shared" ca="1" si="41"/>
        <v>1426409.9166697431</v>
      </c>
      <c r="M38" s="82">
        <f t="shared" ca="1" si="41"/>
        <v>1499998.9163136254</v>
      </c>
      <c r="N38" s="82">
        <f t="shared" ca="1" si="41"/>
        <v>1611746.7343930164</v>
      </c>
      <c r="O38" s="82">
        <f t="shared" ca="1" si="41"/>
        <v>1762585.4002677235</v>
      </c>
      <c r="P38" s="82">
        <f t="shared" ca="1" si="41"/>
        <v>1800761.1508895899</v>
      </c>
      <c r="Q38" s="82">
        <f t="shared" ca="1" si="41"/>
        <v>1800761.1508895899</v>
      </c>
      <c r="R38" s="82">
        <f t="shared" ca="1" si="41"/>
        <v>1800761.1508895899</v>
      </c>
      <c r="S38" s="82">
        <f t="shared" ca="1" si="41"/>
        <v>1800761.1508895899</v>
      </c>
      <c r="T38" s="82">
        <f t="shared" ca="1" si="41"/>
        <v>1800761.1508895899</v>
      </c>
      <c r="U38" s="82">
        <f t="shared" ca="1" si="41"/>
        <v>1800761.1508895899</v>
      </c>
      <c r="V38" s="82">
        <f t="shared" ca="1" si="41"/>
        <v>1800761.1508895899</v>
      </c>
      <c r="W38" s="82">
        <f t="shared" ca="1" si="41"/>
        <v>1800761.1508895899</v>
      </c>
      <c r="X38" s="82">
        <f t="shared" ca="1" si="41"/>
        <v>1800761.1508895899</v>
      </c>
      <c r="Y38" s="82">
        <f t="shared" ca="1" si="41"/>
        <v>1800761.1508895899</v>
      </c>
      <c r="Z38" s="82">
        <f t="shared" ca="1" si="41"/>
        <v>1800761.1508895899</v>
      </c>
      <c r="AA38" s="82">
        <f t="shared" ca="1" si="41"/>
        <v>1800761.1508895899</v>
      </c>
      <c r="AB38" s="82">
        <f t="shared" ca="1" si="41"/>
        <v>1800761.1508895899</v>
      </c>
      <c r="AC38" s="82">
        <f t="shared" ca="1" si="41"/>
        <v>1800761.1508895899</v>
      </c>
      <c r="AD38" s="82">
        <f t="shared" ca="1" si="41"/>
        <v>1800761.1508895899</v>
      </c>
      <c r="AE38" s="82">
        <f t="shared" ca="1" si="41"/>
        <v>1800761.1508895899</v>
      </c>
      <c r="AF38" s="82">
        <f t="shared" ca="1" si="41"/>
        <v>1800761.1508895899</v>
      </c>
      <c r="AG38" s="82">
        <f t="shared" ca="1" si="41"/>
        <v>1800761.1508895899</v>
      </c>
      <c r="AH38" s="82">
        <f t="shared" ca="1" si="41"/>
        <v>1800761.1508895899</v>
      </c>
      <c r="AI38" s="82">
        <f t="shared" ca="1" si="41"/>
        <v>1800761.1508895899</v>
      </c>
      <c r="AJ38" s="82">
        <f t="shared" ca="1" si="41"/>
        <v>1800761.1508895899</v>
      </c>
      <c r="AK38" s="82">
        <f t="shared" ca="1" si="41"/>
        <v>1800761.1508895899</v>
      </c>
      <c r="AL38" s="82">
        <f t="shared" ca="1" si="41"/>
        <v>1800761.1508895899</v>
      </c>
      <c r="AM38" s="82">
        <f t="shared" ca="1" si="41"/>
        <v>1800761.1508895899</v>
      </c>
      <c r="AN38" s="82">
        <f t="shared" ca="1" si="41"/>
        <v>1800761.1508895899</v>
      </c>
      <c r="AO38" s="82">
        <f t="shared" ca="1" si="41"/>
        <v>1800761.1508895899</v>
      </c>
      <c r="AP38" s="82">
        <f t="shared" ca="1" si="41"/>
        <v>1800761.1508895899</v>
      </c>
      <c r="AQ38" s="82">
        <f t="shared" ca="1" si="41"/>
        <v>1800761.1508895899</v>
      </c>
      <c r="AR38" s="82">
        <f t="shared" ca="1" si="41"/>
        <v>1800761.1508895899</v>
      </c>
    </row>
    <row r="39" spans="1:46" ht="22.5" x14ac:dyDescent="0.2">
      <c r="A39" s="400" t="s">
        <v>854</v>
      </c>
    </row>
    <row r="41" spans="1:46" x14ac:dyDescent="0.2">
      <c r="A41" s="50" t="s">
        <v>656</v>
      </c>
      <c r="C41" s="266" t="str">
        <f>Параметры!$C$126</f>
        <v>тыс. руб.</v>
      </c>
      <c r="D41" s="65"/>
      <c r="E41" s="82">
        <f t="shared" ref="E41:AR41" si="42">E25+E37+E31</f>
        <v>301153.75</v>
      </c>
      <c r="F41" s="82">
        <f t="shared" ca="1" si="42"/>
        <v>326793.75</v>
      </c>
      <c r="G41" s="82">
        <f t="shared" ca="1" si="42"/>
        <v>1834557.5577066271</v>
      </c>
      <c r="H41" s="82">
        <f t="shared" ca="1" si="42"/>
        <v>71792</v>
      </c>
      <c r="I41" s="82">
        <f t="shared" ca="1" si="42"/>
        <v>90768</v>
      </c>
      <c r="J41" s="82">
        <f t="shared" ca="1" si="42"/>
        <v>191195.07809271439</v>
      </c>
      <c r="K41" s="82">
        <f t="shared" ca="1" si="42"/>
        <v>251017.68685945566</v>
      </c>
      <c r="L41" s="82">
        <f t="shared" ca="1" si="42"/>
        <v>129589.65171757294</v>
      </c>
      <c r="M41" s="82">
        <f t="shared" ca="1" si="42"/>
        <v>992512.97819879442</v>
      </c>
      <c r="N41" s="82">
        <f t="shared" ca="1" si="42"/>
        <v>111747.81807939091</v>
      </c>
      <c r="O41" s="82">
        <f t="shared" ca="1" si="42"/>
        <v>150838.66587470705</v>
      </c>
      <c r="P41" s="82">
        <f t="shared" ca="1" si="42"/>
        <v>38175.750621866493</v>
      </c>
      <c r="Q41" s="82">
        <f t="shared" ca="1" si="42"/>
        <v>479311.000629218</v>
      </c>
      <c r="R41" s="82">
        <f t="shared" ca="1" si="42"/>
        <v>0</v>
      </c>
      <c r="S41" s="82">
        <f t="shared" ca="1" si="42"/>
        <v>0</v>
      </c>
      <c r="T41" s="82">
        <f t="shared" ca="1" si="42"/>
        <v>0</v>
      </c>
      <c r="U41" s="82">
        <f t="shared" ca="1" si="42"/>
        <v>7657760.1236832738</v>
      </c>
      <c r="V41" s="82">
        <f t="shared" ca="1" si="42"/>
        <v>0</v>
      </c>
      <c r="W41" s="82">
        <f t="shared" ca="1" si="42"/>
        <v>0</v>
      </c>
      <c r="X41" s="82">
        <f t="shared" ca="1" si="42"/>
        <v>0</v>
      </c>
      <c r="Y41" s="82">
        <f t="shared" ca="1" si="42"/>
        <v>0</v>
      </c>
      <c r="Z41" s="82">
        <f t="shared" ca="1" si="42"/>
        <v>0</v>
      </c>
      <c r="AA41" s="82">
        <f t="shared" ca="1" si="42"/>
        <v>0</v>
      </c>
      <c r="AB41" s="82">
        <f t="shared" ca="1" si="42"/>
        <v>0</v>
      </c>
      <c r="AC41" s="82">
        <f t="shared" ca="1" si="42"/>
        <v>0</v>
      </c>
      <c r="AD41" s="82">
        <f t="shared" ca="1" si="42"/>
        <v>0</v>
      </c>
      <c r="AE41" s="82">
        <f t="shared" ca="1" si="42"/>
        <v>0</v>
      </c>
      <c r="AF41" s="82">
        <f t="shared" ca="1" si="42"/>
        <v>0</v>
      </c>
      <c r="AG41" s="82">
        <f t="shared" ca="1" si="42"/>
        <v>0</v>
      </c>
      <c r="AH41" s="82">
        <f t="shared" ca="1" si="42"/>
        <v>0</v>
      </c>
      <c r="AI41" s="82">
        <f t="shared" ca="1" si="42"/>
        <v>0</v>
      </c>
      <c r="AJ41" s="82">
        <f t="shared" ca="1" si="42"/>
        <v>0</v>
      </c>
      <c r="AK41" s="82">
        <f t="shared" ca="1" si="42"/>
        <v>0</v>
      </c>
      <c r="AL41" s="82">
        <f t="shared" ca="1" si="42"/>
        <v>491315.59464514832</v>
      </c>
      <c r="AM41" s="82">
        <f t="shared" ca="1" si="42"/>
        <v>0</v>
      </c>
      <c r="AN41" s="82">
        <f t="shared" ca="1" si="42"/>
        <v>0</v>
      </c>
      <c r="AO41" s="82">
        <f t="shared" ca="1" si="42"/>
        <v>0</v>
      </c>
      <c r="AP41" s="82">
        <f t="shared" ca="1" si="42"/>
        <v>7652041.1489606574</v>
      </c>
      <c r="AQ41" s="82">
        <f t="shared" ca="1" si="42"/>
        <v>0</v>
      </c>
      <c r="AR41" s="82">
        <f t="shared" ca="1" si="42"/>
        <v>0</v>
      </c>
      <c r="AT41" s="30">
        <f ca="1">SUM(E41:AS41)</f>
        <v>20770570.555069424</v>
      </c>
    </row>
    <row r="42" spans="1:46" x14ac:dyDescent="0.2">
      <c r="A42" s="50" t="s">
        <v>657</v>
      </c>
      <c r="C42" s="266" t="str">
        <f>Параметры!$C$126</f>
        <v>тыс. руб.</v>
      </c>
      <c r="D42" s="65"/>
      <c r="E42" s="82">
        <f t="shared" ref="E42:AR42" si="43">E26+E38</f>
        <v>301153.75</v>
      </c>
      <c r="F42" s="82">
        <f t="shared" ca="1" si="43"/>
        <v>627947.5</v>
      </c>
      <c r="G42" s="82">
        <f t="shared" ca="1" si="43"/>
        <v>2462505.0577066271</v>
      </c>
      <c r="H42" s="82">
        <f t="shared" ca="1" si="43"/>
        <v>2534297.0577066271</v>
      </c>
      <c r="I42" s="82">
        <f t="shared" ca="1" si="43"/>
        <v>2625065.0577066271</v>
      </c>
      <c r="J42" s="82">
        <f t="shared" ca="1" si="43"/>
        <v>2816260.1357993414</v>
      </c>
      <c r="K42" s="82">
        <f t="shared" ca="1" si="43"/>
        <v>3067277.8226587973</v>
      </c>
      <c r="L42" s="82">
        <f t="shared" ca="1" si="43"/>
        <v>3196867.4743763702</v>
      </c>
      <c r="M42" s="82">
        <f t="shared" ca="1" si="43"/>
        <v>4189380.4525751648</v>
      </c>
      <c r="N42" s="82">
        <f t="shared" ca="1" si="43"/>
        <v>4301128.2706545554</v>
      </c>
      <c r="O42" s="82">
        <f t="shared" ca="1" si="43"/>
        <v>4451966.9365292629</v>
      </c>
      <c r="P42" s="82">
        <f t="shared" ca="1" si="43"/>
        <v>4490142.6871511294</v>
      </c>
      <c r="Q42" s="82">
        <f t="shared" ca="1" si="43"/>
        <v>4969453.6877803467</v>
      </c>
      <c r="R42" s="82">
        <f t="shared" ca="1" si="43"/>
        <v>4969453.6877803467</v>
      </c>
      <c r="S42" s="82">
        <f t="shared" ca="1" si="43"/>
        <v>4969453.6877803467</v>
      </c>
      <c r="T42" s="82">
        <f t="shared" ca="1" si="43"/>
        <v>4969453.6877803467</v>
      </c>
      <c r="U42" s="82">
        <f t="shared" ca="1" si="43"/>
        <v>12627213.811463621</v>
      </c>
      <c r="V42" s="82">
        <f t="shared" ca="1" si="43"/>
        <v>12627213.811463621</v>
      </c>
      <c r="W42" s="82">
        <f t="shared" ca="1" si="43"/>
        <v>12627213.811463621</v>
      </c>
      <c r="X42" s="82">
        <f t="shared" ca="1" si="43"/>
        <v>12627213.811463621</v>
      </c>
      <c r="Y42" s="82">
        <f t="shared" ca="1" si="43"/>
        <v>12627213.811463621</v>
      </c>
      <c r="Z42" s="82">
        <f t="shared" ca="1" si="43"/>
        <v>12627213.811463621</v>
      </c>
      <c r="AA42" s="82">
        <f t="shared" ca="1" si="43"/>
        <v>12627213.811463621</v>
      </c>
      <c r="AB42" s="82">
        <f t="shared" ca="1" si="43"/>
        <v>12627213.811463621</v>
      </c>
      <c r="AC42" s="82">
        <f t="shared" ca="1" si="43"/>
        <v>12627213.811463621</v>
      </c>
      <c r="AD42" s="82">
        <f t="shared" ca="1" si="43"/>
        <v>12627213.811463621</v>
      </c>
      <c r="AE42" s="82">
        <f t="shared" ca="1" si="43"/>
        <v>12627213.811463621</v>
      </c>
      <c r="AF42" s="82">
        <f t="shared" ca="1" si="43"/>
        <v>12627213.811463621</v>
      </c>
      <c r="AG42" s="82">
        <f t="shared" ca="1" si="43"/>
        <v>12627213.811463621</v>
      </c>
      <c r="AH42" s="82">
        <f t="shared" ca="1" si="43"/>
        <v>12627213.811463621</v>
      </c>
      <c r="AI42" s="82">
        <f t="shared" ca="1" si="43"/>
        <v>12627213.811463621</v>
      </c>
      <c r="AJ42" s="82">
        <f t="shared" ca="1" si="43"/>
        <v>12627213.811463621</v>
      </c>
      <c r="AK42" s="82">
        <f t="shared" ca="1" si="43"/>
        <v>12627213.811463621</v>
      </c>
      <c r="AL42" s="82">
        <f t="shared" ca="1" si="43"/>
        <v>12627213.811463621</v>
      </c>
      <c r="AM42" s="82">
        <f t="shared" ca="1" si="43"/>
        <v>12627213.811463621</v>
      </c>
      <c r="AN42" s="82">
        <f t="shared" ca="1" si="43"/>
        <v>12627213.811463621</v>
      </c>
      <c r="AO42" s="82">
        <f t="shared" ca="1" si="43"/>
        <v>12627213.811463621</v>
      </c>
      <c r="AP42" s="82">
        <f t="shared" ca="1" si="43"/>
        <v>12627213.811463621</v>
      </c>
      <c r="AQ42" s="82">
        <f t="shared" ca="1" si="43"/>
        <v>12627213.811463621</v>
      </c>
      <c r="AR42" s="82">
        <f t="shared" ca="1" si="43"/>
        <v>12627213.811463621</v>
      </c>
    </row>
    <row r="43" spans="1:46" ht="22.5" x14ac:dyDescent="0.2">
      <c r="A43" s="230" t="s">
        <v>659</v>
      </c>
      <c r="C43" s="266" t="str">
        <f>Параметры!$C$126</f>
        <v>тыс. руб.</v>
      </c>
      <c r="D43" s="65"/>
      <c r="E43" s="82">
        <f>E42/ИД!$C$30</f>
        <v>11092.219152854512</v>
      </c>
      <c r="F43" s="82">
        <f ca="1">F42/ИД!$C$30</f>
        <v>23128.821362799266</v>
      </c>
      <c r="G43" s="82">
        <f ca="1">G42/ИД!$C$30</f>
        <v>90700.002125474304</v>
      </c>
      <c r="H43" s="82">
        <f ca="1">H42/ИД!$C$30</f>
        <v>93344.274685326964</v>
      </c>
      <c r="I43" s="82">
        <f ca="1">I42/ИД!$C$30</f>
        <v>96687.479105216466</v>
      </c>
      <c r="J43" s="82">
        <f ca="1">J42/ИД!$C$30</f>
        <v>103729.6550938984</v>
      </c>
      <c r="K43" s="82">
        <f ca="1">K42/ИД!$C$30</f>
        <v>112975.2420868802</v>
      </c>
      <c r="L43" s="82">
        <f ca="1">L42/ИД!$C$30</f>
        <v>117748.34159765637</v>
      </c>
      <c r="M43" s="82">
        <f ca="1">M42/ИД!$C$30</f>
        <v>154304.98904512578</v>
      </c>
      <c r="N43" s="82">
        <f ca="1">N42/ИД!$C$30</f>
        <v>158420.93077917333</v>
      </c>
      <c r="O43" s="82">
        <f ca="1">O42/ИД!$C$30</f>
        <v>163976.68274509258</v>
      </c>
      <c r="P43" s="82">
        <f ca="1">P42/ИД!$C$30</f>
        <v>165382.78774037311</v>
      </c>
      <c r="Q43" s="82">
        <f ca="1">Q42/ИД!$C$30</f>
        <v>183036.96824237006</v>
      </c>
      <c r="R43" s="82">
        <f ca="1">R42/ИД!$C$30</f>
        <v>183036.96824237006</v>
      </c>
      <c r="S43" s="82">
        <f ca="1">S42/ИД!$C$30</f>
        <v>183036.96824237006</v>
      </c>
      <c r="T43" s="82">
        <f ca="1">T42/ИД!$C$30</f>
        <v>183036.96824237006</v>
      </c>
      <c r="U43" s="82">
        <f ca="1">U42/ИД!$C$30</f>
        <v>465090.74812020705</v>
      </c>
      <c r="V43" s="82">
        <f ca="1">V42/ИД!$C$30</f>
        <v>465090.74812020705</v>
      </c>
      <c r="W43" s="82">
        <f ca="1">W42/ИД!$C$30</f>
        <v>465090.74812020705</v>
      </c>
      <c r="X43" s="82">
        <f ca="1">X42/ИД!$C$30</f>
        <v>465090.74812020705</v>
      </c>
      <c r="Y43" s="82">
        <f ca="1">Y42/ИД!$C$30</f>
        <v>465090.74812020705</v>
      </c>
      <c r="Z43" s="82">
        <f ca="1">Z42/ИД!$C$30</f>
        <v>465090.74812020705</v>
      </c>
      <c r="AA43" s="82">
        <f ca="1">AA42/ИД!$C$30</f>
        <v>465090.74812020705</v>
      </c>
      <c r="AB43" s="82">
        <f ca="1">AB42/ИД!$C$30</f>
        <v>465090.74812020705</v>
      </c>
      <c r="AC43" s="82">
        <f ca="1">AC42/ИД!$C$30</f>
        <v>465090.74812020705</v>
      </c>
      <c r="AD43" s="82">
        <f ca="1">AD42/ИД!$C$30</f>
        <v>465090.74812020705</v>
      </c>
      <c r="AE43" s="82">
        <f ca="1">AE42/ИД!$C$30</f>
        <v>465090.74812020705</v>
      </c>
      <c r="AF43" s="82">
        <f ca="1">AF42/ИД!$C$30</f>
        <v>465090.74812020705</v>
      </c>
      <c r="AG43" s="82">
        <f ca="1">AG42/ИД!$C$30</f>
        <v>465090.74812020705</v>
      </c>
      <c r="AH43" s="82">
        <f ca="1">AH42/ИД!$C$30</f>
        <v>465090.74812020705</v>
      </c>
      <c r="AI43" s="82">
        <f ca="1">AI42/ИД!$C$30</f>
        <v>465090.74812020705</v>
      </c>
      <c r="AJ43" s="82">
        <f ca="1">AJ42/ИД!$C$30</f>
        <v>465090.74812020705</v>
      </c>
      <c r="AK43" s="82">
        <f ca="1">AK42/ИД!$C$30</f>
        <v>465090.74812020705</v>
      </c>
      <c r="AL43" s="82">
        <f ca="1">AL42/ИД!$C$30</f>
        <v>465090.74812020705</v>
      </c>
      <c r="AM43" s="82">
        <f ca="1">AM42/ИД!$C$30</f>
        <v>465090.74812020705</v>
      </c>
      <c r="AN43" s="82">
        <f ca="1">AN42/ИД!$C$30</f>
        <v>465090.74812020705</v>
      </c>
      <c r="AO43" s="82">
        <f ca="1">AO42/ИД!$C$30</f>
        <v>465090.74812020705</v>
      </c>
      <c r="AP43" s="82">
        <f ca="1">AP42/ИД!$C$30</f>
        <v>465090.74812020705</v>
      </c>
      <c r="AQ43" s="82">
        <f ca="1">AQ42/ИД!$C$30</f>
        <v>465090.74812020705</v>
      </c>
      <c r="AR43" s="82">
        <f ca="1">AR42/ИД!$C$30</f>
        <v>465090.74812020705</v>
      </c>
    </row>
    <row r="44" spans="1:46" ht="22.5" x14ac:dyDescent="0.2">
      <c r="A44" s="230" t="s">
        <v>658</v>
      </c>
      <c r="C44" s="266" t="str">
        <f>Параметры!$C$126</f>
        <v>тыс. руб.</v>
      </c>
      <c r="D44" s="65"/>
      <c r="E44" s="82">
        <f t="shared" ref="E44:AR44" ca="1" si="44">IFERROR(E42/E153,0)</f>
        <v>0</v>
      </c>
      <c r="F44" s="82">
        <f t="shared" ca="1" si="44"/>
        <v>0</v>
      </c>
      <c r="G44" s="82">
        <f t="shared" ca="1" si="44"/>
        <v>0</v>
      </c>
      <c r="H44" s="82">
        <f t="shared" ca="1" si="44"/>
        <v>9249.2593346957201</v>
      </c>
      <c r="I44" s="82">
        <f t="shared" ca="1" si="44"/>
        <v>9580.5294076884202</v>
      </c>
      <c r="J44" s="82">
        <f t="shared" ca="1" si="44"/>
        <v>10278.321663501245</v>
      </c>
      <c r="K44" s="82">
        <f t="shared" ca="1" si="44"/>
        <v>11194.444608243786</v>
      </c>
      <c r="L44" s="82">
        <f t="shared" ca="1" si="44"/>
        <v>11667.399541519599</v>
      </c>
      <c r="M44" s="82">
        <f t="shared" ca="1" si="44"/>
        <v>15289.709680931259</v>
      </c>
      <c r="N44" s="82">
        <f t="shared" ca="1" si="44"/>
        <v>10490.556757694038</v>
      </c>
      <c r="O44" s="82">
        <f t="shared" ca="1" si="44"/>
        <v>10858.455942754299</v>
      </c>
      <c r="P44" s="82">
        <f t="shared" ca="1" si="44"/>
        <v>10951.567529636901</v>
      </c>
      <c r="Q44" s="82">
        <f t="shared" ca="1" si="44"/>
        <v>12120.618750683772</v>
      </c>
      <c r="R44" s="82">
        <f t="shared" ca="1" si="44"/>
        <v>10396.346627155537</v>
      </c>
      <c r="S44" s="82">
        <f t="shared" ca="1" si="44"/>
        <v>10396.346627155537</v>
      </c>
      <c r="T44" s="82">
        <f t="shared" ca="1" si="44"/>
        <v>10396.346627155537</v>
      </c>
      <c r="U44" s="82">
        <f t="shared" ca="1" si="44"/>
        <v>26416.765295948997</v>
      </c>
      <c r="V44" s="82">
        <f t="shared" ca="1" si="44"/>
        <v>8301.9157208833803</v>
      </c>
      <c r="W44" s="82">
        <f t="shared" ca="1" si="44"/>
        <v>8301.9157208833803</v>
      </c>
      <c r="X44" s="82">
        <f t="shared" ca="1" si="44"/>
        <v>8301.9157208833803</v>
      </c>
      <c r="Y44" s="82">
        <f t="shared" ca="1" si="44"/>
        <v>8301.9157208833803</v>
      </c>
      <c r="Z44" s="82">
        <f t="shared" ca="1" si="44"/>
        <v>8301.9157208833803</v>
      </c>
      <c r="AA44" s="82">
        <f t="shared" ca="1" si="44"/>
        <v>8301.9157208833803</v>
      </c>
      <c r="AB44" s="82">
        <f t="shared" ca="1" si="44"/>
        <v>8301.9157208833803</v>
      </c>
      <c r="AC44" s="82">
        <f t="shared" ca="1" si="44"/>
        <v>8301.9157208833803</v>
      </c>
      <c r="AD44" s="82">
        <f t="shared" ca="1" si="44"/>
        <v>8301.9157208833803</v>
      </c>
      <c r="AE44" s="82">
        <f t="shared" ca="1" si="44"/>
        <v>8301.9157208833803</v>
      </c>
      <c r="AF44" s="82">
        <f t="shared" ca="1" si="44"/>
        <v>8301.9157208833803</v>
      </c>
      <c r="AG44" s="82">
        <f t="shared" ca="1" si="44"/>
        <v>8301.9157208833803</v>
      </c>
      <c r="AH44" s="82">
        <f t="shared" ca="1" si="44"/>
        <v>8301.9157208833803</v>
      </c>
      <c r="AI44" s="82">
        <f t="shared" ca="1" si="44"/>
        <v>8301.9157208833803</v>
      </c>
      <c r="AJ44" s="82">
        <f t="shared" ca="1" si="44"/>
        <v>8301.9157208833803</v>
      </c>
      <c r="AK44" s="82">
        <f t="shared" ca="1" si="44"/>
        <v>8301.9157208833803</v>
      </c>
      <c r="AL44" s="82">
        <f t="shared" ca="1" si="44"/>
        <v>8301.9157208833803</v>
      </c>
      <c r="AM44" s="82">
        <f t="shared" ca="1" si="44"/>
        <v>8301.9157208833803</v>
      </c>
      <c r="AN44" s="82">
        <f t="shared" ca="1" si="44"/>
        <v>8301.9157208833803</v>
      </c>
      <c r="AO44" s="82">
        <f t="shared" ca="1" si="44"/>
        <v>8301.9157208833803</v>
      </c>
      <c r="AP44" s="82">
        <f t="shared" ca="1" si="44"/>
        <v>8301.9157208833803</v>
      </c>
      <c r="AQ44" s="82">
        <f t="shared" ca="1" si="44"/>
        <v>8301.9157208833803</v>
      </c>
      <c r="AR44" s="82">
        <f t="shared" ca="1" si="44"/>
        <v>8301.9157208833803</v>
      </c>
    </row>
    <row r="46" spans="1:46" x14ac:dyDescent="0.2">
      <c r="A46" s="50" t="s">
        <v>660</v>
      </c>
    </row>
    <row r="47" spans="1:46" x14ac:dyDescent="0.2">
      <c r="A47" s="66" t="s">
        <v>723</v>
      </c>
      <c r="C47" s="266" t="s">
        <v>368</v>
      </c>
      <c r="D47" s="65"/>
      <c r="E47" s="82">
        <f ca="1">E153</f>
        <v>0</v>
      </c>
      <c r="F47" s="82">
        <f t="shared" ref="F47:AR47" ca="1" si="45">F153</f>
        <v>0</v>
      </c>
      <c r="G47" s="82">
        <f t="shared" ca="1" si="45"/>
        <v>0</v>
      </c>
      <c r="H47" s="82">
        <f t="shared" ca="1" si="45"/>
        <v>274</v>
      </c>
      <c r="I47" s="82">
        <f t="shared" ca="1" si="45"/>
        <v>274</v>
      </c>
      <c r="J47" s="82">
        <f t="shared" ca="1" si="45"/>
        <v>274</v>
      </c>
      <c r="K47" s="82">
        <f t="shared" ca="1" si="45"/>
        <v>274</v>
      </c>
      <c r="L47" s="82">
        <f t="shared" ca="1" si="45"/>
        <v>274</v>
      </c>
      <c r="M47" s="82">
        <f t="shared" ca="1" si="45"/>
        <v>274</v>
      </c>
      <c r="N47" s="82">
        <f t="shared" ca="1" si="45"/>
        <v>410</v>
      </c>
      <c r="O47" s="82">
        <f t="shared" ca="1" si="45"/>
        <v>410</v>
      </c>
      <c r="P47" s="82">
        <f t="shared" ca="1" si="45"/>
        <v>410</v>
      </c>
      <c r="Q47" s="82">
        <f t="shared" ca="1" si="45"/>
        <v>410</v>
      </c>
      <c r="R47" s="82">
        <f t="shared" ca="1" si="45"/>
        <v>478</v>
      </c>
      <c r="S47" s="82">
        <f t="shared" ca="1" si="45"/>
        <v>478</v>
      </c>
      <c r="T47" s="82">
        <f t="shared" ca="1" si="45"/>
        <v>478</v>
      </c>
      <c r="U47" s="82">
        <f t="shared" ca="1" si="45"/>
        <v>478</v>
      </c>
      <c r="V47" s="82">
        <f t="shared" ca="1" si="45"/>
        <v>1521</v>
      </c>
      <c r="W47" s="82">
        <f t="shared" ca="1" si="45"/>
        <v>1521</v>
      </c>
      <c r="X47" s="82">
        <f t="shared" ca="1" si="45"/>
        <v>1521</v>
      </c>
      <c r="Y47" s="82">
        <f t="shared" ca="1" si="45"/>
        <v>1521</v>
      </c>
      <c r="Z47" s="82">
        <f t="shared" ca="1" si="45"/>
        <v>1521</v>
      </c>
      <c r="AA47" s="82">
        <f t="shared" ca="1" si="45"/>
        <v>1521</v>
      </c>
      <c r="AB47" s="82">
        <f t="shared" ca="1" si="45"/>
        <v>1521</v>
      </c>
      <c r="AC47" s="82">
        <f t="shared" ca="1" si="45"/>
        <v>1521</v>
      </c>
      <c r="AD47" s="82">
        <f t="shared" ca="1" si="45"/>
        <v>1521</v>
      </c>
      <c r="AE47" s="82">
        <f t="shared" ca="1" si="45"/>
        <v>1521</v>
      </c>
      <c r="AF47" s="82">
        <f t="shared" ca="1" si="45"/>
        <v>1521</v>
      </c>
      <c r="AG47" s="82">
        <f t="shared" ca="1" si="45"/>
        <v>1521</v>
      </c>
      <c r="AH47" s="82">
        <f t="shared" ca="1" si="45"/>
        <v>1521</v>
      </c>
      <c r="AI47" s="82">
        <f t="shared" ca="1" si="45"/>
        <v>1521</v>
      </c>
      <c r="AJ47" s="82">
        <f t="shared" ca="1" si="45"/>
        <v>1521</v>
      </c>
      <c r="AK47" s="82">
        <f t="shared" ca="1" si="45"/>
        <v>1521</v>
      </c>
      <c r="AL47" s="82">
        <f t="shared" ca="1" si="45"/>
        <v>1521</v>
      </c>
      <c r="AM47" s="82">
        <f t="shared" ca="1" si="45"/>
        <v>1521</v>
      </c>
      <c r="AN47" s="82">
        <f t="shared" ca="1" si="45"/>
        <v>1521</v>
      </c>
      <c r="AO47" s="82">
        <f t="shared" ca="1" si="45"/>
        <v>1521</v>
      </c>
      <c r="AP47" s="82">
        <f t="shared" ca="1" si="45"/>
        <v>1521</v>
      </c>
      <c r="AQ47" s="82">
        <f t="shared" ca="1" si="45"/>
        <v>1521</v>
      </c>
      <c r="AR47" s="82">
        <f t="shared" ca="1" si="45"/>
        <v>1521</v>
      </c>
    </row>
    <row r="48" spans="1:46" x14ac:dyDescent="0.2">
      <c r="A48" s="66" t="s">
        <v>661</v>
      </c>
      <c r="C48" s="266" t="s">
        <v>368</v>
      </c>
      <c r="D48" s="65"/>
      <c r="E48" s="183">
        <f t="shared" ref="E48:AR48" ca="1" si="46">IFERROR(E47/E21,0)</f>
        <v>0</v>
      </c>
      <c r="F48" s="183">
        <f t="shared" ca="1" si="46"/>
        <v>0</v>
      </c>
      <c r="G48" s="183">
        <f t="shared" ca="1" si="46"/>
        <v>0</v>
      </c>
      <c r="H48" s="183">
        <f t="shared" ca="1" si="46"/>
        <v>274</v>
      </c>
      <c r="I48" s="183">
        <f t="shared" ca="1" si="46"/>
        <v>274</v>
      </c>
      <c r="J48" s="183">
        <f t="shared" ca="1" si="46"/>
        <v>274</v>
      </c>
      <c r="K48" s="183">
        <f t="shared" ca="1" si="46"/>
        <v>274</v>
      </c>
      <c r="L48" s="183">
        <f t="shared" ca="1" si="46"/>
        <v>274</v>
      </c>
      <c r="M48" s="183">
        <f t="shared" ca="1" si="46"/>
        <v>137</v>
      </c>
      <c r="N48" s="183">
        <f t="shared" ca="1" si="46"/>
        <v>205</v>
      </c>
      <c r="O48" s="183">
        <f t="shared" ca="1" si="46"/>
        <v>205</v>
      </c>
      <c r="P48" s="183">
        <f t="shared" ca="1" si="46"/>
        <v>205</v>
      </c>
      <c r="Q48" s="183">
        <f t="shared" ca="1" si="46"/>
        <v>136.66666666666666</v>
      </c>
      <c r="R48" s="183">
        <f t="shared" ca="1" si="46"/>
        <v>159.33333333333334</v>
      </c>
      <c r="S48" s="183">
        <f t="shared" ca="1" si="46"/>
        <v>159.33333333333334</v>
      </c>
      <c r="T48" s="183">
        <f t="shared" ca="1" si="46"/>
        <v>159.33333333333334</v>
      </c>
      <c r="U48" s="183">
        <f t="shared" ca="1" si="46"/>
        <v>68.285714285714292</v>
      </c>
      <c r="V48" s="183">
        <f t="shared" ca="1" si="46"/>
        <v>217.28571428571428</v>
      </c>
      <c r="W48" s="183">
        <f t="shared" ca="1" si="46"/>
        <v>217.28571428571428</v>
      </c>
      <c r="X48" s="183">
        <f t="shared" ca="1" si="46"/>
        <v>217.28571428571428</v>
      </c>
      <c r="Y48" s="183">
        <f t="shared" ca="1" si="46"/>
        <v>217.28571428571428</v>
      </c>
      <c r="Z48" s="183">
        <f t="shared" ca="1" si="46"/>
        <v>217.28571428571428</v>
      </c>
      <c r="AA48" s="183">
        <f t="shared" ca="1" si="46"/>
        <v>217.28571428571428</v>
      </c>
      <c r="AB48" s="183">
        <f t="shared" ca="1" si="46"/>
        <v>217.28571428571428</v>
      </c>
      <c r="AC48" s="183">
        <f t="shared" ca="1" si="46"/>
        <v>217.28571428571428</v>
      </c>
      <c r="AD48" s="183">
        <f t="shared" ca="1" si="46"/>
        <v>217.28571428571428</v>
      </c>
      <c r="AE48" s="183">
        <f t="shared" ca="1" si="46"/>
        <v>217.28571428571428</v>
      </c>
      <c r="AF48" s="183">
        <f t="shared" ca="1" si="46"/>
        <v>217.28571428571428</v>
      </c>
      <c r="AG48" s="183">
        <f t="shared" ca="1" si="46"/>
        <v>217.28571428571428</v>
      </c>
      <c r="AH48" s="183">
        <f t="shared" ca="1" si="46"/>
        <v>217.28571428571428</v>
      </c>
      <c r="AI48" s="183">
        <f t="shared" ca="1" si="46"/>
        <v>217.28571428571428</v>
      </c>
      <c r="AJ48" s="183">
        <f t="shared" ca="1" si="46"/>
        <v>217.28571428571428</v>
      </c>
      <c r="AK48" s="183">
        <f t="shared" ca="1" si="46"/>
        <v>217.28571428571428</v>
      </c>
      <c r="AL48" s="183">
        <f t="shared" ca="1" si="46"/>
        <v>217.28571428571428</v>
      </c>
      <c r="AM48" s="183">
        <f t="shared" ca="1" si="46"/>
        <v>217.28571428571428</v>
      </c>
      <c r="AN48" s="183">
        <f t="shared" ca="1" si="46"/>
        <v>217.28571428571428</v>
      </c>
      <c r="AO48" s="183">
        <f t="shared" ca="1" si="46"/>
        <v>217.28571428571428</v>
      </c>
      <c r="AP48" s="183">
        <f t="shared" ca="1" si="46"/>
        <v>217.28571428571428</v>
      </c>
      <c r="AQ48" s="183">
        <f t="shared" ca="1" si="46"/>
        <v>217.28571428571428</v>
      </c>
      <c r="AR48" s="183">
        <f t="shared" ca="1" si="46"/>
        <v>217.28571428571428</v>
      </c>
    </row>
    <row r="49" spans="1:46" x14ac:dyDescent="0.2">
      <c r="A49" s="66" t="s">
        <v>666</v>
      </c>
      <c r="C49" s="266" t="s">
        <v>368</v>
      </c>
      <c r="D49" s="65"/>
      <c r="E49" s="183">
        <f ca="1">E47/ИД!$C$30</f>
        <v>0</v>
      </c>
      <c r="F49" s="183">
        <f ca="1">F47/ИД!$C$30</f>
        <v>0</v>
      </c>
      <c r="G49" s="183">
        <f ca="1">G47/ИД!$C$30</f>
        <v>0</v>
      </c>
      <c r="H49" s="183">
        <f ca="1">H47/ИД!$C$30</f>
        <v>10.092081031307551</v>
      </c>
      <c r="I49" s="183">
        <f ca="1">I47/ИД!$C$30</f>
        <v>10.092081031307551</v>
      </c>
      <c r="J49" s="183">
        <f ca="1">J47/ИД!$C$30</f>
        <v>10.092081031307551</v>
      </c>
      <c r="K49" s="183">
        <f ca="1">K47/ИД!$C$30</f>
        <v>10.092081031307551</v>
      </c>
      <c r="L49" s="183">
        <f ca="1">L47/ИД!$C$30</f>
        <v>10.092081031307551</v>
      </c>
      <c r="M49" s="183">
        <f ca="1">M47/ИД!$C$30</f>
        <v>10.092081031307551</v>
      </c>
      <c r="N49" s="183">
        <f ca="1">N47/ИД!$C$30</f>
        <v>15.101289134438307</v>
      </c>
      <c r="O49" s="183">
        <f ca="1">O47/ИД!$C$30</f>
        <v>15.101289134438307</v>
      </c>
      <c r="P49" s="183">
        <f ca="1">P47/ИД!$C$30</f>
        <v>15.101289134438307</v>
      </c>
      <c r="Q49" s="183">
        <f ca="1">Q47/ИД!$C$30</f>
        <v>15.101289134438307</v>
      </c>
      <c r="R49" s="183">
        <f ca="1">R47/ИД!$C$30</f>
        <v>17.605893186003684</v>
      </c>
      <c r="S49" s="183">
        <f ca="1">S47/ИД!$C$30</f>
        <v>17.605893186003684</v>
      </c>
      <c r="T49" s="183">
        <f ca="1">T47/ИД!$C$30</f>
        <v>17.605893186003684</v>
      </c>
      <c r="U49" s="183">
        <f ca="1">U47/ИД!$C$30</f>
        <v>17.605893186003684</v>
      </c>
      <c r="V49" s="183">
        <f ca="1">V47/ИД!$C$30</f>
        <v>56.022099447513817</v>
      </c>
      <c r="W49" s="183">
        <f ca="1">W47/ИД!$C$30</f>
        <v>56.022099447513817</v>
      </c>
      <c r="X49" s="183">
        <f ca="1">X47/ИД!$C$30</f>
        <v>56.022099447513817</v>
      </c>
      <c r="Y49" s="183">
        <f ca="1">Y47/ИД!$C$30</f>
        <v>56.022099447513817</v>
      </c>
      <c r="Z49" s="183">
        <f ca="1">Z47/ИД!$C$30</f>
        <v>56.022099447513817</v>
      </c>
      <c r="AA49" s="183">
        <f ca="1">AA47/ИД!$C$30</f>
        <v>56.022099447513817</v>
      </c>
      <c r="AB49" s="183">
        <f ca="1">AB47/ИД!$C$30</f>
        <v>56.022099447513817</v>
      </c>
      <c r="AC49" s="183">
        <f ca="1">AC47/ИД!$C$30</f>
        <v>56.022099447513817</v>
      </c>
      <c r="AD49" s="183">
        <f ca="1">AD47/ИД!$C$30</f>
        <v>56.022099447513817</v>
      </c>
      <c r="AE49" s="183">
        <f ca="1">AE47/ИД!$C$30</f>
        <v>56.022099447513817</v>
      </c>
      <c r="AF49" s="183">
        <f ca="1">AF47/ИД!$C$30</f>
        <v>56.022099447513817</v>
      </c>
      <c r="AG49" s="183">
        <f ca="1">AG47/ИД!$C$30</f>
        <v>56.022099447513817</v>
      </c>
      <c r="AH49" s="183">
        <f ca="1">AH47/ИД!$C$30</f>
        <v>56.022099447513817</v>
      </c>
      <c r="AI49" s="183">
        <f ca="1">AI47/ИД!$C$30</f>
        <v>56.022099447513817</v>
      </c>
      <c r="AJ49" s="183">
        <f ca="1">AJ47/ИД!$C$30</f>
        <v>56.022099447513817</v>
      </c>
      <c r="AK49" s="183">
        <f ca="1">AK47/ИД!$C$30</f>
        <v>56.022099447513817</v>
      </c>
      <c r="AL49" s="183">
        <f ca="1">AL47/ИД!$C$30</f>
        <v>56.022099447513817</v>
      </c>
      <c r="AM49" s="183">
        <f ca="1">AM47/ИД!$C$30</f>
        <v>56.022099447513817</v>
      </c>
      <c r="AN49" s="183">
        <f ca="1">AN47/ИД!$C$30</f>
        <v>56.022099447513817</v>
      </c>
      <c r="AO49" s="183">
        <f ca="1">AO47/ИД!$C$30</f>
        <v>56.022099447513817</v>
      </c>
      <c r="AP49" s="183">
        <f ca="1">AP47/ИД!$C$30</f>
        <v>56.022099447513817</v>
      </c>
      <c r="AQ49" s="183">
        <f ca="1">AQ47/ИД!$C$30</f>
        <v>56.022099447513817</v>
      </c>
      <c r="AR49" s="183">
        <f ca="1">AR47/ИД!$C$30</f>
        <v>56.022099447513817</v>
      </c>
    </row>
    <row r="50" spans="1:46" x14ac:dyDescent="0.2">
      <c r="A50" s="66" t="s">
        <v>662</v>
      </c>
      <c r="C50" s="266" t="str">
        <f>Параметры!$C$126</f>
        <v>тыс. руб.</v>
      </c>
      <c r="D50" s="65"/>
      <c r="E50" s="558">
        <f>E154</f>
        <v>56.234999999999999</v>
      </c>
      <c r="F50" s="558">
        <f t="shared" ref="F50:AR50" ca="1" si="47">F154</f>
        <v>56.234999999999999</v>
      </c>
      <c r="G50" s="558">
        <f t="shared" ca="1" si="47"/>
        <v>56.234999999999999</v>
      </c>
      <c r="H50" s="558">
        <f t="shared" ca="1" si="47"/>
        <v>56.234999999999999</v>
      </c>
      <c r="I50" s="558">
        <f t="shared" ca="1" si="47"/>
        <v>56.234999999999999</v>
      </c>
      <c r="J50" s="558">
        <f t="shared" ca="1" si="47"/>
        <v>57.135892569261181</v>
      </c>
      <c r="K50" s="558">
        <f t="shared" ca="1" si="47"/>
        <v>58.05121756354859</v>
      </c>
      <c r="L50" s="558">
        <f t="shared" ca="1" si="47"/>
        <v>58.981206192330752</v>
      </c>
      <c r="M50" s="558">
        <f t="shared" ca="1" si="47"/>
        <v>59.926093369084235</v>
      </c>
      <c r="N50" s="558">
        <f t="shared" ca="1" si="47"/>
        <v>60.936439460992894</v>
      </c>
      <c r="O50" s="558">
        <f t="shared" ca="1" si="47"/>
        <v>61.96381985579108</v>
      </c>
      <c r="P50" s="558">
        <f t="shared" ca="1" si="47"/>
        <v>63.008521749596298</v>
      </c>
      <c r="Q50" s="558">
        <f t="shared" ca="1" si="47"/>
        <v>64.070837180615001</v>
      </c>
      <c r="R50" s="558">
        <f t="shared" ca="1" si="47"/>
        <v>65.137445621551024</v>
      </c>
      <c r="S50" s="558">
        <f t="shared" ca="1" si="47"/>
        <v>66.221810246366275</v>
      </c>
      <c r="T50" s="558">
        <f t="shared" ca="1" si="47"/>
        <v>67.324226648133035</v>
      </c>
      <c r="U50" s="558">
        <f t="shared" ca="1" si="47"/>
        <v>68.444995340759291</v>
      </c>
      <c r="V50" s="558">
        <f t="shared" ca="1" si="47"/>
        <v>69.605961504549441</v>
      </c>
      <c r="W50" s="558">
        <f t="shared" ca="1" si="47"/>
        <v>70.786620012925994</v>
      </c>
      <c r="X50" s="558">
        <f t="shared" ca="1" si="47"/>
        <v>71.987304888057238</v>
      </c>
      <c r="Y50" s="558">
        <f t="shared" ca="1" si="47"/>
        <v>73.208355817805938</v>
      </c>
      <c r="Z50" s="558">
        <f t="shared" ca="1" si="47"/>
        <v>74.434862154279571</v>
      </c>
      <c r="AA50" s="558">
        <f t="shared" ca="1" si="47"/>
        <v>75.681916934665196</v>
      </c>
      <c r="AB50" s="558">
        <f t="shared" ca="1" si="47"/>
        <v>76.949864420166037</v>
      </c>
      <c r="AC50" s="558">
        <f t="shared" ca="1" si="47"/>
        <v>78.239054639613173</v>
      </c>
      <c r="AD50" s="558">
        <f t="shared" ca="1" si="47"/>
        <v>79.537018149374219</v>
      </c>
      <c r="AE50" s="558">
        <f t="shared" ca="1" si="47"/>
        <v>80.856514502041307</v>
      </c>
      <c r="AF50" s="558">
        <f t="shared" ca="1" si="47"/>
        <v>82.197900921311501</v>
      </c>
      <c r="AG50" s="558">
        <f t="shared" ca="1" si="47"/>
        <v>83.561540557120679</v>
      </c>
      <c r="AH50" s="558">
        <f t="shared" ca="1" si="47"/>
        <v>84.942272478892633</v>
      </c>
      <c r="AI50" s="558">
        <f t="shared" ca="1" si="47"/>
        <v>86.34581897094526</v>
      </c>
      <c r="AJ50" s="558">
        <f t="shared" ca="1" si="47"/>
        <v>87.772557010596771</v>
      </c>
      <c r="AK50" s="558">
        <f t="shared" ca="1" si="47"/>
        <v>89.222869804162826</v>
      </c>
      <c r="AL50" s="558">
        <f t="shared" ca="1" si="47"/>
        <v>90.684909860020298</v>
      </c>
      <c r="AM50" s="558">
        <f t="shared" ca="1" si="47"/>
        <v>92.170907463192961</v>
      </c>
      <c r="AN50" s="558">
        <f t="shared" ca="1" si="47"/>
        <v>93.681255191210482</v>
      </c>
      <c r="AO50" s="558">
        <f t="shared" ca="1" si="47"/>
        <v>95.216352054527974</v>
      </c>
      <c r="AP50" s="558">
        <f t="shared" ca="1" si="47"/>
        <v>96.764120494450097</v>
      </c>
      <c r="AQ50" s="558">
        <f t="shared" ca="1" si="47"/>
        <v>98.337048343359513</v>
      </c>
      <c r="AR50" s="558">
        <f t="shared" ca="1" si="47"/>
        <v>99.935544574487821</v>
      </c>
    </row>
    <row r="51" spans="1:46" ht="19.5" x14ac:dyDescent="0.2">
      <c r="A51" s="50"/>
      <c r="B51" s="436" t="s">
        <v>1097</v>
      </c>
    </row>
    <row r="52" spans="1:46" x14ac:dyDescent="0.2">
      <c r="A52" s="50" t="s">
        <v>1014</v>
      </c>
      <c r="B52" s="443">
        <f ca="1">IFERROR(AVERAGEIF(Параметры!$E$46:OFFSET(Параметры!$E$46,0,Параметры!$B$24-1),"&gt;=" &amp; Деятельность_УК!$B$9,E52:OFFSET(E52,0,Параметры!$B$24-1))*Параметры!$B$13/Параметры!$B$12,0)</f>
        <v>4839604.833419336</v>
      </c>
      <c r="C52" s="266" t="str">
        <f>Параметры!$C$126</f>
        <v>тыс. руб.</v>
      </c>
      <c r="D52" s="65"/>
      <c r="E52" s="82">
        <f ca="1">E175+E182</f>
        <v>0</v>
      </c>
      <c r="F52" s="82">
        <f t="shared" ref="F52:AR52" ca="1" si="48">F175+F182</f>
        <v>0</v>
      </c>
      <c r="G52" s="82">
        <f t="shared" ca="1" si="48"/>
        <v>0</v>
      </c>
      <c r="H52" s="82">
        <f t="shared" ca="1" si="48"/>
        <v>167675.73384049823</v>
      </c>
      <c r="I52" s="82">
        <f t="shared" ca="1" si="48"/>
        <v>167675.73384049823</v>
      </c>
      <c r="J52" s="82">
        <f t="shared" ca="1" si="48"/>
        <v>169137.41391388446</v>
      </c>
      <c r="K52" s="82">
        <f t="shared" ca="1" si="48"/>
        <v>170620.51975878567</v>
      </c>
      <c r="L52" s="82">
        <f t="shared" ca="1" si="48"/>
        <v>172125.37588887138</v>
      </c>
      <c r="M52" s="82">
        <f t="shared" ca="1" si="48"/>
        <v>173652.31184032274</v>
      </c>
      <c r="N52" s="82">
        <f t="shared" ca="1" si="48"/>
        <v>264542.66427792376</v>
      </c>
      <c r="O52" s="82">
        <f t="shared" ca="1" si="48"/>
        <v>267092.02919776703</v>
      </c>
      <c r="P52" s="82">
        <f t="shared" ca="1" si="48"/>
        <v>269681.12709265633</v>
      </c>
      <c r="Q52" s="82">
        <f t="shared" ca="1" si="48"/>
        <v>272310.5916318883</v>
      </c>
      <c r="R52" s="82">
        <f t="shared" ca="1" si="48"/>
        <v>322417.93754323019</v>
      </c>
      <c r="S52" s="82">
        <f t="shared" ca="1" si="48"/>
        <v>325568.81367047265</v>
      </c>
      <c r="T52" s="82">
        <f t="shared" ca="1" si="48"/>
        <v>328768.36642325885</v>
      </c>
      <c r="U52" s="82">
        <f t="shared" ca="1" si="48"/>
        <v>332017.36324264371</v>
      </c>
      <c r="V52" s="82">
        <f t="shared" ca="1" si="48"/>
        <v>1109190.253672556</v>
      </c>
      <c r="W52" s="82">
        <f t="shared" ca="1" si="48"/>
        <v>1120249.2475479015</v>
      </c>
      <c r="X52" s="82">
        <f t="shared" ca="1" si="48"/>
        <v>1131481.8979408608</v>
      </c>
      <c r="Y52" s="82">
        <f t="shared" ca="1" si="48"/>
        <v>1142890.9883375289</v>
      </c>
      <c r="Z52" s="82">
        <f t="shared" ca="1" si="48"/>
        <v>1154227.2240633552</v>
      </c>
      <c r="AA52" s="82">
        <f t="shared" ca="1" si="48"/>
        <v>1165738.6839220957</v>
      </c>
      <c r="AB52" s="82">
        <f t="shared" ca="1" si="48"/>
        <v>1177428.1415169574</v>
      </c>
      <c r="AC52" s="82">
        <f t="shared" ca="1" si="48"/>
        <v>1189298.4151328215</v>
      </c>
      <c r="AD52" s="82">
        <f t="shared" ca="1" si="48"/>
        <v>1201234.8669487725</v>
      </c>
      <c r="AE52" s="82">
        <f t="shared" ca="1" si="48"/>
        <v>1213354.2844418297</v>
      </c>
      <c r="AF52" s="82">
        <f t="shared" ca="1" si="48"/>
        <v>1225659.5385765564</v>
      </c>
      <c r="AG52" s="82">
        <f t="shared" ca="1" si="48"/>
        <v>1238153.5461513058</v>
      </c>
      <c r="AH52" s="82">
        <f t="shared" ca="1" si="48"/>
        <v>1250812.1637515365</v>
      </c>
      <c r="AI52" s="82">
        <f t="shared" ca="1" si="48"/>
        <v>1263664.471586863</v>
      </c>
      <c r="AJ52" s="82">
        <f t="shared" ca="1" si="48"/>
        <v>1213482.8733357678</v>
      </c>
      <c r="AK52" s="82">
        <f t="shared" ca="1" si="48"/>
        <v>1226731.702076979</v>
      </c>
      <c r="AL52" s="82">
        <f t="shared" ca="1" si="48"/>
        <v>1240180.774425236</v>
      </c>
      <c r="AM52" s="82">
        <f t="shared" ca="1" si="48"/>
        <v>1274955.8333072704</v>
      </c>
      <c r="AN52" s="82">
        <f t="shared" ca="1" si="48"/>
        <v>1288923.4902487018</v>
      </c>
      <c r="AO52" s="82">
        <f t="shared" ca="1" si="48"/>
        <v>1303104.2565176373</v>
      </c>
      <c r="AP52" s="82">
        <f t="shared" ca="1" si="48"/>
        <v>1284596.7097803603</v>
      </c>
      <c r="AQ52" s="82">
        <f t="shared" ca="1" si="48"/>
        <v>1636882.130180316</v>
      </c>
      <c r="AR52" s="82">
        <f t="shared" ca="1" si="48"/>
        <v>1653370.1438101658</v>
      </c>
      <c r="AT52" s="84">
        <f t="shared" ref="AT52" ca="1" si="49">SUM(E52:AS52)</f>
        <v>32108897.619436074</v>
      </c>
    </row>
    <row r="53" spans="1:46" x14ac:dyDescent="0.2">
      <c r="A53" s="50" t="s">
        <v>695</v>
      </c>
      <c r="B53" s="443">
        <f ca="1">IFERROR(AVERAGEIF(Параметры!$E$46:OFFSET(Параметры!$E$46,0,Параметры!$B$24-1),"&gt;=" &amp; Деятельность_УК!$B$9,E53:OFFSET(E53,0,Параметры!$B$24-1))*Параметры!$B$13/Параметры!$B$12,0)</f>
        <v>4033004.0278494479</v>
      </c>
      <c r="C53" s="266" t="str">
        <f>Параметры!$C$126</f>
        <v>тыс. руб.</v>
      </c>
      <c r="D53" s="65"/>
      <c r="E53" s="82">
        <f ca="1">E175</f>
        <v>0</v>
      </c>
      <c r="F53" s="82">
        <f t="shared" ref="F53:AR53" ca="1" si="50">F175</f>
        <v>0</v>
      </c>
      <c r="G53" s="82">
        <f t="shared" ca="1" si="50"/>
        <v>0</v>
      </c>
      <c r="H53" s="82">
        <f t="shared" ca="1" si="50"/>
        <v>139729.7782004152</v>
      </c>
      <c r="I53" s="82">
        <f t="shared" ca="1" si="50"/>
        <v>139729.7782004152</v>
      </c>
      <c r="J53" s="82">
        <f t="shared" ca="1" si="50"/>
        <v>140947.84492823706</v>
      </c>
      <c r="K53" s="82">
        <f t="shared" ca="1" si="50"/>
        <v>142183.76646565471</v>
      </c>
      <c r="L53" s="82">
        <f t="shared" ca="1" si="50"/>
        <v>143437.81324072616</v>
      </c>
      <c r="M53" s="82">
        <f t="shared" ca="1" si="50"/>
        <v>144710.25986693561</v>
      </c>
      <c r="N53" s="82">
        <f t="shared" ca="1" si="50"/>
        <v>220452.22023160313</v>
      </c>
      <c r="O53" s="82">
        <f t="shared" ca="1" si="50"/>
        <v>222576.69099813921</v>
      </c>
      <c r="P53" s="82">
        <f t="shared" ca="1" si="50"/>
        <v>224734.27257721359</v>
      </c>
      <c r="Q53" s="82">
        <f t="shared" ca="1" si="50"/>
        <v>226925.49302657356</v>
      </c>
      <c r="R53" s="82">
        <f t="shared" ca="1" si="50"/>
        <v>268681.6146193585</v>
      </c>
      <c r="S53" s="82">
        <f t="shared" ca="1" si="50"/>
        <v>271307.34472539386</v>
      </c>
      <c r="T53" s="82">
        <f t="shared" ca="1" si="50"/>
        <v>273973.63868604903</v>
      </c>
      <c r="U53" s="82">
        <f t="shared" ca="1" si="50"/>
        <v>276681.13603553642</v>
      </c>
      <c r="V53" s="82">
        <f t="shared" ca="1" si="50"/>
        <v>924325.21139379661</v>
      </c>
      <c r="W53" s="82">
        <f t="shared" ca="1" si="50"/>
        <v>933541.03962325118</v>
      </c>
      <c r="X53" s="82">
        <f t="shared" ca="1" si="50"/>
        <v>942901.58161738398</v>
      </c>
      <c r="Y53" s="82">
        <f t="shared" ca="1" si="50"/>
        <v>952409.15694794082</v>
      </c>
      <c r="Z53" s="82">
        <f t="shared" ca="1" si="50"/>
        <v>961856.020052796</v>
      </c>
      <c r="AA53" s="82">
        <f t="shared" ca="1" si="50"/>
        <v>971448.90326841315</v>
      </c>
      <c r="AB53" s="82">
        <f t="shared" ca="1" si="50"/>
        <v>981190.11793079786</v>
      </c>
      <c r="AC53" s="82">
        <f t="shared" ca="1" si="50"/>
        <v>991082.01261068461</v>
      </c>
      <c r="AD53" s="82">
        <f t="shared" ca="1" si="50"/>
        <v>1001029.0557906437</v>
      </c>
      <c r="AE53" s="82">
        <f t="shared" ca="1" si="50"/>
        <v>1011128.5703681915</v>
      </c>
      <c r="AF53" s="82">
        <f t="shared" ca="1" si="50"/>
        <v>1021382.948813797</v>
      </c>
      <c r="AG53" s="82">
        <f t="shared" ca="1" si="50"/>
        <v>1031794.6217927549</v>
      </c>
      <c r="AH53" s="82">
        <f t="shared" ca="1" si="50"/>
        <v>1042343.4697929472</v>
      </c>
      <c r="AI53" s="82">
        <f t="shared" ca="1" si="50"/>
        <v>1053053.7263223859</v>
      </c>
      <c r="AJ53" s="82">
        <f t="shared" ca="1" si="50"/>
        <v>1011235.7277798065</v>
      </c>
      <c r="AK53" s="82">
        <f t="shared" ca="1" si="50"/>
        <v>1022276.4183974825</v>
      </c>
      <c r="AL53" s="82">
        <f t="shared" ca="1" si="50"/>
        <v>1033483.9786876967</v>
      </c>
      <c r="AM53" s="82">
        <f t="shared" ca="1" si="50"/>
        <v>1062463.1944227254</v>
      </c>
      <c r="AN53" s="82">
        <f t="shared" ca="1" si="50"/>
        <v>1074102.9085405848</v>
      </c>
      <c r="AO53" s="82">
        <f t="shared" ca="1" si="50"/>
        <v>1085920.2137646978</v>
      </c>
      <c r="AP53" s="82">
        <f t="shared" ca="1" si="50"/>
        <v>1070497.2581503002</v>
      </c>
      <c r="AQ53" s="82">
        <f t="shared" ca="1" si="50"/>
        <v>1364068.44181693</v>
      </c>
      <c r="AR53" s="82">
        <f t="shared" ca="1" si="50"/>
        <v>1377808.4531751382</v>
      </c>
      <c r="AT53" s="84">
        <f t="shared" ref="AT53:AT54" ca="1" si="51">SUM(E53:AS53)</f>
        <v>26757414.682863399</v>
      </c>
    </row>
    <row r="54" spans="1:46" x14ac:dyDescent="0.2">
      <c r="A54" s="50" t="s">
        <v>663</v>
      </c>
      <c r="B54" s="443">
        <f ca="1">IFERROR(AVERAGEIF(Параметры!$E$46:OFFSET(Параметры!$E$46,0,Параметры!$B$24-1),"&gt;=" &amp; Деятельность_УК!$B$9,E54:OFFSET(E54,0,Параметры!$B$24-1))*Параметры!$B$13/Параметры!$B$12,0)</f>
        <v>11832607.402859734</v>
      </c>
      <c r="C54" s="266" t="str">
        <f>Параметры!$C$126</f>
        <v>тыс. руб.</v>
      </c>
      <c r="D54" s="65"/>
      <c r="E54" s="158">
        <f ca="1">E85/ИД!$C$274+E175</f>
        <v>0</v>
      </c>
      <c r="F54" s="158">
        <f ca="1">F85/ИД!$C$274+F175</f>
        <v>0</v>
      </c>
      <c r="G54" s="158">
        <f ca="1">G85/ИД!$C$274+G175</f>
        <v>0</v>
      </c>
      <c r="H54" s="158">
        <f ca="1">H85/ИД!$C$274+H175</f>
        <v>373655.36559476668</v>
      </c>
      <c r="I54" s="158">
        <f ca="1">I85/ИД!$C$274+I175</f>
        <v>373655.36559476668</v>
      </c>
      <c r="J54" s="158">
        <f ca="1">J85/ИД!$C$274+J175</f>
        <v>377074.57027134078</v>
      </c>
      <c r="K54" s="158">
        <f ca="1">K85/ИД!$C$274+K175</f>
        <v>380532.34150744532</v>
      </c>
      <c r="L54" s="158">
        <f ca="1">L85/ИД!$C$274+L175</f>
        <v>384029.14461968932</v>
      </c>
      <c r="M54" s="158">
        <f ca="1">M85/ИД!$C$274+M175</f>
        <v>387565.45094392443</v>
      </c>
      <c r="N54" s="158">
        <f ca="1">N85/ИД!$C$274+N175</f>
        <v>593469.98742118478</v>
      </c>
      <c r="O54" s="158">
        <f ca="1">O85/ИД!$C$274+O175</f>
        <v>599753.29545035376</v>
      </c>
      <c r="P54" s="158">
        <f ca="1">P85/ИД!$C$274+P175</f>
        <v>606116.08186191553</v>
      </c>
      <c r="Q54" s="158">
        <f ca="1">Q85/ИД!$C$274+Q175</f>
        <v>612559.39167338237</v>
      </c>
      <c r="R54" s="158">
        <f ca="1">R85/ИД!$C$274+R175</f>
        <v>728204.60064421967</v>
      </c>
      <c r="S54" s="158">
        <f ca="1">S85/ИД!$C$274+S175</f>
        <v>736048.9947785252</v>
      </c>
      <c r="T54" s="158">
        <f ca="1">T85/ИД!$C$274+T175</f>
        <v>743993.21956164413</v>
      </c>
      <c r="U54" s="158">
        <f ca="1">U85/ИД!$C$274+U175</f>
        <v>752038.58760290453</v>
      </c>
      <c r="V54" s="158">
        <f ca="1">V85/ИД!$C$274+V175</f>
        <v>2567378.5740044424</v>
      </c>
      <c r="W54" s="158">
        <f ca="1">W85/ИД!$C$274+W175</f>
        <v>2595716.8228915576</v>
      </c>
      <c r="X54" s="158">
        <f ca="1">X85/ИД!$C$274+X175</f>
        <v>2624422.3388578873</v>
      </c>
      <c r="Y54" s="158">
        <f ca="1">Y85/ИД!$C$274+Y175</f>
        <v>2653500.0316272667</v>
      </c>
      <c r="Z54" s="158">
        <f ca="1">Z85/ИД!$C$274+Z175</f>
        <v>2681699.2708465718</v>
      </c>
      <c r="AA54" s="158">
        <f ca="1">AA85/ИД!$C$274+AA175</f>
        <v>2710251.2514136825</v>
      </c>
      <c r="AB54" s="158">
        <f ca="1">AB85/ИД!$C$274+AB175</f>
        <v>2739160.5635048752</v>
      </c>
      <c r="AC54" s="158">
        <f ca="1">AC85/ИД!$C$274+AC175</f>
        <v>2768431.8596524857</v>
      </c>
      <c r="AD54" s="158">
        <f ca="1">AD85/ИД!$C$274+AD175</f>
        <v>2797783.4448625948</v>
      </c>
      <c r="AE54" s="158">
        <f ca="1">AE85/ИД!$C$274+AE175</f>
        <v>2827499.3541069729</v>
      </c>
      <c r="AF54" s="158">
        <f ca="1">AF85/ИД!$C$274+AF175</f>
        <v>2857584.292795998</v>
      </c>
      <c r="AG54" s="158">
        <f ca="1">AG85/ИД!$C$274+AG175</f>
        <v>2888043.0297868182</v>
      </c>
      <c r="AH54" s="158">
        <f ca="1">AH85/ИД!$C$274+AH175</f>
        <v>2918948.7430052469</v>
      </c>
      <c r="AI54" s="158">
        <f ca="1">AI85/ИД!$C$274+AI175</f>
        <v>2950239.1117923418</v>
      </c>
      <c r="AJ54" s="158">
        <f ca="1">AJ85/ИД!$C$274+AJ175</f>
        <v>2929226.9208236285</v>
      </c>
      <c r="AK54" s="158">
        <f ca="1">AK85/ИД!$C$274+AK175</f>
        <v>2961301.5894576143</v>
      </c>
      <c r="AL54" s="158">
        <f ca="1">AL85/ИД!$C$274+AL175</f>
        <v>2994393.8615918993</v>
      </c>
      <c r="AM54" s="158">
        <f ca="1">AM85/ИД!$C$274+AM175</f>
        <v>3135497.2639934919</v>
      </c>
      <c r="AN54" s="158">
        <f ca="1">AN85/ИД!$C$274+AN175</f>
        <v>3170534.1747711003</v>
      </c>
      <c r="AO54" s="158">
        <f ca="1">AO85/ИД!$C$274+AO175</f>
        <v>3206012.7479597079</v>
      </c>
      <c r="AP54" s="158">
        <f ca="1">AP85/ИД!$C$274+AP175</f>
        <v>3214541.8817745959</v>
      </c>
      <c r="AQ54" s="158">
        <f ca="1">AQ85/ИД!$C$274+AQ175</f>
        <v>4998320.0705879722</v>
      </c>
      <c r="AR54" s="158">
        <f ca="1">AR85/ИД!$C$274+AR175</f>
        <v>5053118.6294467505</v>
      </c>
      <c r="AT54" s="84">
        <f t="shared" ca="1" si="51"/>
        <v>77892302.227081567</v>
      </c>
    </row>
    <row r="55" spans="1:46" ht="22.5" x14ac:dyDescent="0.2">
      <c r="A55" s="586" t="s">
        <v>805</v>
      </c>
      <c r="B55" s="443"/>
      <c r="C55" s="266" t="str">
        <f>Параметры!$C$126</f>
        <v>тыс. руб.</v>
      </c>
      <c r="D55" s="65"/>
      <c r="E55" s="560">
        <f t="shared" ref="E55:AR55" si="52">(E26+E32)/E38</f>
        <v>0</v>
      </c>
      <c r="F55" s="560">
        <f t="shared" ca="1" si="52"/>
        <v>0</v>
      </c>
      <c r="G55" s="560">
        <f t="shared" ca="1" si="52"/>
        <v>2.5582890736642026</v>
      </c>
      <c r="H55" s="560">
        <f t="shared" ca="1" si="52"/>
        <v>2.3178397526006798</v>
      </c>
      <c r="I55" s="560">
        <f t="shared" ca="1" si="52"/>
        <v>2.0716616197571716</v>
      </c>
      <c r="J55" s="560">
        <f t="shared" ca="1" si="52"/>
        <v>1.6929175685677733</v>
      </c>
      <c r="K55" s="560">
        <f t="shared" ca="1" si="52"/>
        <v>1.3652297126710351</v>
      </c>
      <c r="L55" s="560">
        <f t="shared" ca="1" si="52"/>
        <v>1.2411982958167707</v>
      </c>
      <c r="M55" s="560">
        <f t="shared" ca="1" si="52"/>
        <v>1.7929223194846853</v>
      </c>
      <c r="N55" s="560">
        <f t="shared" ca="1" si="52"/>
        <v>1.6686129891706343</v>
      </c>
      <c r="O55" s="560">
        <f t="shared" ca="1" si="52"/>
        <v>1.5258163013565429</v>
      </c>
      <c r="P55" s="560">
        <f t="shared" ca="1" si="52"/>
        <v>1.4934693226433524</v>
      </c>
      <c r="Q55" s="560">
        <f t="shared" ca="1" si="52"/>
        <v>1.7596406582435427</v>
      </c>
      <c r="R55" s="560">
        <f t="shared" ca="1" si="52"/>
        <v>1.7596406582435427</v>
      </c>
      <c r="S55" s="560">
        <f t="shared" ca="1" si="52"/>
        <v>1.7596406582435427</v>
      </c>
      <c r="T55" s="560">
        <f t="shared" ca="1" si="52"/>
        <v>1.7596406582435427</v>
      </c>
      <c r="U55" s="560">
        <f t="shared" ca="1" si="52"/>
        <v>6.0121536136125986</v>
      </c>
      <c r="V55" s="560">
        <f t="shared" ca="1" si="52"/>
        <v>6.0121536136125986</v>
      </c>
      <c r="W55" s="560">
        <f t="shared" ca="1" si="52"/>
        <v>6.0121536136125986</v>
      </c>
      <c r="X55" s="560">
        <f t="shared" ca="1" si="52"/>
        <v>6.0121536136125986</v>
      </c>
      <c r="Y55" s="560">
        <f t="shared" ca="1" si="52"/>
        <v>6.0121536136125986</v>
      </c>
      <c r="Z55" s="560">
        <f t="shared" ca="1" si="52"/>
        <v>6.0121536136125986</v>
      </c>
      <c r="AA55" s="560">
        <f t="shared" ca="1" si="52"/>
        <v>6.0121536136125986</v>
      </c>
      <c r="AB55" s="560">
        <f t="shared" ca="1" si="52"/>
        <v>6.0121536136125986</v>
      </c>
      <c r="AC55" s="560">
        <f t="shared" ca="1" si="52"/>
        <v>6.0121536136125986</v>
      </c>
      <c r="AD55" s="560">
        <f t="shared" ca="1" si="52"/>
        <v>6.0121536136125986</v>
      </c>
      <c r="AE55" s="560">
        <f t="shared" ca="1" si="52"/>
        <v>6.0121536136125986</v>
      </c>
      <c r="AF55" s="560">
        <f t="shared" ca="1" si="52"/>
        <v>6.0121536136125986</v>
      </c>
      <c r="AG55" s="560">
        <f t="shared" ca="1" si="52"/>
        <v>6.0121536136125986</v>
      </c>
      <c r="AH55" s="560">
        <f t="shared" ca="1" si="52"/>
        <v>6.0121536136125986</v>
      </c>
      <c r="AI55" s="560">
        <f t="shared" ca="1" si="52"/>
        <v>6.0121536136125986</v>
      </c>
      <c r="AJ55" s="560">
        <f t="shared" ca="1" si="52"/>
        <v>6.0121536136125986</v>
      </c>
      <c r="AK55" s="560">
        <f t="shared" ca="1" si="52"/>
        <v>6.0121536136125986</v>
      </c>
      <c r="AL55" s="560">
        <f t="shared" ca="1" si="52"/>
        <v>6.2849913491459501</v>
      </c>
      <c r="AM55" s="560">
        <f t="shared" ca="1" si="52"/>
        <v>6.2849913491459501</v>
      </c>
      <c r="AN55" s="560">
        <f t="shared" ca="1" si="52"/>
        <v>6.2849913491459501</v>
      </c>
      <c r="AO55" s="560">
        <f t="shared" ca="1" si="52"/>
        <v>6.2849913491459501</v>
      </c>
      <c r="AP55" s="560">
        <f t="shared" ca="1" si="52"/>
        <v>10.534328439287243</v>
      </c>
      <c r="AQ55" s="560">
        <f t="shared" ca="1" si="52"/>
        <v>10.534328439287243</v>
      </c>
      <c r="AR55" s="560">
        <f t="shared" ca="1" si="52"/>
        <v>10.534328439287243</v>
      </c>
      <c r="AT55" s="84"/>
    </row>
    <row r="56" spans="1:46" x14ac:dyDescent="0.2">
      <c r="A56" s="586" t="s">
        <v>833</v>
      </c>
      <c r="B56" s="443"/>
      <c r="C56" s="266" t="str">
        <f>Параметры!$C$126</f>
        <v>тыс. руб.</v>
      </c>
      <c r="D56" s="65"/>
      <c r="E56" s="560">
        <f ca="1">IFERROR(E53/E47,0)*IF(Параметры!E46&gt;=$B$67,1,0)</f>
        <v>0</v>
      </c>
      <c r="F56" s="560">
        <f ca="1">IFERROR(F53/F47,0)*IF(Параметры!F46&gt;=$B$67,1,0)</f>
        <v>0</v>
      </c>
      <c r="G56" s="560">
        <f ca="1">IFERROR(G53/G47,0)*IF(Параметры!G46&gt;=$B$67,1,0)</f>
        <v>0</v>
      </c>
      <c r="H56" s="560">
        <f ca="1">IFERROR(H53/H47,0)*IF(Параметры!H46&gt;=$B$67,1,0)</f>
        <v>0</v>
      </c>
      <c r="I56" s="560">
        <f ca="1">IFERROR(I53/I47,0)*IF(Параметры!I46&gt;=$B$67,1,0)</f>
        <v>0</v>
      </c>
      <c r="J56" s="560">
        <f ca="1">IFERROR(J53/J47,0)*IF(Параметры!J46&gt;=$B$67,1,0)</f>
        <v>0</v>
      </c>
      <c r="K56" s="560">
        <f ca="1">IFERROR(K53/K47,0)*IF(Параметры!K46&gt;=$B$67,1,0)</f>
        <v>0</v>
      </c>
      <c r="L56" s="560">
        <f ca="1">IFERROR(L53/L47,0)*IF(Параметры!L46&gt;=$B$67,1,0)</f>
        <v>0</v>
      </c>
      <c r="M56" s="560">
        <f ca="1">IFERROR(M53/M47,0)*IF(Параметры!M46&gt;=$B$67,1,0)</f>
        <v>0</v>
      </c>
      <c r="N56" s="560">
        <f ca="1">IFERROR(N53/N47,0)*IF(Параметры!N46&gt;=$B$67,1,0)</f>
        <v>0</v>
      </c>
      <c r="O56" s="560">
        <f ca="1">IFERROR(O53/O47,0)*IF(Параметры!O46&gt;=$B$67,1,0)</f>
        <v>0</v>
      </c>
      <c r="P56" s="560">
        <f ca="1">IFERROR(P53/P47,0)*IF(Параметры!P46&gt;=$B$67,1,0)</f>
        <v>0</v>
      </c>
      <c r="Q56" s="560">
        <f ca="1">IFERROR(Q53/Q47,0)*IF(Параметры!Q46&gt;=$B$67,1,0)</f>
        <v>553.47681225993551</v>
      </c>
      <c r="R56" s="560">
        <f ca="1">IFERROR(R53/R47,0)*IF(Параметры!R46&gt;=$B$67,1,0)</f>
        <v>562.09542807397179</v>
      </c>
      <c r="S56" s="560">
        <f ca="1">IFERROR(S53/S47,0)*IF(Параметры!S46&gt;=$B$67,1,0)</f>
        <v>567.58858729161898</v>
      </c>
      <c r="T56" s="560">
        <f ca="1">IFERROR(T53/T47,0)*IF(Параметры!T46&gt;=$B$67,1,0)</f>
        <v>573.16660812980967</v>
      </c>
      <c r="U56" s="560">
        <f ca="1">IFERROR(U53/U47,0)*IF(Параметры!U46&gt;=$B$67,1,0)</f>
        <v>578.83082852622681</v>
      </c>
      <c r="V56" s="560">
        <f ca="1">IFERROR(V53/V47,0)*IF(Параметры!V46&gt;=$B$67,1,0)</f>
        <v>607.70888323063548</v>
      </c>
      <c r="W56" s="560">
        <f ca="1">IFERROR(W53/W47,0)*IF(Параметры!W46&gt;=$B$67,1,0)</f>
        <v>613.76794189562861</v>
      </c>
      <c r="X56" s="560">
        <f ca="1">IFERROR(X53/X47,0)*IF(Параметры!X46&gt;=$B$67,1,0)</f>
        <v>619.92214439012753</v>
      </c>
      <c r="Y56" s="560">
        <f ca="1">IFERROR(Y53/Y47,0)*IF(Параметры!Y46&gt;=$B$67,1,0)</f>
        <v>626.17301574486578</v>
      </c>
      <c r="Z56" s="560">
        <f ca="1">IFERROR(Z53/Z47,0)*IF(Параметры!Z46&gt;=$B$67,1,0)</f>
        <v>632.3839711063747</v>
      </c>
      <c r="AA56" s="560">
        <f ca="1">IFERROR(AA53/AA47,0)*IF(Параметры!AA46&gt;=$B$67,1,0)</f>
        <v>638.69092917055434</v>
      </c>
      <c r="AB56" s="560">
        <f ca="1">IFERROR(AB53/AB47,0)*IF(Параметры!AB46&gt;=$B$67,1,0)</f>
        <v>645.09540955345028</v>
      </c>
      <c r="AC56" s="560">
        <f ca="1">IFERROR(AC53/AC47,0)*IF(Параметры!AC46&gt;=$B$67,1,0)</f>
        <v>651.59895635153487</v>
      </c>
      <c r="AD56" s="560">
        <f ca="1">IFERROR(AD53/AD47,0)*IF(Параметры!AD46&gt;=$B$67,1,0)</f>
        <v>658.13876120357907</v>
      </c>
      <c r="AE56" s="560">
        <f ca="1">IFERROR(AE53/AE47,0)*IF(Параметры!AE46&gt;=$B$67,1,0)</f>
        <v>664.7788102354973</v>
      </c>
      <c r="AF56" s="560">
        <f ca="1">IFERROR(AF53/AF47,0)*IF(Параметры!AF46&gt;=$B$67,1,0)</f>
        <v>671.52067640617815</v>
      </c>
      <c r="AG56" s="560">
        <f ca="1">IFERROR(AG53/AG47,0)*IF(Параметры!AG46&gt;=$B$67,1,0)</f>
        <v>678.36595778616356</v>
      </c>
      <c r="AH56" s="560">
        <f ca="1">IFERROR(AH53/AH47,0)*IF(Параметры!AH46&gt;=$B$67,1,0)</f>
        <v>685.30142655683574</v>
      </c>
      <c r="AI56" s="560">
        <f ca="1">IFERROR(AI53/AI47,0)*IF(Параметры!AI46&gt;=$B$67,1,0)</f>
        <v>692.34301533358712</v>
      </c>
      <c r="AJ56" s="560">
        <f ca="1">IFERROR(AJ53/AJ47,0)*IF(Параметры!AJ46&gt;=$B$67,1,0)</f>
        <v>664.84926218264729</v>
      </c>
      <c r="AK56" s="560">
        <f ca="1">IFERROR(AK53/AK47,0)*IF(Параметры!AK46&gt;=$B$67,1,0)</f>
        <v>672.1080988806591</v>
      </c>
      <c r="AL56" s="560">
        <f ca="1">IFERROR(AL53/AL47,0)*IF(Параметры!AL46&gt;=$B$67,1,0)</f>
        <v>679.47664608001105</v>
      </c>
      <c r="AM56" s="560">
        <f ca="1">IFERROR(AM53/AM47,0)*IF(Параметры!AM46&gt;=$B$67,1,0)</f>
        <v>698.52938489331052</v>
      </c>
      <c r="AN56" s="560">
        <f ca="1">IFERROR(AN53/AN47,0)*IF(Параметры!AN46&gt;=$B$67,1,0)</f>
        <v>706.18205689716297</v>
      </c>
      <c r="AO56" s="560">
        <f ca="1">IFERROR(AO53/AO47,0)*IF(Параметры!AO46&gt;=$B$67,1,0)</f>
        <v>713.95148833970927</v>
      </c>
      <c r="AP56" s="560">
        <f ca="1">IFERROR(AP53/AP47,0)*IF(Параметры!AP46&gt;=$B$67,1,0)</f>
        <v>703.8114780738332</v>
      </c>
      <c r="AQ56" s="560">
        <f ca="1">IFERROR(AQ53/AQ47,0)*IF(Параметры!AQ46&gt;=$B$67,1,0)</f>
        <v>896.8234331472255</v>
      </c>
      <c r="AR56" s="560">
        <f ca="1">IFERROR(AR53/AR47,0)*IF(Параметры!AR46&gt;=$B$67,1,0)</f>
        <v>905.85697118681014</v>
      </c>
      <c r="AT56" s="84"/>
    </row>
    <row r="57" spans="1:46" ht="22.5" x14ac:dyDescent="0.2">
      <c r="A57" s="586" t="s">
        <v>925</v>
      </c>
      <c r="B57" s="943">
        <f ca="1">'Таб. 18'!B48</f>
        <v>1.0610900866143933</v>
      </c>
      <c r="C57" s="266" t="s">
        <v>133</v>
      </c>
      <c r="D57" s="65"/>
      <c r="E57" s="235">
        <f>IFERROR(SUMIF(Параметры!$E$46:$AR$46,Параметры!D$46,Резиденты!$E$56:$AR$56)/SUMIF(Параметры!$E$46:$AR$46,Параметры!D$46-1,Резиденты!$E$56:$AR$56),0)</f>
        <v>0</v>
      </c>
      <c r="F57" s="235">
        <f ca="1">IFERROR(SUMIF(Параметры!$E$46:$AR$46,Параметры!E$46,Резиденты!$E$56:$AR$56)/SUMIF(Параметры!$E$46:$AR$46,Параметры!E$46-1,Резиденты!$E$56:$AR$56),0)</f>
        <v>0</v>
      </c>
      <c r="G57" s="235">
        <f ca="1">IFERROR(SUMIF(Параметры!$E$46:$AR$46,Параметры!F$46,Резиденты!$E$56:$AR$56)/SUMIF(Параметры!$E$46:$AR$46,Параметры!F$46-1,Резиденты!$E$56:$AR$56),0)</f>
        <v>0</v>
      </c>
      <c r="H57" s="235">
        <f ca="1">IFERROR(SUMIF(Параметры!$E$46:$AR$46,Параметры!G$46,Резиденты!$E$56:$AR$56)/SUMIF(Параметры!$E$46:$AR$46,Параметры!G$46-1,Резиденты!$E$56:$AR$56),0)</f>
        <v>0</v>
      </c>
      <c r="I57" s="235">
        <f ca="1">IFERROR(SUMIF(Параметры!$E$46:$AR$46,Параметры!H$46,Резиденты!$E$56:$AR$56)/SUMIF(Параметры!$E$46:$AR$46,Параметры!H$46-1,Резиденты!$E$56:$AR$56),0)</f>
        <v>0</v>
      </c>
      <c r="J57" s="235">
        <f ca="1">IFERROR(SUMIF(Параметры!$E$46:$AR$46,Параметры!I$46,Резиденты!$E$56:$AR$56)/SUMIF(Параметры!$E$46:$AR$46,Параметры!I$46-1,Резиденты!$E$56:$AR$56),0)</f>
        <v>0</v>
      </c>
      <c r="K57" s="235">
        <f ca="1">IFERROR(SUMIF(Параметры!$E$46:$AR$46,Параметры!J$46,Резиденты!$E$56:$AR$56)/SUMIF(Параметры!$E$46:$AR$46,Параметры!J$46-1,Резиденты!$E$56:$AR$56),0)</f>
        <v>0</v>
      </c>
      <c r="L57" s="235">
        <f ca="1">IFERROR(SUMIF(Параметры!$E$46:$AR$46,Параметры!K$46,Резиденты!$E$56:$AR$56)/SUMIF(Параметры!$E$46:$AR$46,Параметры!K$46-1,Резиденты!$E$56:$AR$56),0)</f>
        <v>0</v>
      </c>
      <c r="M57" s="235">
        <f ca="1">IFERROR(SUMIF(Параметры!$E$46:$AR$46,Параметры!L$46,Резиденты!$E$56:$AR$56)/SUMIF(Параметры!$E$46:$AR$46,Параметры!L$46-1,Резиденты!$E$56:$AR$56),0)</f>
        <v>0</v>
      </c>
      <c r="N57" s="235">
        <f ca="1">IFERROR(SUMIF(Параметры!$E$46:$AR$46,Параметры!M$46,Резиденты!$E$56:$AR$56)/SUMIF(Параметры!$E$46:$AR$46,Параметры!M$46-1,Резиденты!$E$56:$AR$56),0)</f>
        <v>0</v>
      </c>
      <c r="O57" s="235">
        <f ca="1">IFERROR(SUMIF(Параметры!$E$46:$AR$46,Параметры!N$46,Резиденты!$E$56:$AR$56)/SUMIF(Параметры!$E$46:$AR$46,Параметры!N$46-1,Резиденты!$E$56:$AR$56),0)</f>
        <v>0</v>
      </c>
      <c r="P57" s="235">
        <f ca="1">IFERROR(SUMIF(Параметры!$E$46:$AR$46,Параметры!O$46,Резиденты!$E$56:$AR$56)/SUMIF(Параметры!$E$46:$AR$46,Параметры!O$46-1,Резиденты!$E$56:$AR$56),0)</f>
        <v>0</v>
      </c>
      <c r="Q57" s="235">
        <f ca="1">IFERROR(SUMIF(Параметры!$E$46:$AR$46,Параметры!P$46,Резиденты!$E$56:$AR$56)/SUMIF(Параметры!$E$46:$AR$46,Параметры!P$46-1,Резиденты!$E$56:$AR$56),0)</f>
        <v>0</v>
      </c>
      <c r="R57" s="235">
        <f ca="1">IFERROR(SUMIF(Параметры!$E$46:$AR$46,Параметры!Q$46,Резиденты!$E$56:$AR$56)/SUMIF(Параметры!$E$46:$AR$46,Параметры!Q$46-1,Резиденты!$E$56:$AR$56),0)</f>
        <v>0</v>
      </c>
      <c r="S57" s="235">
        <f ca="1">IFERROR(SUMIF(Параметры!$E$46:$AR$46,Параметры!R$46,Резиденты!$E$56:$AR$56)/SUMIF(Параметры!$E$46:$AR$46,Параметры!R$46-1,Резиденты!$E$56:$AR$56),0)</f>
        <v>0</v>
      </c>
      <c r="T57" s="235">
        <f ca="1">IFERROR(SUMIF(Параметры!$E$46:$AR$46,Параметры!S$46,Резиденты!$E$56:$AR$56)/SUMIF(Параметры!$E$46:$AR$46,Параметры!S$46-1,Резиденты!$E$56:$AR$56),0)</f>
        <v>0</v>
      </c>
      <c r="U57" s="235">
        <f ca="1">IFERROR(SUMIF(Параметры!$E$46:$AR$46,Параметры!T$46,Резиденты!$E$56:$AR$56)/SUMIF(Параметры!$E$46:$AR$46,Параметры!T$46-1,Резиденты!$E$56:$AR$56),0)</f>
        <v>0</v>
      </c>
      <c r="V57" s="235">
        <f ca="1">IFERROR(SUMIF(Параметры!$E$46:$AR$46,Параметры!U$46,Резиденты!$E$56:$AR$56)/SUMIF(Параметры!$E$46:$AR$46,Параметры!U$46-1,Резиденты!$E$56:$AR$56),0)</f>
        <v>1.0726412131900589</v>
      </c>
      <c r="W57" s="235">
        <f ca="1">IFERROR(SUMIF(Параметры!$E$46:$AR$46,Параметры!V$46,Резиденты!$E$56:$AR$56)/SUMIF(Параметры!$E$46:$AR$46,Параметры!V$46-1,Резиденты!$E$56:$AR$56),0)</f>
        <v>1.0726412131900589</v>
      </c>
      <c r="X57" s="235">
        <f ca="1">IFERROR(SUMIF(Параметры!$E$46:$AR$46,Параметры!W$46,Резиденты!$E$56:$AR$56)/SUMIF(Параметры!$E$46:$AR$46,Параметры!W$46-1,Резиденты!$E$56:$AR$56),0)</f>
        <v>1.0726412131900589</v>
      </c>
      <c r="Y57" s="235">
        <f ca="1">IFERROR(SUMIF(Параметры!$E$46:$AR$46,Параметры!X$46,Резиденты!$E$56:$AR$56)/SUMIF(Параметры!$E$46:$AR$46,Параметры!X$46-1,Резиденты!$E$56:$AR$56),0)</f>
        <v>1.0726412131900589</v>
      </c>
      <c r="Z57" s="235">
        <f ca="1">IFERROR(SUMIF(Параметры!$E$46:$AR$46,Параметры!Y$46,Резиденты!$E$56:$AR$56)/SUMIF(Параметры!$E$46:$AR$46,Параметры!Y$46-1,Резиденты!$E$56:$AR$56),0)</f>
        <v>1.0504553442121023</v>
      </c>
      <c r="AA57" s="235">
        <f ca="1">IFERROR(SUMIF(Параметры!$E$46:$AR$46,Параметры!Z$46,Резиденты!$E$56:$AR$56)/SUMIF(Параметры!$E$46:$AR$46,Параметры!Z$46-1,Резиденты!$E$56:$AR$56),0)</f>
        <v>1.0504553442121023</v>
      </c>
      <c r="AB57" s="235">
        <f ca="1">IFERROR(SUMIF(Параметры!$E$46:$AR$46,Параметры!AA$46,Резиденты!$E$56:$AR$56)/SUMIF(Параметры!$E$46:$AR$46,Параметры!AA$46-1,Резиденты!$E$56:$AR$56),0)</f>
        <v>1.0504553442121023</v>
      </c>
      <c r="AC57" s="235">
        <f ca="1">IFERROR(SUMIF(Параметры!$E$46:$AR$46,Параметры!AB$46,Резиденты!$E$56:$AR$56)/SUMIF(Параметры!$E$46:$AR$46,Параметры!AB$46-1,Резиденты!$E$56:$AR$56),0)</f>
        <v>1.0504553442121023</v>
      </c>
      <c r="AD57" s="235">
        <f ca="1">IFERROR(SUMIF(Параметры!$E$46:$AR$46,Параметры!AC$46,Резиденты!$E$56:$AR$56)/SUMIF(Параметры!$E$46:$AR$46,Параметры!AC$46-1,Резиденты!$E$56:$AR$56),0)</f>
        <v>1.0407867330814109</v>
      </c>
      <c r="AE57" s="235">
        <f ca="1">IFERROR(SUMIF(Параметры!$E$46:$AR$46,Параметры!AD$46,Резиденты!$E$56:$AR$56)/SUMIF(Параметры!$E$46:$AR$46,Параметры!AD$46-1,Резиденты!$E$56:$AR$56),0)</f>
        <v>1.0407867330814109</v>
      </c>
      <c r="AF57" s="235">
        <f ca="1">IFERROR(SUMIF(Параметры!$E$46:$AR$46,Параметры!AE$46,Резиденты!$E$56:$AR$56)/SUMIF(Параметры!$E$46:$AR$46,Параметры!AE$46-1,Резиденты!$E$56:$AR$56),0)</f>
        <v>1.0407867330814109</v>
      </c>
      <c r="AG57" s="235">
        <f ca="1">IFERROR(SUMIF(Параметры!$E$46:$AR$46,Параметры!AF$46,Резиденты!$E$56:$AR$56)/SUMIF(Параметры!$E$46:$AR$46,Параметры!AF$46-1,Резиденты!$E$56:$AR$56),0)</f>
        <v>1.0407867330814109</v>
      </c>
      <c r="AH57" s="235">
        <f ca="1">IFERROR(SUMIF(Параметры!$E$46:$AR$46,Параметры!AG$46,Резиденты!$E$56:$AR$56)/SUMIF(Параметры!$E$46:$AR$46,Параметры!AG$46-1,Резиденты!$E$56:$AR$56),0)</f>
        <v>1.0282771752202768</v>
      </c>
      <c r="AI57" s="235">
        <f ca="1">IFERROR(SUMIF(Параметры!$E$46:$AR$46,Параметры!AH$46,Резиденты!$E$56:$AR$56)/SUMIF(Параметры!$E$46:$AR$46,Параметры!AH$46-1,Резиденты!$E$56:$AR$56),0)</f>
        <v>1.0282771752202768</v>
      </c>
      <c r="AJ57" s="235">
        <f ca="1">IFERROR(SUMIF(Параметры!$E$46:$AR$46,Параметры!AI$46,Резиденты!$E$56:$AR$56)/SUMIF(Параметры!$E$46:$AR$46,Параметры!AI$46-1,Резиденты!$E$56:$AR$56),0)</f>
        <v>1.0282771752202768</v>
      </c>
      <c r="AK57" s="235">
        <f ca="1">IFERROR(SUMIF(Параметры!$E$46:$AR$46,Параметры!AJ$46,Резиденты!$E$56:$AR$56)/SUMIF(Параметры!$E$46:$AR$46,Параметры!AJ$46-1,Резиденты!$E$56:$AR$56),0)</f>
        <v>1.0282771752202768</v>
      </c>
      <c r="AL57" s="235">
        <f ca="1">IFERROR(SUMIF(Параметры!$E$46:$AR$46,Параметры!AK$46,Резиденты!$E$56:$AR$56)/SUMIF(Параметры!$E$46:$AR$46,Параметры!AK$46-1,Резиденты!$E$56:$AR$56),0)</f>
        <v>1.0130240178825303</v>
      </c>
      <c r="AM57" s="235">
        <f ca="1">IFERROR(SUMIF(Параметры!$E$46:$AR$46,Параметры!AL$46,Резиденты!$E$56:$AR$56)/SUMIF(Параметры!$E$46:$AR$46,Параметры!AL$46-1,Резиденты!$E$56:$AR$56),0)</f>
        <v>1.0130240178825303</v>
      </c>
      <c r="AN57" s="235">
        <f ca="1">IFERROR(SUMIF(Параметры!$E$46:$AR$46,Параметры!AM$46,Резиденты!$E$56:$AR$56)/SUMIF(Параметры!$E$46:$AR$46,Параметры!AM$46-1,Резиденты!$E$56:$AR$56),0)</f>
        <v>1.0130240178825303</v>
      </c>
      <c r="AO57" s="235">
        <f ca="1">IFERROR(SUMIF(Параметры!$E$46:$AR$46,Параметры!AN$46,Резиденты!$E$56:$AR$56)/SUMIF(Параметры!$E$46:$AR$46,Параметры!AN$46-1,Резиденты!$E$56:$AR$56),0)</f>
        <v>1.0130240178825303</v>
      </c>
      <c r="AP57" s="235">
        <f ca="1">IFERROR(SUMIF(Параметры!$E$46:$AR$46,Параметры!AO$46,Резиденты!$E$56:$AR$56)/SUMIF(Параметры!$E$46:$AR$46,Параметры!AO$46-1,Резиденты!$E$56:$AR$56),0)</f>
        <v>1.1683952494755387</v>
      </c>
      <c r="AQ57" s="235">
        <f ca="1">IFERROR(SUMIF(Параметры!$E$46:$AR$46,Параметры!AP$46,Резиденты!$E$56:$AR$56)/SUMIF(Параметры!$E$46:$AR$46,Параметры!AP$46-1,Резиденты!$E$56:$AR$56),0)</f>
        <v>1.1683952494755387</v>
      </c>
      <c r="AR57" s="235">
        <f ca="1">IFERROR(SUMIF(Параметры!$E$46:$AR$46,Параметры!AQ$46,Резиденты!$E$56:$AR$56)/SUMIF(Параметры!$E$46:$AR$46,Параметры!AQ$46-1,Резиденты!$E$56:$AR$56),0)</f>
        <v>1.1683952494755387</v>
      </c>
      <c r="AT57" s="84"/>
    </row>
    <row r="58" spans="1:46" x14ac:dyDescent="0.2">
      <c r="A58" s="50"/>
      <c r="B58" s="443"/>
    </row>
    <row r="59" spans="1:46" ht="19.5" x14ac:dyDescent="0.2">
      <c r="A59" s="50" t="s">
        <v>664</v>
      </c>
      <c r="B59" s="436" t="s">
        <v>1097</v>
      </c>
    </row>
    <row r="60" spans="1:46" x14ac:dyDescent="0.2">
      <c r="A60" s="66" t="s">
        <v>320</v>
      </c>
      <c r="B60" s="443">
        <f ca="1">IFERROR(AVERAGEIF(Параметры!$E$46:OFFSET(Параметры!$E$46,0,Параметры!$B$24-1),"&gt;=" &amp; Деятельность_УК!$B$9,E60:OFFSET(E60,0,Параметры!$B$24-1))*Параметры!$B$13/Параметры!$B$12,0)</f>
        <v>510412.66857261176</v>
      </c>
      <c r="C60" s="266" t="str">
        <f>Параметры!$C$126</f>
        <v>тыс. руб.</v>
      </c>
      <c r="D60" s="65"/>
      <c r="E60" s="82">
        <f ca="1">E232</f>
        <v>0</v>
      </c>
      <c r="F60" s="82">
        <f t="shared" ref="F60:AR60" ca="1" si="53">F232</f>
        <v>0</v>
      </c>
      <c r="G60" s="82">
        <f t="shared" ca="1" si="53"/>
        <v>0</v>
      </c>
      <c r="H60" s="82">
        <f t="shared" ca="1" si="53"/>
        <v>0</v>
      </c>
      <c r="I60" s="82">
        <f t="shared" ca="1" si="53"/>
        <v>1000.0318861108526</v>
      </c>
      <c r="J60" s="82">
        <f t="shared" ca="1" si="53"/>
        <v>1000.0318861108526</v>
      </c>
      <c r="K60" s="82">
        <f t="shared" ca="1" si="53"/>
        <v>1009.441750841768</v>
      </c>
      <c r="L60" s="82">
        <f t="shared" ca="1" si="53"/>
        <v>1018.9401583036547</v>
      </c>
      <c r="M60" s="82">
        <f t="shared" ca="1" si="53"/>
        <v>1028.5279416450671</v>
      </c>
      <c r="N60" s="82">
        <f t="shared" ca="1" si="53"/>
        <v>18541.51981909055</v>
      </c>
      <c r="O60" s="82">
        <f t="shared" ca="1" si="53"/>
        <v>1594.6509547354606</v>
      </c>
      <c r="P60" s="82">
        <f t="shared" ca="1" si="53"/>
        <v>1612.4299840332176</v>
      </c>
      <c r="Q60" s="82">
        <f t="shared" ca="1" si="53"/>
        <v>1630.4072346921009</v>
      </c>
      <c r="R60" s="82">
        <f t="shared" ca="1" si="53"/>
        <v>10778.318262033543</v>
      </c>
      <c r="S60" s="82">
        <f t="shared" ca="1" si="53"/>
        <v>27253.662425870105</v>
      </c>
      <c r="T60" s="82">
        <f t="shared" ca="1" si="53"/>
        <v>33048.408915747459</v>
      </c>
      <c r="U60" s="82">
        <f t="shared" ca="1" si="53"/>
        <v>33376.232728754119</v>
      </c>
      <c r="V60" s="82">
        <f t="shared" ca="1" si="53"/>
        <v>179571.12770309133</v>
      </c>
      <c r="W60" s="82">
        <f t="shared" ca="1" si="53"/>
        <v>40289.666342360943</v>
      </c>
      <c r="X60" s="82">
        <f t="shared" ca="1" si="53"/>
        <v>40870.272412639461</v>
      </c>
      <c r="Y60" s="82">
        <f t="shared" ca="1" si="53"/>
        <v>58019.532144945959</v>
      </c>
      <c r="Z60" s="82">
        <f t="shared" ca="1" si="53"/>
        <v>56191.685286976746</v>
      </c>
      <c r="AA60" s="82">
        <f t="shared" ca="1" si="53"/>
        <v>56754.402000296453</v>
      </c>
      <c r="AB60" s="82">
        <f t="shared" ca="1" si="53"/>
        <v>58616.270535928335</v>
      </c>
      <c r="AC60" s="82">
        <f t="shared" ca="1" si="53"/>
        <v>66696.851876083965</v>
      </c>
      <c r="AD60" s="82">
        <f t="shared" ca="1" si="53"/>
        <v>67373.978658580527</v>
      </c>
      <c r="AE60" s="82">
        <f t="shared" ca="1" si="53"/>
        <v>68054.644233667685</v>
      </c>
      <c r="AF60" s="82">
        <f t="shared" ca="1" si="53"/>
        <v>104725.79485111606</v>
      </c>
      <c r="AG60" s="82">
        <f t="shared" ca="1" si="53"/>
        <v>209509.76359310866</v>
      </c>
      <c r="AH60" s="82">
        <f t="shared" ca="1" si="53"/>
        <v>211649.23232133407</v>
      </c>
      <c r="AI60" s="82">
        <f t="shared" ca="1" si="53"/>
        <v>213817.01898724452</v>
      </c>
      <c r="AJ60" s="82">
        <f t="shared" ca="1" si="53"/>
        <v>216017.72361306654</v>
      </c>
      <c r="AK60" s="82">
        <f t="shared" ca="1" si="53"/>
        <v>207713.4204561362</v>
      </c>
      <c r="AL60" s="82">
        <f t="shared" ca="1" si="53"/>
        <v>148160.29684353896</v>
      </c>
      <c r="AM60" s="82">
        <f t="shared" ca="1" si="53"/>
        <v>192220.66503643719</v>
      </c>
      <c r="AN60" s="82">
        <f t="shared" ca="1" si="53"/>
        <v>218400.78598282175</v>
      </c>
      <c r="AO60" s="82">
        <f t="shared" ca="1" si="53"/>
        <v>220795.41081687395</v>
      </c>
      <c r="AP60" s="82">
        <f t="shared" ca="1" si="53"/>
        <v>120523.42798072219</v>
      </c>
      <c r="AQ60" s="82">
        <f t="shared" ca="1" si="53"/>
        <v>118965.7543799453</v>
      </c>
      <c r="AR60" s="82">
        <f t="shared" ca="1" si="53"/>
        <v>154162.05264999974</v>
      </c>
      <c r="AT60" s="84">
        <f t="shared" ref="AT60:AT64" ca="1" si="54">SUM(E60:AS60)</f>
        <v>3161992.3826548848</v>
      </c>
    </row>
    <row r="61" spans="1:46" x14ac:dyDescent="0.2">
      <c r="A61" s="66" t="s">
        <v>321</v>
      </c>
      <c r="B61" s="443">
        <f ca="1">IFERROR(AVERAGEIF(Параметры!$E$46:OFFSET(Параметры!$E$46,0,Параметры!$B$24-1),"&gt;=" &amp; Деятельность_УК!$B$9,E61:OFFSET(E61,0,Параметры!$B$24-1))*Параметры!$B$13/Параметры!$B$12,0)</f>
        <v>356700.58716500091</v>
      </c>
      <c r="C61" s="266" t="str">
        <f>Параметры!$C$126</f>
        <v>тыс. руб.</v>
      </c>
      <c r="D61" s="65"/>
      <c r="E61" s="82">
        <f ca="1">E236</f>
        <v>0</v>
      </c>
      <c r="F61" s="82">
        <f t="shared" ref="F61:AR61" ca="1" si="55">F236</f>
        <v>0</v>
      </c>
      <c r="G61" s="82">
        <f t="shared" ca="1" si="55"/>
        <v>0</v>
      </c>
      <c r="H61" s="82">
        <f t="shared" ca="1" si="55"/>
        <v>5107.8812850000004</v>
      </c>
      <c r="I61" s="82">
        <f t="shared" ca="1" si="55"/>
        <v>10774.728639628165</v>
      </c>
      <c r="J61" s="82">
        <f t="shared" ca="1" si="55"/>
        <v>10856.557612586726</v>
      </c>
      <c r="K61" s="82">
        <f t="shared" ca="1" si="55"/>
        <v>10993.020063951368</v>
      </c>
      <c r="L61" s="82">
        <f t="shared" ca="1" si="55"/>
        <v>11131.31617004297</v>
      </c>
      <c r="M61" s="82">
        <f t="shared" ca="1" si="55"/>
        <v>11271.471989462671</v>
      </c>
      <c r="N61" s="82">
        <f t="shared" ca="1" si="55"/>
        <v>14165.343173180901</v>
      </c>
      <c r="O61" s="82">
        <f t="shared" ca="1" si="55"/>
        <v>17458.167985867454</v>
      </c>
      <c r="P61" s="82">
        <f t="shared" ca="1" si="55"/>
        <v>17700.90647645128</v>
      </c>
      <c r="Q61" s="82">
        <f t="shared" ca="1" si="55"/>
        <v>17947.162165325193</v>
      </c>
      <c r="R61" s="82">
        <f t="shared" ca="1" si="55"/>
        <v>19663.46541557305</v>
      </c>
      <c r="S61" s="82">
        <f t="shared" ca="1" si="55"/>
        <v>21625.253722660724</v>
      </c>
      <c r="T61" s="82">
        <f t="shared" ca="1" si="55"/>
        <v>21926.361454520309</v>
      </c>
      <c r="U61" s="82">
        <f t="shared" ca="1" si="55"/>
        <v>22231.812973421984</v>
      </c>
      <c r="V61" s="82">
        <f t="shared" ca="1" si="55"/>
        <v>46611.660523370614</v>
      </c>
      <c r="W61" s="82">
        <f t="shared" ca="1" si="55"/>
        <v>75494.395565890329</v>
      </c>
      <c r="X61" s="82">
        <f t="shared" ca="1" si="55"/>
        <v>76563.035328239377</v>
      </c>
      <c r="Y61" s="82">
        <f t="shared" ca="1" si="55"/>
        <v>77647.335243580863</v>
      </c>
      <c r="Z61" s="82">
        <f t="shared" ca="1" si="55"/>
        <v>81163.894434627233</v>
      </c>
      <c r="AA61" s="82">
        <f t="shared" ca="1" si="55"/>
        <v>82273.672243363282</v>
      </c>
      <c r="AB61" s="82">
        <f t="shared" ca="1" si="55"/>
        <v>83399.286794014712</v>
      </c>
      <c r="AC61" s="82">
        <f t="shared" ca="1" si="55"/>
        <v>84540.973027396394</v>
      </c>
      <c r="AD61" s="82">
        <f t="shared" ca="1" si="55"/>
        <v>85692.502803245385</v>
      </c>
      <c r="AE61" s="82">
        <f t="shared" ca="1" si="55"/>
        <v>86855.534541541536</v>
      </c>
      <c r="AF61" s="82">
        <f t="shared" ca="1" si="55"/>
        <v>88035.037523285588</v>
      </c>
      <c r="AG61" s="82">
        <f t="shared" ca="1" si="55"/>
        <v>89231.254179760101</v>
      </c>
      <c r="AH61" s="82">
        <f t="shared" ca="1" si="55"/>
        <v>90441.642285038892</v>
      </c>
      <c r="AI61" s="82">
        <f t="shared" ca="1" si="55"/>
        <v>91671.480159964209</v>
      </c>
      <c r="AJ61" s="82">
        <f t="shared" ca="1" si="55"/>
        <v>92918.737766452861</v>
      </c>
      <c r="AK61" s="82">
        <f t="shared" ca="1" si="55"/>
        <v>94183.671119835664</v>
      </c>
      <c r="AL61" s="82">
        <f t="shared" ca="1" si="55"/>
        <v>95460.370065577998</v>
      </c>
      <c r="AM61" s="82">
        <f t="shared" ca="1" si="55"/>
        <v>96770.970004870498</v>
      </c>
      <c r="AN61" s="82">
        <f t="shared" ca="1" si="55"/>
        <v>102632.20493918024</v>
      </c>
      <c r="AO61" s="82">
        <f t="shared" ca="1" si="55"/>
        <v>103978.20823632486</v>
      </c>
      <c r="AP61" s="82">
        <f t="shared" ca="1" si="55"/>
        <v>105337.37411708337</v>
      </c>
      <c r="AQ61" s="82">
        <f t="shared" ca="1" si="55"/>
        <v>106716.68523175843</v>
      </c>
      <c r="AR61" s="82">
        <f t="shared" ca="1" si="55"/>
        <v>180351.78388218128</v>
      </c>
      <c r="AT61" s="84">
        <f t="shared" ca="1" si="54"/>
        <v>2330825.1591442563</v>
      </c>
    </row>
    <row r="62" spans="1:46" x14ac:dyDescent="0.2">
      <c r="A62" s="550" t="s">
        <v>665</v>
      </c>
      <c r="B62" s="443">
        <f ca="1">IFERROR(AVERAGEIF(Параметры!$E$46:OFFSET(Параметры!$E$46,0,Параметры!$B$24-1),"&gt;=" &amp; Деятельность_УК!$B$9,E62:OFFSET(E62,0,Параметры!$B$24-1))*Параметры!$B$13/Параметры!$B$12,0)</f>
        <v>28971.852934832157</v>
      </c>
      <c r="C62" s="266" t="str">
        <f>Параметры!$C$126</f>
        <v>тыс. руб.</v>
      </c>
      <c r="D62" s="65"/>
      <c r="E62" s="82">
        <f ca="1">E240</f>
        <v>0</v>
      </c>
      <c r="F62" s="82">
        <f t="shared" ref="F62:AR62" ca="1" si="56">F240</f>
        <v>0</v>
      </c>
      <c r="G62" s="82">
        <f t="shared" ca="1" si="56"/>
        <v>0</v>
      </c>
      <c r="H62" s="82">
        <f t="shared" ca="1" si="56"/>
        <v>901.39081499999998</v>
      </c>
      <c r="I62" s="82">
        <f t="shared" ca="1" si="56"/>
        <v>901.39081499999998</v>
      </c>
      <c r="J62" s="82">
        <f t="shared" ca="1" si="56"/>
        <v>915.83122199268735</v>
      </c>
      <c r="K62" s="82">
        <f t="shared" ca="1" si="56"/>
        <v>930.50296632612037</v>
      </c>
      <c r="L62" s="82">
        <f t="shared" ca="1" si="56"/>
        <v>945.40975405686947</v>
      </c>
      <c r="M62" s="82">
        <f t="shared" ca="1" si="56"/>
        <v>960.55535061305125</v>
      </c>
      <c r="N62" s="82">
        <f t="shared" ca="1" si="56"/>
        <v>1461.5605004719143</v>
      </c>
      <c r="O62" s="82">
        <f t="shared" ca="1" si="56"/>
        <v>1486.2022192411489</v>
      </c>
      <c r="P62" s="82">
        <f t="shared" ca="1" si="56"/>
        <v>1511.2593941640669</v>
      </c>
      <c r="Q62" s="82">
        <f t="shared" ca="1" si="56"/>
        <v>1536.739029777051</v>
      </c>
      <c r="R62" s="82">
        <f t="shared" ca="1" si="56"/>
        <v>1821.4383919154309</v>
      </c>
      <c r="S62" s="82">
        <f t="shared" ca="1" si="56"/>
        <v>1851.7604799191399</v>
      </c>
      <c r="T62" s="82">
        <f t="shared" ca="1" si="56"/>
        <v>1882.5873497617436</v>
      </c>
      <c r="U62" s="82">
        <f t="shared" ca="1" si="56"/>
        <v>1913.9274047136519</v>
      </c>
      <c r="V62" s="82">
        <f t="shared" ca="1" si="56"/>
        <v>6193.4340457325516</v>
      </c>
      <c r="W62" s="82">
        <f t="shared" ca="1" si="56"/>
        <v>6298.4872688201349</v>
      </c>
      <c r="X62" s="82">
        <f t="shared" ca="1" si="56"/>
        <v>6405.3224079820002</v>
      </c>
      <c r="Y62" s="82">
        <f t="shared" ca="1" si="56"/>
        <v>6513.9696881346454</v>
      </c>
      <c r="Z62" s="82">
        <f t="shared" ca="1" si="56"/>
        <v>6623.1023821945646</v>
      </c>
      <c r="AA62" s="82">
        <f t="shared" ca="1" si="56"/>
        <v>6734.0634459711064</v>
      </c>
      <c r="AB62" s="82">
        <f t="shared" ca="1" si="56"/>
        <v>6846.8835113097439</v>
      </c>
      <c r="AC62" s="82">
        <f t="shared" ca="1" si="56"/>
        <v>6961.5937232508204</v>
      </c>
      <c r="AD62" s="82">
        <f t="shared" ca="1" si="56"/>
        <v>7077.0845694040936</v>
      </c>
      <c r="AE62" s="82">
        <f t="shared" ca="1" si="56"/>
        <v>7194.4913756198821</v>
      </c>
      <c r="AF62" s="82">
        <f t="shared" ca="1" si="56"/>
        <v>7313.8459271269157</v>
      </c>
      <c r="AG62" s="82">
        <f t="shared" ca="1" si="56"/>
        <v>7435.1805364617621</v>
      </c>
      <c r="AH62" s="82">
        <f t="shared" ca="1" si="56"/>
        <v>7558.0359917631486</v>
      </c>
      <c r="AI62" s="82">
        <f t="shared" ca="1" si="56"/>
        <v>7682.9214533062523</v>
      </c>
      <c r="AJ62" s="82">
        <f t="shared" ca="1" si="56"/>
        <v>7809.8704639673851</v>
      </c>
      <c r="AK62" s="82">
        <f t="shared" ca="1" si="56"/>
        <v>7938.9171208697007</v>
      </c>
      <c r="AL62" s="82">
        <f t="shared" ca="1" si="56"/>
        <v>8069.0072519798159</v>
      </c>
      <c r="AM62" s="82">
        <f t="shared" ca="1" si="56"/>
        <v>8201.2290897137154</v>
      </c>
      <c r="AN62" s="82">
        <f t="shared" ca="1" si="56"/>
        <v>8335.6175650311216</v>
      </c>
      <c r="AO62" s="82">
        <f t="shared" ca="1" si="56"/>
        <v>8472.2081812838169</v>
      </c>
      <c r="AP62" s="82">
        <f t="shared" ca="1" si="56"/>
        <v>8609.9262954154274</v>
      </c>
      <c r="AQ62" s="82">
        <f t="shared" ca="1" si="56"/>
        <v>8749.8830560196147</v>
      </c>
      <c r="AR62" s="82">
        <f t="shared" ca="1" si="56"/>
        <v>8892.1148529210641</v>
      </c>
      <c r="AT62" s="84">
        <f t="shared" ca="1" si="54"/>
        <v>190937.74589723215</v>
      </c>
    </row>
    <row r="63" spans="1:46" x14ac:dyDescent="0.2">
      <c r="A63" s="550" t="s">
        <v>359</v>
      </c>
      <c r="B63" s="443">
        <f ca="1">IFERROR(AVERAGEIF(Параметры!$E$46:OFFSET(Параметры!$E$46,0,Параметры!$B$24-1),"&gt;=" &amp; Деятельность_УК!$B$9,E63:OFFSET(E63,0,Параметры!$B$24-1))*Параметры!$B$13/Параметры!$B$12,0)</f>
        <v>448524.36053871439</v>
      </c>
      <c r="C63" s="266" t="str">
        <f>Параметры!$C$126</f>
        <v>тыс. руб.</v>
      </c>
      <c r="D63" s="65"/>
      <c r="E63" s="82">
        <f ca="1">E242</f>
        <v>0</v>
      </c>
      <c r="F63" s="82">
        <f t="shared" ref="F63:AR63" ca="1" si="57">F242</f>
        <v>0</v>
      </c>
      <c r="G63" s="82">
        <f t="shared" ca="1" si="57"/>
        <v>0</v>
      </c>
      <c r="H63" s="82">
        <f t="shared" ca="1" si="57"/>
        <v>9429.9346800000003</v>
      </c>
      <c r="I63" s="82">
        <f t="shared" ca="1" si="57"/>
        <v>14144.902020000001</v>
      </c>
      <c r="J63" s="82">
        <f t="shared" ca="1" si="57"/>
        <v>14295.97089315427</v>
      </c>
      <c r="K63" s="82">
        <f t="shared" ca="1" si="57"/>
        <v>14524.994347373471</v>
      </c>
      <c r="L63" s="82">
        <f t="shared" ca="1" si="57"/>
        <v>14757.686789377727</v>
      </c>
      <c r="M63" s="82">
        <f t="shared" ca="1" si="57"/>
        <v>14994.106996864775</v>
      </c>
      <c r="N63" s="82">
        <f t="shared" ca="1" si="57"/>
        <v>20314.614761989837</v>
      </c>
      <c r="O63" s="82">
        <f t="shared" ca="1" si="57"/>
        <v>23193.047372991266</v>
      </c>
      <c r="P63" s="82">
        <f t="shared" ca="1" si="57"/>
        <v>23584.079116516248</v>
      </c>
      <c r="Q63" s="82">
        <f t="shared" ca="1" si="57"/>
        <v>23981.703604064263</v>
      </c>
      <c r="R63" s="82">
        <f t="shared" ca="1" si="57"/>
        <v>27093.375025026002</v>
      </c>
      <c r="S63" s="82">
        <f t="shared" ca="1" si="57"/>
        <v>28899.787378404028</v>
      </c>
      <c r="T63" s="82">
        <f t="shared" ca="1" si="57"/>
        <v>29380.891707853742</v>
      </c>
      <c r="U63" s="82">
        <f t="shared" ca="1" si="57"/>
        <v>29870.005140373476</v>
      </c>
      <c r="V63" s="82">
        <f t="shared" ca="1" si="57"/>
        <v>74804.161056935031</v>
      </c>
      <c r="W63" s="82">
        <f t="shared" ca="1" si="57"/>
        <v>98288.291051488617</v>
      </c>
      <c r="X63" s="82">
        <f t="shared" ca="1" si="57"/>
        <v>99955.460135793954</v>
      </c>
      <c r="Y63" s="82">
        <f t="shared" ca="1" si="57"/>
        <v>101650.90779454523</v>
      </c>
      <c r="Z63" s="82">
        <f t="shared" ca="1" si="57"/>
        <v>103360.91252089362</v>
      </c>
      <c r="AA63" s="82">
        <f t="shared" ca="1" si="57"/>
        <v>105092.58389548468</v>
      </c>
      <c r="AB63" s="82">
        <f t="shared" ca="1" si="57"/>
        <v>106853.2670664739</v>
      </c>
      <c r="AC63" s="82">
        <f t="shared" ca="1" si="57"/>
        <v>108643.44808701338</v>
      </c>
      <c r="AD63" s="82">
        <f t="shared" ca="1" si="57"/>
        <v>110451.6826630779</v>
      </c>
      <c r="AE63" s="82">
        <f t="shared" ca="1" si="57"/>
        <v>112284.04444644481</v>
      </c>
      <c r="AF63" s="82">
        <f t="shared" ca="1" si="57"/>
        <v>114146.80458703171</v>
      </c>
      <c r="AG63" s="82">
        <f t="shared" ca="1" si="57"/>
        <v>116040.46738487922</v>
      </c>
      <c r="AH63" s="82">
        <f t="shared" ca="1" si="57"/>
        <v>117960.39779686063</v>
      </c>
      <c r="AI63" s="82">
        <f t="shared" ca="1" si="57"/>
        <v>119909.52039150342</v>
      </c>
      <c r="AJ63" s="82">
        <f t="shared" ca="1" si="57"/>
        <v>121890.8493787992</v>
      </c>
      <c r="AK63" s="82">
        <f t="shared" ca="1" si="57"/>
        <v>123904.91692215859</v>
      </c>
      <c r="AL63" s="82">
        <f t="shared" ca="1" si="57"/>
        <v>125940.8731144919</v>
      </c>
      <c r="AM63" s="82">
        <f t="shared" ca="1" si="57"/>
        <v>128004.58841043789</v>
      </c>
      <c r="AN63" s="82">
        <f t="shared" ca="1" si="57"/>
        <v>130102.12053421271</v>
      </c>
      <c r="AO63" s="82">
        <f t="shared" ca="1" si="57"/>
        <v>132234.0236212858</v>
      </c>
      <c r="AP63" s="82">
        <f t="shared" ca="1" si="57"/>
        <v>134389.24096183057</v>
      </c>
      <c r="AQ63" s="82">
        <f t="shared" ca="1" si="57"/>
        <v>136573.77566976284</v>
      </c>
      <c r="AR63" s="82">
        <f t="shared" ca="1" si="57"/>
        <v>138793.82060050758</v>
      </c>
      <c r="AT63" s="84">
        <f t="shared" ca="1" si="54"/>
        <v>2949741.2579259025</v>
      </c>
    </row>
    <row r="64" spans="1:46" s="60" customFormat="1" x14ac:dyDescent="0.2">
      <c r="A64" s="50" t="s">
        <v>489</v>
      </c>
      <c r="B64" s="443">
        <f ca="1">IFERROR(AVERAGEIF(Параметры!$E$46:OFFSET(Параметры!$E$46,0,Параметры!$B$24-1),"&gt;=" &amp; Деятельность_УК!$B$9,E64:OFFSET(E64,0,Параметры!$B$24-1))*Параметры!$B$13/Параметры!$B$12,0)</f>
        <v>1344609.4692111595</v>
      </c>
      <c r="C64" s="224" t="str">
        <f>Параметры!$C$126</f>
        <v>тыс. руб.</v>
      </c>
      <c r="D64" s="159"/>
      <c r="E64" s="85">
        <f ca="1">SUM(E60:E63)</f>
        <v>0</v>
      </c>
      <c r="F64" s="85">
        <f t="shared" ref="F64:AR64" ca="1" si="58">SUM(F60:F63)</f>
        <v>0</v>
      </c>
      <c r="G64" s="85">
        <f t="shared" ca="1" si="58"/>
        <v>0</v>
      </c>
      <c r="H64" s="85">
        <f t="shared" ca="1" si="58"/>
        <v>15439.20678</v>
      </c>
      <c r="I64" s="85">
        <f t="shared" ca="1" si="58"/>
        <v>26821.053360739017</v>
      </c>
      <c r="J64" s="85">
        <f t="shared" ca="1" si="58"/>
        <v>27068.391613844535</v>
      </c>
      <c r="K64" s="85">
        <f t="shared" ca="1" si="58"/>
        <v>27457.95912849273</v>
      </c>
      <c r="L64" s="85">
        <f t="shared" ca="1" si="58"/>
        <v>27853.352871781222</v>
      </c>
      <c r="M64" s="85">
        <f t="shared" ca="1" si="58"/>
        <v>28254.662278585565</v>
      </c>
      <c r="N64" s="85">
        <f t="shared" ca="1" si="58"/>
        <v>54483.038254733197</v>
      </c>
      <c r="O64" s="85">
        <f t="shared" ca="1" si="58"/>
        <v>43732.068532835328</v>
      </c>
      <c r="P64" s="85">
        <f t="shared" ca="1" si="58"/>
        <v>44408.674971164815</v>
      </c>
      <c r="Q64" s="85">
        <f t="shared" ca="1" si="58"/>
        <v>45096.012033858613</v>
      </c>
      <c r="R64" s="85">
        <f t="shared" ca="1" si="58"/>
        <v>59356.597094548022</v>
      </c>
      <c r="S64" s="85">
        <f t="shared" ca="1" si="58"/>
        <v>79630.464006853988</v>
      </c>
      <c r="T64" s="85">
        <f t="shared" ca="1" si="58"/>
        <v>86238.249427883246</v>
      </c>
      <c r="U64" s="85">
        <f t="shared" ca="1" si="58"/>
        <v>87391.978247263236</v>
      </c>
      <c r="V64" s="85">
        <f t="shared" ca="1" si="58"/>
        <v>307180.38332912955</v>
      </c>
      <c r="W64" s="85">
        <f t="shared" ca="1" si="58"/>
        <v>220370.84022856003</v>
      </c>
      <c r="X64" s="85">
        <f t="shared" ca="1" si="58"/>
        <v>223794.09028465481</v>
      </c>
      <c r="Y64" s="85">
        <f t="shared" ca="1" si="58"/>
        <v>243831.7448712067</v>
      </c>
      <c r="Z64" s="85">
        <f t="shared" ca="1" si="58"/>
        <v>247339.59462469217</v>
      </c>
      <c r="AA64" s="85">
        <f t="shared" ca="1" si="58"/>
        <v>250854.72158511553</v>
      </c>
      <c r="AB64" s="85">
        <f t="shared" ca="1" si="58"/>
        <v>255715.7079077267</v>
      </c>
      <c r="AC64" s="85">
        <f t="shared" ca="1" si="58"/>
        <v>266842.86671374459</v>
      </c>
      <c r="AD64" s="85">
        <f t="shared" ca="1" si="58"/>
        <v>270595.24869430787</v>
      </c>
      <c r="AE64" s="85">
        <f t="shared" ca="1" si="58"/>
        <v>274388.71459727397</v>
      </c>
      <c r="AF64" s="85">
        <f t="shared" ca="1" si="58"/>
        <v>314221.48288856028</v>
      </c>
      <c r="AG64" s="85">
        <f t="shared" ca="1" si="58"/>
        <v>422216.66569420975</v>
      </c>
      <c r="AH64" s="85">
        <f t="shared" ca="1" si="58"/>
        <v>427609.3083949968</v>
      </c>
      <c r="AI64" s="85">
        <f t="shared" ca="1" si="58"/>
        <v>433080.94099201844</v>
      </c>
      <c r="AJ64" s="85">
        <f t="shared" ca="1" si="58"/>
        <v>438637.18122228602</v>
      </c>
      <c r="AK64" s="85">
        <f t="shared" ca="1" si="58"/>
        <v>433740.9256190001</v>
      </c>
      <c r="AL64" s="85">
        <f t="shared" ca="1" si="58"/>
        <v>377630.54727558867</v>
      </c>
      <c r="AM64" s="85">
        <f t="shared" ca="1" si="58"/>
        <v>425197.45254145924</v>
      </c>
      <c r="AN64" s="85">
        <f t="shared" ca="1" si="58"/>
        <v>459470.72902124585</v>
      </c>
      <c r="AO64" s="85">
        <f t="shared" ca="1" si="58"/>
        <v>465479.85085576848</v>
      </c>
      <c r="AP64" s="85">
        <f t="shared" ca="1" si="58"/>
        <v>368859.96935505152</v>
      </c>
      <c r="AQ64" s="85">
        <f t="shared" ca="1" si="58"/>
        <v>371006.09833748615</v>
      </c>
      <c r="AR64" s="85">
        <f t="shared" ca="1" si="58"/>
        <v>482199.77198560967</v>
      </c>
      <c r="AT64" s="137">
        <f t="shared" ca="1" si="54"/>
        <v>8633496.5456222761</v>
      </c>
    </row>
    <row r="66" spans="1:46" x14ac:dyDescent="0.2">
      <c r="A66" s="104" t="s">
        <v>926</v>
      </c>
    </row>
    <row r="67" spans="1:46" ht="22.5" x14ac:dyDescent="0.2">
      <c r="A67" s="410" t="s">
        <v>924</v>
      </c>
      <c r="B67" s="31">
        <f ca="1">OFFSET(Параметры!$E$46,0,MATCH(0,E203:AR203,1)-1)</f>
        <v>2023</v>
      </c>
      <c r="E67" s="944"/>
    </row>
    <row r="68" spans="1:46" x14ac:dyDescent="0.2">
      <c r="A68" s="46"/>
      <c r="B68" s="46"/>
      <c r="C68" s="46"/>
      <c r="D68" s="47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73"/>
      <c r="AT68" s="91"/>
    </row>
    <row r="70" spans="1:46" ht="12" thickBot="1" x14ac:dyDescent="0.25"/>
    <row r="71" spans="1:46" s="43" customFormat="1" ht="25.5" customHeight="1" thickBot="1" x14ac:dyDescent="0.25">
      <c r="A71" s="481" t="s">
        <v>668</v>
      </c>
      <c r="B71" s="479"/>
      <c r="C71" s="485"/>
      <c r="D71" s="486"/>
      <c r="E71" s="479" t="str">
        <f>CHOOSE($D$2,Параметры!E$53,Параметры!E$54)</f>
        <v>1 кв. 2020</v>
      </c>
      <c r="F71" s="479" t="str">
        <f>CHOOSE($D$2,Параметры!F$53,Параметры!F$54)</f>
        <v>2 кв. 2020</v>
      </c>
      <c r="G71" s="479" t="str">
        <f>CHOOSE($D$2,Параметры!G$53,Параметры!G$54)</f>
        <v>3 кв. 2020</v>
      </c>
      <c r="H71" s="479" t="str">
        <f>CHOOSE($D$2,Параметры!H$53,Параметры!H$54)</f>
        <v>4 кв. 2020</v>
      </c>
      <c r="I71" s="479" t="str">
        <f>CHOOSE($D$2,Параметры!I$53,Параметры!I$54)</f>
        <v>1 кв. 2021</v>
      </c>
      <c r="J71" s="479" t="str">
        <f>CHOOSE($D$2,Параметры!J$53,Параметры!J$54)</f>
        <v>2 кв. 2021</v>
      </c>
      <c r="K71" s="479" t="str">
        <f>CHOOSE($D$2,Параметры!K$53,Параметры!K$54)</f>
        <v>3 кв. 2021</v>
      </c>
      <c r="L71" s="479" t="str">
        <f>CHOOSE($D$2,Параметры!L$53,Параметры!L$54)</f>
        <v>4 кв. 2021</v>
      </c>
      <c r="M71" s="479" t="str">
        <f>CHOOSE($D$2,Параметры!M$53,Параметры!M$54)</f>
        <v>1 кв. 2022</v>
      </c>
      <c r="N71" s="479" t="str">
        <f>CHOOSE($D$2,Параметры!N$53,Параметры!N$54)</f>
        <v>2 кв. 2022</v>
      </c>
      <c r="O71" s="479" t="str">
        <f>CHOOSE($D$2,Параметры!O$53,Параметры!O$54)</f>
        <v>3 кв. 2022</v>
      </c>
      <c r="P71" s="479" t="str">
        <f>CHOOSE($D$2,Параметры!P$53,Параметры!P$54)</f>
        <v>4 кв. 2022</v>
      </c>
      <c r="Q71" s="479" t="str">
        <f>CHOOSE($D$2,Параметры!Q$53,Параметры!Q$54)</f>
        <v>1 кв. 2023</v>
      </c>
      <c r="R71" s="479" t="str">
        <f>CHOOSE($D$2,Параметры!R$53,Параметры!R$54)</f>
        <v>2 кв. 2023</v>
      </c>
      <c r="S71" s="479" t="str">
        <f>CHOOSE($D$2,Параметры!S$53,Параметры!S$54)</f>
        <v>3 кв. 2023</v>
      </c>
      <c r="T71" s="479" t="str">
        <f>CHOOSE($D$2,Параметры!T$53,Параметры!T$54)</f>
        <v>4 кв. 2023</v>
      </c>
      <c r="U71" s="479" t="str">
        <f>CHOOSE($D$2,Параметры!U$53,Параметры!U$54)</f>
        <v>1 кв. 2024</v>
      </c>
      <c r="V71" s="479" t="str">
        <f>CHOOSE($D$2,Параметры!V$53,Параметры!V$54)</f>
        <v>2 кв. 2024</v>
      </c>
      <c r="W71" s="479" t="str">
        <f>CHOOSE($D$2,Параметры!W$53,Параметры!W$54)</f>
        <v>3 кв. 2024</v>
      </c>
      <c r="X71" s="479" t="str">
        <f>CHOOSE($D$2,Параметры!X$53,Параметры!X$54)</f>
        <v>4 кв. 2024</v>
      </c>
      <c r="Y71" s="479" t="str">
        <f>CHOOSE($D$2,Параметры!Y$53,Параметры!Y$54)</f>
        <v>1 кв. 2025</v>
      </c>
      <c r="Z71" s="479" t="str">
        <f>CHOOSE($D$2,Параметры!Z$53,Параметры!Z$54)</f>
        <v>2 кв. 2025</v>
      </c>
      <c r="AA71" s="479" t="str">
        <f>CHOOSE($D$2,Параметры!AA$53,Параметры!AA$54)</f>
        <v>3 кв. 2025</v>
      </c>
      <c r="AB71" s="479" t="str">
        <f>CHOOSE($D$2,Параметры!AB$53,Параметры!AB$54)</f>
        <v>4 кв. 2025</v>
      </c>
      <c r="AC71" s="479" t="str">
        <f>CHOOSE($D$2,Параметры!AC$53,Параметры!AC$54)</f>
        <v>1 кв. 2026</v>
      </c>
      <c r="AD71" s="479" t="str">
        <f>CHOOSE($D$2,Параметры!AD$53,Параметры!AD$54)</f>
        <v>2 кв. 2026</v>
      </c>
      <c r="AE71" s="479" t="str">
        <f>CHOOSE($D$2,Параметры!AE$53,Параметры!AE$54)</f>
        <v>3 кв. 2026</v>
      </c>
      <c r="AF71" s="479" t="str">
        <f>CHOOSE($D$2,Параметры!AF$53,Параметры!AF$54)</f>
        <v>4 кв. 2026</v>
      </c>
      <c r="AG71" s="479" t="str">
        <f>CHOOSE($D$2,Параметры!AG$53,Параметры!AG$54)</f>
        <v>1 кв. 2027</v>
      </c>
      <c r="AH71" s="479" t="str">
        <f>CHOOSE($D$2,Параметры!AH$53,Параметры!AH$54)</f>
        <v>2 кв. 2027</v>
      </c>
      <c r="AI71" s="479" t="str">
        <f>CHOOSE($D$2,Параметры!AI$53,Параметры!AI$54)</f>
        <v>3 кв. 2027</v>
      </c>
      <c r="AJ71" s="479" t="str">
        <f>CHOOSE($D$2,Параметры!AJ$53,Параметры!AJ$54)</f>
        <v>4 кв. 2027</v>
      </c>
      <c r="AK71" s="479" t="str">
        <f>CHOOSE($D$2,Параметры!AK$53,Параметры!AK$54)</f>
        <v>1 кв. 2028</v>
      </c>
      <c r="AL71" s="479" t="str">
        <f>CHOOSE($D$2,Параметры!AL$53,Параметры!AL$54)</f>
        <v>2 кв. 2028</v>
      </c>
      <c r="AM71" s="479" t="str">
        <f>CHOOSE($D$2,Параметры!AM$53,Параметры!AM$54)</f>
        <v>3 кв. 2028</v>
      </c>
      <c r="AN71" s="479" t="str">
        <f>CHOOSE($D$2,Параметры!AN$53,Параметры!AN$54)</f>
        <v>4 кв. 2028</v>
      </c>
      <c r="AO71" s="479" t="str">
        <f>CHOOSE($D$2,Параметры!AO$53,Параметры!AO$54)</f>
        <v>1 кв. 2029</v>
      </c>
      <c r="AP71" s="479" t="str">
        <f>CHOOSE($D$2,Параметры!AP$53,Параметры!AP$54)</f>
        <v>2 кв. 2029</v>
      </c>
      <c r="AQ71" s="479" t="str">
        <f>CHOOSE($D$2,Параметры!AQ$53,Параметры!AQ$54)</f>
        <v>3 кв. 2029</v>
      </c>
      <c r="AR71" s="479" t="str">
        <f>CHOOSE($D$2,Параметры!AR$53,Параметры!AR$54)</f>
        <v>4 кв. 2029</v>
      </c>
      <c r="AS71" s="485"/>
      <c r="AT71" s="485" t="s">
        <v>0</v>
      </c>
    </row>
    <row r="73" spans="1:46" ht="22.5" x14ac:dyDescent="0.2">
      <c r="A73" s="230" t="s">
        <v>795</v>
      </c>
      <c r="C73" s="35" t="s">
        <v>455</v>
      </c>
      <c r="D73" s="65"/>
      <c r="E73" s="82">
        <f t="shared" ref="E73:AR73" ca="1" si="59">IFERROR(OFFSET(E25,0,-$B$78)/1.2,0)</f>
        <v>0</v>
      </c>
      <c r="F73" s="82">
        <f t="shared" ca="1" si="59"/>
        <v>0</v>
      </c>
      <c r="G73" s="82">
        <f t="shared" ca="1" si="59"/>
        <v>0</v>
      </c>
      <c r="H73" s="82">
        <f t="shared" ca="1" si="59"/>
        <v>1475381.298088856</v>
      </c>
      <c r="I73" s="82">
        <f t="shared" ca="1" si="59"/>
        <v>0</v>
      </c>
      <c r="J73" s="82">
        <f t="shared" ca="1" si="59"/>
        <v>0</v>
      </c>
      <c r="K73" s="82">
        <f t="shared" ca="1" si="59"/>
        <v>0</v>
      </c>
      <c r="L73" s="82">
        <f t="shared" ca="1" si="59"/>
        <v>0</v>
      </c>
      <c r="M73" s="82">
        <f t="shared" ca="1" si="59"/>
        <v>0</v>
      </c>
      <c r="N73" s="82">
        <f t="shared" ca="1" si="59"/>
        <v>765769.98212909361</v>
      </c>
      <c r="O73" s="82">
        <f t="shared" ca="1" si="59"/>
        <v>0</v>
      </c>
      <c r="P73" s="82">
        <f t="shared" ca="1" si="59"/>
        <v>0</v>
      </c>
      <c r="Q73" s="82">
        <f t="shared" ca="1" si="59"/>
        <v>0</v>
      </c>
      <c r="R73" s="82">
        <f t="shared" ca="1" si="59"/>
        <v>399425.83385768166</v>
      </c>
      <c r="S73" s="82">
        <f t="shared" ca="1" si="59"/>
        <v>0</v>
      </c>
      <c r="T73" s="82">
        <f t="shared" ca="1" si="59"/>
        <v>0</v>
      </c>
      <c r="U73" s="82">
        <f t="shared" ca="1" si="59"/>
        <v>0</v>
      </c>
      <c r="V73" s="82">
        <f t="shared" ca="1" si="59"/>
        <v>6381466.7697360618</v>
      </c>
      <c r="W73" s="82">
        <f t="shared" ca="1" si="59"/>
        <v>0</v>
      </c>
      <c r="X73" s="82">
        <f t="shared" ca="1" si="59"/>
        <v>0</v>
      </c>
      <c r="Y73" s="82">
        <f t="shared" ca="1" si="59"/>
        <v>0</v>
      </c>
      <c r="Z73" s="82">
        <f t="shared" ca="1" si="59"/>
        <v>0</v>
      </c>
      <c r="AA73" s="82">
        <f t="shared" ca="1" si="59"/>
        <v>0</v>
      </c>
      <c r="AB73" s="82">
        <f t="shared" ca="1" si="59"/>
        <v>0</v>
      </c>
      <c r="AC73" s="82">
        <f t="shared" ca="1" si="59"/>
        <v>0</v>
      </c>
      <c r="AD73" s="82">
        <f t="shared" ca="1" si="59"/>
        <v>0</v>
      </c>
      <c r="AE73" s="82">
        <f t="shared" ca="1" si="59"/>
        <v>0</v>
      </c>
      <c r="AF73" s="82">
        <f t="shared" ca="1" si="59"/>
        <v>0</v>
      </c>
      <c r="AG73" s="82">
        <f t="shared" ca="1" si="59"/>
        <v>0</v>
      </c>
      <c r="AH73" s="82">
        <f t="shared" ca="1" si="59"/>
        <v>0</v>
      </c>
      <c r="AI73" s="82">
        <f t="shared" ca="1" si="59"/>
        <v>0</v>
      </c>
      <c r="AJ73" s="82">
        <f t="shared" ca="1" si="59"/>
        <v>0</v>
      </c>
      <c r="AK73" s="82">
        <f t="shared" ca="1" si="59"/>
        <v>0</v>
      </c>
      <c r="AL73" s="82">
        <f t="shared" ca="1" si="59"/>
        <v>0</v>
      </c>
      <c r="AM73" s="82">
        <f t="shared" ca="1" si="59"/>
        <v>0</v>
      </c>
      <c r="AN73" s="82">
        <f t="shared" ca="1" si="59"/>
        <v>0</v>
      </c>
      <c r="AO73" s="82">
        <f t="shared" ca="1" si="59"/>
        <v>0</v>
      </c>
      <c r="AP73" s="82">
        <f t="shared" ca="1" si="59"/>
        <v>0</v>
      </c>
      <c r="AQ73" s="82">
        <f t="shared" ca="1" si="59"/>
        <v>0</v>
      </c>
      <c r="AR73" s="82">
        <f t="shared" ca="1" si="59"/>
        <v>0</v>
      </c>
      <c r="AT73" s="84">
        <f t="shared" ref="AT73:AT74" ca="1" si="60">SUM(E73:AS73)</f>
        <v>9022043.8838116936</v>
      </c>
    </row>
    <row r="74" spans="1:46" ht="22.5" x14ac:dyDescent="0.2">
      <c r="A74" s="230" t="s">
        <v>796</v>
      </c>
      <c r="C74" s="35" t="s">
        <v>455</v>
      </c>
      <c r="D74" s="65"/>
      <c r="E74" s="82">
        <f t="shared" ref="E74:AR74" ca="1" si="61">IFERROR(OFFSET(E31,0,-$B$78)/1.2,0)</f>
        <v>0</v>
      </c>
      <c r="F74" s="82">
        <f t="shared" ca="1" si="61"/>
        <v>0</v>
      </c>
      <c r="G74" s="82">
        <f t="shared" ca="1" si="61"/>
        <v>0</v>
      </c>
      <c r="H74" s="82">
        <f t="shared" ca="1" si="61"/>
        <v>0</v>
      </c>
      <c r="I74" s="82">
        <f t="shared" ca="1" si="61"/>
        <v>0</v>
      </c>
      <c r="J74" s="82">
        <f t="shared" ca="1" si="61"/>
        <v>0</v>
      </c>
      <c r="K74" s="82">
        <f t="shared" ca="1" si="61"/>
        <v>0</v>
      </c>
      <c r="L74" s="82">
        <f t="shared" ca="1" si="61"/>
        <v>0</v>
      </c>
      <c r="M74" s="82">
        <f t="shared" ca="1" si="61"/>
        <v>0</v>
      </c>
      <c r="N74" s="82">
        <f t="shared" ca="1" si="61"/>
        <v>0</v>
      </c>
      <c r="O74" s="82">
        <f t="shared" ca="1" si="61"/>
        <v>0</v>
      </c>
      <c r="P74" s="82">
        <f t="shared" ca="1" si="61"/>
        <v>0</v>
      </c>
      <c r="Q74" s="82">
        <f t="shared" ca="1" si="61"/>
        <v>0</v>
      </c>
      <c r="R74" s="82">
        <f t="shared" ca="1" si="61"/>
        <v>0</v>
      </c>
      <c r="S74" s="82">
        <f t="shared" ca="1" si="61"/>
        <v>0</v>
      </c>
      <c r="T74" s="82">
        <f t="shared" ca="1" si="61"/>
        <v>0</v>
      </c>
      <c r="U74" s="82">
        <f t="shared" ca="1" si="61"/>
        <v>0</v>
      </c>
      <c r="V74" s="82">
        <f t="shared" ca="1" si="61"/>
        <v>0</v>
      </c>
      <c r="W74" s="82">
        <f t="shared" ca="1" si="61"/>
        <v>0</v>
      </c>
      <c r="X74" s="82">
        <f t="shared" ca="1" si="61"/>
        <v>0</v>
      </c>
      <c r="Y74" s="82">
        <f t="shared" ca="1" si="61"/>
        <v>0</v>
      </c>
      <c r="Z74" s="82">
        <f t="shared" ca="1" si="61"/>
        <v>0</v>
      </c>
      <c r="AA74" s="82">
        <f t="shared" ca="1" si="61"/>
        <v>0</v>
      </c>
      <c r="AB74" s="82">
        <f t="shared" ca="1" si="61"/>
        <v>0</v>
      </c>
      <c r="AC74" s="82">
        <f t="shared" ca="1" si="61"/>
        <v>0</v>
      </c>
      <c r="AD74" s="82">
        <f t="shared" ca="1" si="61"/>
        <v>0</v>
      </c>
      <c r="AE74" s="82">
        <f t="shared" ca="1" si="61"/>
        <v>0</v>
      </c>
      <c r="AF74" s="82">
        <f t="shared" ca="1" si="61"/>
        <v>0</v>
      </c>
      <c r="AG74" s="82">
        <f t="shared" ca="1" si="61"/>
        <v>0</v>
      </c>
      <c r="AH74" s="82">
        <f t="shared" ca="1" si="61"/>
        <v>0</v>
      </c>
      <c r="AI74" s="82">
        <f t="shared" ca="1" si="61"/>
        <v>0</v>
      </c>
      <c r="AJ74" s="82">
        <f t="shared" ca="1" si="61"/>
        <v>0</v>
      </c>
      <c r="AK74" s="82">
        <f t="shared" ca="1" si="61"/>
        <v>0</v>
      </c>
      <c r="AL74" s="82">
        <f t="shared" ca="1" si="61"/>
        <v>0</v>
      </c>
      <c r="AM74" s="82">
        <f t="shared" ca="1" si="61"/>
        <v>409429.66220429027</v>
      </c>
      <c r="AN74" s="82">
        <f t="shared" ca="1" si="61"/>
        <v>0</v>
      </c>
      <c r="AO74" s="82">
        <f t="shared" ca="1" si="61"/>
        <v>0</v>
      </c>
      <c r="AP74" s="82">
        <f t="shared" ca="1" si="61"/>
        <v>0</v>
      </c>
      <c r="AQ74" s="82">
        <f t="shared" ca="1" si="61"/>
        <v>6376700.9574672151</v>
      </c>
      <c r="AR74" s="82">
        <f t="shared" ca="1" si="61"/>
        <v>0</v>
      </c>
      <c r="AT74" s="84">
        <f t="shared" ca="1" si="60"/>
        <v>6786130.6196715049</v>
      </c>
    </row>
    <row r="75" spans="1:46" x14ac:dyDescent="0.2">
      <c r="A75" s="551" t="s">
        <v>797</v>
      </c>
      <c r="B75" s="64"/>
      <c r="C75" s="35" t="s">
        <v>455</v>
      </c>
      <c r="D75" s="65"/>
      <c r="E75" s="158">
        <f t="shared" ref="E75:AR75" ca="1" si="62">SUM(E73:E74)</f>
        <v>0</v>
      </c>
      <c r="F75" s="158">
        <f t="shared" ca="1" si="62"/>
        <v>0</v>
      </c>
      <c r="G75" s="158">
        <f t="shared" ca="1" si="62"/>
        <v>0</v>
      </c>
      <c r="H75" s="158">
        <f t="shared" ca="1" si="62"/>
        <v>1475381.298088856</v>
      </c>
      <c r="I75" s="158">
        <f t="shared" ca="1" si="62"/>
        <v>0</v>
      </c>
      <c r="J75" s="158">
        <f t="shared" ca="1" si="62"/>
        <v>0</v>
      </c>
      <c r="K75" s="158">
        <f t="shared" ca="1" si="62"/>
        <v>0</v>
      </c>
      <c r="L75" s="158">
        <f t="shared" ca="1" si="62"/>
        <v>0</v>
      </c>
      <c r="M75" s="158">
        <f t="shared" ca="1" si="62"/>
        <v>0</v>
      </c>
      <c r="N75" s="158">
        <f t="shared" ca="1" si="62"/>
        <v>765769.98212909361</v>
      </c>
      <c r="O75" s="158">
        <f t="shared" ca="1" si="62"/>
        <v>0</v>
      </c>
      <c r="P75" s="158">
        <f t="shared" ca="1" si="62"/>
        <v>0</v>
      </c>
      <c r="Q75" s="158">
        <f t="shared" ca="1" si="62"/>
        <v>0</v>
      </c>
      <c r="R75" s="158">
        <f t="shared" ca="1" si="62"/>
        <v>399425.83385768166</v>
      </c>
      <c r="S75" s="158">
        <f t="shared" ca="1" si="62"/>
        <v>0</v>
      </c>
      <c r="T75" s="158">
        <f t="shared" ca="1" si="62"/>
        <v>0</v>
      </c>
      <c r="U75" s="158">
        <f t="shared" ca="1" si="62"/>
        <v>0</v>
      </c>
      <c r="V75" s="158">
        <f t="shared" ca="1" si="62"/>
        <v>6381466.7697360618</v>
      </c>
      <c r="W75" s="158">
        <f t="shared" ca="1" si="62"/>
        <v>0</v>
      </c>
      <c r="X75" s="158">
        <f t="shared" ca="1" si="62"/>
        <v>0</v>
      </c>
      <c r="Y75" s="158">
        <f t="shared" ca="1" si="62"/>
        <v>0</v>
      </c>
      <c r="Z75" s="158">
        <f t="shared" ca="1" si="62"/>
        <v>0</v>
      </c>
      <c r="AA75" s="158">
        <f t="shared" ca="1" si="62"/>
        <v>0</v>
      </c>
      <c r="AB75" s="158">
        <f t="shared" ca="1" si="62"/>
        <v>0</v>
      </c>
      <c r="AC75" s="158">
        <f t="shared" ca="1" si="62"/>
        <v>0</v>
      </c>
      <c r="AD75" s="158">
        <f t="shared" ca="1" si="62"/>
        <v>0</v>
      </c>
      <c r="AE75" s="158">
        <f t="shared" ca="1" si="62"/>
        <v>0</v>
      </c>
      <c r="AF75" s="158">
        <f t="shared" ca="1" si="62"/>
        <v>0</v>
      </c>
      <c r="AG75" s="158">
        <f t="shared" ca="1" si="62"/>
        <v>0</v>
      </c>
      <c r="AH75" s="158">
        <f t="shared" ca="1" si="62"/>
        <v>0</v>
      </c>
      <c r="AI75" s="158">
        <f t="shared" ca="1" si="62"/>
        <v>0</v>
      </c>
      <c r="AJ75" s="158">
        <f t="shared" ca="1" si="62"/>
        <v>0</v>
      </c>
      <c r="AK75" s="158">
        <f t="shared" ca="1" si="62"/>
        <v>0</v>
      </c>
      <c r="AL75" s="158">
        <f t="shared" ca="1" si="62"/>
        <v>0</v>
      </c>
      <c r="AM75" s="158">
        <f t="shared" ca="1" si="62"/>
        <v>409429.66220429027</v>
      </c>
      <c r="AN75" s="158">
        <f t="shared" ca="1" si="62"/>
        <v>0</v>
      </c>
      <c r="AO75" s="158">
        <f t="shared" ca="1" si="62"/>
        <v>0</v>
      </c>
      <c r="AP75" s="158">
        <f t="shared" ca="1" si="62"/>
        <v>0</v>
      </c>
      <c r="AQ75" s="158">
        <f t="shared" ca="1" si="62"/>
        <v>6376700.9574672151</v>
      </c>
      <c r="AR75" s="158">
        <f t="shared" ca="1" si="62"/>
        <v>0</v>
      </c>
      <c r="AS75" s="41"/>
      <c r="AT75" s="84">
        <f ca="1">SUM(E75:AS75)</f>
        <v>15808174.503483199</v>
      </c>
    </row>
    <row r="76" spans="1:46" x14ac:dyDescent="0.2">
      <c r="A76" s="49" t="s">
        <v>669</v>
      </c>
      <c r="B76" s="64"/>
      <c r="C76" s="35" t="s">
        <v>455</v>
      </c>
      <c r="D76" s="65"/>
      <c r="E76" s="158">
        <f ca="1">E75</f>
        <v>0</v>
      </c>
      <c r="F76" s="158">
        <f ca="1">E76+F75</f>
        <v>0</v>
      </c>
      <c r="G76" s="158">
        <f t="shared" ref="G76:AR76" ca="1" si="63">F76+G75</f>
        <v>0</v>
      </c>
      <c r="H76" s="158">
        <f t="shared" ca="1" si="63"/>
        <v>1475381.298088856</v>
      </c>
      <c r="I76" s="158">
        <f t="shared" ca="1" si="63"/>
        <v>1475381.298088856</v>
      </c>
      <c r="J76" s="158">
        <f t="shared" ca="1" si="63"/>
        <v>1475381.298088856</v>
      </c>
      <c r="K76" s="158">
        <f t="shared" ca="1" si="63"/>
        <v>1475381.298088856</v>
      </c>
      <c r="L76" s="158">
        <f t="shared" ca="1" si="63"/>
        <v>1475381.298088856</v>
      </c>
      <c r="M76" s="158">
        <f t="shared" ca="1" si="63"/>
        <v>1475381.298088856</v>
      </c>
      <c r="N76" s="158">
        <f t="shared" ca="1" si="63"/>
        <v>2241151.2802179498</v>
      </c>
      <c r="O76" s="158">
        <f t="shared" ca="1" si="63"/>
        <v>2241151.2802179498</v>
      </c>
      <c r="P76" s="158">
        <f t="shared" ca="1" si="63"/>
        <v>2241151.2802179498</v>
      </c>
      <c r="Q76" s="158">
        <f t="shared" ca="1" si="63"/>
        <v>2241151.2802179498</v>
      </c>
      <c r="R76" s="158">
        <f t="shared" ca="1" si="63"/>
        <v>2640577.1140756314</v>
      </c>
      <c r="S76" s="158">
        <f t="shared" ca="1" si="63"/>
        <v>2640577.1140756314</v>
      </c>
      <c r="T76" s="158">
        <f t="shared" ca="1" si="63"/>
        <v>2640577.1140756314</v>
      </c>
      <c r="U76" s="158">
        <f t="shared" ca="1" si="63"/>
        <v>2640577.1140756314</v>
      </c>
      <c r="V76" s="158">
        <f t="shared" ca="1" si="63"/>
        <v>9022043.8838116936</v>
      </c>
      <c r="W76" s="158">
        <f t="shared" ca="1" si="63"/>
        <v>9022043.8838116936</v>
      </c>
      <c r="X76" s="158">
        <f t="shared" ca="1" si="63"/>
        <v>9022043.8838116936</v>
      </c>
      <c r="Y76" s="158">
        <f t="shared" ca="1" si="63"/>
        <v>9022043.8838116936</v>
      </c>
      <c r="Z76" s="158">
        <f t="shared" ca="1" si="63"/>
        <v>9022043.8838116936</v>
      </c>
      <c r="AA76" s="158">
        <f t="shared" ca="1" si="63"/>
        <v>9022043.8838116936</v>
      </c>
      <c r="AB76" s="158">
        <f t="shared" ca="1" si="63"/>
        <v>9022043.8838116936</v>
      </c>
      <c r="AC76" s="158">
        <f t="shared" ca="1" si="63"/>
        <v>9022043.8838116936</v>
      </c>
      <c r="AD76" s="158">
        <f t="shared" ca="1" si="63"/>
        <v>9022043.8838116936</v>
      </c>
      <c r="AE76" s="158">
        <f t="shared" ca="1" si="63"/>
        <v>9022043.8838116936</v>
      </c>
      <c r="AF76" s="158">
        <f t="shared" ca="1" si="63"/>
        <v>9022043.8838116936</v>
      </c>
      <c r="AG76" s="158">
        <f t="shared" ca="1" si="63"/>
        <v>9022043.8838116936</v>
      </c>
      <c r="AH76" s="158">
        <f t="shared" ca="1" si="63"/>
        <v>9022043.8838116936</v>
      </c>
      <c r="AI76" s="158">
        <f t="shared" ca="1" si="63"/>
        <v>9022043.8838116936</v>
      </c>
      <c r="AJ76" s="158">
        <f t="shared" ca="1" si="63"/>
        <v>9022043.8838116936</v>
      </c>
      <c r="AK76" s="158">
        <f t="shared" ca="1" si="63"/>
        <v>9022043.8838116936</v>
      </c>
      <c r="AL76" s="158">
        <f t="shared" ca="1" si="63"/>
        <v>9022043.8838116936</v>
      </c>
      <c r="AM76" s="158">
        <f t="shared" ca="1" si="63"/>
        <v>9431473.5460159834</v>
      </c>
      <c r="AN76" s="158">
        <f t="shared" ca="1" si="63"/>
        <v>9431473.5460159834</v>
      </c>
      <c r="AO76" s="158">
        <f t="shared" ca="1" si="63"/>
        <v>9431473.5460159834</v>
      </c>
      <c r="AP76" s="158">
        <f t="shared" ca="1" si="63"/>
        <v>9431473.5460159834</v>
      </c>
      <c r="AQ76" s="158">
        <f t="shared" ca="1" si="63"/>
        <v>15808174.503483199</v>
      </c>
      <c r="AR76" s="158">
        <f t="shared" ca="1" si="63"/>
        <v>15808174.503483199</v>
      </c>
      <c r="AS76" s="41"/>
      <c r="AT76" s="92"/>
    </row>
    <row r="77" spans="1:46" x14ac:dyDescent="0.2">
      <c r="A77" s="49"/>
      <c r="B77" s="64"/>
      <c r="C77" s="35"/>
      <c r="D77" s="65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41"/>
      <c r="AT77" s="92"/>
    </row>
    <row r="78" spans="1:46" ht="33.75" x14ac:dyDescent="0.2">
      <c r="A78" s="542" t="s">
        <v>834</v>
      </c>
      <c r="B78" s="552">
        <f>ИД!C268</f>
        <v>1</v>
      </c>
      <c r="C78" s="35" t="s">
        <v>680</v>
      </c>
      <c r="D78" s="65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41"/>
      <c r="AT78" s="92"/>
    </row>
    <row r="80" spans="1:46" x14ac:dyDescent="0.2">
      <c r="A80" s="49" t="s">
        <v>604</v>
      </c>
      <c r="B80" s="587">
        <f>ИД!C272*Графики!$D$322</f>
        <v>7.2300000000000003E-2</v>
      </c>
      <c r="C80" s="35"/>
      <c r="D80" s="65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41"/>
      <c r="AT80" s="92"/>
    </row>
    <row r="81" spans="1:46" x14ac:dyDescent="0.2">
      <c r="A81" s="551" t="s">
        <v>684</v>
      </c>
      <c r="B81" s="64"/>
      <c r="C81" s="35" t="s">
        <v>455</v>
      </c>
      <c r="D81" s="65"/>
      <c r="E81" s="158">
        <f ca="1">E76*$B$80/4</f>
        <v>0</v>
      </c>
      <c r="F81" s="158">
        <f t="shared" ref="F81:AR81" ca="1" si="64">F76*$B$80/4</f>
        <v>0</v>
      </c>
      <c r="G81" s="158">
        <f t="shared" ca="1" si="64"/>
        <v>0</v>
      </c>
      <c r="H81" s="158">
        <f t="shared" ca="1" si="64"/>
        <v>26667.516962956073</v>
      </c>
      <c r="I81" s="158">
        <f t="shared" ca="1" si="64"/>
        <v>26667.516962956073</v>
      </c>
      <c r="J81" s="158">
        <f t="shared" ca="1" si="64"/>
        <v>26667.516962956073</v>
      </c>
      <c r="K81" s="158">
        <f t="shared" ca="1" si="64"/>
        <v>26667.516962956073</v>
      </c>
      <c r="L81" s="158">
        <f t="shared" ca="1" si="64"/>
        <v>26667.516962956073</v>
      </c>
      <c r="M81" s="158">
        <f t="shared" ca="1" si="64"/>
        <v>26667.516962956073</v>
      </c>
      <c r="N81" s="158">
        <f t="shared" ca="1" si="64"/>
        <v>40508.809389939444</v>
      </c>
      <c r="O81" s="158">
        <f t="shared" ca="1" si="64"/>
        <v>40508.809389939444</v>
      </c>
      <c r="P81" s="158">
        <f t="shared" ca="1" si="64"/>
        <v>40508.809389939444</v>
      </c>
      <c r="Q81" s="158">
        <f t="shared" ca="1" si="64"/>
        <v>40508.809389939444</v>
      </c>
      <c r="R81" s="158">
        <f t="shared" ca="1" si="64"/>
        <v>47728.431336917041</v>
      </c>
      <c r="S81" s="158">
        <f t="shared" ca="1" si="64"/>
        <v>47728.431336917041</v>
      </c>
      <c r="T81" s="158">
        <f t="shared" ca="1" si="64"/>
        <v>47728.431336917041</v>
      </c>
      <c r="U81" s="158">
        <f t="shared" ca="1" si="64"/>
        <v>47728.431336917041</v>
      </c>
      <c r="V81" s="158">
        <f t="shared" ca="1" si="64"/>
        <v>163073.44319989637</v>
      </c>
      <c r="W81" s="158">
        <f t="shared" ca="1" si="64"/>
        <v>163073.44319989637</v>
      </c>
      <c r="X81" s="158">
        <f t="shared" ca="1" si="64"/>
        <v>163073.44319989637</v>
      </c>
      <c r="Y81" s="158">
        <f t="shared" ca="1" si="64"/>
        <v>163073.44319989637</v>
      </c>
      <c r="Z81" s="158">
        <f t="shared" ca="1" si="64"/>
        <v>163073.44319989637</v>
      </c>
      <c r="AA81" s="158">
        <f t="shared" ca="1" si="64"/>
        <v>163073.44319989637</v>
      </c>
      <c r="AB81" s="158">
        <f t="shared" ca="1" si="64"/>
        <v>163073.44319989637</v>
      </c>
      <c r="AC81" s="158">
        <f t="shared" ca="1" si="64"/>
        <v>163073.44319989637</v>
      </c>
      <c r="AD81" s="158">
        <f t="shared" ca="1" si="64"/>
        <v>163073.44319989637</v>
      </c>
      <c r="AE81" s="158">
        <f t="shared" ca="1" si="64"/>
        <v>163073.44319989637</v>
      </c>
      <c r="AF81" s="158">
        <f t="shared" ca="1" si="64"/>
        <v>163073.44319989637</v>
      </c>
      <c r="AG81" s="158">
        <f t="shared" ca="1" si="64"/>
        <v>163073.44319989637</v>
      </c>
      <c r="AH81" s="158">
        <f t="shared" ca="1" si="64"/>
        <v>163073.44319989637</v>
      </c>
      <c r="AI81" s="158">
        <f t="shared" ca="1" si="64"/>
        <v>163073.44319989637</v>
      </c>
      <c r="AJ81" s="158">
        <f t="shared" ca="1" si="64"/>
        <v>163073.44319989637</v>
      </c>
      <c r="AK81" s="158">
        <f t="shared" ca="1" si="64"/>
        <v>163073.44319989637</v>
      </c>
      <c r="AL81" s="158">
        <f t="shared" ca="1" si="64"/>
        <v>163073.44319989637</v>
      </c>
      <c r="AM81" s="158">
        <f t="shared" ca="1" si="64"/>
        <v>170473.8843442389</v>
      </c>
      <c r="AN81" s="158">
        <f t="shared" ca="1" si="64"/>
        <v>170473.8843442389</v>
      </c>
      <c r="AO81" s="158">
        <f t="shared" ca="1" si="64"/>
        <v>170473.8843442389</v>
      </c>
      <c r="AP81" s="158">
        <f t="shared" ca="1" si="64"/>
        <v>170473.8843442389</v>
      </c>
      <c r="AQ81" s="158">
        <f t="shared" ca="1" si="64"/>
        <v>285732.75415045884</v>
      </c>
      <c r="AR81" s="158">
        <f t="shared" ca="1" si="64"/>
        <v>285732.75415045884</v>
      </c>
      <c r="AS81" s="41"/>
      <c r="AT81" s="84">
        <f ca="1">SUM(E81:AS81)</f>
        <v>4538563.6447612718</v>
      </c>
    </row>
    <row r="82" spans="1:46" outlineLevel="1" x14ac:dyDescent="0.2">
      <c r="A82" s="544" t="str">
        <f>Параметры!$A$76</f>
        <v>Изменение цен в обрабатывающей промышленности</v>
      </c>
      <c r="B82" s="263" t="s">
        <v>391</v>
      </c>
      <c r="C82" s="21" t="s">
        <v>14</v>
      </c>
      <c r="E82" s="362">
        <f>CHOOSE($E$2,Параметры!E$76,Параметры!E$113,Параметры!E$122)</f>
        <v>0</v>
      </c>
      <c r="F82" s="362">
        <f>CHOOSE($E$2,Параметры!F$76,Параметры!F$113,Параметры!F$122)</f>
        <v>0</v>
      </c>
      <c r="G82" s="362">
        <f>CHOOSE($E$2,Параметры!G$76,Параметры!G$113,Параметры!G$122)</f>
        <v>0</v>
      </c>
      <c r="H82" s="362">
        <f>CHOOSE($E$2,Параметры!H$76,Параметры!H$113,Параметры!H$122)</f>
        <v>0</v>
      </c>
      <c r="I82" s="362">
        <f>CHOOSE($E$2,Параметры!I$76,Параметры!I$113,Параметры!I$122)</f>
        <v>3.8172838559912936E-2</v>
      </c>
      <c r="J82" s="362">
        <f>CHOOSE($E$2,Параметры!J$76,Параметры!J$113,Параметры!J$122)</f>
        <v>3.8172838559912936E-2</v>
      </c>
      <c r="K82" s="362">
        <f>CHOOSE($E$2,Параметры!K$76,Параметры!K$113,Параметры!K$122)</f>
        <v>3.8172838559912936E-2</v>
      </c>
      <c r="L82" s="362">
        <f>CHOOSE($E$2,Параметры!L$76,Параметры!L$113,Параметры!L$122)</f>
        <v>3.8172838559912936E-2</v>
      </c>
      <c r="M82" s="362">
        <f>CHOOSE($E$2,Параметры!M$76,Параметры!M$113,Параметры!M$122)</f>
        <v>4.5348049235927501E-2</v>
      </c>
      <c r="N82" s="362">
        <f>CHOOSE($E$2,Параметры!N$76,Параметры!N$113,Параметры!N$122)</f>
        <v>4.5348049235927501E-2</v>
      </c>
      <c r="O82" s="362">
        <f>CHOOSE($E$2,Параметры!O$76,Параметры!O$113,Параметры!O$122)</f>
        <v>4.5348049235927501E-2</v>
      </c>
      <c r="P82" s="362">
        <f>CHOOSE($E$2,Параметры!P$76,Параметры!P$113,Параметры!P$122)</f>
        <v>4.5348049235927501E-2</v>
      </c>
      <c r="Q82" s="362">
        <f>CHOOSE($E$2,Параметры!Q$76,Параметры!Q$113,Параметры!Q$122)</f>
        <v>4.6206517341587539E-2</v>
      </c>
      <c r="R82" s="362">
        <f>CHOOSE($E$2,Параметры!R$76,Параметры!R$113,Параметры!R$122)</f>
        <v>4.6206517341587539E-2</v>
      </c>
      <c r="S82" s="362">
        <f>CHOOSE($E$2,Параметры!S$76,Параметры!S$113,Параметры!S$122)</f>
        <v>4.6206517341587539E-2</v>
      </c>
      <c r="T82" s="362">
        <f>CHOOSE($E$2,Параметры!T$76,Параметры!T$113,Параметры!T$122)</f>
        <v>4.6206517341587539E-2</v>
      </c>
      <c r="U82" s="362">
        <f>CHOOSE($E$2,Параметры!U$76,Параметры!U$113,Параметры!U$122)</f>
        <v>4.7372407398639682E-2</v>
      </c>
      <c r="V82" s="362">
        <f>CHOOSE($E$2,Параметры!V$76,Параметры!V$113,Параметры!V$122)</f>
        <v>4.7372407398639682E-2</v>
      </c>
      <c r="W82" s="362">
        <f>CHOOSE($E$2,Параметры!W$76,Параметры!W$113,Параметры!W$122)</f>
        <v>4.7372407398639682E-2</v>
      </c>
      <c r="X82" s="362">
        <f>CHOOSE($E$2,Параметры!X$76,Параметры!X$113,Параметры!X$122)</f>
        <v>4.7372407398639682E-2</v>
      </c>
      <c r="Y82" s="362">
        <f>CHOOSE($E$2,Параметры!Y$76,Параметры!Y$113,Параметры!Y$122)</f>
        <v>4.4829452381167423E-2</v>
      </c>
      <c r="Z82" s="362">
        <f>CHOOSE($E$2,Параметры!Z$76,Параметры!Z$113,Параметры!Z$122)</f>
        <v>4.4829452381167423E-2</v>
      </c>
      <c r="AA82" s="362">
        <f>CHOOSE($E$2,Параметры!AA$76,Параметры!AA$113,Параметры!AA$122)</f>
        <v>4.4829452381167423E-2</v>
      </c>
      <c r="AB82" s="362">
        <f>CHOOSE($E$2,Параметры!AB$76,Параметры!AB$113,Параметры!AB$122)</f>
        <v>4.4829452381167423E-2</v>
      </c>
      <c r="AC82" s="362">
        <f>CHOOSE($E$2,Параметры!AC$76,Параметры!AC$113,Параметры!AC$122)</f>
        <v>4.4391125969701406E-2</v>
      </c>
      <c r="AD82" s="362">
        <f>CHOOSE($E$2,Параметры!AD$76,Параметры!AD$113,Параметры!AD$122)</f>
        <v>4.4391125969701406E-2</v>
      </c>
      <c r="AE82" s="362">
        <f>CHOOSE($E$2,Параметры!AE$76,Параметры!AE$113,Параметры!AE$122)</f>
        <v>4.4391125969701406E-2</v>
      </c>
      <c r="AF82" s="362">
        <f>CHOOSE($E$2,Параметры!AF$76,Параметры!AF$113,Параметры!AF$122)</f>
        <v>4.4391125969701406E-2</v>
      </c>
      <c r="AG82" s="362">
        <f>CHOOSE($E$2,Параметры!AG$76,Параметры!AG$113,Параметры!AG$122)</f>
        <v>4.4593580638013997E-2</v>
      </c>
      <c r="AH82" s="362">
        <f>CHOOSE($E$2,Параметры!AH$76,Параметры!AH$113,Параметры!AH$122)</f>
        <v>4.4593580638013997E-2</v>
      </c>
      <c r="AI82" s="362">
        <f>CHOOSE($E$2,Параметры!AI$76,Параметры!AI$113,Параметры!AI$122)</f>
        <v>4.4593580638013997E-2</v>
      </c>
      <c r="AJ82" s="362">
        <f>CHOOSE($E$2,Параметры!AJ$76,Параметры!AJ$113,Параметры!AJ$122)</f>
        <v>4.4593580638013997E-2</v>
      </c>
      <c r="AK82" s="362">
        <f>CHOOSE($E$2,Параметры!AK$76,Параметры!AK$113,Параметры!AK$122)</f>
        <v>4.5915873363622683E-2</v>
      </c>
      <c r="AL82" s="362">
        <f>CHOOSE($E$2,Параметры!AL$76,Параметры!AL$113,Параметры!AL$122)</f>
        <v>4.5915873363622683E-2</v>
      </c>
      <c r="AM82" s="362">
        <f>CHOOSE($E$2,Параметры!AM$76,Параметры!AM$113,Параметры!AM$122)</f>
        <v>4.5915873363622683E-2</v>
      </c>
      <c r="AN82" s="362">
        <f>CHOOSE($E$2,Параметры!AN$76,Параметры!AN$113,Параметры!AN$122)</f>
        <v>4.5915873363622683E-2</v>
      </c>
      <c r="AO82" s="362">
        <f>CHOOSE($E$2,Параметры!AO$76,Параметры!AO$113,Параметры!AO$122)</f>
        <v>4.5962256408293101E-2</v>
      </c>
      <c r="AP82" s="362">
        <f>CHOOSE($E$2,Параметры!AP$76,Параметры!AP$113,Параметры!AP$122)</f>
        <v>4.5962256408293101E-2</v>
      </c>
      <c r="AQ82" s="362">
        <f>CHOOSE($E$2,Параметры!AQ$76,Параметры!AQ$113,Параметры!AQ$122)</f>
        <v>4.5962256408293101E-2</v>
      </c>
      <c r="AR82" s="362">
        <f>CHOOSE($E$2,Параметры!AR$76,Параметры!AR$113,Параметры!AR$122)</f>
        <v>4.5962256408293101E-2</v>
      </c>
      <c r="AS82" s="127"/>
      <c r="AT82" s="119"/>
    </row>
    <row r="83" spans="1:46" outlineLevel="1" x14ac:dyDescent="0.2">
      <c r="A83" s="302" t="s">
        <v>392</v>
      </c>
      <c r="B83" s="25"/>
      <c r="C83" s="21" t="s">
        <v>133</v>
      </c>
      <c r="E83" s="416">
        <f ca="1">IF(E$2=1,1,IF(Параметры!$B$62=1,POWER(1+OFFSET(E82,0,-1),Параметры!E$39/360),1) * IF(E$2&gt;1,D83, 1))</f>
        <v>1</v>
      </c>
      <c r="F83" s="416">
        <f ca="1">IF(F$2=1,1,IF(Параметры!$B$62=1,POWER(1+OFFSET(F82,0,-1),Параметры!F$39/360),1) * IF(F$2&gt;1,E83, 1))</f>
        <v>1</v>
      </c>
      <c r="G83" s="416">
        <f ca="1">IF(G$2=1,1,IF(Параметры!$B$62=1,POWER(1+OFFSET(G82,0,-1),Параметры!G$39/360),1) * IF(G$2&gt;1,F83, 1))</f>
        <v>1</v>
      </c>
      <c r="H83" s="416">
        <f ca="1">IF(H$2=1,1,IF(Параметры!$B$62=1,POWER(1+OFFSET(H82,0,-1),Параметры!H$39/360),1) * IF(H$2&gt;1,G83, 1))</f>
        <v>1</v>
      </c>
      <c r="I83" s="416">
        <f ca="1">IF(I$2=1,1,IF(Параметры!$B$62=1,POWER(1+OFFSET(I82,0,-1),Параметры!I$39/360),1) * IF(I$2&gt;1,H83, 1))</f>
        <v>1</v>
      </c>
      <c r="J83" s="416">
        <f ca="1">IF(J$2=1,1,IF(Параметры!$B$62=1,POWER(1+OFFSET(J82,0,-1),Параметры!J$39/360),1) * IF(J$2&gt;1,I83, 1))</f>
        <v>1.0094095646964927</v>
      </c>
      <c r="K83" s="416">
        <f ca="1">IF(K$2=1,1,IF(Параметры!$B$62=1,POWER(1+OFFSET(K82,0,-1),Параметры!K$39/360),1) * IF(K$2&gt;1,J83, 1))</f>
        <v>1.0189076693007628</v>
      </c>
      <c r="L83" s="416">
        <f ca="1">IF(L$2=1,1,IF(Параметры!$B$62=1,POWER(1+OFFSET(L82,0,-1),Параметры!L$39/360),1) * IF(L$2&gt;1,K83, 1))</f>
        <v>1.0284951469348009</v>
      </c>
      <c r="M83" s="416">
        <f ca="1">IF(M$2=1,1,IF(Параметры!$B$62=1,POWER(1+OFFSET(M82,0,-1),Параметры!M$39/360),1) * IF(M$2&gt;1,L83, 1))</f>
        <v>1.0381728385599127</v>
      </c>
      <c r="N83" s="416">
        <f ca="1">IF(N$2=1,1,IF(Параметры!$B$62=1,POWER(1+OFFSET(N82,0,-1),Параметры!N$39/360),1) * IF(N$2&gt;1,M83, 1))</f>
        <v>1.0497476005842163</v>
      </c>
      <c r="O83" s="416">
        <f ca="1">IF(O$2=1,1,IF(Параметры!$B$62=1,POWER(1+OFFSET(O82,0,-1),Параметры!O$39/360),1) * IF(O$2&gt;1,N83, 1))</f>
        <v>1.0614514115596609</v>
      </c>
      <c r="P83" s="416">
        <f ca="1">IF(P$2=1,1,IF(Параметры!$B$62=1,POWER(1+OFFSET(P82,0,-1),Параметры!P$39/360),1) * IF(P$2&gt;1,O83, 1))</f>
        <v>1.0732857102745132</v>
      </c>
      <c r="Q83" s="416">
        <f ca="1">IF(Q$2=1,1,IF(Параметры!$B$62=1,POWER(1+OFFSET(Q82,0,-1),Параметры!Q$39/360),1) * IF(Q$2&gt;1,P83, 1))</f>
        <v>1.0852519515583303</v>
      </c>
      <c r="R83" s="416">
        <f ca="1">IF(R$2=1,1,IF(Параметры!$B$62=1,POWER(1+OFFSET(R82,0,-1),Параметры!R$39/360),1) * IF(R$2&gt;1,Q83, 1))</f>
        <v>1.0975768308210643</v>
      </c>
      <c r="S83" s="416">
        <f ca="1">IF(S$2=1,1,IF(Параметры!$B$62=1,POWER(1+OFFSET(S82,0,-1),Параметры!S$39/360),1) * IF(S$2&gt;1,R83, 1))</f>
        <v>1.1100416800222286</v>
      </c>
      <c r="T83" s="416">
        <f ca="1">IF(T$2=1,1,IF(Параметры!$B$62=1,POWER(1+OFFSET(T82,0,-1),Параметры!T$39/360),1) * IF(T$2&gt;1,S83, 1))</f>
        <v>1.1226480887582198</v>
      </c>
      <c r="U83" s="416">
        <f ca="1">IF(U$2=1,1,IF(Параметры!$B$62=1,POWER(1+OFFSET(U82,0,-1),Параметры!U$39/360),1) * IF(U$2&gt;1,T83, 1))</f>
        <v>1.1353976646780015</v>
      </c>
      <c r="V83" s="416">
        <f ca="1">IF(V$2=1,1,IF(Параметры!$B$62=1,POWER(1+OFFSET(V82,0,-1),Параметры!V$39/360),1) * IF(V$2&gt;1,U83, 1))</f>
        <v>1.1486118135618826</v>
      </c>
      <c r="W83" s="416">
        <f ca="1">IF(W$2=1,1,IF(Параметры!$B$62=1,POWER(1+OFFSET(W82,0,-1),Параметры!W$39/360),1) * IF(W$2&gt;1,V83, 1))</f>
        <v>1.1619797532594649</v>
      </c>
      <c r="X83" s="416">
        <f ca="1">IF(X$2=1,1,IF(Параметры!$B$62=1,POWER(1+OFFSET(X82,0,-1),Параметры!X$39/360),1) * IF(X$2&gt;1,W83, 1))</f>
        <v>1.1755032736411812</v>
      </c>
      <c r="Y83" s="416">
        <f ca="1">IF(Y$2=1,1,IF(Параметры!$B$62=1,POWER(1+OFFSET(Y82,0,-1),Параметры!Y$39/360),1) * IF(Y$2&gt;1,X83, 1))</f>
        <v>1.1891841854085923</v>
      </c>
      <c r="Z83" s="416">
        <f ca="1">IF(Z$2=1,1,IF(Параметры!$B$62=1,POWER(1+OFFSET(Z82,0,-1),Параметры!Z$39/360),1) * IF(Z$2&gt;1,Y83, 1))</f>
        <v>1.2022934375044521</v>
      </c>
      <c r="AA83" s="416">
        <f ca="1">IF(AA$2=1,1,IF(Параметры!$B$62=1,POWER(1+OFFSET(AA82,0,-1),Параметры!AA$39/360),1) * IF(AA$2&gt;1,Z83, 1))</f>
        <v>1.2155472025299501</v>
      </c>
      <c r="AB83" s="416">
        <f ca="1">IF(AB$2=1,1,IF(Параметры!$B$62=1,POWER(1+OFFSET(AB82,0,-1),Параметры!AB$39/360),1) * IF(AB$2&gt;1,AA83, 1))</f>
        <v>1.2289470735574202</v>
      </c>
      <c r="AC83" s="416">
        <f ca="1">IF(AC$2=1,1,IF(Параметры!$B$62=1,POWER(1+OFFSET(AC82,0,-1),Параметры!AC$39/360),1) * IF(AC$2&gt;1,AB83, 1))</f>
        <v>1.2424946612208045</v>
      </c>
      <c r="AD83" s="416">
        <f ca="1">IF(AD$2=1,1,IF(Параметры!$B$62=1,POWER(1+OFFSET(AD82,0,-1),Параметры!AD$39/360),1) * IF(AD$2&gt;1,AC83, 1))</f>
        <v>1.256059823935407</v>
      </c>
      <c r="AE83" s="416">
        <f ca="1">IF(AE$2=1,1,IF(Параметры!$B$62=1,POWER(1+OFFSET(AE82,0,-1),Параметры!AE$39/360),1) * IF(AE$2&gt;1,AD83, 1))</f>
        <v>1.2697730867949975</v>
      </c>
      <c r="AF83" s="416">
        <f ca="1">IF(AF$2=1,1,IF(Параметры!$B$62=1,POWER(1+OFFSET(AF82,0,-1),Параметры!AF$39/360),1) * IF(AF$2&gt;1,AE83, 1))</f>
        <v>1.2836360667099962</v>
      </c>
      <c r="AG83" s="416">
        <f ca="1">IF(AG$2=1,1,IF(Параметры!$B$62=1,POWER(1+OFFSET(AG82,0,-1),Параметры!AG$39/360),1) * IF(AG$2&gt;1,AF83, 1))</f>
        <v>1.2976503982437386</v>
      </c>
      <c r="AH83" s="416">
        <f ca="1">IF(AH$2=1,1,IF(Параметры!$B$62=1,POWER(1+OFFSET(AH82,0,-1),Параметры!AH$39/360),1) * IF(AH$2&gt;1,AG83, 1))</f>
        <v>1.3118813029780811</v>
      </c>
      <c r="AI83" s="416">
        <f ca="1">IF(AI$2=1,1,IF(Параметры!$B$62=1,POWER(1+OFFSET(AI82,0,-1),Параметры!AI$39/360),1) * IF(AI$2&gt;1,AH83, 1))</f>
        <v>1.3262682733598676</v>
      </c>
      <c r="AJ83" s="416">
        <f ca="1">IF(AJ$2=1,1,IF(Параметры!$B$62=1,POWER(1+OFFSET(AJ82,0,-1),Параметры!AJ$39/360),1) * IF(AJ$2&gt;1,AI83, 1))</f>
        <v>1.3408130209096774</v>
      </c>
      <c r="AK83" s="416">
        <f ca="1">IF(AK$2=1,1,IF(Параметры!$B$62=1,POWER(1+OFFSET(AK82,0,-1),Параметры!AK$39/360),1) * IF(AK$2&gt;1,AJ83, 1))</f>
        <v>1.355517275917772</v>
      </c>
      <c r="AL83" s="416">
        <f ca="1">IF(AL$2=1,1,IF(Параметры!$B$62=1,POWER(1+OFFSET(AL82,0,-1),Параметры!AL$39/360),1) * IF(AL$2&gt;1,AK83, 1))</f>
        <v>1.3708162547169491</v>
      </c>
      <c r="AM83" s="416">
        <f ca="1">IF(AM$2=1,1,IF(Параметры!$B$62=1,POWER(1+OFFSET(AM82,0,-1),Параметры!AM$39/360),1) * IF(AM$2&gt;1,AL83, 1))</f>
        <v>1.3862879046848793</v>
      </c>
      <c r="AN83" s="416">
        <f ca="1">IF(AN$2=1,1,IF(Параметры!$B$62=1,POWER(1+OFFSET(AN82,0,-1),Параметры!AN$39/360),1) * IF(AN$2&gt;1,AM83, 1))</f>
        <v>1.4019341746661822</v>
      </c>
      <c r="AO83" s="416">
        <f ca="1">IF(AO$2=1,1,IF(Параметры!$B$62=1,POWER(1+OFFSET(AO82,0,-1),Параметры!AO$39/360),1) * IF(AO$2&gt;1,AN83, 1))</f>
        <v>1.4177570355010158</v>
      </c>
      <c r="AP83" s="416">
        <f ca="1">IF(AP$2=1,1,IF(Параметры!$B$62=1,POWER(1+OFFSET(AP82,0,-1),Параметры!AP$39/360),1) * IF(AP$2&gt;1,AO83, 1))</f>
        <v>1.4337743756668839</v>
      </c>
      <c r="AQ83" s="416">
        <f ca="1">IF(AQ$2=1,1,IF(Параметры!$B$62=1,POWER(1+OFFSET(AQ82,0,-1),Параметры!AQ$39/360),1) * IF(AQ$2&gt;1,AP83, 1))</f>
        <v>1.4499726743323855</v>
      </c>
      <c r="AR83" s="416">
        <f ca="1">IF(AR$2=1,1,IF(Параметры!$B$62=1,POWER(1+OFFSET(AR82,0,-1),Параметры!AR$39/360),1) * IF(AR$2&gt;1,AQ83, 1))</f>
        <v>1.4663539759055342</v>
      </c>
      <c r="AS83" s="128"/>
      <c r="AT83" s="117"/>
    </row>
    <row r="84" spans="1:46" outlineLevel="1" x14ac:dyDescent="0.2">
      <c r="A84" s="319" t="s">
        <v>491</v>
      </c>
      <c r="B84" s="24"/>
      <c r="C84" s="2" t="s">
        <v>133</v>
      </c>
      <c r="D84" s="310"/>
      <c r="E84" s="417">
        <f>IF(E$2=1,1,CHOOSE($E$2,E83,IF(Параметры!E$43=1,E83,D84),IF(Параметры!E$48=1,E83,D84),IF(Параметры!E$45&lt;&gt;Параметры!D$45,E83,D84),IF(Параметры!E$50&lt;&gt;Параметры!D$50,E83,D84)))</f>
        <v>1</v>
      </c>
      <c r="F84" s="417">
        <f ca="1">IF(F$2=1,1,CHOOSE($E$2,F83,IF(Параметры!F$43=1,F83,E84),IF(Параметры!F$48=1,F83,E84),IF(Параметры!F$45&lt;&gt;Параметры!E$45,F83,E84),IF(Параметры!F$50&lt;&gt;Параметры!E$50,F83,E84)))</f>
        <v>1</v>
      </c>
      <c r="G84" s="417">
        <f ca="1">IF(G$2=1,1,CHOOSE($E$2,G83,IF(Параметры!G$43=1,G83,F84),IF(Параметры!G$48=1,G83,F84),IF(Параметры!G$45&lt;&gt;Параметры!F$45,G83,F84),IF(Параметры!G$50&lt;&gt;Параметры!F$50,G83,F84)))</f>
        <v>1</v>
      </c>
      <c r="H84" s="417">
        <f ca="1">IF(H$2=1,1,CHOOSE($E$2,H83,IF(Параметры!H$43=1,H83,G84),IF(Параметры!H$48=1,H83,G84),IF(Параметры!H$45&lt;&gt;Параметры!G$45,H83,G84),IF(Параметры!H$50&lt;&gt;Параметры!G$50,H83,G84)))</f>
        <v>1</v>
      </c>
      <c r="I84" s="417">
        <f ca="1">IF(I$2=1,1,CHOOSE($E$2,I83,IF(Параметры!I$43=1,I83,H84),IF(Параметры!I$48=1,I83,H84),IF(Параметры!I$45&lt;&gt;Параметры!H$45,I83,H84),IF(Параметры!I$50&lt;&gt;Параметры!H$50,I83,H84)))</f>
        <v>1</v>
      </c>
      <c r="J84" s="417">
        <f ca="1">IF(J$2=1,1,CHOOSE($E$2,J83,IF(Параметры!J$43=1,J83,I84),IF(Параметры!J$48=1,J83,I84),IF(Параметры!J$45&lt;&gt;Параметры!I$45,J83,I84),IF(Параметры!J$50&lt;&gt;Параметры!I$50,J83,I84)))</f>
        <v>1.0094095646964927</v>
      </c>
      <c r="K84" s="417">
        <f ca="1">IF(K$2=1,1,CHOOSE($E$2,K83,IF(Параметры!K$43=1,K83,J84),IF(Параметры!K$48=1,K83,J84),IF(Параметры!K$45&lt;&gt;Параметры!J$45,K83,J84),IF(Параметры!K$50&lt;&gt;Параметры!J$50,K83,J84)))</f>
        <v>1.0189076693007628</v>
      </c>
      <c r="L84" s="417">
        <f ca="1">IF(L$2=1,1,CHOOSE($E$2,L83,IF(Параметры!L$43=1,L83,K84),IF(Параметры!L$48=1,L83,K84),IF(Параметры!L$45&lt;&gt;Параметры!K$45,L83,K84),IF(Параметры!L$50&lt;&gt;Параметры!K$50,L83,K84)))</f>
        <v>1.0284951469348009</v>
      </c>
      <c r="M84" s="417">
        <f ca="1">IF(M$2=1,1,CHOOSE($E$2,M83,IF(Параметры!M$43=1,M83,L84),IF(Параметры!M$48=1,M83,L84),IF(Параметры!M$45&lt;&gt;Параметры!L$45,M83,L84),IF(Параметры!M$50&lt;&gt;Параметры!L$50,M83,L84)))</f>
        <v>1.0381728385599127</v>
      </c>
      <c r="N84" s="417">
        <f ca="1">IF(N$2=1,1,CHOOSE($E$2,N83,IF(Параметры!N$43=1,N83,M84),IF(Параметры!N$48=1,N83,M84),IF(Параметры!N$45&lt;&gt;Параметры!M$45,N83,M84),IF(Параметры!N$50&lt;&gt;Параметры!M$50,N83,M84)))</f>
        <v>1.0497476005842163</v>
      </c>
      <c r="O84" s="417">
        <f ca="1">IF(O$2=1,1,CHOOSE($E$2,O83,IF(Параметры!O$43=1,O83,N84),IF(Параметры!O$48=1,O83,N84),IF(Параметры!O$45&lt;&gt;Параметры!N$45,O83,N84),IF(Параметры!O$50&lt;&gt;Параметры!N$50,O83,N84)))</f>
        <v>1.0614514115596609</v>
      </c>
      <c r="P84" s="417">
        <f ca="1">IF(P$2=1,1,CHOOSE($E$2,P83,IF(Параметры!P$43=1,P83,O84),IF(Параметры!P$48=1,P83,O84),IF(Параметры!P$45&lt;&gt;Параметры!O$45,P83,O84),IF(Параметры!P$50&lt;&gt;Параметры!O$50,P83,O84)))</f>
        <v>1.0732857102745132</v>
      </c>
      <c r="Q84" s="417">
        <f ca="1">IF(Q$2=1,1,CHOOSE($E$2,Q83,IF(Параметры!Q$43=1,Q83,P84),IF(Параметры!Q$48=1,Q83,P84),IF(Параметры!Q$45&lt;&gt;Параметры!P$45,Q83,P84),IF(Параметры!Q$50&lt;&gt;Параметры!P$50,Q83,P84)))</f>
        <v>1.0852519515583303</v>
      </c>
      <c r="R84" s="417">
        <f ca="1">IF(R$2=1,1,CHOOSE($E$2,R83,IF(Параметры!R$43=1,R83,Q84),IF(Параметры!R$48=1,R83,Q84),IF(Параметры!R$45&lt;&gt;Параметры!Q$45,R83,Q84),IF(Параметры!R$50&lt;&gt;Параметры!Q$50,R83,Q84)))</f>
        <v>1.0975768308210643</v>
      </c>
      <c r="S84" s="417">
        <f ca="1">IF(S$2=1,1,CHOOSE($E$2,S83,IF(Параметры!S$43=1,S83,R84),IF(Параметры!S$48=1,S83,R84),IF(Параметры!S$45&lt;&gt;Параметры!R$45,S83,R84),IF(Параметры!S$50&lt;&gt;Параметры!R$50,S83,R84)))</f>
        <v>1.1100416800222286</v>
      </c>
      <c r="T84" s="417">
        <f ca="1">IF(T$2=1,1,CHOOSE($E$2,T83,IF(Параметры!T$43=1,T83,S84),IF(Параметры!T$48=1,T83,S84),IF(Параметры!T$45&lt;&gt;Параметры!S$45,T83,S84),IF(Параметры!T$50&lt;&gt;Параметры!S$50,T83,S84)))</f>
        <v>1.1226480887582198</v>
      </c>
      <c r="U84" s="417">
        <f ca="1">IF(U$2=1,1,CHOOSE($E$2,U83,IF(Параметры!U$43=1,U83,T84),IF(Параметры!U$48=1,U83,T84),IF(Параметры!U$45&lt;&gt;Параметры!T$45,U83,T84),IF(Параметры!U$50&lt;&gt;Параметры!T$50,U83,T84)))</f>
        <v>1.1353976646780015</v>
      </c>
      <c r="V84" s="417">
        <f ca="1">IF(V$2=1,1,CHOOSE($E$2,V83,IF(Параметры!V$43=1,V83,U84),IF(Параметры!V$48=1,V83,U84),IF(Параметры!V$45&lt;&gt;Параметры!U$45,V83,U84),IF(Параметры!V$50&lt;&gt;Параметры!U$50,V83,U84)))</f>
        <v>1.1486118135618826</v>
      </c>
      <c r="W84" s="417">
        <f ca="1">IF(W$2=1,1,CHOOSE($E$2,W83,IF(Параметры!W$43=1,W83,V84),IF(Параметры!W$48=1,W83,V84),IF(Параметры!W$45&lt;&gt;Параметры!V$45,W83,V84),IF(Параметры!W$50&lt;&gt;Параметры!V$50,W83,V84)))</f>
        <v>1.1619797532594649</v>
      </c>
      <c r="X84" s="417">
        <f ca="1">IF(X$2=1,1,CHOOSE($E$2,X83,IF(Параметры!X$43=1,X83,W84),IF(Параметры!X$48=1,X83,W84),IF(Параметры!X$45&lt;&gt;Параметры!W$45,X83,W84),IF(Параметры!X$50&lt;&gt;Параметры!W$50,X83,W84)))</f>
        <v>1.1755032736411812</v>
      </c>
      <c r="Y84" s="417">
        <f ca="1">IF(Y$2=1,1,CHOOSE($E$2,Y83,IF(Параметры!Y$43=1,Y83,X84),IF(Параметры!Y$48=1,Y83,X84),IF(Параметры!Y$45&lt;&gt;Параметры!X$45,Y83,X84),IF(Параметры!Y$50&lt;&gt;Параметры!X$50,Y83,X84)))</f>
        <v>1.1891841854085923</v>
      </c>
      <c r="Z84" s="417">
        <f ca="1">IF(Z$2=1,1,CHOOSE($E$2,Z83,IF(Параметры!Z$43=1,Z83,Y84),IF(Параметры!Z$48=1,Z83,Y84),IF(Параметры!Z$45&lt;&gt;Параметры!Y$45,Z83,Y84),IF(Параметры!Z$50&lt;&gt;Параметры!Y$50,Z83,Y84)))</f>
        <v>1.2022934375044521</v>
      </c>
      <c r="AA84" s="417">
        <f ca="1">IF(AA$2=1,1,CHOOSE($E$2,AA83,IF(Параметры!AA$43=1,AA83,Z84),IF(Параметры!AA$48=1,AA83,Z84),IF(Параметры!AA$45&lt;&gt;Параметры!Z$45,AA83,Z84),IF(Параметры!AA$50&lt;&gt;Параметры!Z$50,AA83,Z84)))</f>
        <v>1.2155472025299501</v>
      </c>
      <c r="AB84" s="417">
        <f ca="1">IF(AB$2=1,1,CHOOSE($E$2,AB83,IF(Параметры!AB$43=1,AB83,AA84),IF(Параметры!AB$48=1,AB83,AA84),IF(Параметры!AB$45&lt;&gt;Параметры!AA$45,AB83,AA84),IF(Параметры!AB$50&lt;&gt;Параметры!AA$50,AB83,AA84)))</f>
        <v>1.2289470735574202</v>
      </c>
      <c r="AC84" s="417">
        <f ca="1">IF(AC$2=1,1,CHOOSE($E$2,AC83,IF(Параметры!AC$43=1,AC83,AB84),IF(Параметры!AC$48=1,AC83,AB84),IF(Параметры!AC$45&lt;&gt;Параметры!AB$45,AC83,AB84),IF(Параметры!AC$50&lt;&gt;Параметры!AB$50,AC83,AB84)))</f>
        <v>1.2424946612208045</v>
      </c>
      <c r="AD84" s="417">
        <f ca="1">IF(AD$2=1,1,CHOOSE($E$2,AD83,IF(Параметры!AD$43=1,AD83,AC84),IF(Параметры!AD$48=1,AD83,AC84),IF(Параметры!AD$45&lt;&gt;Параметры!AC$45,AD83,AC84),IF(Параметры!AD$50&lt;&gt;Параметры!AC$50,AD83,AC84)))</f>
        <v>1.256059823935407</v>
      </c>
      <c r="AE84" s="417">
        <f ca="1">IF(AE$2=1,1,CHOOSE($E$2,AE83,IF(Параметры!AE$43=1,AE83,AD84),IF(Параметры!AE$48=1,AE83,AD84),IF(Параметры!AE$45&lt;&gt;Параметры!AD$45,AE83,AD84),IF(Параметры!AE$50&lt;&gt;Параметры!AD$50,AE83,AD84)))</f>
        <v>1.2697730867949975</v>
      </c>
      <c r="AF84" s="417">
        <f ca="1">IF(AF$2=1,1,CHOOSE($E$2,AF83,IF(Параметры!AF$43=1,AF83,AE84),IF(Параметры!AF$48=1,AF83,AE84),IF(Параметры!AF$45&lt;&gt;Параметры!AE$45,AF83,AE84),IF(Параметры!AF$50&lt;&gt;Параметры!AE$50,AF83,AE84)))</f>
        <v>1.2836360667099962</v>
      </c>
      <c r="AG84" s="417">
        <f ca="1">IF(AG$2=1,1,CHOOSE($E$2,AG83,IF(Параметры!AG$43=1,AG83,AF84),IF(Параметры!AG$48=1,AG83,AF84),IF(Параметры!AG$45&lt;&gt;Параметры!AF$45,AG83,AF84),IF(Параметры!AG$50&lt;&gt;Параметры!AF$50,AG83,AF84)))</f>
        <v>1.2976503982437386</v>
      </c>
      <c r="AH84" s="417">
        <f ca="1">IF(AH$2=1,1,CHOOSE($E$2,AH83,IF(Параметры!AH$43=1,AH83,AG84),IF(Параметры!AH$48=1,AH83,AG84),IF(Параметры!AH$45&lt;&gt;Параметры!AG$45,AH83,AG84),IF(Параметры!AH$50&lt;&gt;Параметры!AG$50,AH83,AG84)))</f>
        <v>1.3118813029780811</v>
      </c>
      <c r="AI84" s="417">
        <f ca="1">IF(AI$2=1,1,CHOOSE($E$2,AI83,IF(Параметры!AI$43=1,AI83,AH84),IF(Параметры!AI$48=1,AI83,AH84),IF(Параметры!AI$45&lt;&gt;Параметры!AH$45,AI83,AH84),IF(Параметры!AI$50&lt;&gt;Параметры!AH$50,AI83,AH84)))</f>
        <v>1.3262682733598676</v>
      </c>
      <c r="AJ84" s="417">
        <f ca="1">IF(AJ$2=1,1,CHOOSE($E$2,AJ83,IF(Параметры!AJ$43=1,AJ83,AI84),IF(Параметры!AJ$48=1,AJ83,AI84),IF(Параметры!AJ$45&lt;&gt;Параметры!AI$45,AJ83,AI84),IF(Параметры!AJ$50&lt;&gt;Параметры!AI$50,AJ83,AI84)))</f>
        <v>1.3408130209096774</v>
      </c>
      <c r="AK84" s="417">
        <f ca="1">IF(AK$2=1,1,CHOOSE($E$2,AK83,IF(Параметры!AK$43=1,AK83,AJ84),IF(Параметры!AK$48=1,AK83,AJ84),IF(Параметры!AK$45&lt;&gt;Параметры!AJ$45,AK83,AJ84),IF(Параметры!AK$50&lt;&gt;Параметры!AJ$50,AK83,AJ84)))</f>
        <v>1.355517275917772</v>
      </c>
      <c r="AL84" s="417">
        <f ca="1">IF(AL$2=1,1,CHOOSE($E$2,AL83,IF(Параметры!AL$43=1,AL83,AK84),IF(Параметры!AL$48=1,AL83,AK84),IF(Параметры!AL$45&lt;&gt;Параметры!AK$45,AL83,AK84),IF(Параметры!AL$50&lt;&gt;Параметры!AK$50,AL83,AK84)))</f>
        <v>1.3708162547169491</v>
      </c>
      <c r="AM84" s="417">
        <f ca="1">IF(AM$2=1,1,CHOOSE($E$2,AM83,IF(Параметры!AM$43=1,AM83,AL84),IF(Параметры!AM$48=1,AM83,AL84),IF(Параметры!AM$45&lt;&gt;Параметры!AL$45,AM83,AL84),IF(Параметры!AM$50&lt;&gt;Параметры!AL$50,AM83,AL84)))</f>
        <v>1.3862879046848793</v>
      </c>
      <c r="AN84" s="417">
        <f ca="1">IF(AN$2=1,1,CHOOSE($E$2,AN83,IF(Параметры!AN$43=1,AN83,AM84),IF(Параметры!AN$48=1,AN83,AM84),IF(Параметры!AN$45&lt;&gt;Параметры!AM$45,AN83,AM84),IF(Параметры!AN$50&lt;&gt;Параметры!AM$50,AN83,AM84)))</f>
        <v>1.4019341746661822</v>
      </c>
      <c r="AO84" s="417">
        <f ca="1">IF(AO$2=1,1,CHOOSE($E$2,AO83,IF(Параметры!AO$43=1,AO83,AN84),IF(Параметры!AO$48=1,AO83,AN84),IF(Параметры!AO$45&lt;&gt;Параметры!AN$45,AO83,AN84),IF(Параметры!AO$50&lt;&gt;Параметры!AN$50,AO83,AN84)))</f>
        <v>1.4177570355010158</v>
      </c>
      <c r="AP84" s="417">
        <f ca="1">IF(AP$2=1,1,CHOOSE($E$2,AP83,IF(Параметры!AP$43=1,AP83,AO84),IF(Параметры!AP$48=1,AP83,AO84),IF(Параметры!AP$45&lt;&gt;Параметры!AO$45,AP83,AO84),IF(Параметры!AP$50&lt;&gt;Параметры!AO$50,AP83,AO84)))</f>
        <v>1.4337743756668839</v>
      </c>
      <c r="AQ84" s="417">
        <f ca="1">IF(AQ$2=1,1,CHOOSE($E$2,AQ83,IF(Параметры!AQ$43=1,AQ83,AP84),IF(Параметры!AQ$48=1,AQ83,AP84),IF(Параметры!AQ$45&lt;&gt;Параметры!AP$45,AQ83,AP84),IF(Параметры!AQ$50&lt;&gt;Параметры!AP$50,AQ83,AP84)))</f>
        <v>1.4499726743323855</v>
      </c>
      <c r="AR84" s="417">
        <f ca="1">IF(AR$2=1,1,CHOOSE($E$2,AR83,IF(Параметры!AR$43=1,AR83,AQ84),IF(Параметры!AR$48=1,AR83,AQ84),IF(Параметры!AR$45&lt;&gt;Параметры!AQ$45,AR83,AQ84),IF(Параметры!AR$50&lt;&gt;Параметры!AQ$50,AR83,AQ84)))</f>
        <v>1.4663539759055342</v>
      </c>
      <c r="AS84" s="120"/>
      <c r="AT84" s="116"/>
    </row>
    <row r="85" spans="1:46" x14ac:dyDescent="0.2">
      <c r="A85" s="49" t="s">
        <v>685</v>
      </c>
      <c r="B85" s="64"/>
      <c r="C85" s="35" t="s">
        <v>455</v>
      </c>
      <c r="D85" s="65"/>
      <c r="E85" s="158">
        <f ca="1">E81*E84</f>
        <v>0</v>
      </c>
      <c r="F85" s="158">
        <f t="shared" ref="F85:AR85" ca="1" si="65">F81*F84</f>
        <v>0</v>
      </c>
      <c r="G85" s="158">
        <f t="shared" ca="1" si="65"/>
        <v>0</v>
      </c>
      <c r="H85" s="158">
        <f t="shared" ca="1" si="65"/>
        <v>26667.516962956073</v>
      </c>
      <c r="I85" s="158">
        <f t="shared" ca="1" si="65"/>
        <v>26667.516962956073</v>
      </c>
      <c r="J85" s="158">
        <f t="shared" ca="1" si="65"/>
        <v>26918.446689113825</v>
      </c>
      <c r="K85" s="158">
        <f t="shared" ca="1" si="65"/>
        <v>27171.737554764131</v>
      </c>
      <c r="L85" s="158">
        <f t="shared" ca="1" si="65"/>
        <v>27427.411777201803</v>
      </c>
      <c r="M85" s="158">
        <f t="shared" ca="1" si="65"/>
        <v>27685.491782776728</v>
      </c>
      <c r="N85" s="158">
        <f t="shared" ca="1" si="65"/>
        <v>42524.025459612305</v>
      </c>
      <c r="O85" s="158">
        <f t="shared" ca="1" si="65"/>
        <v>42998.13290755247</v>
      </c>
      <c r="P85" s="158">
        <f t="shared" ca="1" si="65"/>
        <v>43477.526258456026</v>
      </c>
      <c r="Q85" s="158">
        <f t="shared" ca="1" si="65"/>
        <v>43962.264445736197</v>
      </c>
      <c r="R85" s="158">
        <f t="shared" ca="1" si="65"/>
        <v>52385.620406834176</v>
      </c>
      <c r="S85" s="158">
        <f t="shared" ca="1" si="65"/>
        <v>52980.548106056973</v>
      </c>
      <c r="T85" s="158">
        <f t="shared" ca="1" si="65"/>
        <v>53582.232219817837</v>
      </c>
      <c r="U85" s="158">
        <f t="shared" ca="1" si="65"/>
        <v>54190.749478679958</v>
      </c>
      <c r="V85" s="158">
        <f t="shared" ca="1" si="65"/>
        <v>187308.08333761361</v>
      </c>
      <c r="W85" s="158">
        <f t="shared" ca="1" si="65"/>
        <v>189488.03929258694</v>
      </c>
      <c r="X85" s="158">
        <f t="shared" ca="1" si="65"/>
        <v>191693.36632541742</v>
      </c>
      <c r="Y85" s="158">
        <f t="shared" ca="1" si="65"/>
        <v>193924.35971344312</v>
      </c>
      <c r="Z85" s="158">
        <f t="shared" ca="1" si="65"/>
        <v>196062.13059049041</v>
      </c>
      <c r="AA85" s="158">
        <f t="shared" ca="1" si="65"/>
        <v>198223.46768856075</v>
      </c>
      <c r="AB85" s="158">
        <f t="shared" ca="1" si="65"/>
        <v>200408.63079544483</v>
      </c>
      <c r="AC85" s="158">
        <f t="shared" ca="1" si="65"/>
        <v>202617.88256276536</v>
      </c>
      <c r="AD85" s="158">
        <f t="shared" ca="1" si="65"/>
        <v>204830.00035420244</v>
      </c>
      <c r="AE85" s="158">
        <f t="shared" ca="1" si="65"/>
        <v>207066.26934622109</v>
      </c>
      <c r="AF85" s="158">
        <f t="shared" ca="1" si="65"/>
        <v>209326.95321397096</v>
      </c>
      <c r="AG85" s="158">
        <f t="shared" ca="1" si="65"/>
        <v>211612.31851132322</v>
      </c>
      <c r="AH85" s="158">
        <f t="shared" ca="1" si="65"/>
        <v>213933.00114620215</v>
      </c>
      <c r="AI85" s="158">
        <f t="shared" ca="1" si="65"/>
        <v>216279.133943575</v>
      </c>
      <c r="AJ85" s="158">
        <f t="shared" ca="1" si="65"/>
        <v>218650.99600699573</v>
      </c>
      <c r="AK85" s="158">
        <f t="shared" ca="1" si="65"/>
        <v>221048.86950085504</v>
      </c>
      <c r="AL85" s="158">
        <f t="shared" ca="1" si="65"/>
        <v>223543.72665107908</v>
      </c>
      <c r="AM85" s="158">
        <f t="shared" ca="1" si="65"/>
        <v>236325.88393106739</v>
      </c>
      <c r="AN85" s="158">
        <f t="shared" ca="1" si="65"/>
        <v>238993.16435027876</v>
      </c>
      <c r="AO85" s="158">
        <f t="shared" ca="1" si="65"/>
        <v>241690.54889823118</v>
      </c>
      <c r="AP85" s="158">
        <f t="shared" ca="1" si="65"/>
        <v>244421.08709316971</v>
      </c>
      <c r="AQ85" s="158">
        <f t="shared" ca="1" si="65"/>
        <v>414304.68567989883</v>
      </c>
      <c r="AR85" s="158">
        <f t="shared" ca="1" si="65"/>
        <v>418985.36009496386</v>
      </c>
      <c r="AS85" s="41"/>
      <c r="AT85" s="84">
        <f ca="1">SUM(E85:AS85)</f>
        <v>5829377.1800408708</v>
      </c>
    </row>
    <row r="86" spans="1:46" x14ac:dyDescent="0.2">
      <c r="A86" s="66" t="s">
        <v>670</v>
      </c>
      <c r="B86" s="64"/>
      <c r="C86" s="35" t="s">
        <v>455</v>
      </c>
      <c r="D86" s="65"/>
      <c r="E86" s="158">
        <f ca="1">E85/(1-Параметры!E$146)-E85</f>
        <v>0</v>
      </c>
      <c r="F86" s="158">
        <f ca="1">F85/(1-Параметры!F$146)-F85</f>
        <v>0</v>
      </c>
      <c r="G86" s="158">
        <f ca="1">G85/(1-Параметры!G$146)-G85</f>
        <v>0</v>
      </c>
      <c r="H86" s="158">
        <f ca="1">H85/(1-Параметры!H$146)-H85</f>
        <v>6666.8792407390174</v>
      </c>
      <c r="I86" s="158">
        <f ca="1">I85/(1-Параметры!I$146)-I85</f>
        <v>6666.8792407390174</v>
      </c>
      <c r="J86" s="158">
        <f ca="1">J85/(1-Параметры!J$146)-J85</f>
        <v>6729.6116722784536</v>
      </c>
      <c r="K86" s="158">
        <f ca="1">K85/(1-Параметры!K$146)-K85</f>
        <v>6792.9343886910319</v>
      </c>
      <c r="L86" s="158">
        <f ca="1">L85/(1-Параметры!L$146)-L85</f>
        <v>6856.8529443004481</v>
      </c>
      <c r="M86" s="158">
        <f ca="1">M85/(1-Параметры!M$146)-M85</f>
        <v>6921.3729456941801</v>
      </c>
      <c r="N86" s="158">
        <f ca="1">N85/(1-Параметры!N$146)-N85</f>
        <v>10631.006364903071</v>
      </c>
      <c r="O86" s="158">
        <f ca="1">O85/(1-Параметры!O$146)-O85</f>
        <v>10749.533226888117</v>
      </c>
      <c r="P86" s="158">
        <f ca="1">P85/(1-Параметры!P$146)-P85</f>
        <v>10869.381564614006</v>
      </c>
      <c r="Q86" s="158">
        <f ca="1">Q85/(1-Параметры!Q$146)-Q85</f>
        <v>10990.566111434047</v>
      </c>
      <c r="R86" s="158">
        <f ca="1">R85/(1-Параметры!R$146)-R85</f>
        <v>13096.405101708544</v>
      </c>
      <c r="S86" s="158">
        <f ca="1">S85/(1-Параметры!S$146)-S85</f>
        <v>13245.137026514232</v>
      </c>
      <c r="T86" s="158">
        <f ca="1">T85/(1-Параметры!T$146)-T85</f>
        <v>13395.558054954461</v>
      </c>
      <c r="U86" s="158">
        <f ca="1">U85/(1-Параметры!U$146)-U85</f>
        <v>13547.687369669984</v>
      </c>
      <c r="V86" s="158">
        <f ca="1">V85/(1-Параметры!V$146)-V85</f>
        <v>46827.020834403404</v>
      </c>
      <c r="W86" s="158">
        <f ca="1">W85/(1-Параметры!W$146)-W85</f>
        <v>47372.009823146713</v>
      </c>
      <c r="X86" s="158">
        <f ca="1">X85/(1-Параметры!X$146)-X85</f>
        <v>47923.341581354354</v>
      </c>
      <c r="Y86" s="158">
        <f ca="1">Y85/(1-Параметры!Y$146)-Y85</f>
        <v>48481.089928360772</v>
      </c>
      <c r="Z86" s="158">
        <f ca="1">Z85/(1-Параметры!Z$146)-Z85</f>
        <v>49015.532647622604</v>
      </c>
      <c r="AA86" s="158">
        <f ca="1">AA85/(1-Параметры!AA$146)-AA85</f>
        <v>49555.86692214018</v>
      </c>
      <c r="AB86" s="158">
        <f ca="1">AB85/(1-Параметры!AB$146)-AB85</f>
        <v>50102.157698861207</v>
      </c>
      <c r="AC86" s="158">
        <f ca="1">AC85/(1-Параметры!AC$146)-AC85</f>
        <v>50654.470640691317</v>
      </c>
      <c r="AD86" s="158">
        <f ca="1">AD85/(1-Параметры!AD$146)-AD85</f>
        <v>51207.500088550587</v>
      </c>
      <c r="AE86" s="158">
        <f ca="1">AE85/(1-Параметры!AE$146)-AE85</f>
        <v>51766.56733655525</v>
      </c>
      <c r="AF86" s="158">
        <f ca="1">AF85/(1-Параметры!AF$146)-AF85</f>
        <v>52331.738303492719</v>
      </c>
      <c r="AG86" s="158">
        <f ca="1">AG85/(1-Параметры!AG$146)-AG85</f>
        <v>52903.079627830797</v>
      </c>
      <c r="AH86" s="158">
        <f ca="1">AH85/(1-Параметры!AH$146)-AH85</f>
        <v>53483.250286550494</v>
      </c>
      <c r="AI86" s="158">
        <f ca="1">AI85/(1-Параметры!AI$146)-AI85</f>
        <v>54069.783485893713</v>
      </c>
      <c r="AJ86" s="158">
        <f ca="1">AJ85/(1-Параметры!AJ$146)-AJ85</f>
        <v>54662.749001748918</v>
      </c>
      <c r="AK86" s="158">
        <f ca="1">AK85/(1-Параметры!AK$146)-AK85</f>
        <v>55262.217375213746</v>
      </c>
      <c r="AL86" s="158">
        <f ca="1">AL85/(1-Параметры!AL$146)-AL85</f>
        <v>55885.931662769755</v>
      </c>
      <c r="AM86" s="158">
        <f ca="1">AM85/(1-Параметры!AM$146)-AM85</f>
        <v>59081.470982766856</v>
      </c>
      <c r="AN86" s="158">
        <f ca="1">AN85/(1-Параметры!AN$146)-AN85</f>
        <v>59748.291087569698</v>
      </c>
      <c r="AO86" s="158">
        <f ca="1">AO85/(1-Параметры!AO$146)-AO85</f>
        <v>60422.637224557751</v>
      </c>
      <c r="AP86" s="158">
        <f ca="1">AP85/(1-Параметры!AP$146)-AP85</f>
        <v>61105.271773292421</v>
      </c>
      <c r="AQ86" s="158">
        <f ca="1">AQ85/(1-Параметры!AQ$146)-AQ85</f>
        <v>103576.17141997471</v>
      </c>
      <c r="AR86" s="158">
        <f ca="1">AR85/(1-Параметры!AR$146)-AR85</f>
        <v>104746.34002374095</v>
      </c>
      <c r="AT86" s="84">
        <f t="shared" ref="AT86:AT88" ca="1" si="66">SUM(E86:AS86)</f>
        <v>1457344.2950102177</v>
      </c>
    </row>
    <row r="87" spans="1:46" x14ac:dyDescent="0.2">
      <c r="A87" s="66" t="s">
        <v>681</v>
      </c>
      <c r="B87" s="64"/>
      <c r="C87" s="35" t="s">
        <v>455</v>
      </c>
      <c r="D87" s="65"/>
      <c r="E87" s="554">
        <f ca="1">F87</f>
        <v>0</v>
      </c>
      <c r="F87" s="158">
        <f ca="1">OFFSET(F$86,0,-Параметры!$B$147/Параметры!$B$27)*Параметры!E$144/Параметры!E$146</f>
        <v>0</v>
      </c>
      <c r="G87" s="158">
        <f ca="1">OFFSET(G$86,0,-Параметры!$B$147/Параметры!$B$27)*Параметры!F$144/Параметры!F$146</f>
        <v>0</v>
      </c>
      <c r="H87" s="158">
        <f ca="1">OFFSET(H$86,0,-Параметры!$B$147/Параметры!$B$27)*Параметры!G$144/Параметры!G$146</f>
        <v>0</v>
      </c>
      <c r="I87" s="158">
        <f ca="1">OFFSET(I$86,0,-Параметры!$B$147/Параметры!$B$27)*Параметры!H$144/Параметры!H$146</f>
        <v>1000.0318861108526</v>
      </c>
      <c r="J87" s="158">
        <f ca="1">OFFSET(J$86,0,-Параметры!$B$147/Параметры!$B$27)*Параметры!I$144/Параметры!I$146</f>
        <v>1000.0318861108526</v>
      </c>
      <c r="K87" s="158">
        <f ca="1">OFFSET(K$86,0,-Параметры!$B$147/Параметры!$B$27)*Параметры!J$144/Параметры!J$146</f>
        <v>1009.441750841768</v>
      </c>
      <c r="L87" s="158">
        <f ca="1">OFFSET(L$86,0,-Параметры!$B$147/Параметры!$B$27)*Параметры!K$144/Параметры!K$146</f>
        <v>1018.9401583036547</v>
      </c>
      <c r="M87" s="158">
        <f ca="1">OFFSET(M$86,0,-Параметры!$B$147/Параметры!$B$27)*Параметры!L$144/Параметры!L$146</f>
        <v>1028.5279416450671</v>
      </c>
      <c r="N87" s="158">
        <f ca="1">OFFSET(N$86,0,-Параметры!$B$147/Параметры!$B$27)*Параметры!M$144/Параметры!M$146</f>
        <v>1038.2059418541269</v>
      </c>
      <c r="O87" s="158">
        <f ca="1">OFFSET(O$86,0,-Параметры!$B$147/Параметры!$B$27)*Параметры!N$144/Параметры!N$146</f>
        <v>1594.6509547354606</v>
      </c>
      <c r="P87" s="158">
        <f ca="1">OFFSET(P$86,0,-Параметры!$B$147/Параметры!$B$27)*Параметры!O$144/Параметры!O$146</f>
        <v>1612.4299840332176</v>
      </c>
      <c r="Q87" s="158">
        <f ca="1">OFFSET(Q$86,0,-Параметры!$B$147/Параметры!$B$27)*Параметры!P$144/Параметры!P$146</f>
        <v>1630.4072346921009</v>
      </c>
      <c r="R87" s="158">
        <f ca="1">OFFSET(R$86,0,-Параметры!$B$147/Параметры!$B$27)*Параметры!Q$144/Параметры!Q$146</f>
        <v>1648.5849167151071</v>
      </c>
      <c r="S87" s="158">
        <f ca="1">OFFSET(S$86,0,-Параметры!$B$147/Параметры!$B$27)*Параметры!R$144/Параметры!R$146</f>
        <v>1964.4607652562813</v>
      </c>
      <c r="T87" s="158">
        <f ca="1">OFFSET(T$86,0,-Параметры!$B$147/Параметры!$B$27)*Параметры!S$144/Параметры!S$146</f>
        <v>1986.7705539771346</v>
      </c>
      <c r="U87" s="158">
        <f ca="1">OFFSET(U$86,0,-Параметры!$B$147/Параметры!$B$27)*Параметры!T$144/Параметры!T$146</f>
        <v>2009.333708243169</v>
      </c>
      <c r="V87" s="158">
        <f ca="1">OFFSET(V$86,0,-Параметры!$B$147/Параметры!$B$27)*Параметры!U$144/Параметры!U$146</f>
        <v>2032.1531054504976</v>
      </c>
      <c r="W87" s="158">
        <f ca="1">OFFSET(W$86,0,-Параметры!$B$147/Параметры!$B$27)*Параметры!V$144/Параметры!V$146</f>
        <v>7024.0531251605098</v>
      </c>
      <c r="X87" s="158">
        <f ca="1">OFFSET(X$86,0,-Параметры!$B$147/Параметры!$B$27)*Параметры!W$144/Параметры!W$146</f>
        <v>7105.8014734720064</v>
      </c>
      <c r="Y87" s="158">
        <f ca="1">OFFSET(Y$86,0,-Параметры!$B$147/Параметры!$B$27)*Параметры!X$144/Параметры!X$146</f>
        <v>7188.5012372031524</v>
      </c>
      <c r="Z87" s="158">
        <f ca="1">OFFSET(Z$86,0,-Параметры!$B$147/Параметры!$B$27)*Параметры!Y$144/Параметры!Y$146</f>
        <v>4848.108992836078</v>
      </c>
      <c r="AA87" s="158">
        <f ca="1">OFFSET(AA$86,0,-Параметры!$B$147/Параметры!$B$27)*Параметры!Z$144/Параметры!Z$146</f>
        <v>4901.5532647622604</v>
      </c>
      <c r="AB87" s="158">
        <f ca="1">OFFSET(AB$86,0,-Параметры!$B$147/Параметры!$B$27)*Параметры!AA$144/Параметры!AA$146</f>
        <v>4955.5866922140185</v>
      </c>
      <c r="AC87" s="158">
        <f ca="1">OFFSET(AC$86,0,-Параметры!$B$147/Параметры!$B$27)*Параметры!AB$144/Параметры!AB$146</f>
        <v>5010.2157698861211</v>
      </c>
      <c r="AD87" s="158">
        <f ca="1">OFFSET(AD$86,0,-Параметры!$B$147/Параметры!$B$27)*Параметры!AC$144/Параметры!AC$146</f>
        <v>5065.4470640691325</v>
      </c>
      <c r="AE87" s="158">
        <f ca="1">OFFSET(AE$86,0,-Параметры!$B$147/Параметры!$B$27)*Параметры!AD$144/Параметры!AD$146</f>
        <v>5120.7500088550596</v>
      </c>
      <c r="AF87" s="158">
        <f ca="1">OFFSET(AF$86,0,-Параметры!$B$147/Параметры!$B$27)*Параметры!AE$144/Параметры!AE$146</f>
        <v>5176.6567336555254</v>
      </c>
      <c r="AG87" s="158">
        <f ca="1">OFFSET(AG$86,0,-Параметры!$B$147/Параметры!$B$27)*Параметры!AF$144/Параметры!AF$146</f>
        <v>5233.1738303492721</v>
      </c>
      <c r="AH87" s="158">
        <f ca="1">OFFSET(AH$86,0,-Параметры!$B$147/Параметры!$B$27)*Параметры!AG$144/Параметры!AG$146</f>
        <v>5290.3079627830803</v>
      </c>
      <c r="AI87" s="158">
        <f ca="1">OFFSET(AI$86,0,-Параметры!$B$147/Параметры!$B$27)*Параметры!AH$144/Параметры!AH$146</f>
        <v>5348.3250286550492</v>
      </c>
      <c r="AJ87" s="158">
        <f ca="1">OFFSET(AJ$86,0,-Параметры!$B$147/Параметры!$B$27)*Параметры!AI$144/Параметры!AI$146</f>
        <v>5406.9783485893713</v>
      </c>
      <c r="AK87" s="158">
        <f ca="1">OFFSET(AK$86,0,-Параметры!$B$147/Параметры!$B$27)*Параметры!AJ$144/Параметры!AJ$146</f>
        <v>5466.2749001748925</v>
      </c>
      <c r="AL87" s="158">
        <f ca="1">OFFSET(AL$86,0,-Параметры!$B$147/Параметры!$B$27)*Параметры!AK$144/Параметры!AK$146</f>
        <v>5526.221737521375</v>
      </c>
      <c r="AM87" s="158">
        <f ca="1">OFFSET(AM$86,0,-Параметры!$B$147/Параметры!$B$27)*Параметры!AL$144/Параметры!AL$146</f>
        <v>5588.5931662769763</v>
      </c>
      <c r="AN87" s="158">
        <f ca="1">OFFSET(AN$86,0,-Параметры!$B$147/Параметры!$B$27)*Параметры!AM$144/Параметры!AM$146</f>
        <v>5908.1470982766868</v>
      </c>
      <c r="AO87" s="158">
        <f ca="1">OFFSET(AO$86,0,-Параметры!$B$147/Параметры!$B$27)*Параметры!AN$144/Параметры!AN$146</f>
        <v>5974.8291087569705</v>
      </c>
      <c r="AP87" s="158">
        <f ca="1">OFFSET(AP$86,0,-Параметры!$B$147/Параметры!$B$27)*Параметры!AO$144/Параметры!AO$146</f>
        <v>6042.2637224557757</v>
      </c>
      <c r="AQ87" s="158">
        <f ca="1">OFFSET(AQ$86,0,-Параметры!$B$147/Параметры!$B$27)*Параметры!AP$144/Параметры!AP$146</f>
        <v>6110.5271773292425</v>
      </c>
      <c r="AR87" s="158">
        <f ca="1">OFFSET(AR$86,0,-Параметры!$B$147/Параметры!$B$27)*Параметры!AQ$144/Параметры!AQ$146</f>
        <v>10357.617141997471</v>
      </c>
      <c r="AT87" s="84">
        <f t="shared" ca="1" si="66"/>
        <v>149223.9043732493</v>
      </c>
    </row>
    <row r="88" spans="1:46" x14ac:dyDescent="0.2">
      <c r="A88" s="66" t="s">
        <v>682</v>
      </c>
      <c r="C88" s="35" t="s">
        <v>455</v>
      </c>
      <c r="D88" s="65"/>
      <c r="E88" s="554">
        <f ca="1">F88</f>
        <v>0</v>
      </c>
      <c r="F88" s="158">
        <f ca="1">OFFSET(F$86,0,-Параметры!$B$147/Параметры!$B$27)*Параметры!E$145/Параметры!E$146</f>
        <v>0</v>
      </c>
      <c r="G88" s="158">
        <f ca="1">OFFSET(G$86,0,-Параметры!$B$147/Параметры!$B$27)*Параметры!F$145/Параметры!F$146</f>
        <v>0</v>
      </c>
      <c r="H88" s="158">
        <f ca="1">OFFSET(H$86,0,-Параметры!$B$147/Параметры!$B$27)*Параметры!G$145/Параметры!G$146</f>
        <v>0</v>
      </c>
      <c r="I88" s="158">
        <f ca="1">OFFSET(I$86,0,-Параметры!$B$147/Параметры!$B$27)*Параметры!H$145/Параметры!H$146</f>
        <v>5666.8473546281648</v>
      </c>
      <c r="J88" s="158">
        <f ca="1">OFFSET(J$86,0,-Параметры!$B$147/Параметры!$B$27)*Параметры!I$145/Параметры!I$146</f>
        <v>5666.8473546281648</v>
      </c>
      <c r="K88" s="158">
        <f ca="1">OFFSET(K$86,0,-Параметры!$B$147/Параметры!$B$27)*Параметры!J$145/Параметры!J$146</f>
        <v>5720.1699214366863</v>
      </c>
      <c r="L88" s="158">
        <f ca="1">OFFSET(L$86,0,-Параметры!$B$147/Параметры!$B$27)*Параметры!K$145/Параметры!K$146</f>
        <v>5773.9942303873768</v>
      </c>
      <c r="M88" s="158">
        <f ca="1">OFFSET(M$86,0,-Параметры!$B$147/Параметры!$B$27)*Параметры!L$145/Параметры!L$146</f>
        <v>5828.3250026553806</v>
      </c>
      <c r="N88" s="158">
        <f ca="1">OFFSET(N$86,0,-Параметры!$B$147/Параметры!$B$27)*Параметры!M$145/Параметры!M$146</f>
        <v>5883.1670038400534</v>
      </c>
      <c r="O88" s="158">
        <f ca="1">OFFSET(O$86,0,-Параметры!$B$147/Параметры!$B$27)*Параметры!N$145/Параметры!N$146</f>
        <v>9036.3554101676109</v>
      </c>
      <c r="P88" s="158">
        <f ca="1">OFFSET(P$86,0,-Параметры!$B$147/Параметры!$B$27)*Параметры!O$145/Параметры!O$146</f>
        <v>9137.1032428549006</v>
      </c>
      <c r="Q88" s="158">
        <f ca="1">OFFSET(Q$86,0,-Параметры!$B$147/Параметры!$B$27)*Параметры!P$145/Параметры!P$146</f>
        <v>9238.9743299219062</v>
      </c>
      <c r="R88" s="158">
        <f ca="1">OFFSET(R$86,0,-Параметры!$B$147/Параметры!$B$27)*Параметры!Q$145/Параметры!Q$146</f>
        <v>9341.981194718941</v>
      </c>
      <c r="S88" s="158">
        <f ca="1">OFFSET(S$86,0,-Параметры!$B$147/Параметры!$B$27)*Параметры!R$145/Параметры!R$146</f>
        <v>11131.944336452263</v>
      </c>
      <c r="T88" s="158">
        <f ca="1">OFFSET(T$86,0,-Параметры!$B$147/Параметры!$B$27)*Параметры!S$145/Параметры!S$146</f>
        <v>11258.366472537096</v>
      </c>
      <c r="U88" s="158">
        <f ca="1">OFFSET(U$86,0,-Параметры!$B$147/Параметры!$B$27)*Параметры!T$145/Параметры!T$146</f>
        <v>11386.224346711291</v>
      </c>
      <c r="V88" s="158">
        <f ca="1">OFFSET(V$86,0,-Параметры!$B$147/Параметры!$B$27)*Параметры!U$145/Параметры!U$146</f>
        <v>11515.534264219486</v>
      </c>
      <c r="W88" s="158">
        <f ca="1">OFFSET(W$86,0,-Параметры!$B$147/Параметры!$B$27)*Параметры!V$145/Параметры!V$146</f>
        <v>39802.96770924289</v>
      </c>
      <c r="X88" s="158">
        <f ca="1">OFFSET(X$86,0,-Параметры!$B$147/Параметры!$B$27)*Параметры!W$145/Параметры!W$146</f>
        <v>40266.208349674707</v>
      </c>
      <c r="Y88" s="158">
        <f ca="1">OFFSET(Y$86,0,-Параметры!$B$147/Параметры!$B$27)*Параметры!X$145/Параметры!X$146</f>
        <v>40734.840344151198</v>
      </c>
      <c r="Z88" s="158">
        <f ca="1">OFFSET(Z$86,0,-Параметры!$B$147/Параметры!$B$27)*Параметры!Y$145/Параметры!Y$146</f>
        <v>43632.980935524698</v>
      </c>
      <c r="AA88" s="158">
        <f ca="1">OFFSET(AA$86,0,-Параметры!$B$147/Параметры!$B$27)*Параметры!Z$145/Параметры!Z$146</f>
        <v>44113.979382860351</v>
      </c>
      <c r="AB88" s="158">
        <f ca="1">OFFSET(AB$86,0,-Параметры!$B$147/Параметры!$B$27)*Параметры!AA$145/Параметры!AA$146</f>
        <v>44600.28022992616</v>
      </c>
      <c r="AC88" s="158">
        <f ca="1">OFFSET(AC$86,0,-Параметры!$B$147/Параметры!$B$27)*Параметры!AB$145/Параметры!AB$146</f>
        <v>45091.941928975088</v>
      </c>
      <c r="AD88" s="158">
        <f ca="1">OFFSET(AD$86,0,-Параметры!$B$147/Параметры!$B$27)*Параметры!AC$145/Параметры!AC$146</f>
        <v>45589.023576622189</v>
      </c>
      <c r="AE88" s="158">
        <f ca="1">OFFSET(AE$86,0,-Параметры!$B$147/Параметры!$B$27)*Параметры!AD$145/Параметры!AD$146</f>
        <v>46086.750079695536</v>
      </c>
      <c r="AF88" s="158">
        <f ca="1">OFFSET(AF$86,0,-Параметры!$B$147/Параметры!$B$27)*Параметры!AE$145/Параметры!AE$146</f>
        <v>46589.910602899734</v>
      </c>
      <c r="AG88" s="158">
        <f ca="1">OFFSET(AG$86,0,-Параметры!$B$147/Параметры!$B$27)*Параметры!AF$145/Параметры!AF$146</f>
        <v>47098.564473143444</v>
      </c>
      <c r="AH88" s="158">
        <f ca="1">OFFSET(AH$86,0,-Параметры!$B$147/Параметры!$B$27)*Параметры!AG$145/Параметры!AG$146</f>
        <v>47612.771665047716</v>
      </c>
      <c r="AI88" s="158">
        <f ca="1">OFFSET(AI$86,0,-Параметры!$B$147/Параметры!$B$27)*Параметры!AH$145/Параметры!AH$146</f>
        <v>48134.92525789544</v>
      </c>
      <c r="AJ88" s="158">
        <f ca="1">OFFSET(AJ$86,0,-Параметры!$B$147/Параметры!$B$27)*Параметры!AI$145/Параметры!AI$146</f>
        <v>48662.805137304342</v>
      </c>
      <c r="AK88" s="158">
        <f ca="1">OFFSET(AK$86,0,-Параметры!$B$147/Параметры!$B$27)*Параметры!AJ$145/Параметры!AJ$146</f>
        <v>49196.474101574029</v>
      </c>
      <c r="AL88" s="158">
        <f ca="1">OFFSET(AL$86,0,-Параметры!$B$147/Параметры!$B$27)*Параметры!AK$145/Параметры!AK$146</f>
        <v>49735.995637692373</v>
      </c>
      <c r="AM88" s="158">
        <f ca="1">OFFSET(AM$86,0,-Параметры!$B$147/Параметры!$B$27)*Параметры!AL$145/Параметры!AL$146</f>
        <v>50297.338496492783</v>
      </c>
      <c r="AN88" s="158">
        <f ca="1">OFFSET(AN$86,0,-Параметры!$B$147/Параметры!$B$27)*Параметры!AM$145/Параметры!AM$146</f>
        <v>53173.323884490172</v>
      </c>
      <c r="AO88" s="158">
        <f ca="1">OFFSET(AO$86,0,-Параметры!$B$147/Параметры!$B$27)*Параметры!AN$145/Параметры!AN$146</f>
        <v>53773.461978812731</v>
      </c>
      <c r="AP88" s="158">
        <f ca="1">OFFSET(AP$86,0,-Параметры!$B$147/Параметры!$B$27)*Параметры!AO$145/Параметры!AO$146</f>
        <v>54380.373502101982</v>
      </c>
      <c r="AQ88" s="158">
        <f ca="1">OFFSET(AQ$86,0,-Параметры!$B$147/Параметры!$B$27)*Параметры!AP$145/Параметры!AP$146</f>
        <v>54994.74459596318</v>
      </c>
      <c r="AR88" s="158">
        <f ca="1">OFFSET(AR$86,0,-Параметры!$B$147/Параметры!$B$27)*Параметры!AQ$145/Параметры!AQ$146</f>
        <v>93218.554277977251</v>
      </c>
      <c r="AT88" s="84">
        <f t="shared" ca="1" si="66"/>
        <v>1203374.0506132275</v>
      </c>
    </row>
    <row r="90" spans="1:46" x14ac:dyDescent="0.2">
      <c r="A90" s="50" t="s">
        <v>671</v>
      </c>
      <c r="B90" s="64"/>
      <c r="C90" s="35"/>
      <c r="D90" s="65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41"/>
      <c r="AT90" s="92"/>
    </row>
    <row r="91" spans="1:46" x14ac:dyDescent="0.2">
      <c r="A91" s="66" t="s">
        <v>672</v>
      </c>
      <c r="B91" s="434">
        <v>2020</v>
      </c>
      <c r="C91" s="35" t="s">
        <v>455</v>
      </c>
      <c r="D91" s="65"/>
      <c r="E91" s="158">
        <f ca="1">IF($B91=Параметры!E$46,Резиденты!E$73,0)</f>
        <v>0</v>
      </c>
      <c r="F91" s="158">
        <f ca="1">IF($B91=Параметры!F$46,Резиденты!F$73,0)</f>
        <v>0</v>
      </c>
      <c r="G91" s="158">
        <f ca="1">IF($B91=Параметры!G$46,Резиденты!G$73,0)</f>
        <v>0</v>
      </c>
      <c r="H91" s="158">
        <f ca="1">IF($B91=Параметры!H$46,Резиденты!H$73,0)</f>
        <v>1475381.298088856</v>
      </c>
      <c r="I91" s="158">
        <f>IF($B91=Параметры!I$46,Резиденты!I$73,0)</f>
        <v>0</v>
      </c>
      <c r="J91" s="158">
        <f>IF($B91=Параметры!J$46,Резиденты!J$73,0)</f>
        <v>0</v>
      </c>
      <c r="K91" s="158">
        <f>IF($B91=Параметры!K$46,Резиденты!K$73,0)</f>
        <v>0</v>
      </c>
      <c r="L91" s="158">
        <f>IF($B91=Параметры!L$46,Резиденты!L$73,0)</f>
        <v>0</v>
      </c>
      <c r="M91" s="158">
        <f>IF($B91=Параметры!M$46,Резиденты!M$73,0)</f>
        <v>0</v>
      </c>
      <c r="N91" s="158">
        <f>IF($B91=Параметры!N$46,Резиденты!N$73,0)</f>
        <v>0</v>
      </c>
      <c r="O91" s="158">
        <f>IF($B91=Параметры!O$46,Резиденты!O$73,0)</f>
        <v>0</v>
      </c>
      <c r="P91" s="158">
        <f>IF($B91=Параметры!P$46,Резиденты!P$73,0)</f>
        <v>0</v>
      </c>
      <c r="Q91" s="158">
        <f>IF($B91=Параметры!Q$46,Резиденты!Q$73,0)</f>
        <v>0</v>
      </c>
      <c r="R91" s="158">
        <f>IF($B91=Параметры!R$46,Резиденты!R$73,0)</f>
        <v>0</v>
      </c>
      <c r="S91" s="158">
        <f>IF($B91=Параметры!S$46,Резиденты!S$73,0)</f>
        <v>0</v>
      </c>
      <c r="T91" s="158">
        <f>IF($B91=Параметры!T$46,Резиденты!T$73,0)</f>
        <v>0</v>
      </c>
      <c r="U91" s="158">
        <f>IF($B91=Параметры!U$46,Резиденты!U$73,0)</f>
        <v>0</v>
      </c>
      <c r="V91" s="158">
        <f>IF($B91=Параметры!V$46,Резиденты!V$73,0)</f>
        <v>0</v>
      </c>
      <c r="W91" s="158">
        <f>IF($B91=Параметры!W$46,Резиденты!W$73,0)</f>
        <v>0</v>
      </c>
      <c r="X91" s="158">
        <f>IF($B91=Параметры!X$46,Резиденты!X$73,0)</f>
        <v>0</v>
      </c>
      <c r="Y91" s="158">
        <f>IF($B91=Параметры!Y$46,Резиденты!Y$73,0)</f>
        <v>0</v>
      </c>
      <c r="Z91" s="158">
        <f>IF($B91=Параметры!Z$46,Резиденты!Z$73,0)</f>
        <v>0</v>
      </c>
      <c r="AA91" s="158">
        <f>IF($B91=Параметры!AA$46,Резиденты!AA$73,0)</f>
        <v>0</v>
      </c>
      <c r="AB91" s="158">
        <f>IF($B91=Параметры!AB$46,Резиденты!AB$73,0)</f>
        <v>0</v>
      </c>
      <c r="AC91" s="158">
        <f>IF($B91=Параметры!AC$46,Резиденты!AC$73,0)</f>
        <v>0</v>
      </c>
      <c r="AD91" s="158">
        <f>IF($B91=Параметры!AD$46,Резиденты!AD$73,0)</f>
        <v>0</v>
      </c>
      <c r="AE91" s="158">
        <f>IF($B91=Параметры!AE$46,Резиденты!AE$73,0)</f>
        <v>0</v>
      </c>
      <c r="AF91" s="158">
        <f>IF($B91=Параметры!AF$46,Резиденты!AF$73,0)</f>
        <v>0</v>
      </c>
      <c r="AG91" s="158">
        <f>IF($B91=Параметры!AG$46,Резиденты!AG$73,0)</f>
        <v>0</v>
      </c>
      <c r="AH91" s="158">
        <f>IF($B91=Параметры!AH$46,Резиденты!AH$73,0)</f>
        <v>0</v>
      </c>
      <c r="AI91" s="158">
        <f>IF($B91=Параметры!AI$46,Резиденты!AI$73,0)</f>
        <v>0</v>
      </c>
      <c r="AJ91" s="158">
        <f>IF($B91=Параметры!AJ$46,Резиденты!AJ$73,0)</f>
        <v>0</v>
      </c>
      <c r="AK91" s="158">
        <f>IF($B91=Параметры!AK$46,Резиденты!AK$73,0)</f>
        <v>0</v>
      </c>
      <c r="AL91" s="158">
        <f>IF($B91=Параметры!AL$46,Резиденты!AL$73,0)</f>
        <v>0</v>
      </c>
      <c r="AM91" s="158">
        <f>IF($B91=Параметры!AM$46,Резиденты!AM$73,0)</f>
        <v>0</v>
      </c>
      <c r="AN91" s="158">
        <f>IF($B91=Параметры!AN$46,Резиденты!AN$73,0)</f>
        <v>0</v>
      </c>
      <c r="AO91" s="158">
        <f>IF($B91=Параметры!AO$46,Резиденты!AO$73,0)</f>
        <v>0</v>
      </c>
      <c r="AP91" s="158">
        <f>IF($B91=Параметры!AP$46,Резиденты!AP$73,0)</f>
        <v>0</v>
      </c>
      <c r="AQ91" s="158">
        <f>IF($B91=Параметры!AQ$46,Резиденты!AQ$73,0)</f>
        <v>0</v>
      </c>
      <c r="AR91" s="158">
        <f>IF($B91=Параметры!AR$46,Резиденты!AR$73,0)</f>
        <v>0</v>
      </c>
      <c r="AS91" s="41"/>
      <c r="AT91" s="84">
        <f t="shared" ref="AT91:AT101" ca="1" si="67">SUM(E91:AS91)</f>
        <v>1475381.298088856</v>
      </c>
    </row>
    <row r="92" spans="1:46" x14ac:dyDescent="0.2">
      <c r="A92" s="66" t="s">
        <v>672</v>
      </c>
      <c r="B92" s="434">
        <f>B91+1</f>
        <v>2021</v>
      </c>
      <c r="C92" s="35" t="s">
        <v>455</v>
      </c>
      <c r="D92" s="65"/>
      <c r="E92" s="158">
        <f>IF($B92=Параметры!E$46,Резиденты!E$73,0)</f>
        <v>0</v>
      </c>
      <c r="F92" s="158">
        <f>IF($B92=Параметры!F$46,Резиденты!F$73,0)</f>
        <v>0</v>
      </c>
      <c r="G92" s="158">
        <f>IF($B92=Параметры!G$46,Резиденты!G$73,0)</f>
        <v>0</v>
      </c>
      <c r="H92" s="158">
        <f>IF($B92=Параметры!H$46,Резиденты!H$73,0)</f>
        <v>0</v>
      </c>
      <c r="I92" s="158">
        <f ca="1">IF($B92=Параметры!I$46,Резиденты!I$73,0)</f>
        <v>0</v>
      </c>
      <c r="J92" s="158">
        <f ca="1">IF($B92=Параметры!J$46,Резиденты!J$73,0)</f>
        <v>0</v>
      </c>
      <c r="K92" s="158">
        <f ca="1">IF($B92=Параметры!K$46,Резиденты!K$73,0)</f>
        <v>0</v>
      </c>
      <c r="L92" s="158">
        <f ca="1">IF($B92=Параметры!L$46,Резиденты!L$73,0)</f>
        <v>0</v>
      </c>
      <c r="M92" s="158">
        <f>IF($B92=Параметры!M$46,Резиденты!M$73,0)</f>
        <v>0</v>
      </c>
      <c r="N92" s="158">
        <f>IF($B92=Параметры!N$46,Резиденты!N$73,0)</f>
        <v>0</v>
      </c>
      <c r="O92" s="158">
        <f>IF($B92=Параметры!O$46,Резиденты!O$73,0)</f>
        <v>0</v>
      </c>
      <c r="P92" s="158">
        <f>IF($B92=Параметры!P$46,Резиденты!P$73,0)</f>
        <v>0</v>
      </c>
      <c r="Q92" s="158">
        <f>IF($B92=Параметры!Q$46,Резиденты!Q$73,0)</f>
        <v>0</v>
      </c>
      <c r="R92" s="158">
        <f>IF($B92=Параметры!R$46,Резиденты!R$73,0)</f>
        <v>0</v>
      </c>
      <c r="S92" s="158">
        <f>IF($B92=Параметры!S$46,Резиденты!S$73,0)</f>
        <v>0</v>
      </c>
      <c r="T92" s="158">
        <f>IF($B92=Параметры!T$46,Резиденты!T$73,0)</f>
        <v>0</v>
      </c>
      <c r="U92" s="158">
        <f>IF($B92=Параметры!U$46,Резиденты!U$73,0)</f>
        <v>0</v>
      </c>
      <c r="V92" s="158">
        <f>IF($B92=Параметры!V$46,Резиденты!V$73,0)</f>
        <v>0</v>
      </c>
      <c r="W92" s="158">
        <f>IF($B92=Параметры!W$46,Резиденты!W$73,0)</f>
        <v>0</v>
      </c>
      <c r="X92" s="158">
        <f>IF($B92=Параметры!X$46,Резиденты!X$73,0)</f>
        <v>0</v>
      </c>
      <c r="Y92" s="158">
        <f>IF($B92=Параметры!Y$46,Резиденты!Y$73,0)</f>
        <v>0</v>
      </c>
      <c r="Z92" s="158">
        <f>IF($B92=Параметры!Z$46,Резиденты!Z$73,0)</f>
        <v>0</v>
      </c>
      <c r="AA92" s="158">
        <f>IF($B92=Параметры!AA$46,Резиденты!AA$73,0)</f>
        <v>0</v>
      </c>
      <c r="AB92" s="158">
        <f>IF($B92=Параметры!AB$46,Резиденты!AB$73,0)</f>
        <v>0</v>
      </c>
      <c r="AC92" s="158">
        <f>IF($B92=Параметры!AC$46,Резиденты!AC$73,0)</f>
        <v>0</v>
      </c>
      <c r="AD92" s="158">
        <f>IF($B92=Параметры!AD$46,Резиденты!AD$73,0)</f>
        <v>0</v>
      </c>
      <c r="AE92" s="158">
        <f>IF($B92=Параметры!AE$46,Резиденты!AE$73,0)</f>
        <v>0</v>
      </c>
      <c r="AF92" s="158">
        <f>IF($B92=Параметры!AF$46,Резиденты!AF$73,0)</f>
        <v>0</v>
      </c>
      <c r="AG92" s="158">
        <f>IF($B92=Параметры!AG$46,Резиденты!AG$73,0)</f>
        <v>0</v>
      </c>
      <c r="AH92" s="158">
        <f>IF($B92=Параметры!AH$46,Резиденты!AH$73,0)</f>
        <v>0</v>
      </c>
      <c r="AI92" s="158">
        <f>IF($B92=Параметры!AI$46,Резиденты!AI$73,0)</f>
        <v>0</v>
      </c>
      <c r="AJ92" s="158">
        <f>IF($B92=Параметры!AJ$46,Резиденты!AJ$73,0)</f>
        <v>0</v>
      </c>
      <c r="AK92" s="158">
        <f>IF($B92=Параметры!AK$46,Резиденты!AK$73,0)</f>
        <v>0</v>
      </c>
      <c r="AL92" s="158">
        <f>IF($B92=Параметры!AL$46,Резиденты!AL$73,0)</f>
        <v>0</v>
      </c>
      <c r="AM92" s="158">
        <f>IF($B92=Параметры!AM$46,Резиденты!AM$73,0)</f>
        <v>0</v>
      </c>
      <c r="AN92" s="158">
        <f>IF($B92=Параметры!AN$46,Резиденты!AN$73,0)</f>
        <v>0</v>
      </c>
      <c r="AO92" s="158">
        <f>IF($B92=Параметры!AO$46,Резиденты!AO$73,0)</f>
        <v>0</v>
      </c>
      <c r="AP92" s="158">
        <f>IF($B92=Параметры!AP$46,Резиденты!AP$73,0)</f>
        <v>0</v>
      </c>
      <c r="AQ92" s="158">
        <f>IF($B92=Параметры!AQ$46,Резиденты!AQ$73,0)</f>
        <v>0</v>
      </c>
      <c r="AR92" s="158">
        <f>IF($B92=Параметры!AR$46,Резиденты!AR$73,0)</f>
        <v>0</v>
      </c>
      <c r="AS92" s="41"/>
      <c r="AT92" s="84">
        <f t="shared" ca="1" si="67"/>
        <v>0</v>
      </c>
    </row>
    <row r="93" spans="1:46" x14ac:dyDescent="0.2">
      <c r="A93" s="66" t="s">
        <v>672</v>
      </c>
      <c r="B93" s="434">
        <f t="shared" ref="B93:B100" si="68">B92+1</f>
        <v>2022</v>
      </c>
      <c r="C93" s="35" t="s">
        <v>455</v>
      </c>
      <c r="D93" s="65"/>
      <c r="E93" s="158">
        <f>IF($B93=Параметры!E$46,Резиденты!E$73,0)</f>
        <v>0</v>
      </c>
      <c r="F93" s="158">
        <f>IF($B93=Параметры!F$46,Резиденты!F$73,0)</f>
        <v>0</v>
      </c>
      <c r="G93" s="158">
        <f>IF($B93=Параметры!G$46,Резиденты!G$73,0)</f>
        <v>0</v>
      </c>
      <c r="H93" s="158">
        <f>IF($B93=Параметры!H$46,Резиденты!H$73,0)</f>
        <v>0</v>
      </c>
      <c r="I93" s="158">
        <f>IF($B93=Параметры!I$46,Резиденты!I$73,0)</f>
        <v>0</v>
      </c>
      <c r="J93" s="158">
        <f>IF($B93=Параметры!J$46,Резиденты!J$73,0)</f>
        <v>0</v>
      </c>
      <c r="K93" s="158">
        <f>IF($B93=Параметры!K$46,Резиденты!K$73,0)</f>
        <v>0</v>
      </c>
      <c r="L93" s="158">
        <f>IF($B93=Параметры!L$46,Резиденты!L$73,0)</f>
        <v>0</v>
      </c>
      <c r="M93" s="158">
        <f ca="1">IF($B93=Параметры!M$46,Резиденты!M$73,0)</f>
        <v>0</v>
      </c>
      <c r="N93" s="158">
        <f ca="1">IF($B93=Параметры!N$46,Резиденты!N$73,0)</f>
        <v>765769.98212909361</v>
      </c>
      <c r="O93" s="158">
        <f ca="1">IF($B93=Параметры!O$46,Резиденты!O$73,0)</f>
        <v>0</v>
      </c>
      <c r="P93" s="158">
        <f ca="1">IF($B93=Параметры!P$46,Резиденты!P$73,0)</f>
        <v>0</v>
      </c>
      <c r="Q93" s="158">
        <f>IF($B93=Параметры!Q$46,Резиденты!Q$73,0)</f>
        <v>0</v>
      </c>
      <c r="R93" s="158">
        <f>IF($B93=Параметры!R$46,Резиденты!R$73,0)</f>
        <v>0</v>
      </c>
      <c r="S93" s="158">
        <f>IF($B93=Параметры!S$46,Резиденты!S$73,0)</f>
        <v>0</v>
      </c>
      <c r="T93" s="158">
        <f>IF($B93=Параметры!T$46,Резиденты!T$73,0)</f>
        <v>0</v>
      </c>
      <c r="U93" s="158">
        <f>IF($B93=Параметры!U$46,Резиденты!U$73,0)</f>
        <v>0</v>
      </c>
      <c r="V93" s="158">
        <f>IF($B93=Параметры!V$46,Резиденты!V$73,0)</f>
        <v>0</v>
      </c>
      <c r="W93" s="158">
        <f>IF($B93=Параметры!W$46,Резиденты!W$73,0)</f>
        <v>0</v>
      </c>
      <c r="X93" s="158">
        <f>IF($B93=Параметры!X$46,Резиденты!X$73,0)</f>
        <v>0</v>
      </c>
      <c r="Y93" s="158">
        <f>IF($B93=Параметры!Y$46,Резиденты!Y$73,0)</f>
        <v>0</v>
      </c>
      <c r="Z93" s="158">
        <f>IF($B93=Параметры!Z$46,Резиденты!Z$73,0)</f>
        <v>0</v>
      </c>
      <c r="AA93" s="158">
        <f>IF($B93=Параметры!AA$46,Резиденты!AA$73,0)</f>
        <v>0</v>
      </c>
      <c r="AB93" s="158">
        <f>IF($B93=Параметры!AB$46,Резиденты!AB$73,0)</f>
        <v>0</v>
      </c>
      <c r="AC93" s="158">
        <f>IF($B93=Параметры!AC$46,Резиденты!AC$73,0)</f>
        <v>0</v>
      </c>
      <c r="AD93" s="158">
        <f>IF($B93=Параметры!AD$46,Резиденты!AD$73,0)</f>
        <v>0</v>
      </c>
      <c r="AE93" s="158">
        <f>IF($B93=Параметры!AE$46,Резиденты!AE$73,0)</f>
        <v>0</v>
      </c>
      <c r="AF93" s="158">
        <f>IF($B93=Параметры!AF$46,Резиденты!AF$73,0)</f>
        <v>0</v>
      </c>
      <c r="AG93" s="158">
        <f>IF($B93=Параметры!AG$46,Резиденты!AG$73,0)</f>
        <v>0</v>
      </c>
      <c r="AH93" s="158">
        <f>IF($B93=Параметры!AH$46,Резиденты!AH$73,0)</f>
        <v>0</v>
      </c>
      <c r="AI93" s="158">
        <f>IF($B93=Параметры!AI$46,Резиденты!AI$73,0)</f>
        <v>0</v>
      </c>
      <c r="AJ93" s="158">
        <f>IF($B93=Параметры!AJ$46,Резиденты!AJ$73,0)</f>
        <v>0</v>
      </c>
      <c r="AK93" s="158">
        <f>IF($B93=Параметры!AK$46,Резиденты!AK$73,0)</f>
        <v>0</v>
      </c>
      <c r="AL93" s="158">
        <f>IF($B93=Параметры!AL$46,Резиденты!AL$73,0)</f>
        <v>0</v>
      </c>
      <c r="AM93" s="158">
        <f>IF($B93=Параметры!AM$46,Резиденты!AM$73,0)</f>
        <v>0</v>
      </c>
      <c r="AN93" s="158">
        <f>IF($B93=Параметры!AN$46,Резиденты!AN$73,0)</f>
        <v>0</v>
      </c>
      <c r="AO93" s="158">
        <f>IF($B93=Параметры!AO$46,Резиденты!AO$73,0)</f>
        <v>0</v>
      </c>
      <c r="AP93" s="158">
        <f>IF($B93=Параметры!AP$46,Резиденты!AP$73,0)</f>
        <v>0</v>
      </c>
      <c r="AQ93" s="158">
        <f>IF($B93=Параметры!AQ$46,Резиденты!AQ$73,0)</f>
        <v>0</v>
      </c>
      <c r="AR93" s="158">
        <f>IF($B93=Параметры!AR$46,Резиденты!AR$73,0)</f>
        <v>0</v>
      </c>
      <c r="AS93" s="41"/>
      <c r="AT93" s="84">
        <f t="shared" ca="1" si="67"/>
        <v>765769.98212909361</v>
      </c>
    </row>
    <row r="94" spans="1:46" x14ac:dyDescent="0.2">
      <c r="A94" s="66" t="s">
        <v>672</v>
      </c>
      <c r="B94" s="434">
        <f t="shared" si="68"/>
        <v>2023</v>
      </c>
      <c r="C94" s="35" t="s">
        <v>455</v>
      </c>
      <c r="D94" s="65"/>
      <c r="E94" s="158">
        <f>IF($B94=Параметры!E$46,Резиденты!E$73,0)</f>
        <v>0</v>
      </c>
      <c r="F94" s="158">
        <f>IF($B94=Параметры!F$46,Резиденты!F$73,0)</f>
        <v>0</v>
      </c>
      <c r="G94" s="158">
        <f>IF($B94=Параметры!G$46,Резиденты!G$73,0)</f>
        <v>0</v>
      </c>
      <c r="H94" s="158">
        <f>IF($B94=Параметры!H$46,Резиденты!H$73,0)</f>
        <v>0</v>
      </c>
      <c r="I94" s="158">
        <f>IF($B94=Параметры!I$46,Резиденты!I$73,0)</f>
        <v>0</v>
      </c>
      <c r="J94" s="158">
        <f>IF($B94=Параметры!J$46,Резиденты!J$73,0)</f>
        <v>0</v>
      </c>
      <c r="K94" s="158">
        <f>IF($B94=Параметры!K$46,Резиденты!K$73,0)</f>
        <v>0</v>
      </c>
      <c r="L94" s="158">
        <f>IF($B94=Параметры!L$46,Резиденты!L$73,0)</f>
        <v>0</v>
      </c>
      <c r="M94" s="158">
        <f>IF($B94=Параметры!M$46,Резиденты!M$73,0)</f>
        <v>0</v>
      </c>
      <c r="N94" s="158">
        <f>IF($B94=Параметры!N$46,Резиденты!N$73,0)</f>
        <v>0</v>
      </c>
      <c r="O94" s="158">
        <f>IF($B94=Параметры!O$46,Резиденты!O$73,0)</f>
        <v>0</v>
      </c>
      <c r="P94" s="158">
        <f>IF($B94=Параметры!P$46,Резиденты!P$73,0)</f>
        <v>0</v>
      </c>
      <c r="Q94" s="158">
        <f ca="1">IF($B94=Параметры!Q$46,Резиденты!Q$73,0)</f>
        <v>0</v>
      </c>
      <c r="R94" s="158">
        <f ca="1">IF($B94=Параметры!R$46,Резиденты!R$73,0)</f>
        <v>399425.83385768166</v>
      </c>
      <c r="S94" s="158">
        <f ca="1">IF($B94=Параметры!S$46,Резиденты!S$73,0)</f>
        <v>0</v>
      </c>
      <c r="T94" s="158">
        <f ca="1">IF($B94=Параметры!T$46,Резиденты!T$73,0)</f>
        <v>0</v>
      </c>
      <c r="U94" s="158">
        <f>IF($B94=Параметры!U$46,Резиденты!U$73,0)</f>
        <v>0</v>
      </c>
      <c r="V94" s="158">
        <f>IF($B94=Параметры!V$46,Резиденты!V$73,0)</f>
        <v>0</v>
      </c>
      <c r="W94" s="158">
        <f>IF($B94=Параметры!W$46,Резиденты!W$73,0)</f>
        <v>0</v>
      </c>
      <c r="X94" s="158">
        <f>IF($B94=Параметры!X$46,Резиденты!X$73,0)</f>
        <v>0</v>
      </c>
      <c r="Y94" s="158">
        <f>IF($B94=Параметры!Y$46,Резиденты!Y$73,0)</f>
        <v>0</v>
      </c>
      <c r="Z94" s="158">
        <f>IF($B94=Параметры!Z$46,Резиденты!Z$73,0)</f>
        <v>0</v>
      </c>
      <c r="AA94" s="158">
        <f>IF($B94=Параметры!AA$46,Резиденты!AA$73,0)</f>
        <v>0</v>
      </c>
      <c r="AB94" s="158">
        <f>IF($B94=Параметры!AB$46,Резиденты!AB$73,0)</f>
        <v>0</v>
      </c>
      <c r="AC94" s="158">
        <f>IF($B94=Параметры!AC$46,Резиденты!AC$73,0)</f>
        <v>0</v>
      </c>
      <c r="AD94" s="158">
        <f>IF($B94=Параметры!AD$46,Резиденты!AD$73,0)</f>
        <v>0</v>
      </c>
      <c r="AE94" s="158">
        <f>IF($B94=Параметры!AE$46,Резиденты!AE$73,0)</f>
        <v>0</v>
      </c>
      <c r="AF94" s="158">
        <f>IF($B94=Параметры!AF$46,Резиденты!AF$73,0)</f>
        <v>0</v>
      </c>
      <c r="AG94" s="158">
        <f>IF($B94=Параметры!AG$46,Резиденты!AG$73,0)</f>
        <v>0</v>
      </c>
      <c r="AH94" s="158">
        <f>IF($B94=Параметры!AH$46,Резиденты!AH$73,0)</f>
        <v>0</v>
      </c>
      <c r="AI94" s="158">
        <f>IF($B94=Параметры!AI$46,Резиденты!AI$73,0)</f>
        <v>0</v>
      </c>
      <c r="AJ94" s="158">
        <f>IF($B94=Параметры!AJ$46,Резиденты!AJ$73,0)</f>
        <v>0</v>
      </c>
      <c r="AK94" s="158">
        <f>IF($B94=Параметры!AK$46,Резиденты!AK$73,0)</f>
        <v>0</v>
      </c>
      <c r="AL94" s="158">
        <f>IF($B94=Параметры!AL$46,Резиденты!AL$73,0)</f>
        <v>0</v>
      </c>
      <c r="AM94" s="158">
        <f>IF($B94=Параметры!AM$46,Резиденты!AM$73,0)</f>
        <v>0</v>
      </c>
      <c r="AN94" s="158">
        <f>IF($B94=Параметры!AN$46,Резиденты!AN$73,0)</f>
        <v>0</v>
      </c>
      <c r="AO94" s="158">
        <f>IF($B94=Параметры!AO$46,Резиденты!AO$73,0)</f>
        <v>0</v>
      </c>
      <c r="AP94" s="158">
        <f>IF($B94=Параметры!AP$46,Резиденты!AP$73,0)</f>
        <v>0</v>
      </c>
      <c r="AQ94" s="158">
        <f>IF($B94=Параметры!AQ$46,Резиденты!AQ$73,0)</f>
        <v>0</v>
      </c>
      <c r="AR94" s="158">
        <f>IF($B94=Параметры!AR$46,Резиденты!AR$73,0)</f>
        <v>0</v>
      </c>
      <c r="AS94" s="41"/>
      <c r="AT94" s="84">
        <f t="shared" ca="1" si="67"/>
        <v>399425.83385768166</v>
      </c>
    </row>
    <row r="95" spans="1:46" x14ac:dyDescent="0.2">
      <c r="A95" s="66" t="s">
        <v>672</v>
      </c>
      <c r="B95" s="434">
        <f t="shared" si="68"/>
        <v>2024</v>
      </c>
      <c r="C95" s="35" t="s">
        <v>455</v>
      </c>
      <c r="D95" s="65"/>
      <c r="E95" s="158">
        <f>IF($B95=Параметры!E$46,Резиденты!E$73,0)</f>
        <v>0</v>
      </c>
      <c r="F95" s="158">
        <f>IF($B95=Параметры!F$46,Резиденты!F$73,0)</f>
        <v>0</v>
      </c>
      <c r="G95" s="158">
        <f>IF($B95=Параметры!G$46,Резиденты!G$73,0)</f>
        <v>0</v>
      </c>
      <c r="H95" s="158">
        <f>IF($B95=Параметры!H$46,Резиденты!H$73,0)</f>
        <v>0</v>
      </c>
      <c r="I95" s="158">
        <f>IF($B95=Параметры!I$46,Резиденты!I$73,0)</f>
        <v>0</v>
      </c>
      <c r="J95" s="158">
        <f>IF($B95=Параметры!J$46,Резиденты!J$73,0)</f>
        <v>0</v>
      </c>
      <c r="K95" s="158">
        <f>IF($B95=Параметры!K$46,Резиденты!K$73,0)</f>
        <v>0</v>
      </c>
      <c r="L95" s="158">
        <f>IF($B95=Параметры!L$46,Резиденты!L$73,0)</f>
        <v>0</v>
      </c>
      <c r="M95" s="158">
        <f>IF($B95=Параметры!M$46,Резиденты!M$73,0)</f>
        <v>0</v>
      </c>
      <c r="N95" s="158">
        <f>IF($B95=Параметры!N$46,Резиденты!N$73,0)</f>
        <v>0</v>
      </c>
      <c r="O95" s="158">
        <f>IF($B95=Параметры!O$46,Резиденты!O$73,0)</f>
        <v>0</v>
      </c>
      <c r="P95" s="158">
        <f>IF($B95=Параметры!P$46,Резиденты!P$73,0)</f>
        <v>0</v>
      </c>
      <c r="Q95" s="158">
        <f>IF($B95=Параметры!Q$46,Резиденты!Q$73,0)</f>
        <v>0</v>
      </c>
      <c r="R95" s="158">
        <f>IF($B95=Параметры!R$46,Резиденты!R$73,0)</f>
        <v>0</v>
      </c>
      <c r="S95" s="158">
        <f>IF($B95=Параметры!S$46,Резиденты!S$73,0)</f>
        <v>0</v>
      </c>
      <c r="T95" s="158">
        <f>IF($B95=Параметры!T$46,Резиденты!T$73,0)</f>
        <v>0</v>
      </c>
      <c r="U95" s="158">
        <f ca="1">IF($B95=Параметры!U$46,Резиденты!U$73,0)</f>
        <v>0</v>
      </c>
      <c r="V95" s="158">
        <f ca="1">IF($B95=Параметры!V$46,Резиденты!V$73,0)</f>
        <v>6381466.7697360618</v>
      </c>
      <c r="W95" s="158">
        <f ca="1">IF($B95=Параметры!W$46,Резиденты!W$73,0)</f>
        <v>0</v>
      </c>
      <c r="X95" s="158">
        <f ca="1">IF($B95=Параметры!X$46,Резиденты!X$73,0)</f>
        <v>0</v>
      </c>
      <c r="Y95" s="158">
        <f>IF($B95=Параметры!Y$46,Резиденты!Y$73,0)</f>
        <v>0</v>
      </c>
      <c r="Z95" s="158">
        <f>IF($B95=Параметры!Z$46,Резиденты!Z$73,0)</f>
        <v>0</v>
      </c>
      <c r="AA95" s="158">
        <f>IF($B95=Параметры!AA$46,Резиденты!AA$73,0)</f>
        <v>0</v>
      </c>
      <c r="AB95" s="158">
        <f>IF($B95=Параметры!AB$46,Резиденты!AB$73,0)</f>
        <v>0</v>
      </c>
      <c r="AC95" s="158">
        <f>IF($B95=Параметры!AC$46,Резиденты!AC$73,0)</f>
        <v>0</v>
      </c>
      <c r="AD95" s="158">
        <f>IF($B95=Параметры!AD$46,Резиденты!AD$73,0)</f>
        <v>0</v>
      </c>
      <c r="AE95" s="158">
        <f>IF($B95=Параметры!AE$46,Резиденты!AE$73,0)</f>
        <v>0</v>
      </c>
      <c r="AF95" s="158">
        <f>IF($B95=Параметры!AF$46,Резиденты!AF$73,0)</f>
        <v>0</v>
      </c>
      <c r="AG95" s="158">
        <f>IF($B95=Параметры!AG$46,Резиденты!AG$73,0)</f>
        <v>0</v>
      </c>
      <c r="AH95" s="158">
        <f>IF($B95=Параметры!AH$46,Резиденты!AH$73,0)</f>
        <v>0</v>
      </c>
      <c r="AI95" s="158">
        <f>IF($B95=Параметры!AI$46,Резиденты!AI$73,0)</f>
        <v>0</v>
      </c>
      <c r="AJ95" s="158">
        <f>IF($B95=Параметры!AJ$46,Резиденты!AJ$73,0)</f>
        <v>0</v>
      </c>
      <c r="AK95" s="158">
        <f>IF($B95=Параметры!AK$46,Резиденты!AK$73,0)</f>
        <v>0</v>
      </c>
      <c r="AL95" s="158">
        <f>IF($B95=Параметры!AL$46,Резиденты!AL$73,0)</f>
        <v>0</v>
      </c>
      <c r="AM95" s="158">
        <f>IF($B95=Параметры!AM$46,Резиденты!AM$73,0)</f>
        <v>0</v>
      </c>
      <c r="AN95" s="158">
        <f>IF($B95=Параметры!AN$46,Резиденты!AN$73,0)</f>
        <v>0</v>
      </c>
      <c r="AO95" s="158">
        <f>IF($B95=Параметры!AO$46,Резиденты!AO$73,0)</f>
        <v>0</v>
      </c>
      <c r="AP95" s="158">
        <f>IF($B95=Параметры!AP$46,Резиденты!AP$73,0)</f>
        <v>0</v>
      </c>
      <c r="AQ95" s="158">
        <f>IF($B95=Параметры!AQ$46,Резиденты!AQ$73,0)</f>
        <v>0</v>
      </c>
      <c r="AR95" s="158">
        <f>IF($B95=Параметры!AR$46,Резиденты!AR$73,0)</f>
        <v>0</v>
      </c>
      <c r="AS95" s="41"/>
      <c r="AT95" s="84">
        <f t="shared" ca="1" si="67"/>
        <v>6381466.7697360618</v>
      </c>
    </row>
    <row r="96" spans="1:46" x14ac:dyDescent="0.2">
      <c r="A96" s="66" t="s">
        <v>672</v>
      </c>
      <c r="B96" s="434">
        <f t="shared" si="68"/>
        <v>2025</v>
      </c>
      <c r="C96" s="35" t="s">
        <v>455</v>
      </c>
      <c r="D96" s="65"/>
      <c r="E96" s="158">
        <f>IF($B96=Параметры!E$46,Резиденты!E$73,0)</f>
        <v>0</v>
      </c>
      <c r="F96" s="158">
        <f>IF($B96=Параметры!F$46,Резиденты!F$73,0)</f>
        <v>0</v>
      </c>
      <c r="G96" s="158">
        <f>IF($B96=Параметры!G$46,Резиденты!G$73,0)</f>
        <v>0</v>
      </c>
      <c r="H96" s="158">
        <f>IF($B96=Параметры!H$46,Резиденты!H$73,0)</f>
        <v>0</v>
      </c>
      <c r="I96" s="158">
        <f>IF($B96=Параметры!I$46,Резиденты!I$73,0)</f>
        <v>0</v>
      </c>
      <c r="J96" s="158">
        <f>IF($B96=Параметры!J$46,Резиденты!J$73,0)</f>
        <v>0</v>
      </c>
      <c r="K96" s="158">
        <f>IF($B96=Параметры!K$46,Резиденты!K$73,0)</f>
        <v>0</v>
      </c>
      <c r="L96" s="158">
        <f>IF($B96=Параметры!L$46,Резиденты!L$73,0)</f>
        <v>0</v>
      </c>
      <c r="M96" s="158">
        <f>IF($B96=Параметры!M$46,Резиденты!M$73,0)</f>
        <v>0</v>
      </c>
      <c r="N96" s="158">
        <f>IF($B96=Параметры!N$46,Резиденты!N$73,0)</f>
        <v>0</v>
      </c>
      <c r="O96" s="158">
        <f>IF($B96=Параметры!O$46,Резиденты!O$73,0)</f>
        <v>0</v>
      </c>
      <c r="P96" s="158">
        <f>IF($B96=Параметры!P$46,Резиденты!P$73,0)</f>
        <v>0</v>
      </c>
      <c r="Q96" s="158">
        <f>IF($B96=Параметры!Q$46,Резиденты!Q$73,0)</f>
        <v>0</v>
      </c>
      <c r="R96" s="158">
        <f>IF($B96=Параметры!R$46,Резиденты!R$73,0)</f>
        <v>0</v>
      </c>
      <c r="S96" s="158">
        <f>IF($B96=Параметры!S$46,Резиденты!S$73,0)</f>
        <v>0</v>
      </c>
      <c r="T96" s="158">
        <f>IF($B96=Параметры!T$46,Резиденты!T$73,0)</f>
        <v>0</v>
      </c>
      <c r="U96" s="158">
        <f>IF($B96=Параметры!U$46,Резиденты!U$73,0)</f>
        <v>0</v>
      </c>
      <c r="V96" s="158">
        <f>IF($B96=Параметры!V$46,Резиденты!V$73,0)</f>
        <v>0</v>
      </c>
      <c r="W96" s="158">
        <f>IF($B96=Параметры!W$46,Резиденты!W$73,0)</f>
        <v>0</v>
      </c>
      <c r="X96" s="158">
        <f>IF($B96=Параметры!X$46,Резиденты!X$73,0)</f>
        <v>0</v>
      </c>
      <c r="Y96" s="158">
        <f ca="1">IF($B96=Параметры!Y$46,Резиденты!Y$73,0)</f>
        <v>0</v>
      </c>
      <c r="Z96" s="158">
        <f ca="1">IF($B96=Параметры!Z$46,Резиденты!Z$73,0)</f>
        <v>0</v>
      </c>
      <c r="AA96" s="158">
        <f ca="1">IF($B96=Параметры!AA$46,Резиденты!AA$73,0)</f>
        <v>0</v>
      </c>
      <c r="AB96" s="158">
        <f ca="1">IF($B96=Параметры!AB$46,Резиденты!AB$73,0)</f>
        <v>0</v>
      </c>
      <c r="AC96" s="158">
        <f>IF($B96=Параметры!AC$46,Резиденты!AC$73,0)</f>
        <v>0</v>
      </c>
      <c r="AD96" s="158">
        <f>IF($B96=Параметры!AD$46,Резиденты!AD$73,0)</f>
        <v>0</v>
      </c>
      <c r="AE96" s="158">
        <f>IF($B96=Параметры!AE$46,Резиденты!AE$73,0)</f>
        <v>0</v>
      </c>
      <c r="AF96" s="158">
        <f>IF($B96=Параметры!AF$46,Резиденты!AF$73,0)</f>
        <v>0</v>
      </c>
      <c r="AG96" s="158">
        <f>IF($B96=Параметры!AG$46,Резиденты!AG$73,0)</f>
        <v>0</v>
      </c>
      <c r="AH96" s="158">
        <f>IF($B96=Параметры!AH$46,Резиденты!AH$73,0)</f>
        <v>0</v>
      </c>
      <c r="AI96" s="158">
        <f>IF($B96=Параметры!AI$46,Резиденты!AI$73,0)</f>
        <v>0</v>
      </c>
      <c r="AJ96" s="158">
        <f>IF($B96=Параметры!AJ$46,Резиденты!AJ$73,0)</f>
        <v>0</v>
      </c>
      <c r="AK96" s="158">
        <f>IF($B96=Параметры!AK$46,Резиденты!AK$73,0)</f>
        <v>0</v>
      </c>
      <c r="AL96" s="158">
        <f>IF($B96=Параметры!AL$46,Резиденты!AL$73,0)</f>
        <v>0</v>
      </c>
      <c r="AM96" s="158">
        <f>IF($B96=Параметры!AM$46,Резиденты!AM$73,0)</f>
        <v>0</v>
      </c>
      <c r="AN96" s="158">
        <f>IF($B96=Параметры!AN$46,Резиденты!AN$73,0)</f>
        <v>0</v>
      </c>
      <c r="AO96" s="158">
        <f>IF($B96=Параметры!AO$46,Резиденты!AO$73,0)</f>
        <v>0</v>
      </c>
      <c r="AP96" s="158">
        <f>IF($B96=Параметры!AP$46,Резиденты!AP$73,0)</f>
        <v>0</v>
      </c>
      <c r="AQ96" s="158">
        <f>IF($B96=Параметры!AQ$46,Резиденты!AQ$73,0)</f>
        <v>0</v>
      </c>
      <c r="AR96" s="158">
        <f>IF($B96=Параметры!AR$46,Резиденты!AR$73,0)</f>
        <v>0</v>
      </c>
      <c r="AS96" s="41"/>
      <c r="AT96" s="84">
        <f t="shared" ca="1" si="67"/>
        <v>0</v>
      </c>
    </row>
    <row r="97" spans="1:46" x14ac:dyDescent="0.2">
      <c r="A97" s="66" t="s">
        <v>672</v>
      </c>
      <c r="B97" s="434">
        <f t="shared" si="68"/>
        <v>2026</v>
      </c>
      <c r="C97" s="35" t="s">
        <v>455</v>
      </c>
      <c r="D97" s="65"/>
      <c r="E97" s="158">
        <f>IF($B97=Параметры!E$46,Резиденты!E$73,0)</f>
        <v>0</v>
      </c>
      <c r="F97" s="158">
        <f>IF($B97=Параметры!F$46,Резиденты!F$73,0)</f>
        <v>0</v>
      </c>
      <c r="G97" s="158">
        <f>IF($B97=Параметры!G$46,Резиденты!G$73,0)</f>
        <v>0</v>
      </c>
      <c r="H97" s="158">
        <f>IF($B97=Параметры!H$46,Резиденты!H$73,0)</f>
        <v>0</v>
      </c>
      <c r="I97" s="158">
        <f>IF($B97=Параметры!I$46,Резиденты!I$73,0)</f>
        <v>0</v>
      </c>
      <c r="J97" s="158">
        <f>IF($B97=Параметры!J$46,Резиденты!J$73,0)</f>
        <v>0</v>
      </c>
      <c r="K97" s="158">
        <f>IF($B97=Параметры!K$46,Резиденты!K$73,0)</f>
        <v>0</v>
      </c>
      <c r="L97" s="158">
        <f>IF($B97=Параметры!L$46,Резиденты!L$73,0)</f>
        <v>0</v>
      </c>
      <c r="M97" s="158">
        <f>IF($B97=Параметры!M$46,Резиденты!M$73,0)</f>
        <v>0</v>
      </c>
      <c r="N97" s="158">
        <f>IF($B97=Параметры!N$46,Резиденты!N$73,0)</f>
        <v>0</v>
      </c>
      <c r="O97" s="158">
        <f>IF($B97=Параметры!O$46,Резиденты!O$73,0)</f>
        <v>0</v>
      </c>
      <c r="P97" s="158">
        <f>IF($B97=Параметры!P$46,Резиденты!P$73,0)</f>
        <v>0</v>
      </c>
      <c r="Q97" s="158">
        <f>IF($B97=Параметры!Q$46,Резиденты!Q$73,0)</f>
        <v>0</v>
      </c>
      <c r="R97" s="158">
        <f>IF($B97=Параметры!R$46,Резиденты!R$73,0)</f>
        <v>0</v>
      </c>
      <c r="S97" s="158">
        <f>IF($B97=Параметры!S$46,Резиденты!S$73,0)</f>
        <v>0</v>
      </c>
      <c r="T97" s="158">
        <f>IF($B97=Параметры!T$46,Резиденты!T$73,0)</f>
        <v>0</v>
      </c>
      <c r="U97" s="158">
        <f>IF($B97=Параметры!U$46,Резиденты!U$73,0)</f>
        <v>0</v>
      </c>
      <c r="V97" s="158">
        <f>IF($B97=Параметры!V$46,Резиденты!V$73,0)</f>
        <v>0</v>
      </c>
      <c r="W97" s="158">
        <f>IF($B97=Параметры!W$46,Резиденты!W$73,0)</f>
        <v>0</v>
      </c>
      <c r="X97" s="158">
        <f>IF($B97=Параметры!X$46,Резиденты!X$73,0)</f>
        <v>0</v>
      </c>
      <c r="Y97" s="158">
        <f>IF($B97=Параметры!Y$46,Резиденты!Y$73,0)</f>
        <v>0</v>
      </c>
      <c r="Z97" s="158">
        <f>IF($B97=Параметры!Z$46,Резиденты!Z$73,0)</f>
        <v>0</v>
      </c>
      <c r="AA97" s="158">
        <f>IF($B97=Параметры!AA$46,Резиденты!AA$73,0)</f>
        <v>0</v>
      </c>
      <c r="AB97" s="158">
        <f>IF($B97=Параметры!AB$46,Резиденты!AB$73,0)</f>
        <v>0</v>
      </c>
      <c r="AC97" s="158">
        <f ca="1">IF($B97=Параметры!AC$46,Резиденты!AC$73,0)</f>
        <v>0</v>
      </c>
      <c r="AD97" s="158">
        <f ca="1">IF($B97=Параметры!AD$46,Резиденты!AD$73,0)</f>
        <v>0</v>
      </c>
      <c r="AE97" s="158">
        <f ca="1">IF($B97=Параметры!AE$46,Резиденты!AE$73,0)</f>
        <v>0</v>
      </c>
      <c r="AF97" s="158">
        <f ca="1">IF($B97=Параметры!AF$46,Резиденты!AF$73,0)</f>
        <v>0</v>
      </c>
      <c r="AG97" s="158">
        <f>IF($B97=Параметры!AG$46,Резиденты!AG$73,0)</f>
        <v>0</v>
      </c>
      <c r="AH97" s="158">
        <f>IF($B97=Параметры!AH$46,Резиденты!AH$73,0)</f>
        <v>0</v>
      </c>
      <c r="AI97" s="158">
        <f>IF($B97=Параметры!AI$46,Резиденты!AI$73,0)</f>
        <v>0</v>
      </c>
      <c r="AJ97" s="158">
        <f>IF($B97=Параметры!AJ$46,Резиденты!AJ$73,0)</f>
        <v>0</v>
      </c>
      <c r="AK97" s="158">
        <f>IF($B97=Параметры!AK$46,Резиденты!AK$73,0)</f>
        <v>0</v>
      </c>
      <c r="AL97" s="158">
        <f>IF($B97=Параметры!AL$46,Резиденты!AL$73,0)</f>
        <v>0</v>
      </c>
      <c r="AM97" s="158">
        <f>IF($B97=Параметры!AM$46,Резиденты!AM$73,0)</f>
        <v>0</v>
      </c>
      <c r="AN97" s="158">
        <f>IF($B97=Параметры!AN$46,Резиденты!AN$73,0)</f>
        <v>0</v>
      </c>
      <c r="AO97" s="158">
        <f>IF($B97=Параметры!AO$46,Резиденты!AO$73,0)</f>
        <v>0</v>
      </c>
      <c r="AP97" s="158">
        <f>IF($B97=Параметры!AP$46,Резиденты!AP$73,0)</f>
        <v>0</v>
      </c>
      <c r="AQ97" s="158">
        <f>IF($B97=Параметры!AQ$46,Резиденты!AQ$73,0)</f>
        <v>0</v>
      </c>
      <c r="AR97" s="158">
        <f>IF($B97=Параметры!AR$46,Резиденты!AR$73,0)</f>
        <v>0</v>
      </c>
      <c r="AS97" s="41"/>
      <c r="AT97" s="84">
        <f t="shared" ca="1" si="67"/>
        <v>0</v>
      </c>
    </row>
    <row r="98" spans="1:46" x14ac:dyDescent="0.2">
      <c r="A98" s="66" t="s">
        <v>672</v>
      </c>
      <c r="B98" s="434">
        <f t="shared" si="68"/>
        <v>2027</v>
      </c>
      <c r="C98" s="35" t="s">
        <v>455</v>
      </c>
      <c r="D98" s="65"/>
      <c r="E98" s="158">
        <f>IF($B98=Параметры!E$46,Резиденты!E$73,0)</f>
        <v>0</v>
      </c>
      <c r="F98" s="158">
        <f>IF($B98=Параметры!F$46,Резиденты!F$73,0)</f>
        <v>0</v>
      </c>
      <c r="G98" s="158">
        <f>IF($B98=Параметры!G$46,Резиденты!G$73,0)</f>
        <v>0</v>
      </c>
      <c r="H98" s="158">
        <f>IF($B98=Параметры!H$46,Резиденты!H$73,0)</f>
        <v>0</v>
      </c>
      <c r="I98" s="158">
        <f>IF($B98=Параметры!I$46,Резиденты!I$73,0)</f>
        <v>0</v>
      </c>
      <c r="J98" s="158">
        <f>IF($B98=Параметры!J$46,Резиденты!J$73,0)</f>
        <v>0</v>
      </c>
      <c r="K98" s="158">
        <f>IF($B98=Параметры!K$46,Резиденты!K$73,0)</f>
        <v>0</v>
      </c>
      <c r="L98" s="158">
        <f>IF($B98=Параметры!L$46,Резиденты!L$73,0)</f>
        <v>0</v>
      </c>
      <c r="M98" s="158">
        <f>IF($B98=Параметры!M$46,Резиденты!M$73,0)</f>
        <v>0</v>
      </c>
      <c r="N98" s="158">
        <f>IF($B98=Параметры!N$46,Резиденты!N$73,0)</f>
        <v>0</v>
      </c>
      <c r="O98" s="158">
        <f>IF($B98=Параметры!O$46,Резиденты!O$73,0)</f>
        <v>0</v>
      </c>
      <c r="P98" s="158">
        <f>IF($B98=Параметры!P$46,Резиденты!P$73,0)</f>
        <v>0</v>
      </c>
      <c r="Q98" s="158">
        <f>IF($B98=Параметры!Q$46,Резиденты!Q$73,0)</f>
        <v>0</v>
      </c>
      <c r="R98" s="158">
        <f>IF($B98=Параметры!R$46,Резиденты!R$73,0)</f>
        <v>0</v>
      </c>
      <c r="S98" s="158">
        <f>IF($B98=Параметры!S$46,Резиденты!S$73,0)</f>
        <v>0</v>
      </c>
      <c r="T98" s="158">
        <f>IF($B98=Параметры!T$46,Резиденты!T$73,0)</f>
        <v>0</v>
      </c>
      <c r="U98" s="158">
        <f>IF($B98=Параметры!U$46,Резиденты!U$73,0)</f>
        <v>0</v>
      </c>
      <c r="V98" s="158">
        <f>IF($B98=Параметры!V$46,Резиденты!V$73,0)</f>
        <v>0</v>
      </c>
      <c r="W98" s="158">
        <f>IF($B98=Параметры!W$46,Резиденты!W$73,0)</f>
        <v>0</v>
      </c>
      <c r="X98" s="158">
        <f>IF($B98=Параметры!X$46,Резиденты!X$73,0)</f>
        <v>0</v>
      </c>
      <c r="Y98" s="158">
        <f>IF($B98=Параметры!Y$46,Резиденты!Y$73,0)</f>
        <v>0</v>
      </c>
      <c r="Z98" s="158">
        <f>IF($B98=Параметры!Z$46,Резиденты!Z$73,0)</f>
        <v>0</v>
      </c>
      <c r="AA98" s="158">
        <f>IF($B98=Параметры!AA$46,Резиденты!AA$73,0)</f>
        <v>0</v>
      </c>
      <c r="AB98" s="158">
        <f>IF($B98=Параметры!AB$46,Резиденты!AB$73,0)</f>
        <v>0</v>
      </c>
      <c r="AC98" s="158">
        <f>IF($B98=Параметры!AC$46,Резиденты!AC$73,0)</f>
        <v>0</v>
      </c>
      <c r="AD98" s="158">
        <f>IF($B98=Параметры!AD$46,Резиденты!AD$73,0)</f>
        <v>0</v>
      </c>
      <c r="AE98" s="158">
        <f>IF($B98=Параметры!AE$46,Резиденты!AE$73,0)</f>
        <v>0</v>
      </c>
      <c r="AF98" s="158">
        <f>IF($B98=Параметры!AF$46,Резиденты!AF$73,0)</f>
        <v>0</v>
      </c>
      <c r="AG98" s="158">
        <f ca="1">IF($B98=Параметры!AG$46,Резиденты!AG$73,0)</f>
        <v>0</v>
      </c>
      <c r="AH98" s="158">
        <f ca="1">IF($B98=Параметры!AH$46,Резиденты!AH$73,0)</f>
        <v>0</v>
      </c>
      <c r="AI98" s="158">
        <f ca="1">IF($B98=Параметры!AI$46,Резиденты!AI$73,0)</f>
        <v>0</v>
      </c>
      <c r="AJ98" s="158">
        <f ca="1">IF($B98=Параметры!AJ$46,Резиденты!AJ$73,0)</f>
        <v>0</v>
      </c>
      <c r="AK98" s="158">
        <f>IF($B98=Параметры!AK$46,Резиденты!AK$73,0)</f>
        <v>0</v>
      </c>
      <c r="AL98" s="158">
        <f>IF($B98=Параметры!AL$46,Резиденты!AL$73,0)</f>
        <v>0</v>
      </c>
      <c r="AM98" s="158">
        <f>IF($B98=Параметры!AM$46,Резиденты!AM$73,0)</f>
        <v>0</v>
      </c>
      <c r="AN98" s="158">
        <f>IF($B98=Параметры!AN$46,Резиденты!AN$73,0)</f>
        <v>0</v>
      </c>
      <c r="AO98" s="158">
        <f>IF($B98=Параметры!AO$46,Резиденты!AO$73,0)</f>
        <v>0</v>
      </c>
      <c r="AP98" s="158">
        <f>IF($B98=Параметры!AP$46,Резиденты!AP$73,0)</f>
        <v>0</v>
      </c>
      <c r="AQ98" s="158">
        <f>IF($B98=Параметры!AQ$46,Резиденты!AQ$73,0)</f>
        <v>0</v>
      </c>
      <c r="AR98" s="158">
        <f>IF($B98=Параметры!AR$46,Резиденты!AR$73,0)</f>
        <v>0</v>
      </c>
      <c r="AS98" s="41"/>
      <c r="AT98" s="84">
        <f t="shared" ca="1" si="67"/>
        <v>0</v>
      </c>
    </row>
    <row r="99" spans="1:46" x14ac:dyDescent="0.2">
      <c r="A99" s="66" t="s">
        <v>672</v>
      </c>
      <c r="B99" s="434">
        <f t="shared" si="68"/>
        <v>2028</v>
      </c>
      <c r="C99" s="35" t="s">
        <v>455</v>
      </c>
      <c r="D99" s="65"/>
      <c r="E99" s="158">
        <f>IF($B99=Параметры!E$46,Резиденты!E$73,0)</f>
        <v>0</v>
      </c>
      <c r="F99" s="158">
        <f>IF($B99=Параметры!F$46,Резиденты!F$73,0)</f>
        <v>0</v>
      </c>
      <c r="G99" s="158">
        <f>IF($B99=Параметры!G$46,Резиденты!G$73,0)</f>
        <v>0</v>
      </c>
      <c r="H99" s="158">
        <f>IF($B99=Параметры!H$46,Резиденты!H$73,0)</f>
        <v>0</v>
      </c>
      <c r="I99" s="158">
        <f>IF($B99=Параметры!I$46,Резиденты!I$73,0)</f>
        <v>0</v>
      </c>
      <c r="J99" s="158">
        <f>IF($B99=Параметры!J$46,Резиденты!J$73,0)</f>
        <v>0</v>
      </c>
      <c r="K99" s="158">
        <f>IF($B99=Параметры!K$46,Резиденты!K$73,0)</f>
        <v>0</v>
      </c>
      <c r="L99" s="158">
        <f>IF($B99=Параметры!L$46,Резиденты!L$73,0)</f>
        <v>0</v>
      </c>
      <c r="M99" s="158">
        <f>IF($B99=Параметры!M$46,Резиденты!M$73,0)</f>
        <v>0</v>
      </c>
      <c r="N99" s="158">
        <f>IF($B99=Параметры!N$46,Резиденты!N$73,0)</f>
        <v>0</v>
      </c>
      <c r="O99" s="158">
        <f>IF($B99=Параметры!O$46,Резиденты!O$73,0)</f>
        <v>0</v>
      </c>
      <c r="P99" s="158">
        <f>IF($B99=Параметры!P$46,Резиденты!P$73,0)</f>
        <v>0</v>
      </c>
      <c r="Q99" s="158">
        <f>IF($B99=Параметры!Q$46,Резиденты!Q$73,0)</f>
        <v>0</v>
      </c>
      <c r="R99" s="158">
        <f>IF($B99=Параметры!R$46,Резиденты!R$73,0)</f>
        <v>0</v>
      </c>
      <c r="S99" s="158">
        <f>IF($B99=Параметры!S$46,Резиденты!S$73,0)</f>
        <v>0</v>
      </c>
      <c r="T99" s="158">
        <f>IF($B99=Параметры!T$46,Резиденты!T$73,0)</f>
        <v>0</v>
      </c>
      <c r="U99" s="158">
        <f>IF($B99=Параметры!U$46,Резиденты!U$73,0)</f>
        <v>0</v>
      </c>
      <c r="V99" s="158">
        <f>IF($B99=Параметры!V$46,Резиденты!V$73,0)</f>
        <v>0</v>
      </c>
      <c r="W99" s="158">
        <f>IF($B99=Параметры!W$46,Резиденты!W$73,0)</f>
        <v>0</v>
      </c>
      <c r="X99" s="158">
        <f>IF($B99=Параметры!X$46,Резиденты!X$73,0)</f>
        <v>0</v>
      </c>
      <c r="Y99" s="158">
        <f>IF($B99=Параметры!Y$46,Резиденты!Y$73,0)</f>
        <v>0</v>
      </c>
      <c r="Z99" s="158">
        <f>IF($B99=Параметры!Z$46,Резиденты!Z$73,0)</f>
        <v>0</v>
      </c>
      <c r="AA99" s="158">
        <f>IF($B99=Параметры!AA$46,Резиденты!AA$73,0)</f>
        <v>0</v>
      </c>
      <c r="AB99" s="158">
        <f>IF($B99=Параметры!AB$46,Резиденты!AB$73,0)</f>
        <v>0</v>
      </c>
      <c r="AC99" s="158">
        <f>IF($B99=Параметры!AC$46,Резиденты!AC$73,0)</f>
        <v>0</v>
      </c>
      <c r="AD99" s="158">
        <f>IF($B99=Параметры!AD$46,Резиденты!AD$73,0)</f>
        <v>0</v>
      </c>
      <c r="AE99" s="158">
        <f>IF($B99=Параметры!AE$46,Резиденты!AE$73,0)</f>
        <v>0</v>
      </c>
      <c r="AF99" s="158">
        <f>IF($B99=Параметры!AF$46,Резиденты!AF$73,0)</f>
        <v>0</v>
      </c>
      <c r="AG99" s="158">
        <f>IF($B99=Параметры!AG$46,Резиденты!AG$73,0)</f>
        <v>0</v>
      </c>
      <c r="AH99" s="158">
        <f>IF($B99=Параметры!AH$46,Резиденты!AH$73,0)</f>
        <v>0</v>
      </c>
      <c r="AI99" s="158">
        <f>IF($B99=Параметры!AI$46,Резиденты!AI$73,0)</f>
        <v>0</v>
      </c>
      <c r="AJ99" s="158">
        <f>IF($B99=Параметры!AJ$46,Резиденты!AJ$73,0)</f>
        <v>0</v>
      </c>
      <c r="AK99" s="158">
        <f ca="1">IF($B99=Параметры!AK$46,Резиденты!AK$73,0)</f>
        <v>0</v>
      </c>
      <c r="AL99" s="158">
        <f ca="1">IF($B99=Параметры!AL$46,Резиденты!AL$73,0)</f>
        <v>0</v>
      </c>
      <c r="AM99" s="158">
        <f ca="1">IF($B99=Параметры!AM$46,Резиденты!AM$73,0)</f>
        <v>0</v>
      </c>
      <c r="AN99" s="158">
        <f ca="1">IF($B99=Параметры!AN$46,Резиденты!AN$73,0)</f>
        <v>0</v>
      </c>
      <c r="AO99" s="158">
        <f>IF($B99=Параметры!AO$46,Резиденты!AO$73,0)</f>
        <v>0</v>
      </c>
      <c r="AP99" s="158">
        <f>IF($B99=Параметры!AP$46,Резиденты!AP$73,0)</f>
        <v>0</v>
      </c>
      <c r="AQ99" s="158">
        <f>IF($B99=Параметры!AQ$46,Резиденты!AQ$73,0)</f>
        <v>0</v>
      </c>
      <c r="AR99" s="158">
        <f>IF($B99=Параметры!AR$46,Резиденты!AR$73,0)</f>
        <v>0</v>
      </c>
      <c r="AS99" s="41"/>
      <c r="AT99" s="84">
        <f t="shared" ca="1" si="67"/>
        <v>0</v>
      </c>
    </row>
    <row r="100" spans="1:46" x14ac:dyDescent="0.2">
      <c r="A100" s="66" t="s">
        <v>672</v>
      </c>
      <c r="B100" s="434">
        <f t="shared" si="68"/>
        <v>2029</v>
      </c>
      <c r="C100" s="35" t="s">
        <v>455</v>
      </c>
      <c r="D100" s="65"/>
      <c r="E100" s="158">
        <f>IF($B100=Параметры!E$46,Резиденты!E$73,0)</f>
        <v>0</v>
      </c>
      <c r="F100" s="158">
        <f>IF($B100=Параметры!F$46,Резиденты!F$73,0)</f>
        <v>0</v>
      </c>
      <c r="G100" s="158">
        <f>IF($B100=Параметры!G$46,Резиденты!G$73,0)</f>
        <v>0</v>
      </c>
      <c r="H100" s="158">
        <f>IF($B100=Параметры!H$46,Резиденты!H$73,0)</f>
        <v>0</v>
      </c>
      <c r="I100" s="158">
        <f>IF($B100=Параметры!I$46,Резиденты!I$73,0)</f>
        <v>0</v>
      </c>
      <c r="J100" s="158">
        <f>IF($B100=Параметры!J$46,Резиденты!J$73,0)</f>
        <v>0</v>
      </c>
      <c r="K100" s="158">
        <f>IF($B100=Параметры!K$46,Резиденты!K$73,0)</f>
        <v>0</v>
      </c>
      <c r="L100" s="158">
        <f>IF($B100=Параметры!L$46,Резиденты!L$73,0)</f>
        <v>0</v>
      </c>
      <c r="M100" s="158">
        <f>IF($B100=Параметры!M$46,Резиденты!M$73,0)</f>
        <v>0</v>
      </c>
      <c r="N100" s="158">
        <f>IF($B100=Параметры!N$46,Резиденты!N$73,0)</f>
        <v>0</v>
      </c>
      <c r="O100" s="158">
        <f>IF($B100=Параметры!O$46,Резиденты!O$73,0)</f>
        <v>0</v>
      </c>
      <c r="P100" s="158">
        <f>IF($B100=Параметры!P$46,Резиденты!P$73,0)</f>
        <v>0</v>
      </c>
      <c r="Q100" s="158">
        <f>IF($B100=Параметры!Q$46,Резиденты!Q$73,0)</f>
        <v>0</v>
      </c>
      <c r="R100" s="158">
        <f>IF($B100=Параметры!R$46,Резиденты!R$73,0)</f>
        <v>0</v>
      </c>
      <c r="S100" s="158">
        <f>IF($B100=Параметры!S$46,Резиденты!S$73,0)</f>
        <v>0</v>
      </c>
      <c r="T100" s="158">
        <f>IF($B100=Параметры!T$46,Резиденты!T$73,0)</f>
        <v>0</v>
      </c>
      <c r="U100" s="158">
        <f>IF($B100=Параметры!U$46,Резиденты!U$73,0)</f>
        <v>0</v>
      </c>
      <c r="V100" s="158">
        <f>IF($B100=Параметры!V$46,Резиденты!V$73,0)</f>
        <v>0</v>
      </c>
      <c r="W100" s="158">
        <f>IF($B100=Параметры!W$46,Резиденты!W$73,0)</f>
        <v>0</v>
      </c>
      <c r="X100" s="158">
        <f>IF($B100=Параметры!X$46,Резиденты!X$73,0)</f>
        <v>0</v>
      </c>
      <c r="Y100" s="158">
        <f>IF($B100=Параметры!Y$46,Резиденты!Y$73,0)</f>
        <v>0</v>
      </c>
      <c r="Z100" s="158">
        <f>IF($B100=Параметры!Z$46,Резиденты!Z$73,0)</f>
        <v>0</v>
      </c>
      <c r="AA100" s="158">
        <f>IF($B100=Параметры!AA$46,Резиденты!AA$73,0)</f>
        <v>0</v>
      </c>
      <c r="AB100" s="158">
        <f>IF($B100=Параметры!AB$46,Резиденты!AB$73,0)</f>
        <v>0</v>
      </c>
      <c r="AC100" s="158">
        <f>IF($B100=Параметры!AC$46,Резиденты!AC$73,0)</f>
        <v>0</v>
      </c>
      <c r="AD100" s="158">
        <f>IF($B100=Параметры!AD$46,Резиденты!AD$73,0)</f>
        <v>0</v>
      </c>
      <c r="AE100" s="158">
        <f>IF($B100=Параметры!AE$46,Резиденты!AE$73,0)</f>
        <v>0</v>
      </c>
      <c r="AF100" s="158">
        <f>IF($B100=Параметры!AF$46,Резиденты!AF$73,0)</f>
        <v>0</v>
      </c>
      <c r="AG100" s="158">
        <f>IF($B100=Параметры!AG$46,Резиденты!AG$73,0)</f>
        <v>0</v>
      </c>
      <c r="AH100" s="158">
        <f>IF($B100=Параметры!AH$46,Резиденты!AH$73,0)</f>
        <v>0</v>
      </c>
      <c r="AI100" s="158">
        <f>IF($B100=Параметры!AI$46,Резиденты!AI$73,0)</f>
        <v>0</v>
      </c>
      <c r="AJ100" s="158">
        <f>IF($B100=Параметры!AJ$46,Резиденты!AJ$73,0)</f>
        <v>0</v>
      </c>
      <c r="AK100" s="158">
        <f>IF($B100=Параметры!AK$46,Резиденты!AK$73,0)</f>
        <v>0</v>
      </c>
      <c r="AL100" s="158">
        <f>IF($B100=Параметры!AL$46,Резиденты!AL$73,0)</f>
        <v>0</v>
      </c>
      <c r="AM100" s="158">
        <f>IF($B100=Параметры!AM$46,Резиденты!AM$73,0)</f>
        <v>0</v>
      </c>
      <c r="AN100" s="158">
        <f>IF($B100=Параметры!AN$46,Резиденты!AN$73,0)</f>
        <v>0</v>
      </c>
      <c r="AO100" s="158">
        <f ca="1">IF($B100=Параметры!AO$46,Резиденты!AO$73,0)</f>
        <v>0</v>
      </c>
      <c r="AP100" s="158">
        <f ca="1">IF($B100=Параметры!AP$46,Резиденты!AP$73,0)</f>
        <v>0</v>
      </c>
      <c r="AQ100" s="158">
        <f ca="1">IF($B100=Параметры!AQ$46,Резиденты!AQ$73,0)</f>
        <v>0</v>
      </c>
      <c r="AR100" s="158">
        <f ca="1">IF($B100=Параметры!AR$46,Резиденты!AR$73,0)</f>
        <v>0</v>
      </c>
      <c r="AS100" s="41"/>
      <c r="AT100" s="84">
        <f t="shared" ca="1" si="67"/>
        <v>0</v>
      </c>
    </row>
    <row r="101" spans="1:46" s="60" customFormat="1" x14ac:dyDescent="0.2">
      <c r="A101" s="50" t="s">
        <v>673</v>
      </c>
      <c r="B101" s="396"/>
      <c r="C101" s="396" t="s">
        <v>455</v>
      </c>
      <c r="D101" s="159"/>
      <c r="E101" s="160">
        <f ca="1">SUM(E91:E100)</f>
        <v>0</v>
      </c>
      <c r="F101" s="160">
        <f t="shared" ref="F101:AR101" ca="1" si="69">SUM(F91:F100)</f>
        <v>0</v>
      </c>
      <c r="G101" s="160">
        <f t="shared" ca="1" si="69"/>
        <v>0</v>
      </c>
      <c r="H101" s="160">
        <f t="shared" ca="1" si="69"/>
        <v>1475381.298088856</v>
      </c>
      <c r="I101" s="160">
        <f t="shared" ca="1" si="69"/>
        <v>0</v>
      </c>
      <c r="J101" s="160">
        <f t="shared" ca="1" si="69"/>
        <v>0</v>
      </c>
      <c r="K101" s="160">
        <f t="shared" ca="1" si="69"/>
        <v>0</v>
      </c>
      <c r="L101" s="160">
        <f t="shared" ca="1" si="69"/>
        <v>0</v>
      </c>
      <c r="M101" s="160">
        <f t="shared" ca="1" si="69"/>
        <v>0</v>
      </c>
      <c r="N101" s="160">
        <f t="shared" ca="1" si="69"/>
        <v>765769.98212909361</v>
      </c>
      <c r="O101" s="160">
        <f t="shared" ca="1" si="69"/>
        <v>0</v>
      </c>
      <c r="P101" s="160">
        <f t="shared" ca="1" si="69"/>
        <v>0</v>
      </c>
      <c r="Q101" s="160">
        <f t="shared" ca="1" si="69"/>
        <v>0</v>
      </c>
      <c r="R101" s="160">
        <f t="shared" ca="1" si="69"/>
        <v>399425.83385768166</v>
      </c>
      <c r="S101" s="160">
        <f t="shared" ca="1" si="69"/>
        <v>0</v>
      </c>
      <c r="T101" s="160">
        <f t="shared" ca="1" si="69"/>
        <v>0</v>
      </c>
      <c r="U101" s="160">
        <f t="shared" ca="1" si="69"/>
        <v>0</v>
      </c>
      <c r="V101" s="160">
        <f t="shared" ca="1" si="69"/>
        <v>6381466.7697360618</v>
      </c>
      <c r="W101" s="160">
        <f t="shared" ca="1" si="69"/>
        <v>0</v>
      </c>
      <c r="X101" s="160">
        <f t="shared" ca="1" si="69"/>
        <v>0</v>
      </c>
      <c r="Y101" s="160">
        <f t="shared" ca="1" si="69"/>
        <v>0</v>
      </c>
      <c r="Z101" s="160">
        <f t="shared" ca="1" si="69"/>
        <v>0</v>
      </c>
      <c r="AA101" s="160">
        <f t="shared" ca="1" si="69"/>
        <v>0</v>
      </c>
      <c r="AB101" s="160">
        <f t="shared" ca="1" si="69"/>
        <v>0</v>
      </c>
      <c r="AC101" s="160">
        <f t="shared" ca="1" si="69"/>
        <v>0</v>
      </c>
      <c r="AD101" s="160">
        <f t="shared" ca="1" si="69"/>
        <v>0</v>
      </c>
      <c r="AE101" s="160">
        <f t="shared" ca="1" si="69"/>
        <v>0</v>
      </c>
      <c r="AF101" s="160">
        <f t="shared" ca="1" si="69"/>
        <v>0</v>
      </c>
      <c r="AG101" s="160">
        <f t="shared" ca="1" si="69"/>
        <v>0</v>
      </c>
      <c r="AH101" s="160">
        <f t="shared" ca="1" si="69"/>
        <v>0</v>
      </c>
      <c r="AI101" s="160">
        <f t="shared" ca="1" si="69"/>
        <v>0</v>
      </c>
      <c r="AJ101" s="160">
        <f t="shared" ca="1" si="69"/>
        <v>0</v>
      </c>
      <c r="AK101" s="160">
        <f t="shared" ca="1" si="69"/>
        <v>0</v>
      </c>
      <c r="AL101" s="160">
        <f t="shared" ca="1" si="69"/>
        <v>0</v>
      </c>
      <c r="AM101" s="160">
        <f t="shared" ca="1" si="69"/>
        <v>0</v>
      </c>
      <c r="AN101" s="160">
        <f t="shared" ca="1" si="69"/>
        <v>0</v>
      </c>
      <c r="AO101" s="160">
        <f t="shared" ca="1" si="69"/>
        <v>0</v>
      </c>
      <c r="AP101" s="160">
        <f t="shared" ca="1" si="69"/>
        <v>0</v>
      </c>
      <c r="AQ101" s="160">
        <f t="shared" ca="1" si="69"/>
        <v>0</v>
      </c>
      <c r="AR101" s="160">
        <f t="shared" ca="1" si="69"/>
        <v>0</v>
      </c>
      <c r="AS101" s="135"/>
      <c r="AT101" s="137">
        <f t="shared" ca="1" si="67"/>
        <v>9022043.8838116936</v>
      </c>
    </row>
    <row r="102" spans="1:46" x14ac:dyDescent="0.2">
      <c r="A102" s="49" t="s">
        <v>674</v>
      </c>
      <c r="B102" s="161">
        <f>ИД!C280</f>
        <v>7</v>
      </c>
      <c r="C102" s="35" t="s">
        <v>2</v>
      </c>
      <c r="D102" s="65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41"/>
      <c r="AT102" s="92"/>
    </row>
    <row r="103" spans="1:46" x14ac:dyDescent="0.2">
      <c r="A103" s="66" t="s">
        <v>675</v>
      </c>
      <c r="B103" s="434">
        <f>B91</f>
        <v>2020</v>
      </c>
      <c r="C103" s="35" t="s">
        <v>455</v>
      </c>
      <c r="D103" s="65"/>
      <c r="E103" s="158">
        <v>0</v>
      </c>
      <c r="F103" s="158">
        <f ca="1">MIN(SUM($E91:F91)/($B$102*4),$AT91-SUM($E103:E103))</f>
        <v>0</v>
      </c>
      <c r="G103" s="158">
        <f ca="1">MIN(SUM($E91:G91)/($B$102*4),$AT91-SUM($E103:F103))</f>
        <v>0</v>
      </c>
      <c r="H103" s="158">
        <f ca="1">MIN(SUM($E91:H91)/($B$102*4),$AT91-SUM($E103:G103))</f>
        <v>52692.189217459141</v>
      </c>
      <c r="I103" s="158">
        <f ca="1">MIN(SUM($E91:I91)/($B$102*4),$AT91-SUM($E103:H103))</f>
        <v>52692.189217459141</v>
      </c>
      <c r="J103" s="158">
        <f ca="1">MIN(SUM($E91:J91)/($B$102*4),$AT91-SUM($E103:I103))</f>
        <v>52692.189217459141</v>
      </c>
      <c r="K103" s="158">
        <f ca="1">MIN(SUM($E91:K91)/($B$102*4),$AT91-SUM($E103:J103))</f>
        <v>52692.189217459141</v>
      </c>
      <c r="L103" s="158">
        <f ca="1">MIN(SUM($E91:L91)/($B$102*4),$AT91-SUM($E103:K103))</f>
        <v>52692.189217459141</v>
      </c>
      <c r="M103" s="158">
        <f ca="1">MIN(SUM($E91:M91)/($B$102*4),$AT91-SUM($E103:L103))</f>
        <v>52692.189217459141</v>
      </c>
      <c r="N103" s="158">
        <f ca="1">MIN(SUM($E91:N91)/($B$102*4),$AT91-SUM($E103:M103))</f>
        <v>52692.189217459141</v>
      </c>
      <c r="O103" s="158">
        <f ca="1">MIN(SUM($E91:O91)/($B$102*4),$AT91-SUM($E103:N103))</f>
        <v>52692.189217459141</v>
      </c>
      <c r="P103" s="158">
        <f ca="1">MIN(SUM($E91:P91)/($B$102*4),$AT91-SUM($E103:O103))</f>
        <v>52692.189217459141</v>
      </c>
      <c r="Q103" s="158">
        <f ca="1">MIN(SUM($E91:Q91)/($B$102*4),$AT91-SUM($E103:P103))</f>
        <v>52692.189217459141</v>
      </c>
      <c r="R103" s="158">
        <f ca="1">MIN(SUM($E91:R91)/($B$102*4),$AT91-SUM($E103:Q103))</f>
        <v>52692.189217459141</v>
      </c>
      <c r="S103" s="158">
        <f ca="1">MIN(SUM($E91:S91)/($B$102*4),$AT91-SUM($E103:R103))</f>
        <v>52692.189217459141</v>
      </c>
      <c r="T103" s="158">
        <f ca="1">MIN(SUM($E91:T91)/($B$102*4),$AT91-SUM($E103:S103))</f>
        <v>52692.189217459141</v>
      </c>
      <c r="U103" s="158">
        <f ca="1">MIN(SUM($E91:U91)/($B$102*4),$AT91-SUM($E103:T103))</f>
        <v>52692.189217459141</v>
      </c>
      <c r="V103" s="158">
        <f ca="1">MIN(SUM($E91:V91)/($B$102*4),$AT91-SUM($E103:U103))</f>
        <v>52692.189217459141</v>
      </c>
      <c r="W103" s="158">
        <f ca="1">MIN(SUM($E91:W91)/($B$102*4),$AT91-SUM($E103:V103))</f>
        <v>52692.189217459141</v>
      </c>
      <c r="X103" s="158">
        <f ca="1">MIN(SUM($E91:X91)/($B$102*4),$AT91-SUM($E103:W103))</f>
        <v>52692.189217459141</v>
      </c>
      <c r="Y103" s="158">
        <f ca="1">MIN(SUM($E91:Y91)/($B$102*4),$AT91-SUM($E103:X103))</f>
        <v>52692.189217459141</v>
      </c>
      <c r="Z103" s="158">
        <f ca="1">MIN(SUM($E91:Z91)/($B$102*4),$AT91-SUM($E103:Y103))</f>
        <v>52692.189217459141</v>
      </c>
      <c r="AA103" s="158">
        <f ca="1">MIN(SUM($E91:AA91)/($B$102*4),$AT91-SUM($E103:Z103))</f>
        <v>52692.189217459141</v>
      </c>
      <c r="AB103" s="158">
        <f ca="1">MIN(SUM($E91:AB91)/($B$102*4),$AT91-SUM($E103:AA103))</f>
        <v>52692.189217459141</v>
      </c>
      <c r="AC103" s="158">
        <f ca="1">MIN(SUM($E91:AC91)/($B$102*4),$AT91-SUM($E103:AB103))</f>
        <v>52692.189217459141</v>
      </c>
      <c r="AD103" s="158">
        <f ca="1">MIN(SUM($E91:AD91)/($B$102*4),$AT91-SUM($E103:AC103))</f>
        <v>52692.189217459141</v>
      </c>
      <c r="AE103" s="158">
        <f ca="1">MIN(SUM($E91:AE91)/($B$102*4),$AT91-SUM($E103:AD103))</f>
        <v>52692.189217459141</v>
      </c>
      <c r="AF103" s="158">
        <f ca="1">MIN(SUM($E91:AF91)/($B$102*4),$AT91-SUM($E103:AE103))</f>
        <v>52692.189217459141</v>
      </c>
      <c r="AG103" s="158">
        <f ca="1">MIN(SUM($E91:AG91)/($B$102*4),$AT91-SUM($E103:AF103))</f>
        <v>52692.189217459141</v>
      </c>
      <c r="AH103" s="158">
        <f ca="1">MIN(SUM($E91:AH91)/($B$102*4),$AT91-SUM($E103:AG103))</f>
        <v>52692.189217459141</v>
      </c>
      <c r="AI103" s="158">
        <f ca="1">MIN(SUM($E91:AI91)/($B$102*4),$AT91-SUM($E103:AH103))</f>
        <v>52692.189217458712</v>
      </c>
      <c r="AJ103" s="158">
        <f ca="1">MIN(SUM($E91:AJ91)/($B$102*4),$AT91-SUM($E103:AI103))</f>
        <v>0</v>
      </c>
      <c r="AK103" s="158">
        <f ca="1">MIN(SUM($E91:AK91)/($B$102*4),$AT91-SUM($E103:AJ103))</f>
        <v>0</v>
      </c>
      <c r="AL103" s="158">
        <f ca="1">MIN(SUM($E91:AL91)/($B$102*4),$AT91-SUM($E103:AK103))</f>
        <v>0</v>
      </c>
      <c r="AM103" s="158">
        <f ca="1">MIN(SUM($E91:AM91)/($B$102*4),$AT91-SUM($E103:AL103))</f>
        <v>0</v>
      </c>
      <c r="AN103" s="158">
        <f ca="1">MIN(SUM($E91:AN91)/($B$102*4),$AT91-SUM($E103:AM103))</f>
        <v>0</v>
      </c>
      <c r="AO103" s="158">
        <f ca="1">MIN(SUM($E91:AO91)/($B$102*4),$AT91-SUM($E103:AN103))</f>
        <v>0</v>
      </c>
      <c r="AP103" s="158">
        <f ca="1">MIN(SUM($E91:AP91)/($B$102*4),$AT91-SUM($E103:AO103))</f>
        <v>0</v>
      </c>
      <c r="AQ103" s="158">
        <f ca="1">MIN(SUM($E91:AQ91)/($B$102*4),$AT91-SUM($E103:AP103))</f>
        <v>0</v>
      </c>
      <c r="AR103" s="158">
        <f ca="1">MIN(SUM($E91:AR91)/($B$102*4),$AT91-SUM($E103:AQ103))</f>
        <v>0</v>
      </c>
      <c r="AS103" s="41"/>
      <c r="AT103" s="84">
        <f t="shared" ref="AT103:AT113" ca="1" si="70">SUM(E103:AS103)</f>
        <v>1475381.298088856</v>
      </c>
    </row>
    <row r="104" spans="1:46" x14ac:dyDescent="0.2">
      <c r="A104" s="66" t="s">
        <v>675</v>
      </c>
      <c r="B104" s="434">
        <f>B92</f>
        <v>2021</v>
      </c>
      <c r="C104" s="35" t="s">
        <v>455</v>
      </c>
      <c r="D104" s="65"/>
      <c r="E104" s="158">
        <v>0</v>
      </c>
      <c r="F104" s="158">
        <f ca="1">MIN(SUM($E92:F92)/($B$102*4),$AT92-SUM($E104:E104))</f>
        <v>0</v>
      </c>
      <c r="G104" s="158">
        <f ca="1">MIN(SUM($E92:G92)/($B$102*4),$AT92-SUM($E104:F104))</f>
        <v>0</v>
      </c>
      <c r="H104" s="158">
        <f ca="1">MIN(SUM($E92:H92)/($B$102*4),$AT92-SUM($E104:G104))</f>
        <v>0</v>
      </c>
      <c r="I104" s="158">
        <f ca="1">MIN(SUM($E92:I92)/($B$102*4),$AT92-SUM($E104:H104))</f>
        <v>0</v>
      </c>
      <c r="J104" s="158">
        <f ca="1">MIN(SUM($E92:J92)/($B$102*4),$AT92-SUM($E104:I104))</f>
        <v>0</v>
      </c>
      <c r="K104" s="158">
        <f ca="1">MIN(SUM($E92:K92)/($B$102*4),$AT92-SUM($E104:J104))</f>
        <v>0</v>
      </c>
      <c r="L104" s="158">
        <f ca="1">MIN(SUM($E92:L92)/($B$102*4),$AT92-SUM($E104:K104))</f>
        <v>0</v>
      </c>
      <c r="M104" s="158">
        <f ca="1">MIN(SUM($E92:M92)/($B$102*4),$AT92-SUM($E104:L104))</f>
        <v>0</v>
      </c>
      <c r="N104" s="158">
        <f ca="1">MIN(SUM($E92:N92)/($B$102*4),$AT92-SUM($E104:M104))</f>
        <v>0</v>
      </c>
      <c r="O104" s="158">
        <f ca="1">MIN(SUM($E92:O92)/($B$102*4),$AT92-SUM($E104:N104))</f>
        <v>0</v>
      </c>
      <c r="P104" s="158">
        <f ca="1">MIN(SUM($E92:P92)/($B$102*4),$AT92-SUM($E104:O104))</f>
        <v>0</v>
      </c>
      <c r="Q104" s="158">
        <f ca="1">MIN(SUM($E92:Q92)/($B$102*4),$AT92-SUM($E104:P104))</f>
        <v>0</v>
      </c>
      <c r="R104" s="158">
        <f ca="1">MIN(SUM($E92:R92)/($B$102*4),$AT92-SUM($E104:Q104))</f>
        <v>0</v>
      </c>
      <c r="S104" s="158">
        <f ca="1">MIN(SUM($E92:S92)/($B$102*4),$AT92-SUM($E104:R104))</f>
        <v>0</v>
      </c>
      <c r="T104" s="158">
        <f ca="1">MIN(SUM($E92:T92)/($B$102*4),$AT92-SUM($E104:S104))</f>
        <v>0</v>
      </c>
      <c r="U104" s="158">
        <f ca="1">MIN(SUM($E92:U92)/($B$102*4),$AT92-SUM($E104:T104))</f>
        <v>0</v>
      </c>
      <c r="V104" s="158">
        <f ca="1">MIN(SUM($E92:V92)/($B$102*4),$AT92-SUM($E104:U104))</f>
        <v>0</v>
      </c>
      <c r="W104" s="158">
        <f ca="1">MIN(SUM($E92:W92)/($B$102*4),$AT92-SUM($E104:V104))</f>
        <v>0</v>
      </c>
      <c r="X104" s="158">
        <f ca="1">MIN(SUM($E92:X92)/($B$102*4),$AT92-SUM($E104:W104))</f>
        <v>0</v>
      </c>
      <c r="Y104" s="158">
        <f ca="1">MIN(SUM($E92:Y92)/($B$102*4),$AT92-SUM($E104:X104))</f>
        <v>0</v>
      </c>
      <c r="Z104" s="158">
        <f ca="1">MIN(SUM($E92:Z92)/($B$102*4),$AT92-SUM($E104:Y104))</f>
        <v>0</v>
      </c>
      <c r="AA104" s="158">
        <f ca="1">MIN(SUM($E92:AA92)/($B$102*4),$AT92-SUM($E104:Z104))</f>
        <v>0</v>
      </c>
      <c r="AB104" s="158">
        <f ca="1">MIN(SUM($E92:AB92)/($B$102*4),$AT92-SUM($E104:AA104))</f>
        <v>0</v>
      </c>
      <c r="AC104" s="158">
        <f ca="1">MIN(SUM($E92:AC92)/($B$102*4),$AT92-SUM($E104:AB104))</f>
        <v>0</v>
      </c>
      <c r="AD104" s="158">
        <f ca="1">MIN(SUM($E92:AD92)/($B$102*4),$AT92-SUM($E104:AC104))</f>
        <v>0</v>
      </c>
      <c r="AE104" s="158">
        <f ca="1">MIN(SUM($E92:AE92)/($B$102*4),$AT92-SUM($E104:AD104))</f>
        <v>0</v>
      </c>
      <c r="AF104" s="158">
        <f ca="1">MIN(SUM($E92:AF92)/($B$102*4),$AT92-SUM($E104:AE104))</f>
        <v>0</v>
      </c>
      <c r="AG104" s="158">
        <f ca="1">MIN(SUM($E92:AG92)/($B$102*4),$AT92-SUM($E104:AF104))</f>
        <v>0</v>
      </c>
      <c r="AH104" s="158">
        <f ca="1">MIN(SUM($E92:AH92)/($B$102*4),$AT92-SUM($E104:AG104))</f>
        <v>0</v>
      </c>
      <c r="AI104" s="158">
        <f ca="1">MIN(SUM($E92:AI92)/($B$102*4),$AT92-SUM($E104:AH104))</f>
        <v>0</v>
      </c>
      <c r="AJ104" s="158">
        <f ca="1">MIN(SUM($E92:AJ92)/($B$102*4),$AT92-SUM($E104:AI104))</f>
        <v>0</v>
      </c>
      <c r="AK104" s="158">
        <f ca="1">MIN(SUM($E92:AK92)/($B$102*4),$AT92-SUM($E104:AJ104))</f>
        <v>0</v>
      </c>
      <c r="AL104" s="158">
        <f ca="1">MIN(SUM($E92:AL92)/($B$102*4),$AT92-SUM($E104:AK104))</f>
        <v>0</v>
      </c>
      <c r="AM104" s="158">
        <f ca="1">MIN(SUM($E92:AM92)/($B$102*4),$AT92-SUM($E104:AL104))</f>
        <v>0</v>
      </c>
      <c r="AN104" s="158">
        <f ca="1">MIN(SUM($E92:AN92)/($B$102*4),$AT92-SUM($E104:AM104))</f>
        <v>0</v>
      </c>
      <c r="AO104" s="158">
        <f ca="1">MIN(SUM($E92:AO92)/($B$102*4),$AT92-SUM($E104:AN104))</f>
        <v>0</v>
      </c>
      <c r="AP104" s="158">
        <f ca="1">MIN(SUM($E92:AP92)/($B$102*4),$AT92-SUM($E104:AO104))</f>
        <v>0</v>
      </c>
      <c r="AQ104" s="158">
        <f ca="1">MIN(SUM($E92:AQ92)/($B$102*4),$AT92-SUM($E104:AP104))</f>
        <v>0</v>
      </c>
      <c r="AR104" s="158">
        <f ca="1">MIN(SUM($E92:AR92)/($B$102*4),$AT92-SUM($E104:AQ104))</f>
        <v>0</v>
      </c>
      <c r="AS104" s="41"/>
      <c r="AT104" s="84">
        <f t="shared" ca="1" si="70"/>
        <v>0</v>
      </c>
    </row>
    <row r="105" spans="1:46" x14ac:dyDescent="0.2">
      <c r="A105" s="66" t="s">
        <v>675</v>
      </c>
      <c r="B105" s="434">
        <f>B93</f>
        <v>2022</v>
      </c>
      <c r="C105" s="35" t="s">
        <v>455</v>
      </c>
      <c r="D105" s="65"/>
      <c r="E105" s="158">
        <v>0</v>
      </c>
      <c r="F105" s="158">
        <f ca="1">MIN(SUM($E93:F93)/($B$102*4),$AT93-SUM($E105:E105))</f>
        <v>0</v>
      </c>
      <c r="G105" s="158">
        <f ca="1">MIN(SUM($E93:G93)/($B$102*4),$AT93-SUM($E105:F105))</f>
        <v>0</v>
      </c>
      <c r="H105" s="158">
        <f ca="1">MIN(SUM($E93:H93)/($B$102*4),$AT93-SUM($E105:G105))</f>
        <v>0</v>
      </c>
      <c r="I105" s="158">
        <f ca="1">MIN(SUM($E93:I93)/($B$102*4),$AT93-SUM($E105:H105))</f>
        <v>0</v>
      </c>
      <c r="J105" s="158">
        <f ca="1">MIN(SUM($E93:J93)/($B$102*4),$AT93-SUM($E105:I105))</f>
        <v>0</v>
      </c>
      <c r="K105" s="158">
        <f ca="1">MIN(SUM($E93:K93)/($B$102*4),$AT93-SUM($E105:J105))</f>
        <v>0</v>
      </c>
      <c r="L105" s="158">
        <f ca="1">MIN(SUM($E93:L93)/($B$102*4),$AT93-SUM($E105:K105))</f>
        <v>0</v>
      </c>
      <c r="M105" s="158">
        <f ca="1">MIN(SUM($E93:M93)/($B$102*4),$AT93-SUM($E105:L105))</f>
        <v>0</v>
      </c>
      <c r="N105" s="158">
        <f ca="1">MIN(SUM($E93:N93)/($B$102*4),$AT93-SUM($E105:M105))</f>
        <v>27348.927933181916</v>
      </c>
      <c r="O105" s="158">
        <f ca="1">MIN(SUM($E93:O93)/($B$102*4),$AT93-SUM($E105:N105))</f>
        <v>27348.927933181916</v>
      </c>
      <c r="P105" s="158">
        <f ca="1">MIN(SUM($E93:P93)/($B$102*4),$AT93-SUM($E105:O105))</f>
        <v>27348.927933181916</v>
      </c>
      <c r="Q105" s="158">
        <f ca="1">MIN(SUM($E93:Q93)/($B$102*4),$AT93-SUM($E105:P105))</f>
        <v>27348.927933181916</v>
      </c>
      <c r="R105" s="158">
        <f ca="1">MIN(SUM($E93:R93)/($B$102*4),$AT93-SUM($E105:Q105))</f>
        <v>27348.927933181916</v>
      </c>
      <c r="S105" s="158">
        <f ca="1">MIN(SUM($E93:S93)/($B$102*4),$AT93-SUM($E105:R105))</f>
        <v>27348.927933181916</v>
      </c>
      <c r="T105" s="158">
        <f ca="1">MIN(SUM($E93:T93)/($B$102*4),$AT93-SUM($E105:S105))</f>
        <v>27348.927933181916</v>
      </c>
      <c r="U105" s="158">
        <f ca="1">MIN(SUM($E93:U93)/($B$102*4),$AT93-SUM($E105:T105))</f>
        <v>27348.927933181916</v>
      </c>
      <c r="V105" s="158">
        <f ca="1">MIN(SUM($E93:V93)/($B$102*4),$AT93-SUM($E105:U105))</f>
        <v>27348.927933181916</v>
      </c>
      <c r="W105" s="158">
        <f ca="1">MIN(SUM($E93:W93)/($B$102*4),$AT93-SUM($E105:V105))</f>
        <v>27348.927933181916</v>
      </c>
      <c r="X105" s="158">
        <f ca="1">MIN(SUM($E93:X93)/($B$102*4),$AT93-SUM($E105:W105))</f>
        <v>27348.927933181916</v>
      </c>
      <c r="Y105" s="158">
        <f ca="1">MIN(SUM($E93:Y93)/($B$102*4),$AT93-SUM($E105:X105))</f>
        <v>27348.927933181916</v>
      </c>
      <c r="Z105" s="158">
        <f ca="1">MIN(SUM($E93:Z93)/($B$102*4),$AT93-SUM($E105:Y105))</f>
        <v>27348.927933181916</v>
      </c>
      <c r="AA105" s="158">
        <f ca="1">MIN(SUM($E93:AA93)/($B$102*4),$AT93-SUM($E105:Z105))</f>
        <v>27348.927933181916</v>
      </c>
      <c r="AB105" s="158">
        <f ca="1">MIN(SUM($E93:AB93)/($B$102*4),$AT93-SUM($E105:AA105))</f>
        <v>27348.927933181916</v>
      </c>
      <c r="AC105" s="158">
        <f ca="1">MIN(SUM($E93:AC93)/($B$102*4),$AT93-SUM($E105:AB105))</f>
        <v>27348.927933181916</v>
      </c>
      <c r="AD105" s="158">
        <f ca="1">MIN(SUM($E93:AD93)/($B$102*4),$AT93-SUM($E105:AC105))</f>
        <v>27348.927933181916</v>
      </c>
      <c r="AE105" s="158">
        <f ca="1">MIN(SUM($E93:AE93)/($B$102*4),$AT93-SUM($E105:AD105))</f>
        <v>27348.927933181916</v>
      </c>
      <c r="AF105" s="158">
        <f ca="1">MIN(SUM($E93:AF93)/($B$102*4),$AT93-SUM($E105:AE105))</f>
        <v>27348.927933181916</v>
      </c>
      <c r="AG105" s="158">
        <f ca="1">MIN(SUM($E93:AG93)/($B$102*4),$AT93-SUM($E105:AF105))</f>
        <v>27348.927933181916</v>
      </c>
      <c r="AH105" s="158">
        <f ca="1">MIN(SUM($E93:AH93)/($B$102*4),$AT93-SUM($E105:AG105))</f>
        <v>27348.927933181916</v>
      </c>
      <c r="AI105" s="158">
        <f ca="1">MIN(SUM($E93:AI93)/($B$102*4),$AT93-SUM($E105:AH105))</f>
        <v>27348.927933181916</v>
      </c>
      <c r="AJ105" s="158">
        <f ca="1">MIN(SUM($E93:AJ93)/($B$102*4),$AT93-SUM($E105:AI105))</f>
        <v>27348.927933181916</v>
      </c>
      <c r="AK105" s="158">
        <f ca="1">MIN(SUM($E93:AK93)/($B$102*4),$AT93-SUM($E105:AJ105))</f>
        <v>27348.927933181916</v>
      </c>
      <c r="AL105" s="158">
        <f ca="1">MIN(SUM($E93:AL93)/($B$102*4),$AT93-SUM($E105:AK105))</f>
        <v>27348.927933181916</v>
      </c>
      <c r="AM105" s="158">
        <f ca="1">MIN(SUM($E93:AM93)/($B$102*4),$AT93-SUM($E105:AL105))</f>
        <v>27348.927933181916</v>
      </c>
      <c r="AN105" s="158">
        <f ca="1">MIN(SUM($E93:AN93)/($B$102*4),$AT93-SUM($E105:AM105))</f>
        <v>27348.927933181916</v>
      </c>
      <c r="AO105" s="158">
        <f ca="1">MIN(SUM($E93:AO93)/($B$102*4),$AT93-SUM($E105:AN105))</f>
        <v>27348.927933181916</v>
      </c>
      <c r="AP105" s="158">
        <f ca="1">MIN(SUM($E93:AP93)/($B$102*4),$AT93-SUM($E105:AO105))</f>
        <v>2.3283064365386963E-10</v>
      </c>
      <c r="AQ105" s="158">
        <f ca="1">MIN(SUM($E93:AQ93)/($B$102*4),$AT93-SUM($E105:AP105))</f>
        <v>0</v>
      </c>
      <c r="AR105" s="158">
        <f ca="1">MIN(SUM($E93:AR93)/($B$102*4),$AT93-SUM($E105:AQ105))</f>
        <v>0</v>
      </c>
      <c r="AS105" s="41"/>
      <c r="AT105" s="84">
        <f t="shared" ca="1" si="70"/>
        <v>765769.98212909361</v>
      </c>
    </row>
    <row r="106" spans="1:46" x14ac:dyDescent="0.2">
      <c r="A106" s="66" t="s">
        <v>675</v>
      </c>
      <c r="B106" s="434">
        <f>B94</f>
        <v>2023</v>
      </c>
      <c r="C106" s="35" t="s">
        <v>455</v>
      </c>
      <c r="D106" s="65"/>
      <c r="E106" s="158">
        <v>0</v>
      </c>
      <c r="F106" s="158">
        <f ca="1">MIN(SUM($E94:F94)/($B$102*4),$AT94-SUM($E106:E106))</f>
        <v>0</v>
      </c>
      <c r="G106" s="158">
        <f ca="1">MIN(SUM($E94:G94)/($B$102*4),$AT94-SUM($E106:F106))</f>
        <v>0</v>
      </c>
      <c r="H106" s="158">
        <f ca="1">MIN(SUM($E94:H94)/($B$102*4),$AT94-SUM($E106:G106))</f>
        <v>0</v>
      </c>
      <c r="I106" s="158">
        <f ca="1">MIN(SUM($E94:I94)/($B$102*4),$AT94-SUM($E106:H106))</f>
        <v>0</v>
      </c>
      <c r="J106" s="158">
        <f ca="1">MIN(SUM($E94:J94)/($B$102*4),$AT94-SUM($E106:I106))</f>
        <v>0</v>
      </c>
      <c r="K106" s="158">
        <f ca="1">MIN(SUM($E94:K94)/($B$102*4),$AT94-SUM($E106:J106))</f>
        <v>0</v>
      </c>
      <c r="L106" s="158">
        <f ca="1">MIN(SUM($E94:L94)/($B$102*4),$AT94-SUM($E106:K106))</f>
        <v>0</v>
      </c>
      <c r="M106" s="158">
        <f ca="1">MIN(SUM($E94:M94)/($B$102*4),$AT94-SUM($E106:L106))</f>
        <v>0</v>
      </c>
      <c r="N106" s="158">
        <f ca="1">MIN(SUM($E94:N94)/($B$102*4),$AT94-SUM($E106:M106))</f>
        <v>0</v>
      </c>
      <c r="O106" s="158">
        <f ca="1">MIN(SUM($E94:O94)/($B$102*4),$AT94-SUM($E106:N106))</f>
        <v>0</v>
      </c>
      <c r="P106" s="158">
        <f ca="1">MIN(SUM($E94:P94)/($B$102*4),$AT94-SUM($E106:O106))</f>
        <v>0</v>
      </c>
      <c r="Q106" s="158">
        <f ca="1">MIN(SUM($E94:Q94)/($B$102*4),$AT94-SUM($E106:P106))</f>
        <v>0</v>
      </c>
      <c r="R106" s="158">
        <f ca="1">MIN(SUM($E94:R94)/($B$102*4),$AT94-SUM($E106:Q106))</f>
        <v>14265.208352060059</v>
      </c>
      <c r="S106" s="158">
        <f ca="1">MIN(SUM($E94:S94)/($B$102*4),$AT94-SUM($E106:R106))</f>
        <v>14265.208352060059</v>
      </c>
      <c r="T106" s="158">
        <f ca="1">MIN(SUM($E94:T94)/($B$102*4),$AT94-SUM($E106:S106))</f>
        <v>14265.208352060059</v>
      </c>
      <c r="U106" s="158">
        <f ca="1">MIN(SUM($E94:U94)/($B$102*4),$AT94-SUM($E106:T106))</f>
        <v>14265.208352060059</v>
      </c>
      <c r="V106" s="158">
        <f ca="1">MIN(SUM($E94:V94)/($B$102*4),$AT94-SUM($E106:U106))</f>
        <v>14265.208352060059</v>
      </c>
      <c r="W106" s="158">
        <f ca="1">MIN(SUM($E94:W94)/($B$102*4),$AT94-SUM($E106:V106))</f>
        <v>14265.208352060059</v>
      </c>
      <c r="X106" s="158">
        <f ca="1">MIN(SUM($E94:X94)/($B$102*4),$AT94-SUM($E106:W106))</f>
        <v>14265.208352060059</v>
      </c>
      <c r="Y106" s="158">
        <f ca="1">MIN(SUM($E94:Y94)/($B$102*4),$AT94-SUM($E106:X106))</f>
        <v>14265.208352060059</v>
      </c>
      <c r="Z106" s="158">
        <f ca="1">MIN(SUM($E94:Z94)/($B$102*4),$AT94-SUM($E106:Y106))</f>
        <v>14265.208352060059</v>
      </c>
      <c r="AA106" s="158">
        <f ca="1">MIN(SUM($E94:AA94)/($B$102*4),$AT94-SUM($E106:Z106))</f>
        <v>14265.208352060059</v>
      </c>
      <c r="AB106" s="158">
        <f ca="1">MIN(SUM($E94:AB94)/($B$102*4),$AT94-SUM($E106:AA106))</f>
        <v>14265.208352060059</v>
      </c>
      <c r="AC106" s="158">
        <f ca="1">MIN(SUM($E94:AC94)/($B$102*4),$AT94-SUM($E106:AB106))</f>
        <v>14265.208352060059</v>
      </c>
      <c r="AD106" s="158">
        <f ca="1">MIN(SUM($E94:AD94)/($B$102*4),$AT94-SUM($E106:AC106))</f>
        <v>14265.208352060059</v>
      </c>
      <c r="AE106" s="158">
        <f ca="1">MIN(SUM($E94:AE94)/($B$102*4),$AT94-SUM($E106:AD106))</f>
        <v>14265.208352060059</v>
      </c>
      <c r="AF106" s="158">
        <f ca="1">MIN(SUM($E94:AF94)/($B$102*4),$AT94-SUM($E106:AE106))</f>
        <v>14265.208352060059</v>
      </c>
      <c r="AG106" s="158">
        <f ca="1">MIN(SUM($E94:AG94)/($B$102*4),$AT94-SUM($E106:AF106))</f>
        <v>14265.208352060059</v>
      </c>
      <c r="AH106" s="158">
        <f ca="1">MIN(SUM($E94:AH94)/($B$102*4),$AT94-SUM($E106:AG106))</f>
        <v>14265.208352060059</v>
      </c>
      <c r="AI106" s="158">
        <f ca="1">MIN(SUM($E94:AI94)/($B$102*4),$AT94-SUM($E106:AH106))</f>
        <v>14265.208352060059</v>
      </c>
      <c r="AJ106" s="158">
        <f ca="1">MIN(SUM($E94:AJ94)/($B$102*4),$AT94-SUM($E106:AI106))</f>
        <v>14265.208352060059</v>
      </c>
      <c r="AK106" s="158">
        <f ca="1">MIN(SUM($E94:AK94)/($B$102*4),$AT94-SUM($E106:AJ106))</f>
        <v>14265.208352060059</v>
      </c>
      <c r="AL106" s="158">
        <f ca="1">MIN(SUM($E94:AL94)/($B$102*4),$AT94-SUM($E106:AK106))</f>
        <v>14265.208352060059</v>
      </c>
      <c r="AM106" s="158">
        <f ca="1">MIN(SUM($E94:AM94)/($B$102*4),$AT94-SUM($E106:AL106))</f>
        <v>14265.208352060059</v>
      </c>
      <c r="AN106" s="158">
        <f ca="1">MIN(SUM($E94:AN94)/($B$102*4),$AT94-SUM($E106:AM106))</f>
        <v>14265.208352060059</v>
      </c>
      <c r="AO106" s="158">
        <f ca="1">MIN(SUM($E94:AO94)/($B$102*4),$AT94-SUM($E106:AN106))</f>
        <v>14265.208352060059</v>
      </c>
      <c r="AP106" s="158">
        <f ca="1">MIN(SUM($E94:AP94)/($B$102*4),$AT94-SUM($E106:AO106))</f>
        <v>14265.208352060059</v>
      </c>
      <c r="AQ106" s="158">
        <f ca="1">MIN(SUM($E94:AQ94)/($B$102*4),$AT94-SUM($E106:AP106))</f>
        <v>14265.208352060059</v>
      </c>
      <c r="AR106" s="158">
        <f ca="1">MIN(SUM($E94:AR94)/($B$102*4),$AT94-SUM($E106:AQ106))</f>
        <v>14265.208352060059</v>
      </c>
      <c r="AS106" s="41"/>
      <c r="AT106" s="84">
        <f t="shared" ca="1" si="70"/>
        <v>385160.6255056216</v>
      </c>
    </row>
    <row r="107" spans="1:46" x14ac:dyDescent="0.2">
      <c r="A107" s="66" t="s">
        <v>675</v>
      </c>
      <c r="B107" s="434">
        <f>B95</f>
        <v>2024</v>
      </c>
      <c r="C107" s="35" t="s">
        <v>455</v>
      </c>
      <c r="D107" s="65"/>
      <c r="E107" s="158">
        <v>0</v>
      </c>
      <c r="F107" s="158">
        <f ca="1">MIN(SUM($E95:F95)/($B$102*4),$AT95-SUM($E107:E107))</f>
        <v>0</v>
      </c>
      <c r="G107" s="158">
        <f ca="1">MIN(SUM($E95:G95)/($B$102*4),$AT95-SUM($E107:F107))</f>
        <v>0</v>
      </c>
      <c r="H107" s="158">
        <f ca="1">MIN(SUM($E95:H95)/($B$102*4),$AT95-SUM($E107:G107))</f>
        <v>0</v>
      </c>
      <c r="I107" s="158">
        <f ca="1">MIN(SUM($E95:I95)/($B$102*4),$AT95-SUM($E107:H107))</f>
        <v>0</v>
      </c>
      <c r="J107" s="158">
        <f ca="1">MIN(SUM($E95:J95)/($B$102*4),$AT95-SUM($E107:I107))</f>
        <v>0</v>
      </c>
      <c r="K107" s="158">
        <f ca="1">MIN(SUM($E95:K95)/($B$102*4),$AT95-SUM($E107:J107))</f>
        <v>0</v>
      </c>
      <c r="L107" s="158">
        <f ca="1">MIN(SUM($E95:L95)/($B$102*4),$AT95-SUM($E107:K107))</f>
        <v>0</v>
      </c>
      <c r="M107" s="158">
        <f ca="1">MIN(SUM($E95:M95)/($B$102*4),$AT95-SUM($E107:L107))</f>
        <v>0</v>
      </c>
      <c r="N107" s="158">
        <f ca="1">MIN(SUM($E95:N95)/($B$102*4),$AT95-SUM($E107:M107))</f>
        <v>0</v>
      </c>
      <c r="O107" s="158">
        <f ca="1">MIN(SUM($E95:O95)/($B$102*4),$AT95-SUM($E107:N107))</f>
        <v>0</v>
      </c>
      <c r="P107" s="158">
        <f ca="1">MIN(SUM($E95:P95)/($B$102*4),$AT95-SUM($E107:O107))</f>
        <v>0</v>
      </c>
      <c r="Q107" s="158">
        <f ca="1">MIN(SUM($E95:Q95)/($B$102*4),$AT95-SUM($E107:P107))</f>
        <v>0</v>
      </c>
      <c r="R107" s="158">
        <f ca="1">MIN(SUM($E95:R95)/($B$102*4),$AT95-SUM($E107:Q107))</f>
        <v>0</v>
      </c>
      <c r="S107" s="158">
        <f ca="1">MIN(SUM($E95:S95)/($B$102*4),$AT95-SUM($E107:R107))</f>
        <v>0</v>
      </c>
      <c r="T107" s="158">
        <f ca="1">MIN(SUM($E95:T95)/($B$102*4),$AT95-SUM($E107:S107))</f>
        <v>0</v>
      </c>
      <c r="U107" s="158">
        <f ca="1">MIN(SUM($E95:U95)/($B$102*4),$AT95-SUM($E107:T107))</f>
        <v>0</v>
      </c>
      <c r="V107" s="158">
        <f ca="1">MIN(SUM($E95:V95)/($B$102*4),$AT95-SUM($E107:U107))</f>
        <v>227909.52749057364</v>
      </c>
      <c r="W107" s="158">
        <f ca="1">MIN(SUM($E95:W95)/($B$102*4),$AT95-SUM($E107:V107))</f>
        <v>227909.52749057364</v>
      </c>
      <c r="X107" s="158">
        <f ca="1">MIN(SUM($E95:X95)/($B$102*4),$AT95-SUM($E107:W107))</f>
        <v>227909.52749057364</v>
      </c>
      <c r="Y107" s="158">
        <f ca="1">MIN(SUM($E95:Y95)/($B$102*4),$AT95-SUM($E107:X107))</f>
        <v>227909.52749057364</v>
      </c>
      <c r="Z107" s="158">
        <f ca="1">MIN(SUM($E95:Z95)/($B$102*4),$AT95-SUM($E107:Y107))</f>
        <v>227909.52749057364</v>
      </c>
      <c r="AA107" s="158">
        <f ca="1">MIN(SUM($E95:AA95)/($B$102*4),$AT95-SUM($E107:Z107))</f>
        <v>227909.52749057364</v>
      </c>
      <c r="AB107" s="158">
        <f ca="1">MIN(SUM($E95:AB95)/($B$102*4),$AT95-SUM($E107:AA107))</f>
        <v>227909.52749057364</v>
      </c>
      <c r="AC107" s="158">
        <f ca="1">MIN(SUM($E95:AC95)/($B$102*4),$AT95-SUM($E107:AB107))</f>
        <v>227909.52749057364</v>
      </c>
      <c r="AD107" s="158">
        <f ca="1">MIN(SUM($E95:AD95)/($B$102*4),$AT95-SUM($E107:AC107))</f>
        <v>227909.52749057364</v>
      </c>
      <c r="AE107" s="158">
        <f ca="1">MIN(SUM($E95:AE95)/($B$102*4),$AT95-SUM($E107:AD107))</f>
        <v>227909.52749057364</v>
      </c>
      <c r="AF107" s="158">
        <f ca="1">MIN(SUM($E95:AF95)/($B$102*4),$AT95-SUM($E107:AE107))</f>
        <v>227909.52749057364</v>
      </c>
      <c r="AG107" s="158">
        <f ca="1">MIN(SUM($E95:AG95)/($B$102*4),$AT95-SUM($E107:AF107))</f>
        <v>227909.52749057364</v>
      </c>
      <c r="AH107" s="158">
        <f ca="1">MIN(SUM($E95:AH95)/($B$102*4),$AT95-SUM($E107:AG107))</f>
        <v>227909.52749057364</v>
      </c>
      <c r="AI107" s="158">
        <f ca="1">MIN(SUM($E95:AI95)/($B$102*4),$AT95-SUM($E107:AH107))</f>
        <v>227909.52749057364</v>
      </c>
      <c r="AJ107" s="158">
        <f ca="1">MIN(SUM($E95:AJ95)/($B$102*4),$AT95-SUM($E107:AI107))</f>
        <v>227909.52749057364</v>
      </c>
      <c r="AK107" s="158">
        <f ca="1">MIN(SUM($E95:AK95)/($B$102*4),$AT95-SUM($E107:AJ107))</f>
        <v>227909.52749057364</v>
      </c>
      <c r="AL107" s="158">
        <f ca="1">MIN(SUM($E95:AL95)/($B$102*4),$AT95-SUM($E107:AK107))</f>
        <v>227909.52749057364</v>
      </c>
      <c r="AM107" s="158">
        <f ca="1">MIN(SUM($E95:AM95)/($B$102*4),$AT95-SUM($E107:AL107))</f>
        <v>227909.52749057364</v>
      </c>
      <c r="AN107" s="158">
        <f ca="1">MIN(SUM($E95:AN95)/($B$102*4),$AT95-SUM($E107:AM107))</f>
        <v>227909.52749057364</v>
      </c>
      <c r="AO107" s="158">
        <f ca="1">MIN(SUM($E95:AO95)/($B$102*4),$AT95-SUM($E107:AN107))</f>
        <v>227909.52749057364</v>
      </c>
      <c r="AP107" s="158">
        <f ca="1">MIN(SUM($E95:AP95)/($B$102*4),$AT95-SUM($E107:AO107))</f>
        <v>227909.52749057364</v>
      </c>
      <c r="AQ107" s="158">
        <f ca="1">MIN(SUM($E95:AQ95)/($B$102*4),$AT95-SUM($E107:AP107))</f>
        <v>227909.52749057364</v>
      </c>
      <c r="AR107" s="158">
        <f ca="1">MIN(SUM($E95:AR95)/($B$102*4),$AT95-SUM($E107:AQ107))</f>
        <v>227909.52749057364</v>
      </c>
      <c r="AS107" s="41"/>
      <c r="AT107" s="84">
        <f t="shared" ca="1" si="70"/>
        <v>5241919.132283194</v>
      </c>
    </row>
    <row r="108" spans="1:46" x14ac:dyDescent="0.2">
      <c r="A108" s="66" t="s">
        <v>675</v>
      </c>
      <c r="B108" s="434">
        <f t="shared" ref="B108:B112" si="71">B96</f>
        <v>2025</v>
      </c>
      <c r="C108" s="35" t="s">
        <v>455</v>
      </c>
      <c r="D108" s="65"/>
      <c r="E108" s="158">
        <v>0</v>
      </c>
      <c r="F108" s="158">
        <f ca="1">MIN(SUM($E96:F96)/($B$102*4),$AT96-SUM($E108:E108))</f>
        <v>0</v>
      </c>
      <c r="G108" s="158">
        <f ca="1">MIN(SUM($E96:G96)/($B$102*4),$AT96-SUM($E108:F108))</f>
        <v>0</v>
      </c>
      <c r="H108" s="158">
        <f ca="1">MIN(SUM($E96:H96)/($B$102*4),$AT96-SUM($E108:G108))</f>
        <v>0</v>
      </c>
      <c r="I108" s="158">
        <f ca="1">MIN(SUM($E96:I96)/($B$102*4),$AT96-SUM($E108:H108))</f>
        <v>0</v>
      </c>
      <c r="J108" s="158">
        <f ca="1">MIN(SUM($E96:J96)/($B$102*4),$AT96-SUM($E108:I108))</f>
        <v>0</v>
      </c>
      <c r="K108" s="158">
        <f ca="1">MIN(SUM($E96:K96)/($B$102*4),$AT96-SUM($E108:J108))</f>
        <v>0</v>
      </c>
      <c r="L108" s="158">
        <f ca="1">MIN(SUM($E96:L96)/($B$102*4),$AT96-SUM($E108:K108))</f>
        <v>0</v>
      </c>
      <c r="M108" s="158">
        <f ca="1">MIN(SUM($E96:M96)/($B$102*4),$AT96-SUM($E108:L108))</f>
        <v>0</v>
      </c>
      <c r="N108" s="158">
        <f ca="1">MIN(SUM($E96:N96)/($B$102*4),$AT96-SUM($E108:M108))</f>
        <v>0</v>
      </c>
      <c r="O108" s="158">
        <f ca="1">MIN(SUM($E96:O96)/($B$102*4),$AT96-SUM($E108:N108))</f>
        <v>0</v>
      </c>
      <c r="P108" s="158">
        <f ca="1">MIN(SUM($E96:P96)/($B$102*4),$AT96-SUM($E108:O108))</f>
        <v>0</v>
      </c>
      <c r="Q108" s="158">
        <f ca="1">MIN(SUM($E96:Q96)/($B$102*4),$AT96-SUM($E108:P108))</f>
        <v>0</v>
      </c>
      <c r="R108" s="158">
        <f ca="1">MIN(SUM($E96:R96)/($B$102*4),$AT96-SUM($E108:Q108))</f>
        <v>0</v>
      </c>
      <c r="S108" s="158">
        <f ca="1">MIN(SUM($E96:S96)/($B$102*4),$AT96-SUM($E108:R108))</f>
        <v>0</v>
      </c>
      <c r="T108" s="158">
        <f ca="1">MIN(SUM($E96:T96)/($B$102*4),$AT96-SUM($E108:S108))</f>
        <v>0</v>
      </c>
      <c r="U108" s="158">
        <f ca="1">MIN(SUM($E96:U96)/($B$102*4),$AT96-SUM($E108:T108))</f>
        <v>0</v>
      </c>
      <c r="V108" s="158">
        <f ca="1">MIN(SUM($E96:V96)/($B$102*4),$AT96-SUM($E108:U108))</f>
        <v>0</v>
      </c>
      <c r="W108" s="158">
        <f ca="1">MIN(SUM($E96:W96)/($B$102*4),$AT96-SUM($E108:V108))</f>
        <v>0</v>
      </c>
      <c r="X108" s="158">
        <f ca="1">MIN(SUM($E96:X96)/($B$102*4),$AT96-SUM($E108:W108))</f>
        <v>0</v>
      </c>
      <c r="Y108" s="158">
        <f ca="1">MIN(SUM($E96:Y96)/($B$102*4),$AT96-SUM($E108:X108))</f>
        <v>0</v>
      </c>
      <c r="Z108" s="158">
        <f ca="1">MIN(SUM($E96:Z96)/($B$102*4),$AT96-SUM($E108:Y108))</f>
        <v>0</v>
      </c>
      <c r="AA108" s="158">
        <f ca="1">MIN(SUM($E96:AA96)/($B$102*4),$AT96-SUM($E108:Z108))</f>
        <v>0</v>
      </c>
      <c r="AB108" s="158">
        <f ca="1">MIN(SUM($E96:AB96)/($B$102*4),$AT96-SUM($E108:AA108))</f>
        <v>0</v>
      </c>
      <c r="AC108" s="158">
        <f ca="1">MIN(SUM($E96:AC96)/($B$102*4),$AT96-SUM($E108:AB108))</f>
        <v>0</v>
      </c>
      <c r="AD108" s="158">
        <f ca="1">MIN(SUM($E96:AD96)/($B$102*4),$AT96-SUM($E108:AC108))</f>
        <v>0</v>
      </c>
      <c r="AE108" s="158">
        <f ca="1">MIN(SUM($E96:AE96)/($B$102*4),$AT96-SUM($E108:AD108))</f>
        <v>0</v>
      </c>
      <c r="AF108" s="158">
        <f ca="1">MIN(SUM($E96:AF96)/($B$102*4),$AT96-SUM($E108:AE108))</f>
        <v>0</v>
      </c>
      <c r="AG108" s="158">
        <f ca="1">MIN(SUM($E96:AG96)/($B$102*4),$AT96-SUM($E108:AF108))</f>
        <v>0</v>
      </c>
      <c r="AH108" s="158">
        <f ca="1">MIN(SUM($E96:AH96)/($B$102*4),$AT96-SUM($E108:AG108))</f>
        <v>0</v>
      </c>
      <c r="AI108" s="158">
        <f ca="1">MIN(SUM($E96:AI96)/($B$102*4),$AT96-SUM($E108:AH108))</f>
        <v>0</v>
      </c>
      <c r="AJ108" s="158">
        <f ca="1">MIN(SUM($E96:AJ96)/($B$102*4),$AT96-SUM($E108:AI108))</f>
        <v>0</v>
      </c>
      <c r="AK108" s="158">
        <f ca="1">MIN(SUM($E96:AK96)/($B$102*4),$AT96-SUM($E108:AJ108))</f>
        <v>0</v>
      </c>
      <c r="AL108" s="158">
        <f ca="1">MIN(SUM($E96:AL96)/($B$102*4),$AT96-SUM($E108:AK108))</f>
        <v>0</v>
      </c>
      <c r="AM108" s="158">
        <f ca="1">MIN(SUM($E96:AM96)/($B$102*4),$AT96-SUM($E108:AL108))</f>
        <v>0</v>
      </c>
      <c r="AN108" s="158">
        <f ca="1">MIN(SUM($E96:AN96)/($B$102*4),$AT96-SUM($E108:AM108))</f>
        <v>0</v>
      </c>
      <c r="AO108" s="158">
        <f ca="1">MIN(SUM($E96:AO96)/($B$102*4),$AT96-SUM($E108:AN108))</f>
        <v>0</v>
      </c>
      <c r="AP108" s="158">
        <f ca="1">MIN(SUM($E96:AP96)/($B$102*4),$AT96-SUM($E108:AO108))</f>
        <v>0</v>
      </c>
      <c r="AQ108" s="158">
        <f ca="1">MIN(SUM($E96:AQ96)/($B$102*4),$AT96-SUM($E108:AP108))</f>
        <v>0</v>
      </c>
      <c r="AR108" s="158">
        <f ca="1">MIN(SUM($E96:AR96)/($B$102*4),$AT96-SUM($E108:AQ108))</f>
        <v>0</v>
      </c>
      <c r="AS108" s="41"/>
      <c r="AT108" s="84">
        <f t="shared" ca="1" si="70"/>
        <v>0</v>
      </c>
    </row>
    <row r="109" spans="1:46" x14ac:dyDescent="0.2">
      <c r="A109" s="66" t="s">
        <v>675</v>
      </c>
      <c r="B109" s="434">
        <f t="shared" si="71"/>
        <v>2026</v>
      </c>
      <c r="C109" s="35" t="s">
        <v>455</v>
      </c>
      <c r="D109" s="65"/>
      <c r="E109" s="158">
        <v>0</v>
      </c>
      <c r="F109" s="158">
        <f ca="1">MIN(SUM($E97:F97)/($B$102*4),$AT97-SUM($E109:E109))</f>
        <v>0</v>
      </c>
      <c r="G109" s="158">
        <f ca="1">MIN(SUM($E97:G97)/($B$102*4),$AT97-SUM($E109:F109))</f>
        <v>0</v>
      </c>
      <c r="H109" s="158">
        <f ca="1">MIN(SUM($E97:H97)/($B$102*4),$AT97-SUM($E109:G109))</f>
        <v>0</v>
      </c>
      <c r="I109" s="158">
        <f ca="1">MIN(SUM($E97:I97)/($B$102*4),$AT97-SUM($E109:H109))</f>
        <v>0</v>
      </c>
      <c r="J109" s="158">
        <f ca="1">MIN(SUM($E97:J97)/($B$102*4),$AT97-SUM($E109:I109))</f>
        <v>0</v>
      </c>
      <c r="K109" s="158">
        <f ca="1">MIN(SUM($E97:K97)/($B$102*4),$AT97-SUM($E109:J109))</f>
        <v>0</v>
      </c>
      <c r="L109" s="158">
        <f ca="1">MIN(SUM($E97:L97)/($B$102*4),$AT97-SUM($E109:K109))</f>
        <v>0</v>
      </c>
      <c r="M109" s="158">
        <f ca="1">MIN(SUM($E97:M97)/($B$102*4),$AT97-SUM($E109:L109))</f>
        <v>0</v>
      </c>
      <c r="N109" s="158">
        <f ca="1">MIN(SUM($E97:N97)/($B$102*4),$AT97-SUM($E109:M109))</f>
        <v>0</v>
      </c>
      <c r="O109" s="158">
        <f ca="1">MIN(SUM($E97:O97)/($B$102*4),$AT97-SUM($E109:N109))</f>
        <v>0</v>
      </c>
      <c r="P109" s="158">
        <f ca="1">MIN(SUM($E97:P97)/($B$102*4),$AT97-SUM($E109:O109))</f>
        <v>0</v>
      </c>
      <c r="Q109" s="158">
        <f ca="1">MIN(SUM($E97:Q97)/($B$102*4),$AT97-SUM($E109:P109))</f>
        <v>0</v>
      </c>
      <c r="R109" s="158">
        <f ca="1">MIN(SUM($E97:R97)/($B$102*4),$AT97-SUM($E109:Q109))</f>
        <v>0</v>
      </c>
      <c r="S109" s="158">
        <f ca="1">MIN(SUM($E97:S97)/($B$102*4),$AT97-SUM($E109:R109))</f>
        <v>0</v>
      </c>
      <c r="T109" s="158">
        <f ca="1">MIN(SUM($E97:T97)/($B$102*4),$AT97-SUM($E109:S109))</f>
        <v>0</v>
      </c>
      <c r="U109" s="158">
        <f ca="1">MIN(SUM($E97:U97)/($B$102*4),$AT97-SUM($E109:T109))</f>
        <v>0</v>
      </c>
      <c r="V109" s="158">
        <f ca="1">MIN(SUM($E97:V97)/($B$102*4),$AT97-SUM($E109:U109))</f>
        <v>0</v>
      </c>
      <c r="W109" s="158">
        <f ca="1">MIN(SUM($E97:W97)/($B$102*4),$AT97-SUM($E109:V109))</f>
        <v>0</v>
      </c>
      <c r="X109" s="158">
        <f ca="1">MIN(SUM($E97:X97)/($B$102*4),$AT97-SUM($E109:W109))</f>
        <v>0</v>
      </c>
      <c r="Y109" s="158">
        <f ca="1">MIN(SUM($E97:Y97)/($B$102*4),$AT97-SUM($E109:X109))</f>
        <v>0</v>
      </c>
      <c r="Z109" s="158">
        <f ca="1">MIN(SUM($E97:Z97)/($B$102*4),$AT97-SUM($E109:Y109))</f>
        <v>0</v>
      </c>
      <c r="AA109" s="158">
        <f ca="1">MIN(SUM($E97:AA97)/($B$102*4),$AT97-SUM($E109:Z109))</f>
        <v>0</v>
      </c>
      <c r="AB109" s="158">
        <f ca="1">MIN(SUM($E97:AB97)/($B$102*4),$AT97-SUM($E109:AA109))</f>
        <v>0</v>
      </c>
      <c r="AC109" s="158">
        <f ca="1">MIN(SUM($E97:AC97)/($B$102*4),$AT97-SUM($E109:AB109))</f>
        <v>0</v>
      </c>
      <c r="AD109" s="158">
        <f ca="1">MIN(SUM($E97:AD97)/($B$102*4),$AT97-SUM($E109:AC109))</f>
        <v>0</v>
      </c>
      <c r="AE109" s="158">
        <f ca="1">MIN(SUM($E97:AE97)/($B$102*4),$AT97-SUM($E109:AD109))</f>
        <v>0</v>
      </c>
      <c r="AF109" s="158">
        <f ca="1">MIN(SUM($E97:AF97)/($B$102*4),$AT97-SUM($E109:AE109))</f>
        <v>0</v>
      </c>
      <c r="AG109" s="158">
        <f ca="1">MIN(SUM($E97:AG97)/($B$102*4),$AT97-SUM($E109:AF109))</f>
        <v>0</v>
      </c>
      <c r="AH109" s="158">
        <f ca="1">MIN(SUM($E97:AH97)/($B$102*4),$AT97-SUM($E109:AG109))</f>
        <v>0</v>
      </c>
      <c r="AI109" s="158">
        <f ca="1">MIN(SUM($E97:AI97)/($B$102*4),$AT97-SUM($E109:AH109))</f>
        <v>0</v>
      </c>
      <c r="AJ109" s="158">
        <f ca="1">MIN(SUM($E97:AJ97)/($B$102*4),$AT97-SUM($E109:AI109))</f>
        <v>0</v>
      </c>
      <c r="AK109" s="158">
        <f ca="1">MIN(SUM($E97:AK97)/($B$102*4),$AT97-SUM($E109:AJ109))</f>
        <v>0</v>
      </c>
      <c r="AL109" s="158">
        <f ca="1">MIN(SUM($E97:AL97)/($B$102*4),$AT97-SUM($E109:AK109))</f>
        <v>0</v>
      </c>
      <c r="AM109" s="158">
        <f ca="1">MIN(SUM($E97:AM97)/($B$102*4),$AT97-SUM($E109:AL109))</f>
        <v>0</v>
      </c>
      <c r="AN109" s="158">
        <f ca="1">MIN(SUM($E97:AN97)/($B$102*4),$AT97-SUM($E109:AM109))</f>
        <v>0</v>
      </c>
      <c r="AO109" s="158">
        <f ca="1">MIN(SUM($E97:AO97)/($B$102*4),$AT97-SUM($E109:AN109))</f>
        <v>0</v>
      </c>
      <c r="AP109" s="158">
        <f ca="1">MIN(SUM($E97:AP97)/($B$102*4),$AT97-SUM($E109:AO109))</f>
        <v>0</v>
      </c>
      <c r="AQ109" s="158">
        <f ca="1">MIN(SUM($E97:AQ97)/($B$102*4),$AT97-SUM($E109:AP109))</f>
        <v>0</v>
      </c>
      <c r="AR109" s="158">
        <f ca="1">MIN(SUM($E97:AR97)/($B$102*4),$AT97-SUM($E109:AQ109))</f>
        <v>0</v>
      </c>
      <c r="AS109" s="41"/>
      <c r="AT109" s="84">
        <f t="shared" ca="1" si="70"/>
        <v>0</v>
      </c>
    </row>
    <row r="110" spans="1:46" x14ac:dyDescent="0.2">
      <c r="A110" s="66" t="s">
        <v>675</v>
      </c>
      <c r="B110" s="434">
        <f t="shared" si="71"/>
        <v>2027</v>
      </c>
      <c r="C110" s="35" t="s">
        <v>455</v>
      </c>
      <c r="D110" s="65"/>
      <c r="E110" s="158">
        <v>0</v>
      </c>
      <c r="F110" s="158">
        <f ca="1">MIN(SUM($E98:F98)/($B$102*4),$AT98-SUM($E110:E110))</f>
        <v>0</v>
      </c>
      <c r="G110" s="158">
        <f ca="1">MIN(SUM($E98:G98)/($B$102*4),$AT98-SUM($E110:F110))</f>
        <v>0</v>
      </c>
      <c r="H110" s="158">
        <f ca="1">MIN(SUM($E98:H98)/($B$102*4),$AT98-SUM($E110:G110))</f>
        <v>0</v>
      </c>
      <c r="I110" s="158">
        <f ca="1">MIN(SUM($E98:I98)/($B$102*4),$AT98-SUM($E110:H110))</f>
        <v>0</v>
      </c>
      <c r="J110" s="158">
        <f ca="1">MIN(SUM($E98:J98)/($B$102*4),$AT98-SUM($E110:I110))</f>
        <v>0</v>
      </c>
      <c r="K110" s="158">
        <f ca="1">MIN(SUM($E98:K98)/($B$102*4),$AT98-SUM($E110:J110))</f>
        <v>0</v>
      </c>
      <c r="L110" s="158">
        <f ca="1">MIN(SUM($E98:L98)/($B$102*4),$AT98-SUM($E110:K110))</f>
        <v>0</v>
      </c>
      <c r="M110" s="158">
        <f ca="1">MIN(SUM($E98:M98)/($B$102*4),$AT98-SUM($E110:L110))</f>
        <v>0</v>
      </c>
      <c r="N110" s="158">
        <f ca="1">MIN(SUM($E98:N98)/($B$102*4),$AT98-SUM($E110:M110))</f>
        <v>0</v>
      </c>
      <c r="O110" s="158">
        <f ca="1">MIN(SUM($E98:O98)/($B$102*4),$AT98-SUM($E110:N110))</f>
        <v>0</v>
      </c>
      <c r="P110" s="158">
        <f ca="1">MIN(SUM($E98:P98)/($B$102*4),$AT98-SUM($E110:O110))</f>
        <v>0</v>
      </c>
      <c r="Q110" s="158">
        <f ca="1">MIN(SUM($E98:Q98)/($B$102*4),$AT98-SUM($E110:P110))</f>
        <v>0</v>
      </c>
      <c r="R110" s="158">
        <f ca="1">MIN(SUM($E98:R98)/($B$102*4),$AT98-SUM($E110:Q110))</f>
        <v>0</v>
      </c>
      <c r="S110" s="158">
        <f ca="1">MIN(SUM($E98:S98)/($B$102*4),$AT98-SUM($E110:R110))</f>
        <v>0</v>
      </c>
      <c r="T110" s="158">
        <f ca="1">MIN(SUM($E98:T98)/($B$102*4),$AT98-SUM($E110:S110))</f>
        <v>0</v>
      </c>
      <c r="U110" s="158">
        <f ca="1">MIN(SUM($E98:U98)/($B$102*4),$AT98-SUM($E110:T110))</f>
        <v>0</v>
      </c>
      <c r="V110" s="158">
        <f ca="1">MIN(SUM($E98:V98)/($B$102*4),$AT98-SUM($E110:U110))</f>
        <v>0</v>
      </c>
      <c r="W110" s="158">
        <f ca="1">MIN(SUM($E98:W98)/($B$102*4),$AT98-SUM($E110:V110))</f>
        <v>0</v>
      </c>
      <c r="X110" s="158">
        <f ca="1">MIN(SUM($E98:X98)/($B$102*4),$AT98-SUM($E110:W110))</f>
        <v>0</v>
      </c>
      <c r="Y110" s="158">
        <f ca="1">MIN(SUM($E98:Y98)/($B$102*4),$AT98-SUM($E110:X110))</f>
        <v>0</v>
      </c>
      <c r="Z110" s="158">
        <f ca="1">MIN(SUM($E98:Z98)/($B$102*4),$AT98-SUM($E110:Y110))</f>
        <v>0</v>
      </c>
      <c r="AA110" s="158">
        <f ca="1">MIN(SUM($E98:AA98)/($B$102*4),$AT98-SUM($E110:Z110))</f>
        <v>0</v>
      </c>
      <c r="AB110" s="158">
        <f ca="1">MIN(SUM($E98:AB98)/($B$102*4),$AT98-SUM($E110:AA110))</f>
        <v>0</v>
      </c>
      <c r="AC110" s="158">
        <f ca="1">MIN(SUM($E98:AC98)/($B$102*4),$AT98-SUM($E110:AB110))</f>
        <v>0</v>
      </c>
      <c r="AD110" s="158">
        <f ca="1">MIN(SUM($E98:AD98)/($B$102*4),$AT98-SUM($E110:AC110))</f>
        <v>0</v>
      </c>
      <c r="AE110" s="158">
        <f ca="1">MIN(SUM($E98:AE98)/($B$102*4),$AT98-SUM($E110:AD110))</f>
        <v>0</v>
      </c>
      <c r="AF110" s="158">
        <f ca="1">MIN(SUM($E98:AF98)/($B$102*4),$AT98-SUM($E110:AE110))</f>
        <v>0</v>
      </c>
      <c r="AG110" s="158">
        <f ca="1">MIN(SUM($E98:AG98)/($B$102*4),$AT98-SUM($E110:AF110))</f>
        <v>0</v>
      </c>
      <c r="AH110" s="158">
        <f ca="1">MIN(SUM($E98:AH98)/($B$102*4),$AT98-SUM($E110:AG110))</f>
        <v>0</v>
      </c>
      <c r="AI110" s="158">
        <f ca="1">MIN(SUM($E98:AI98)/($B$102*4),$AT98-SUM($E110:AH110))</f>
        <v>0</v>
      </c>
      <c r="AJ110" s="158">
        <f ca="1">MIN(SUM($E98:AJ98)/($B$102*4),$AT98-SUM($E110:AI110))</f>
        <v>0</v>
      </c>
      <c r="AK110" s="158">
        <f ca="1">MIN(SUM($E98:AK98)/($B$102*4),$AT98-SUM($E110:AJ110))</f>
        <v>0</v>
      </c>
      <c r="AL110" s="158">
        <f ca="1">MIN(SUM($E98:AL98)/($B$102*4),$AT98-SUM($E110:AK110))</f>
        <v>0</v>
      </c>
      <c r="AM110" s="158">
        <f ca="1">MIN(SUM($E98:AM98)/($B$102*4),$AT98-SUM($E110:AL110))</f>
        <v>0</v>
      </c>
      <c r="AN110" s="158">
        <f ca="1">MIN(SUM($E98:AN98)/($B$102*4),$AT98-SUM($E110:AM110))</f>
        <v>0</v>
      </c>
      <c r="AO110" s="158">
        <f ca="1">MIN(SUM($E98:AO98)/($B$102*4),$AT98-SUM($E110:AN110))</f>
        <v>0</v>
      </c>
      <c r="AP110" s="158">
        <f ca="1">MIN(SUM($E98:AP98)/($B$102*4),$AT98-SUM($E110:AO110))</f>
        <v>0</v>
      </c>
      <c r="AQ110" s="158">
        <f ca="1">MIN(SUM($E98:AQ98)/($B$102*4),$AT98-SUM($E110:AP110))</f>
        <v>0</v>
      </c>
      <c r="AR110" s="158">
        <f ca="1">MIN(SUM($E98:AR98)/($B$102*4),$AT98-SUM($E110:AQ110))</f>
        <v>0</v>
      </c>
      <c r="AS110" s="41"/>
      <c r="AT110" s="84">
        <f t="shared" ca="1" si="70"/>
        <v>0</v>
      </c>
    </row>
    <row r="111" spans="1:46" x14ac:dyDescent="0.2">
      <c r="A111" s="66" t="s">
        <v>675</v>
      </c>
      <c r="B111" s="434">
        <f t="shared" si="71"/>
        <v>2028</v>
      </c>
      <c r="C111" s="35" t="s">
        <v>455</v>
      </c>
      <c r="D111" s="65"/>
      <c r="E111" s="158">
        <v>0</v>
      </c>
      <c r="F111" s="158">
        <f ca="1">MIN(SUM($E99:F99)/($B$102*4),$AT99-SUM($E111:E111))</f>
        <v>0</v>
      </c>
      <c r="G111" s="158">
        <f ca="1">MIN(SUM($E99:G99)/($B$102*4),$AT99-SUM($E111:F111))</f>
        <v>0</v>
      </c>
      <c r="H111" s="158">
        <f ca="1">MIN(SUM($E99:H99)/($B$102*4),$AT99-SUM($E111:G111))</f>
        <v>0</v>
      </c>
      <c r="I111" s="158">
        <f ca="1">MIN(SUM($E99:I99)/($B$102*4),$AT99-SUM($E111:H111))</f>
        <v>0</v>
      </c>
      <c r="J111" s="158">
        <f ca="1">MIN(SUM($E99:J99)/($B$102*4),$AT99-SUM($E111:I111))</f>
        <v>0</v>
      </c>
      <c r="K111" s="158">
        <f ca="1">MIN(SUM($E99:K99)/($B$102*4),$AT99-SUM($E111:J111))</f>
        <v>0</v>
      </c>
      <c r="L111" s="158">
        <f ca="1">MIN(SUM($E99:L99)/($B$102*4),$AT99-SUM($E111:K111))</f>
        <v>0</v>
      </c>
      <c r="M111" s="158">
        <f ca="1">MIN(SUM($E99:M99)/($B$102*4),$AT99-SUM($E111:L111))</f>
        <v>0</v>
      </c>
      <c r="N111" s="158">
        <f ca="1">MIN(SUM($E99:N99)/($B$102*4),$AT99-SUM($E111:M111))</f>
        <v>0</v>
      </c>
      <c r="O111" s="158">
        <f ca="1">MIN(SUM($E99:O99)/($B$102*4),$AT99-SUM($E111:N111))</f>
        <v>0</v>
      </c>
      <c r="P111" s="158">
        <f ca="1">MIN(SUM($E99:P99)/($B$102*4),$AT99-SUM($E111:O111))</f>
        <v>0</v>
      </c>
      <c r="Q111" s="158">
        <f ca="1">MIN(SUM($E99:Q99)/($B$102*4),$AT99-SUM($E111:P111))</f>
        <v>0</v>
      </c>
      <c r="R111" s="158">
        <f ca="1">MIN(SUM($E99:R99)/($B$102*4),$AT99-SUM($E111:Q111))</f>
        <v>0</v>
      </c>
      <c r="S111" s="158">
        <f ca="1">MIN(SUM($E99:S99)/($B$102*4),$AT99-SUM($E111:R111))</f>
        <v>0</v>
      </c>
      <c r="T111" s="158">
        <f ca="1">MIN(SUM($E99:T99)/($B$102*4),$AT99-SUM($E111:S111))</f>
        <v>0</v>
      </c>
      <c r="U111" s="158">
        <f ca="1">MIN(SUM($E99:U99)/($B$102*4),$AT99-SUM($E111:T111))</f>
        <v>0</v>
      </c>
      <c r="V111" s="158">
        <f ca="1">MIN(SUM($E99:V99)/($B$102*4),$AT99-SUM($E111:U111))</f>
        <v>0</v>
      </c>
      <c r="W111" s="158">
        <f ca="1">MIN(SUM($E99:W99)/($B$102*4),$AT99-SUM($E111:V111))</f>
        <v>0</v>
      </c>
      <c r="X111" s="158">
        <f ca="1">MIN(SUM($E99:X99)/($B$102*4),$AT99-SUM($E111:W111))</f>
        <v>0</v>
      </c>
      <c r="Y111" s="158">
        <f ca="1">MIN(SUM($E99:Y99)/($B$102*4),$AT99-SUM($E111:X111))</f>
        <v>0</v>
      </c>
      <c r="Z111" s="158">
        <f ca="1">MIN(SUM($E99:Z99)/($B$102*4),$AT99-SUM($E111:Y111))</f>
        <v>0</v>
      </c>
      <c r="AA111" s="158">
        <f ca="1">MIN(SUM($E99:AA99)/($B$102*4),$AT99-SUM($E111:Z111))</f>
        <v>0</v>
      </c>
      <c r="AB111" s="158">
        <f ca="1">MIN(SUM($E99:AB99)/($B$102*4),$AT99-SUM($E111:AA111))</f>
        <v>0</v>
      </c>
      <c r="AC111" s="158">
        <f ca="1">MIN(SUM($E99:AC99)/($B$102*4),$AT99-SUM($E111:AB111))</f>
        <v>0</v>
      </c>
      <c r="AD111" s="158">
        <f ca="1">MIN(SUM($E99:AD99)/($B$102*4),$AT99-SUM($E111:AC111))</f>
        <v>0</v>
      </c>
      <c r="AE111" s="158">
        <f ca="1">MIN(SUM($E99:AE99)/($B$102*4),$AT99-SUM($E111:AD111))</f>
        <v>0</v>
      </c>
      <c r="AF111" s="158">
        <f ca="1">MIN(SUM($E99:AF99)/($B$102*4),$AT99-SUM($E111:AE111))</f>
        <v>0</v>
      </c>
      <c r="AG111" s="158">
        <f ca="1">MIN(SUM($E99:AG99)/($B$102*4),$AT99-SUM($E111:AF111))</f>
        <v>0</v>
      </c>
      <c r="AH111" s="158">
        <f ca="1">MIN(SUM($E99:AH99)/($B$102*4),$AT99-SUM($E111:AG111))</f>
        <v>0</v>
      </c>
      <c r="AI111" s="158">
        <f ca="1">MIN(SUM($E99:AI99)/($B$102*4),$AT99-SUM($E111:AH111))</f>
        <v>0</v>
      </c>
      <c r="AJ111" s="158">
        <f ca="1">MIN(SUM($E99:AJ99)/($B$102*4),$AT99-SUM($E111:AI111))</f>
        <v>0</v>
      </c>
      <c r="AK111" s="158">
        <f ca="1">MIN(SUM($E99:AK99)/($B$102*4),$AT99-SUM($E111:AJ111))</f>
        <v>0</v>
      </c>
      <c r="AL111" s="158">
        <f ca="1">MIN(SUM($E99:AL99)/($B$102*4),$AT99-SUM($E111:AK111))</f>
        <v>0</v>
      </c>
      <c r="AM111" s="158">
        <f ca="1">MIN(SUM($E99:AM99)/($B$102*4),$AT99-SUM($E111:AL111))</f>
        <v>0</v>
      </c>
      <c r="AN111" s="158">
        <f ca="1">MIN(SUM($E99:AN99)/($B$102*4),$AT99-SUM($E111:AM111))</f>
        <v>0</v>
      </c>
      <c r="AO111" s="158">
        <f ca="1">MIN(SUM($E99:AO99)/($B$102*4),$AT99-SUM($E111:AN111))</f>
        <v>0</v>
      </c>
      <c r="AP111" s="158">
        <f ca="1">MIN(SUM($E99:AP99)/($B$102*4),$AT99-SUM($E111:AO111))</f>
        <v>0</v>
      </c>
      <c r="AQ111" s="158">
        <f ca="1">MIN(SUM($E99:AQ99)/($B$102*4),$AT99-SUM($E111:AP111))</f>
        <v>0</v>
      </c>
      <c r="AR111" s="158">
        <f ca="1">MIN(SUM($E99:AR99)/($B$102*4),$AT99-SUM($E111:AQ111))</f>
        <v>0</v>
      </c>
      <c r="AS111" s="41"/>
      <c r="AT111" s="84">
        <f t="shared" ca="1" si="70"/>
        <v>0</v>
      </c>
    </row>
    <row r="112" spans="1:46" x14ac:dyDescent="0.2">
      <c r="A112" s="66" t="s">
        <v>675</v>
      </c>
      <c r="B112" s="434">
        <f t="shared" si="71"/>
        <v>2029</v>
      </c>
      <c r="C112" s="35" t="s">
        <v>455</v>
      </c>
      <c r="D112" s="65"/>
      <c r="E112" s="158">
        <v>0</v>
      </c>
      <c r="F112" s="158">
        <f ca="1">MIN(SUM($E100:F100)/($B$102*4),$AT100-SUM($E112:E112))</f>
        <v>0</v>
      </c>
      <c r="G112" s="158">
        <f ca="1">MIN(SUM($E100:G100)/($B$102*4),$AT100-SUM($E112:F112))</f>
        <v>0</v>
      </c>
      <c r="H112" s="158">
        <f ca="1">MIN(SUM($E100:H100)/($B$102*4),$AT100-SUM($E112:G112))</f>
        <v>0</v>
      </c>
      <c r="I112" s="158">
        <f ca="1">MIN(SUM($E100:I100)/($B$102*4),$AT100-SUM($E112:H112))</f>
        <v>0</v>
      </c>
      <c r="J112" s="158">
        <f ca="1">MIN(SUM($E100:J100)/($B$102*4),$AT100-SUM($E112:I112))</f>
        <v>0</v>
      </c>
      <c r="K112" s="158">
        <f ca="1">MIN(SUM($E100:K100)/($B$102*4),$AT100-SUM($E112:J112))</f>
        <v>0</v>
      </c>
      <c r="L112" s="158">
        <f ca="1">MIN(SUM($E100:L100)/($B$102*4),$AT100-SUM($E112:K112))</f>
        <v>0</v>
      </c>
      <c r="M112" s="158">
        <f ca="1">MIN(SUM($E100:M100)/($B$102*4),$AT100-SUM($E112:L112))</f>
        <v>0</v>
      </c>
      <c r="N112" s="158">
        <f ca="1">MIN(SUM($E100:N100)/($B$102*4),$AT100-SUM($E112:M112))</f>
        <v>0</v>
      </c>
      <c r="O112" s="158">
        <f ca="1">MIN(SUM($E100:O100)/($B$102*4),$AT100-SUM($E112:N112))</f>
        <v>0</v>
      </c>
      <c r="P112" s="158">
        <f ca="1">MIN(SUM($E100:P100)/($B$102*4),$AT100-SUM($E112:O112))</f>
        <v>0</v>
      </c>
      <c r="Q112" s="158">
        <f ca="1">MIN(SUM($E100:Q100)/($B$102*4),$AT100-SUM($E112:P112))</f>
        <v>0</v>
      </c>
      <c r="R112" s="158">
        <f ca="1">MIN(SUM($E100:R100)/($B$102*4),$AT100-SUM($E112:Q112))</f>
        <v>0</v>
      </c>
      <c r="S112" s="158">
        <f ca="1">MIN(SUM($E100:S100)/($B$102*4),$AT100-SUM($E112:R112))</f>
        <v>0</v>
      </c>
      <c r="T112" s="158">
        <f ca="1">MIN(SUM($E100:T100)/($B$102*4),$AT100-SUM($E112:S112))</f>
        <v>0</v>
      </c>
      <c r="U112" s="158">
        <f ca="1">MIN(SUM($E100:U100)/($B$102*4),$AT100-SUM($E112:T112))</f>
        <v>0</v>
      </c>
      <c r="V112" s="158">
        <f ca="1">MIN(SUM($E100:V100)/($B$102*4),$AT100-SUM($E112:U112))</f>
        <v>0</v>
      </c>
      <c r="W112" s="158">
        <f ca="1">MIN(SUM($E100:W100)/($B$102*4),$AT100-SUM($E112:V112))</f>
        <v>0</v>
      </c>
      <c r="X112" s="158">
        <f ca="1">MIN(SUM($E100:X100)/($B$102*4),$AT100-SUM($E112:W112))</f>
        <v>0</v>
      </c>
      <c r="Y112" s="158">
        <f ca="1">MIN(SUM($E100:Y100)/($B$102*4),$AT100-SUM($E112:X112))</f>
        <v>0</v>
      </c>
      <c r="Z112" s="158">
        <f ca="1">MIN(SUM($E100:Z100)/($B$102*4),$AT100-SUM($E112:Y112))</f>
        <v>0</v>
      </c>
      <c r="AA112" s="158">
        <f ca="1">MIN(SUM($E100:AA100)/($B$102*4),$AT100-SUM($E112:Z112))</f>
        <v>0</v>
      </c>
      <c r="AB112" s="158">
        <f ca="1">MIN(SUM($E100:AB100)/($B$102*4),$AT100-SUM($E112:AA112))</f>
        <v>0</v>
      </c>
      <c r="AC112" s="158">
        <f ca="1">MIN(SUM($E100:AC100)/($B$102*4),$AT100-SUM($E112:AB112))</f>
        <v>0</v>
      </c>
      <c r="AD112" s="158">
        <f ca="1">MIN(SUM($E100:AD100)/($B$102*4),$AT100-SUM($E112:AC112))</f>
        <v>0</v>
      </c>
      <c r="AE112" s="158">
        <f ca="1">MIN(SUM($E100:AE100)/($B$102*4),$AT100-SUM($E112:AD112))</f>
        <v>0</v>
      </c>
      <c r="AF112" s="158">
        <f ca="1">MIN(SUM($E100:AF100)/($B$102*4),$AT100-SUM($E112:AE112))</f>
        <v>0</v>
      </c>
      <c r="AG112" s="158">
        <f ca="1">MIN(SUM($E100:AG100)/($B$102*4),$AT100-SUM($E112:AF112))</f>
        <v>0</v>
      </c>
      <c r="AH112" s="158">
        <f ca="1">MIN(SUM($E100:AH100)/($B$102*4),$AT100-SUM($E112:AG112))</f>
        <v>0</v>
      </c>
      <c r="AI112" s="158">
        <f ca="1">MIN(SUM($E100:AI100)/($B$102*4),$AT100-SUM($E112:AH112))</f>
        <v>0</v>
      </c>
      <c r="AJ112" s="158">
        <f ca="1">MIN(SUM($E100:AJ100)/($B$102*4),$AT100-SUM($E112:AI112))</f>
        <v>0</v>
      </c>
      <c r="AK112" s="158">
        <f ca="1">MIN(SUM($E100:AK100)/($B$102*4),$AT100-SUM($E112:AJ112))</f>
        <v>0</v>
      </c>
      <c r="AL112" s="158">
        <f ca="1">MIN(SUM($E100:AL100)/($B$102*4),$AT100-SUM($E112:AK112))</f>
        <v>0</v>
      </c>
      <c r="AM112" s="158">
        <f ca="1">MIN(SUM($E100:AM100)/($B$102*4),$AT100-SUM($E112:AL112))</f>
        <v>0</v>
      </c>
      <c r="AN112" s="158">
        <f ca="1">MIN(SUM($E100:AN100)/($B$102*4),$AT100-SUM($E112:AM112))</f>
        <v>0</v>
      </c>
      <c r="AO112" s="158">
        <f ca="1">MIN(SUM($E100:AO100)/($B$102*4),$AT100-SUM($E112:AN112))</f>
        <v>0</v>
      </c>
      <c r="AP112" s="158">
        <f ca="1">MIN(SUM($E100:AP100)/($B$102*4),$AT100-SUM($E112:AO112))</f>
        <v>0</v>
      </c>
      <c r="AQ112" s="158">
        <f ca="1">MIN(SUM($E100:AQ100)/($B$102*4),$AT100-SUM($E112:AP112))</f>
        <v>0</v>
      </c>
      <c r="AR112" s="158">
        <f ca="1">MIN(SUM($E100:AR100)/($B$102*4),$AT100-SUM($E112:AQ112))</f>
        <v>0</v>
      </c>
      <c r="AS112" s="41"/>
      <c r="AT112" s="84">
        <f t="shared" ca="1" si="70"/>
        <v>0</v>
      </c>
    </row>
    <row r="113" spans="1:46" s="60" customFormat="1" x14ac:dyDescent="0.2">
      <c r="A113" s="50" t="s">
        <v>676</v>
      </c>
      <c r="B113" s="549"/>
      <c r="C113" s="396" t="s">
        <v>455</v>
      </c>
      <c r="D113" s="159"/>
      <c r="E113" s="160">
        <f>SUM(E103:E112)</f>
        <v>0</v>
      </c>
      <c r="F113" s="160">
        <f t="shared" ref="F113:AR113" ca="1" si="72">SUM(F103:F112)</f>
        <v>0</v>
      </c>
      <c r="G113" s="160">
        <f t="shared" ca="1" si="72"/>
        <v>0</v>
      </c>
      <c r="H113" s="160">
        <f t="shared" ca="1" si="72"/>
        <v>52692.189217459141</v>
      </c>
      <c r="I113" s="160">
        <f t="shared" ca="1" si="72"/>
        <v>52692.189217459141</v>
      </c>
      <c r="J113" s="160">
        <f t="shared" ca="1" si="72"/>
        <v>52692.189217459141</v>
      </c>
      <c r="K113" s="160">
        <f t="shared" ca="1" si="72"/>
        <v>52692.189217459141</v>
      </c>
      <c r="L113" s="160">
        <f t="shared" ca="1" si="72"/>
        <v>52692.189217459141</v>
      </c>
      <c r="M113" s="160">
        <f t="shared" ca="1" si="72"/>
        <v>52692.189217459141</v>
      </c>
      <c r="N113" s="160">
        <f t="shared" ca="1" si="72"/>
        <v>80041.117150641061</v>
      </c>
      <c r="O113" s="160">
        <f t="shared" ca="1" si="72"/>
        <v>80041.117150641061</v>
      </c>
      <c r="P113" s="160">
        <f t="shared" ca="1" si="72"/>
        <v>80041.117150641061</v>
      </c>
      <c r="Q113" s="160">
        <f t="shared" ca="1" si="72"/>
        <v>80041.117150641061</v>
      </c>
      <c r="R113" s="160">
        <f t="shared" ca="1" si="72"/>
        <v>94306.325502701118</v>
      </c>
      <c r="S113" s="160">
        <f t="shared" ca="1" si="72"/>
        <v>94306.325502701118</v>
      </c>
      <c r="T113" s="160">
        <f t="shared" ca="1" si="72"/>
        <v>94306.325502701118</v>
      </c>
      <c r="U113" s="160">
        <f t="shared" ca="1" si="72"/>
        <v>94306.325502701118</v>
      </c>
      <c r="V113" s="160">
        <f t="shared" ca="1" si="72"/>
        <v>322215.85299327475</v>
      </c>
      <c r="W113" s="160">
        <f t="shared" ca="1" si="72"/>
        <v>322215.85299327475</v>
      </c>
      <c r="X113" s="160">
        <f t="shared" ca="1" si="72"/>
        <v>322215.85299327475</v>
      </c>
      <c r="Y113" s="160">
        <f t="shared" ca="1" si="72"/>
        <v>322215.85299327475</v>
      </c>
      <c r="Z113" s="160">
        <f t="shared" ca="1" si="72"/>
        <v>322215.85299327475</v>
      </c>
      <c r="AA113" s="160">
        <f t="shared" ca="1" si="72"/>
        <v>322215.85299327475</v>
      </c>
      <c r="AB113" s="160">
        <f t="shared" ca="1" si="72"/>
        <v>322215.85299327475</v>
      </c>
      <c r="AC113" s="160">
        <f t="shared" ca="1" si="72"/>
        <v>322215.85299327475</v>
      </c>
      <c r="AD113" s="160">
        <f t="shared" ca="1" si="72"/>
        <v>322215.85299327475</v>
      </c>
      <c r="AE113" s="160">
        <f t="shared" ca="1" si="72"/>
        <v>322215.85299327475</v>
      </c>
      <c r="AF113" s="160">
        <f t="shared" ca="1" si="72"/>
        <v>322215.85299327475</v>
      </c>
      <c r="AG113" s="160">
        <f t="shared" ca="1" si="72"/>
        <v>322215.85299327475</v>
      </c>
      <c r="AH113" s="160">
        <f t="shared" ca="1" si="72"/>
        <v>322215.85299327475</v>
      </c>
      <c r="AI113" s="160">
        <f t="shared" ca="1" si="72"/>
        <v>322215.85299327434</v>
      </c>
      <c r="AJ113" s="160">
        <f t="shared" ca="1" si="72"/>
        <v>269523.66377581563</v>
      </c>
      <c r="AK113" s="160">
        <f t="shared" ca="1" si="72"/>
        <v>269523.66377581563</v>
      </c>
      <c r="AL113" s="160">
        <f t="shared" ca="1" si="72"/>
        <v>269523.66377581563</v>
      </c>
      <c r="AM113" s="160">
        <f t="shared" ca="1" si="72"/>
        <v>269523.66377581563</v>
      </c>
      <c r="AN113" s="160">
        <f t="shared" ca="1" si="72"/>
        <v>269523.66377581563</v>
      </c>
      <c r="AO113" s="160">
        <f t="shared" ca="1" si="72"/>
        <v>269523.66377581563</v>
      </c>
      <c r="AP113" s="160">
        <f t="shared" ca="1" si="72"/>
        <v>242174.73584263393</v>
      </c>
      <c r="AQ113" s="160">
        <f t="shared" ca="1" si="72"/>
        <v>242174.7358426337</v>
      </c>
      <c r="AR113" s="160">
        <f t="shared" ca="1" si="72"/>
        <v>242174.7358426337</v>
      </c>
      <c r="AS113" s="135"/>
      <c r="AT113" s="137">
        <f t="shared" ca="1" si="70"/>
        <v>7868231.0380067648</v>
      </c>
    </row>
    <row r="114" spans="1:46" x14ac:dyDescent="0.2">
      <c r="A114" s="66"/>
      <c r="B114" s="66"/>
      <c r="C114" s="35"/>
      <c r="D114" s="65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41"/>
      <c r="AT114" s="92"/>
    </row>
    <row r="115" spans="1:46" x14ac:dyDescent="0.2">
      <c r="A115" s="50" t="s">
        <v>677</v>
      </c>
      <c r="B115" s="64"/>
      <c r="C115" s="35"/>
      <c r="D115" s="65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41"/>
      <c r="AT115" s="92"/>
    </row>
    <row r="116" spans="1:46" x14ac:dyDescent="0.2">
      <c r="A116" s="66" t="s">
        <v>672</v>
      </c>
      <c r="B116" s="434">
        <v>2021</v>
      </c>
      <c r="C116" s="35" t="s">
        <v>455</v>
      </c>
      <c r="D116" s="65"/>
      <c r="E116" s="158">
        <f>IF($B116=Параметры!E$46,Резиденты!E$74,0)</f>
        <v>0</v>
      </c>
      <c r="F116" s="158">
        <f>IF($B116=Параметры!F$46,Резиденты!F$74,0)</f>
        <v>0</v>
      </c>
      <c r="G116" s="158">
        <f>IF($B116=Параметры!G$46,Резиденты!G$74,0)</f>
        <v>0</v>
      </c>
      <c r="H116" s="158">
        <f>IF($B116=Параметры!H$46,Резиденты!H$74,0)</f>
        <v>0</v>
      </c>
      <c r="I116" s="158">
        <f ca="1">IF($B116=Параметры!I$46,Резиденты!I$74,0)</f>
        <v>0</v>
      </c>
      <c r="J116" s="158">
        <f ca="1">IF($B116=Параметры!J$46,Резиденты!J$74,0)</f>
        <v>0</v>
      </c>
      <c r="K116" s="158">
        <f ca="1">IF($B116=Параметры!K$46,Резиденты!K$74,0)</f>
        <v>0</v>
      </c>
      <c r="L116" s="158">
        <f ca="1">IF($B116=Параметры!L$46,Резиденты!L$74,0)</f>
        <v>0</v>
      </c>
      <c r="M116" s="158">
        <f>IF($B116=Параметры!M$46,Резиденты!M$74,0)</f>
        <v>0</v>
      </c>
      <c r="N116" s="158">
        <f>IF($B116=Параметры!N$46,Резиденты!N$74,0)</f>
        <v>0</v>
      </c>
      <c r="O116" s="158">
        <f>IF($B116=Параметры!O$46,Резиденты!O$74,0)</f>
        <v>0</v>
      </c>
      <c r="P116" s="158">
        <f>IF($B116=Параметры!P$46,Резиденты!P$74,0)</f>
        <v>0</v>
      </c>
      <c r="Q116" s="158">
        <f>IF($B116=Параметры!Q$46,Резиденты!Q$74,0)</f>
        <v>0</v>
      </c>
      <c r="R116" s="158">
        <f>IF($B116=Параметры!R$46,Резиденты!R$74,0)</f>
        <v>0</v>
      </c>
      <c r="S116" s="158">
        <f>IF($B116=Параметры!S$46,Резиденты!S$74,0)</f>
        <v>0</v>
      </c>
      <c r="T116" s="158">
        <f>IF($B116=Параметры!T$46,Резиденты!T$74,0)</f>
        <v>0</v>
      </c>
      <c r="U116" s="158">
        <f>IF($B116=Параметры!U$46,Резиденты!U$74,0)</f>
        <v>0</v>
      </c>
      <c r="V116" s="158">
        <f>IF($B116=Параметры!V$46,Резиденты!V$74,0)</f>
        <v>0</v>
      </c>
      <c r="W116" s="158">
        <f>IF($B116=Параметры!W$46,Резиденты!W$74,0)</f>
        <v>0</v>
      </c>
      <c r="X116" s="158">
        <f>IF($B116=Параметры!X$46,Резиденты!X$74,0)</f>
        <v>0</v>
      </c>
      <c r="Y116" s="158">
        <f>IF($B116=Параметры!Y$46,Резиденты!Y$74,0)</f>
        <v>0</v>
      </c>
      <c r="Z116" s="158">
        <f>IF($B116=Параметры!Z$46,Резиденты!Z$74,0)</f>
        <v>0</v>
      </c>
      <c r="AA116" s="158">
        <f>IF($B116=Параметры!AA$46,Резиденты!AA$74,0)</f>
        <v>0</v>
      </c>
      <c r="AB116" s="158">
        <f>IF($B116=Параметры!AB$46,Резиденты!AB$74,0)</f>
        <v>0</v>
      </c>
      <c r="AC116" s="158">
        <f>IF($B116=Параметры!AC$46,Резиденты!AC$74,0)</f>
        <v>0</v>
      </c>
      <c r="AD116" s="158">
        <f>IF($B116=Параметры!AD$46,Резиденты!AD$74,0)</f>
        <v>0</v>
      </c>
      <c r="AE116" s="158">
        <f>IF($B116=Параметры!AE$46,Резиденты!AE$74,0)</f>
        <v>0</v>
      </c>
      <c r="AF116" s="158">
        <f>IF($B116=Параметры!AF$46,Резиденты!AF$74,0)</f>
        <v>0</v>
      </c>
      <c r="AG116" s="158">
        <f>IF($B116=Параметры!AG$46,Резиденты!AG$74,0)</f>
        <v>0</v>
      </c>
      <c r="AH116" s="158">
        <f>IF($B116=Параметры!AH$46,Резиденты!AH$74,0)</f>
        <v>0</v>
      </c>
      <c r="AI116" s="158">
        <f>IF($B116=Параметры!AI$46,Резиденты!AI$74,0)</f>
        <v>0</v>
      </c>
      <c r="AJ116" s="158">
        <f>IF($B116=Параметры!AJ$46,Резиденты!AJ$74,0)</f>
        <v>0</v>
      </c>
      <c r="AK116" s="158">
        <f>IF($B116=Параметры!AK$46,Резиденты!AK$74,0)</f>
        <v>0</v>
      </c>
      <c r="AL116" s="158">
        <f>IF($B116=Параметры!AL$46,Резиденты!AL$74,0)</f>
        <v>0</v>
      </c>
      <c r="AM116" s="158">
        <f>IF($B116=Параметры!AM$46,Резиденты!AM$74,0)</f>
        <v>0</v>
      </c>
      <c r="AN116" s="158">
        <f>IF($B116=Параметры!AN$46,Резиденты!AN$74,0)</f>
        <v>0</v>
      </c>
      <c r="AO116" s="158">
        <f>IF($B116=Параметры!AO$46,Резиденты!AO$74,0)</f>
        <v>0</v>
      </c>
      <c r="AP116" s="158">
        <f>IF($B116=Параметры!AP$46,Резиденты!AP$74,0)</f>
        <v>0</v>
      </c>
      <c r="AQ116" s="158">
        <f>IF($B116=Параметры!AQ$46,Резиденты!AQ$74,0)</f>
        <v>0</v>
      </c>
      <c r="AR116" s="158">
        <f>IF($B116=Параметры!AR$46,Резиденты!AR$74,0)</f>
        <v>0</v>
      </c>
      <c r="AS116" s="41"/>
      <c r="AT116" s="84">
        <f t="shared" ref="AT116:AT125" ca="1" si="73">SUM(E116:AS116)</f>
        <v>0</v>
      </c>
    </row>
    <row r="117" spans="1:46" x14ac:dyDescent="0.2">
      <c r="A117" s="66" t="s">
        <v>672</v>
      </c>
      <c r="B117" s="434">
        <f>B116+1</f>
        <v>2022</v>
      </c>
      <c r="C117" s="35" t="s">
        <v>455</v>
      </c>
      <c r="D117" s="65"/>
      <c r="E117" s="158">
        <f>IF($B117=Параметры!E$46,Резиденты!E$74,0)</f>
        <v>0</v>
      </c>
      <c r="F117" s="158">
        <f>IF($B117=Параметры!F$46,Резиденты!F$74,0)</f>
        <v>0</v>
      </c>
      <c r="G117" s="158">
        <f>IF($B117=Параметры!G$46,Резиденты!G$74,0)</f>
        <v>0</v>
      </c>
      <c r="H117" s="158">
        <f>IF($B117=Параметры!H$46,Резиденты!H$74,0)</f>
        <v>0</v>
      </c>
      <c r="I117" s="158">
        <f>IF($B117=Параметры!I$46,Резиденты!I$74,0)</f>
        <v>0</v>
      </c>
      <c r="J117" s="158">
        <f>IF($B117=Параметры!J$46,Резиденты!J$74,0)</f>
        <v>0</v>
      </c>
      <c r="K117" s="158">
        <f>IF($B117=Параметры!K$46,Резиденты!K$74,0)</f>
        <v>0</v>
      </c>
      <c r="L117" s="158">
        <f>IF($B117=Параметры!L$46,Резиденты!L$74,0)</f>
        <v>0</v>
      </c>
      <c r="M117" s="158">
        <f ca="1">IF($B117=Параметры!M$46,Резиденты!M$74,0)</f>
        <v>0</v>
      </c>
      <c r="N117" s="158">
        <f ca="1">IF($B117=Параметры!N$46,Резиденты!N$74,0)</f>
        <v>0</v>
      </c>
      <c r="O117" s="158">
        <f ca="1">IF($B117=Параметры!O$46,Резиденты!O$74,0)</f>
        <v>0</v>
      </c>
      <c r="P117" s="158">
        <f ca="1">IF($B117=Параметры!P$46,Резиденты!P$74,0)</f>
        <v>0</v>
      </c>
      <c r="Q117" s="158">
        <f>IF($B117=Параметры!Q$46,Резиденты!Q$74,0)</f>
        <v>0</v>
      </c>
      <c r="R117" s="158">
        <f>IF($B117=Параметры!R$46,Резиденты!R$74,0)</f>
        <v>0</v>
      </c>
      <c r="S117" s="158">
        <f>IF($B117=Параметры!S$46,Резиденты!S$74,0)</f>
        <v>0</v>
      </c>
      <c r="T117" s="158">
        <f>IF($B117=Параметры!T$46,Резиденты!T$74,0)</f>
        <v>0</v>
      </c>
      <c r="U117" s="158">
        <f>IF($B117=Параметры!U$46,Резиденты!U$74,0)</f>
        <v>0</v>
      </c>
      <c r="V117" s="158">
        <f>IF($B117=Параметры!V$46,Резиденты!V$74,0)</f>
        <v>0</v>
      </c>
      <c r="W117" s="158">
        <f>IF($B117=Параметры!W$46,Резиденты!W$74,0)</f>
        <v>0</v>
      </c>
      <c r="X117" s="158">
        <f>IF($B117=Параметры!X$46,Резиденты!X$74,0)</f>
        <v>0</v>
      </c>
      <c r="Y117" s="158">
        <f>IF($B117=Параметры!Y$46,Резиденты!Y$74,0)</f>
        <v>0</v>
      </c>
      <c r="Z117" s="158">
        <f>IF($B117=Параметры!Z$46,Резиденты!Z$74,0)</f>
        <v>0</v>
      </c>
      <c r="AA117" s="158">
        <f>IF($B117=Параметры!AA$46,Резиденты!AA$74,0)</f>
        <v>0</v>
      </c>
      <c r="AB117" s="158">
        <f>IF($B117=Параметры!AB$46,Резиденты!AB$74,0)</f>
        <v>0</v>
      </c>
      <c r="AC117" s="158">
        <f>IF($B117=Параметры!AC$46,Резиденты!AC$74,0)</f>
        <v>0</v>
      </c>
      <c r="AD117" s="158">
        <f>IF($B117=Параметры!AD$46,Резиденты!AD$74,0)</f>
        <v>0</v>
      </c>
      <c r="AE117" s="158">
        <f>IF($B117=Параметры!AE$46,Резиденты!AE$74,0)</f>
        <v>0</v>
      </c>
      <c r="AF117" s="158">
        <f>IF($B117=Параметры!AF$46,Резиденты!AF$74,0)</f>
        <v>0</v>
      </c>
      <c r="AG117" s="158">
        <f>IF($B117=Параметры!AG$46,Резиденты!AG$74,0)</f>
        <v>0</v>
      </c>
      <c r="AH117" s="158">
        <f>IF($B117=Параметры!AH$46,Резиденты!AH$74,0)</f>
        <v>0</v>
      </c>
      <c r="AI117" s="158">
        <f>IF($B117=Параметры!AI$46,Резиденты!AI$74,0)</f>
        <v>0</v>
      </c>
      <c r="AJ117" s="158">
        <f>IF($B117=Параметры!AJ$46,Резиденты!AJ$74,0)</f>
        <v>0</v>
      </c>
      <c r="AK117" s="158">
        <f>IF($B117=Параметры!AK$46,Резиденты!AK$74,0)</f>
        <v>0</v>
      </c>
      <c r="AL117" s="158">
        <f>IF($B117=Параметры!AL$46,Резиденты!AL$74,0)</f>
        <v>0</v>
      </c>
      <c r="AM117" s="158">
        <f>IF($B117=Параметры!AM$46,Резиденты!AM$74,0)</f>
        <v>0</v>
      </c>
      <c r="AN117" s="158">
        <f>IF($B117=Параметры!AN$46,Резиденты!AN$74,0)</f>
        <v>0</v>
      </c>
      <c r="AO117" s="158">
        <f>IF($B117=Параметры!AO$46,Резиденты!AO$74,0)</f>
        <v>0</v>
      </c>
      <c r="AP117" s="158">
        <f>IF($B117=Параметры!AP$46,Резиденты!AP$74,0)</f>
        <v>0</v>
      </c>
      <c r="AQ117" s="158">
        <f>IF($B117=Параметры!AQ$46,Резиденты!AQ$74,0)</f>
        <v>0</v>
      </c>
      <c r="AR117" s="158">
        <f>IF($B117=Параметры!AR$46,Резиденты!AR$74,0)</f>
        <v>0</v>
      </c>
      <c r="AS117" s="41"/>
      <c r="AT117" s="84">
        <f t="shared" ca="1" si="73"/>
        <v>0</v>
      </c>
    </row>
    <row r="118" spans="1:46" x14ac:dyDescent="0.2">
      <c r="A118" s="66" t="s">
        <v>672</v>
      </c>
      <c r="B118" s="434">
        <f t="shared" ref="B118:B124" si="74">B117+1</f>
        <v>2023</v>
      </c>
      <c r="C118" s="35" t="s">
        <v>455</v>
      </c>
      <c r="D118" s="65"/>
      <c r="E118" s="158">
        <f>IF($B118=Параметры!E$46,Резиденты!E$74,0)</f>
        <v>0</v>
      </c>
      <c r="F118" s="158">
        <f>IF($B118=Параметры!F$46,Резиденты!F$74,0)</f>
        <v>0</v>
      </c>
      <c r="G118" s="158">
        <f>IF($B118=Параметры!G$46,Резиденты!G$74,0)</f>
        <v>0</v>
      </c>
      <c r="H118" s="158">
        <f>IF($B118=Параметры!H$46,Резиденты!H$74,0)</f>
        <v>0</v>
      </c>
      <c r="I118" s="158">
        <f>IF($B118=Параметры!I$46,Резиденты!I$74,0)</f>
        <v>0</v>
      </c>
      <c r="J118" s="158">
        <f>IF($B118=Параметры!J$46,Резиденты!J$74,0)</f>
        <v>0</v>
      </c>
      <c r="K118" s="158">
        <f>IF($B118=Параметры!K$46,Резиденты!K$74,0)</f>
        <v>0</v>
      </c>
      <c r="L118" s="158">
        <f>IF($B118=Параметры!L$46,Резиденты!L$74,0)</f>
        <v>0</v>
      </c>
      <c r="M118" s="158">
        <f>IF($B118=Параметры!M$46,Резиденты!M$74,0)</f>
        <v>0</v>
      </c>
      <c r="N118" s="158">
        <f>IF($B118=Параметры!N$46,Резиденты!N$74,0)</f>
        <v>0</v>
      </c>
      <c r="O118" s="158">
        <f>IF($B118=Параметры!O$46,Резиденты!O$74,0)</f>
        <v>0</v>
      </c>
      <c r="P118" s="158">
        <f>IF($B118=Параметры!P$46,Резиденты!P$74,0)</f>
        <v>0</v>
      </c>
      <c r="Q118" s="158">
        <f ca="1">IF($B118=Параметры!Q$46,Резиденты!Q$74,0)</f>
        <v>0</v>
      </c>
      <c r="R118" s="158">
        <f ca="1">IF($B118=Параметры!R$46,Резиденты!R$74,0)</f>
        <v>0</v>
      </c>
      <c r="S118" s="158">
        <f ca="1">IF($B118=Параметры!S$46,Резиденты!S$74,0)</f>
        <v>0</v>
      </c>
      <c r="T118" s="158">
        <f ca="1">IF($B118=Параметры!T$46,Резиденты!T$74,0)</f>
        <v>0</v>
      </c>
      <c r="U118" s="158">
        <f>IF($B118=Параметры!U$46,Резиденты!U$74,0)</f>
        <v>0</v>
      </c>
      <c r="V118" s="158">
        <f>IF($B118=Параметры!V$46,Резиденты!V$74,0)</f>
        <v>0</v>
      </c>
      <c r="W118" s="158">
        <f>IF($B118=Параметры!W$46,Резиденты!W$74,0)</f>
        <v>0</v>
      </c>
      <c r="X118" s="158">
        <f>IF($B118=Параметры!X$46,Резиденты!X$74,0)</f>
        <v>0</v>
      </c>
      <c r="Y118" s="158">
        <f>IF($B118=Параметры!Y$46,Резиденты!Y$74,0)</f>
        <v>0</v>
      </c>
      <c r="Z118" s="158">
        <f>IF($B118=Параметры!Z$46,Резиденты!Z$74,0)</f>
        <v>0</v>
      </c>
      <c r="AA118" s="158">
        <f>IF($B118=Параметры!AA$46,Резиденты!AA$74,0)</f>
        <v>0</v>
      </c>
      <c r="AB118" s="158">
        <f>IF($B118=Параметры!AB$46,Резиденты!AB$74,0)</f>
        <v>0</v>
      </c>
      <c r="AC118" s="158">
        <f>IF($B118=Параметры!AC$46,Резиденты!AC$74,0)</f>
        <v>0</v>
      </c>
      <c r="AD118" s="158">
        <f>IF($B118=Параметры!AD$46,Резиденты!AD$74,0)</f>
        <v>0</v>
      </c>
      <c r="AE118" s="158">
        <f>IF($B118=Параметры!AE$46,Резиденты!AE$74,0)</f>
        <v>0</v>
      </c>
      <c r="AF118" s="158">
        <f>IF($B118=Параметры!AF$46,Резиденты!AF$74,0)</f>
        <v>0</v>
      </c>
      <c r="AG118" s="158">
        <f>IF($B118=Параметры!AG$46,Резиденты!AG$74,0)</f>
        <v>0</v>
      </c>
      <c r="AH118" s="158">
        <f>IF($B118=Параметры!AH$46,Резиденты!AH$74,0)</f>
        <v>0</v>
      </c>
      <c r="AI118" s="158">
        <f>IF($B118=Параметры!AI$46,Резиденты!AI$74,0)</f>
        <v>0</v>
      </c>
      <c r="AJ118" s="158">
        <f>IF($B118=Параметры!AJ$46,Резиденты!AJ$74,0)</f>
        <v>0</v>
      </c>
      <c r="AK118" s="158">
        <f>IF($B118=Параметры!AK$46,Резиденты!AK$74,0)</f>
        <v>0</v>
      </c>
      <c r="AL118" s="158">
        <f>IF($B118=Параметры!AL$46,Резиденты!AL$74,0)</f>
        <v>0</v>
      </c>
      <c r="AM118" s="158">
        <f>IF($B118=Параметры!AM$46,Резиденты!AM$74,0)</f>
        <v>0</v>
      </c>
      <c r="AN118" s="158">
        <f>IF($B118=Параметры!AN$46,Резиденты!AN$74,0)</f>
        <v>0</v>
      </c>
      <c r="AO118" s="158">
        <f>IF($B118=Параметры!AO$46,Резиденты!AO$74,0)</f>
        <v>0</v>
      </c>
      <c r="AP118" s="158">
        <f>IF($B118=Параметры!AP$46,Резиденты!AP$74,0)</f>
        <v>0</v>
      </c>
      <c r="AQ118" s="158">
        <f>IF($B118=Параметры!AQ$46,Резиденты!AQ$74,0)</f>
        <v>0</v>
      </c>
      <c r="AR118" s="158">
        <f>IF($B118=Параметры!AR$46,Резиденты!AR$74,0)</f>
        <v>0</v>
      </c>
      <c r="AS118" s="41"/>
      <c r="AT118" s="84">
        <f t="shared" ca="1" si="73"/>
        <v>0</v>
      </c>
    </row>
    <row r="119" spans="1:46" x14ac:dyDescent="0.2">
      <c r="A119" s="66" t="s">
        <v>672</v>
      </c>
      <c r="B119" s="434">
        <f t="shared" si="74"/>
        <v>2024</v>
      </c>
      <c r="C119" s="35" t="s">
        <v>455</v>
      </c>
      <c r="D119" s="65"/>
      <c r="E119" s="158">
        <f>IF($B119=Параметры!E$46,Резиденты!E$74,0)</f>
        <v>0</v>
      </c>
      <c r="F119" s="158">
        <f>IF($B119=Параметры!F$46,Резиденты!F$74,0)</f>
        <v>0</v>
      </c>
      <c r="G119" s="158">
        <f>IF($B119=Параметры!G$46,Резиденты!G$74,0)</f>
        <v>0</v>
      </c>
      <c r="H119" s="158">
        <f>IF($B119=Параметры!H$46,Резиденты!H$74,0)</f>
        <v>0</v>
      </c>
      <c r="I119" s="158">
        <f>IF($B119=Параметры!I$46,Резиденты!I$74,0)</f>
        <v>0</v>
      </c>
      <c r="J119" s="158">
        <f>IF($B119=Параметры!J$46,Резиденты!J$74,0)</f>
        <v>0</v>
      </c>
      <c r="K119" s="158">
        <f>IF($B119=Параметры!K$46,Резиденты!K$74,0)</f>
        <v>0</v>
      </c>
      <c r="L119" s="158">
        <f>IF($B119=Параметры!L$46,Резиденты!L$74,0)</f>
        <v>0</v>
      </c>
      <c r="M119" s="158">
        <f>IF($B119=Параметры!M$46,Резиденты!M$74,0)</f>
        <v>0</v>
      </c>
      <c r="N119" s="158">
        <f>IF($B119=Параметры!N$46,Резиденты!N$74,0)</f>
        <v>0</v>
      </c>
      <c r="O119" s="158">
        <f>IF($B119=Параметры!O$46,Резиденты!O$74,0)</f>
        <v>0</v>
      </c>
      <c r="P119" s="158">
        <f>IF($B119=Параметры!P$46,Резиденты!P$74,0)</f>
        <v>0</v>
      </c>
      <c r="Q119" s="158">
        <f>IF($B119=Параметры!Q$46,Резиденты!Q$74,0)</f>
        <v>0</v>
      </c>
      <c r="R119" s="158">
        <f>IF($B119=Параметры!R$46,Резиденты!R$74,0)</f>
        <v>0</v>
      </c>
      <c r="S119" s="158">
        <f>IF($B119=Параметры!S$46,Резиденты!S$74,0)</f>
        <v>0</v>
      </c>
      <c r="T119" s="158">
        <f>IF($B119=Параметры!T$46,Резиденты!T$74,0)</f>
        <v>0</v>
      </c>
      <c r="U119" s="158">
        <f ca="1">IF($B119=Параметры!U$46,Резиденты!U$74,0)</f>
        <v>0</v>
      </c>
      <c r="V119" s="158">
        <f ca="1">IF($B119=Параметры!V$46,Резиденты!V$74,0)</f>
        <v>0</v>
      </c>
      <c r="W119" s="158">
        <f ca="1">IF($B119=Параметры!W$46,Резиденты!W$74,0)</f>
        <v>0</v>
      </c>
      <c r="X119" s="158">
        <f ca="1">IF($B119=Параметры!X$46,Резиденты!X$74,0)</f>
        <v>0</v>
      </c>
      <c r="Y119" s="158">
        <f>IF($B119=Параметры!Y$46,Резиденты!Y$74,0)</f>
        <v>0</v>
      </c>
      <c r="Z119" s="158">
        <f>IF($B119=Параметры!Z$46,Резиденты!Z$74,0)</f>
        <v>0</v>
      </c>
      <c r="AA119" s="158">
        <f>IF($B119=Параметры!AA$46,Резиденты!AA$74,0)</f>
        <v>0</v>
      </c>
      <c r="AB119" s="158">
        <f>IF($B119=Параметры!AB$46,Резиденты!AB$74,0)</f>
        <v>0</v>
      </c>
      <c r="AC119" s="158">
        <f>IF($B119=Параметры!AC$46,Резиденты!AC$74,0)</f>
        <v>0</v>
      </c>
      <c r="AD119" s="158">
        <f>IF($B119=Параметры!AD$46,Резиденты!AD$74,0)</f>
        <v>0</v>
      </c>
      <c r="AE119" s="158">
        <f>IF($B119=Параметры!AE$46,Резиденты!AE$74,0)</f>
        <v>0</v>
      </c>
      <c r="AF119" s="158">
        <f>IF($B119=Параметры!AF$46,Резиденты!AF$74,0)</f>
        <v>0</v>
      </c>
      <c r="AG119" s="158">
        <f>IF($B119=Параметры!AG$46,Резиденты!AG$74,0)</f>
        <v>0</v>
      </c>
      <c r="AH119" s="158">
        <f>IF($B119=Параметры!AH$46,Резиденты!AH$74,0)</f>
        <v>0</v>
      </c>
      <c r="AI119" s="158">
        <f>IF($B119=Параметры!AI$46,Резиденты!AI$74,0)</f>
        <v>0</v>
      </c>
      <c r="AJ119" s="158">
        <f>IF($B119=Параметры!AJ$46,Резиденты!AJ$74,0)</f>
        <v>0</v>
      </c>
      <c r="AK119" s="158">
        <f>IF($B119=Параметры!AK$46,Резиденты!AK$74,0)</f>
        <v>0</v>
      </c>
      <c r="AL119" s="158">
        <f>IF($B119=Параметры!AL$46,Резиденты!AL$74,0)</f>
        <v>0</v>
      </c>
      <c r="AM119" s="158">
        <f>IF($B119=Параметры!AM$46,Резиденты!AM$74,0)</f>
        <v>0</v>
      </c>
      <c r="AN119" s="158">
        <f>IF($B119=Параметры!AN$46,Резиденты!AN$74,0)</f>
        <v>0</v>
      </c>
      <c r="AO119" s="158">
        <f>IF($B119=Параметры!AO$46,Резиденты!AO$74,0)</f>
        <v>0</v>
      </c>
      <c r="AP119" s="158">
        <f>IF($B119=Параметры!AP$46,Резиденты!AP$74,0)</f>
        <v>0</v>
      </c>
      <c r="AQ119" s="158">
        <f>IF($B119=Параметры!AQ$46,Резиденты!AQ$74,0)</f>
        <v>0</v>
      </c>
      <c r="AR119" s="158">
        <f>IF($B119=Параметры!AR$46,Резиденты!AR$74,0)</f>
        <v>0</v>
      </c>
      <c r="AS119" s="41"/>
      <c r="AT119" s="84">
        <f t="shared" ca="1" si="73"/>
        <v>0</v>
      </c>
    </row>
    <row r="120" spans="1:46" x14ac:dyDescent="0.2">
      <c r="A120" s="66" t="s">
        <v>672</v>
      </c>
      <c r="B120" s="434">
        <f t="shared" si="74"/>
        <v>2025</v>
      </c>
      <c r="C120" s="35" t="s">
        <v>455</v>
      </c>
      <c r="D120" s="65"/>
      <c r="E120" s="158">
        <f>IF($B120=Параметры!E$46,Резиденты!E$74,0)</f>
        <v>0</v>
      </c>
      <c r="F120" s="158">
        <f>IF($B120=Параметры!F$46,Резиденты!F$74,0)</f>
        <v>0</v>
      </c>
      <c r="G120" s="158">
        <f>IF($B120=Параметры!G$46,Резиденты!G$74,0)</f>
        <v>0</v>
      </c>
      <c r="H120" s="158">
        <f>IF($B120=Параметры!H$46,Резиденты!H$74,0)</f>
        <v>0</v>
      </c>
      <c r="I120" s="158">
        <f>IF($B120=Параметры!I$46,Резиденты!I$74,0)</f>
        <v>0</v>
      </c>
      <c r="J120" s="158">
        <f>IF($B120=Параметры!J$46,Резиденты!J$74,0)</f>
        <v>0</v>
      </c>
      <c r="K120" s="158">
        <f>IF($B120=Параметры!K$46,Резиденты!K$74,0)</f>
        <v>0</v>
      </c>
      <c r="L120" s="158">
        <f>IF($B120=Параметры!L$46,Резиденты!L$74,0)</f>
        <v>0</v>
      </c>
      <c r="M120" s="158">
        <f>IF($B120=Параметры!M$46,Резиденты!M$74,0)</f>
        <v>0</v>
      </c>
      <c r="N120" s="158">
        <f>IF($B120=Параметры!N$46,Резиденты!N$74,0)</f>
        <v>0</v>
      </c>
      <c r="O120" s="158">
        <f>IF($B120=Параметры!O$46,Резиденты!O$74,0)</f>
        <v>0</v>
      </c>
      <c r="P120" s="158">
        <f>IF($B120=Параметры!P$46,Резиденты!P$74,0)</f>
        <v>0</v>
      </c>
      <c r="Q120" s="158">
        <f>IF($B120=Параметры!Q$46,Резиденты!Q$74,0)</f>
        <v>0</v>
      </c>
      <c r="R120" s="158">
        <f>IF($B120=Параметры!R$46,Резиденты!R$74,0)</f>
        <v>0</v>
      </c>
      <c r="S120" s="158">
        <f>IF($B120=Параметры!S$46,Резиденты!S$74,0)</f>
        <v>0</v>
      </c>
      <c r="T120" s="158">
        <f>IF($B120=Параметры!T$46,Резиденты!T$74,0)</f>
        <v>0</v>
      </c>
      <c r="U120" s="158">
        <f>IF($B120=Параметры!U$46,Резиденты!U$74,0)</f>
        <v>0</v>
      </c>
      <c r="V120" s="158">
        <f>IF($B120=Параметры!V$46,Резиденты!V$74,0)</f>
        <v>0</v>
      </c>
      <c r="W120" s="158">
        <f>IF($B120=Параметры!W$46,Резиденты!W$74,0)</f>
        <v>0</v>
      </c>
      <c r="X120" s="158">
        <f>IF($B120=Параметры!X$46,Резиденты!X$74,0)</f>
        <v>0</v>
      </c>
      <c r="Y120" s="158">
        <f ca="1">IF($B120=Параметры!Y$46,Резиденты!Y$74,0)</f>
        <v>0</v>
      </c>
      <c r="Z120" s="158">
        <f ca="1">IF($B120=Параметры!Z$46,Резиденты!Z$74,0)</f>
        <v>0</v>
      </c>
      <c r="AA120" s="158">
        <f ca="1">IF($B120=Параметры!AA$46,Резиденты!AA$74,0)</f>
        <v>0</v>
      </c>
      <c r="AB120" s="158">
        <f ca="1">IF($B120=Параметры!AB$46,Резиденты!AB$74,0)</f>
        <v>0</v>
      </c>
      <c r="AC120" s="158">
        <f>IF($B120=Параметры!AC$46,Резиденты!AC$74,0)</f>
        <v>0</v>
      </c>
      <c r="AD120" s="158">
        <f>IF($B120=Параметры!AD$46,Резиденты!AD$74,0)</f>
        <v>0</v>
      </c>
      <c r="AE120" s="158">
        <f>IF($B120=Параметры!AE$46,Резиденты!AE$74,0)</f>
        <v>0</v>
      </c>
      <c r="AF120" s="158">
        <f>IF($B120=Параметры!AF$46,Резиденты!AF$74,0)</f>
        <v>0</v>
      </c>
      <c r="AG120" s="158">
        <f>IF($B120=Параметры!AG$46,Резиденты!AG$74,0)</f>
        <v>0</v>
      </c>
      <c r="AH120" s="158">
        <f>IF($B120=Параметры!AH$46,Резиденты!AH$74,0)</f>
        <v>0</v>
      </c>
      <c r="AI120" s="158">
        <f>IF($B120=Параметры!AI$46,Резиденты!AI$74,0)</f>
        <v>0</v>
      </c>
      <c r="AJ120" s="158">
        <f>IF($B120=Параметры!AJ$46,Резиденты!AJ$74,0)</f>
        <v>0</v>
      </c>
      <c r="AK120" s="158">
        <f>IF($B120=Параметры!AK$46,Резиденты!AK$74,0)</f>
        <v>0</v>
      </c>
      <c r="AL120" s="158">
        <f>IF($B120=Параметры!AL$46,Резиденты!AL$74,0)</f>
        <v>0</v>
      </c>
      <c r="AM120" s="158">
        <f>IF($B120=Параметры!AM$46,Резиденты!AM$74,0)</f>
        <v>0</v>
      </c>
      <c r="AN120" s="158">
        <f>IF($B120=Параметры!AN$46,Резиденты!AN$74,0)</f>
        <v>0</v>
      </c>
      <c r="AO120" s="158">
        <f>IF($B120=Параметры!AO$46,Резиденты!AO$74,0)</f>
        <v>0</v>
      </c>
      <c r="AP120" s="158">
        <f>IF($B120=Параметры!AP$46,Резиденты!AP$74,0)</f>
        <v>0</v>
      </c>
      <c r="AQ120" s="158">
        <f>IF($B120=Параметры!AQ$46,Резиденты!AQ$74,0)</f>
        <v>0</v>
      </c>
      <c r="AR120" s="158">
        <f>IF($B120=Параметры!AR$46,Резиденты!AR$74,0)</f>
        <v>0</v>
      </c>
      <c r="AS120" s="41"/>
      <c r="AT120" s="84">
        <f t="shared" ca="1" si="73"/>
        <v>0</v>
      </c>
    </row>
    <row r="121" spans="1:46" x14ac:dyDescent="0.2">
      <c r="A121" s="66" t="s">
        <v>672</v>
      </c>
      <c r="B121" s="434">
        <f t="shared" si="74"/>
        <v>2026</v>
      </c>
      <c r="C121" s="35" t="s">
        <v>455</v>
      </c>
      <c r="D121" s="65"/>
      <c r="E121" s="158">
        <f>IF($B121=Параметры!E$46,Резиденты!E$74,0)</f>
        <v>0</v>
      </c>
      <c r="F121" s="158">
        <f>IF($B121=Параметры!F$46,Резиденты!F$74,0)</f>
        <v>0</v>
      </c>
      <c r="G121" s="158">
        <f>IF($B121=Параметры!G$46,Резиденты!G$74,0)</f>
        <v>0</v>
      </c>
      <c r="H121" s="158">
        <f>IF($B121=Параметры!H$46,Резиденты!H$74,0)</f>
        <v>0</v>
      </c>
      <c r="I121" s="158">
        <f>IF($B121=Параметры!I$46,Резиденты!I$74,0)</f>
        <v>0</v>
      </c>
      <c r="J121" s="158">
        <f>IF($B121=Параметры!J$46,Резиденты!J$74,0)</f>
        <v>0</v>
      </c>
      <c r="K121" s="158">
        <f>IF($B121=Параметры!K$46,Резиденты!K$74,0)</f>
        <v>0</v>
      </c>
      <c r="L121" s="158">
        <f>IF($B121=Параметры!L$46,Резиденты!L$74,0)</f>
        <v>0</v>
      </c>
      <c r="M121" s="158">
        <f>IF($B121=Параметры!M$46,Резиденты!M$74,0)</f>
        <v>0</v>
      </c>
      <c r="N121" s="158">
        <f>IF($B121=Параметры!N$46,Резиденты!N$74,0)</f>
        <v>0</v>
      </c>
      <c r="O121" s="158">
        <f>IF($B121=Параметры!O$46,Резиденты!O$74,0)</f>
        <v>0</v>
      </c>
      <c r="P121" s="158">
        <f>IF($B121=Параметры!P$46,Резиденты!P$74,0)</f>
        <v>0</v>
      </c>
      <c r="Q121" s="158">
        <f>IF($B121=Параметры!Q$46,Резиденты!Q$74,0)</f>
        <v>0</v>
      </c>
      <c r="R121" s="158">
        <f>IF($B121=Параметры!R$46,Резиденты!R$74,0)</f>
        <v>0</v>
      </c>
      <c r="S121" s="158">
        <f>IF($B121=Параметры!S$46,Резиденты!S$74,0)</f>
        <v>0</v>
      </c>
      <c r="T121" s="158">
        <f>IF($B121=Параметры!T$46,Резиденты!T$74,0)</f>
        <v>0</v>
      </c>
      <c r="U121" s="158">
        <f>IF($B121=Параметры!U$46,Резиденты!U$74,0)</f>
        <v>0</v>
      </c>
      <c r="V121" s="158">
        <f>IF($B121=Параметры!V$46,Резиденты!V$74,0)</f>
        <v>0</v>
      </c>
      <c r="W121" s="158">
        <f>IF($B121=Параметры!W$46,Резиденты!W$74,0)</f>
        <v>0</v>
      </c>
      <c r="X121" s="158">
        <f>IF($B121=Параметры!X$46,Резиденты!X$74,0)</f>
        <v>0</v>
      </c>
      <c r="Y121" s="158">
        <f>IF($B121=Параметры!Y$46,Резиденты!Y$74,0)</f>
        <v>0</v>
      </c>
      <c r="Z121" s="158">
        <f>IF($B121=Параметры!Z$46,Резиденты!Z$74,0)</f>
        <v>0</v>
      </c>
      <c r="AA121" s="158">
        <f>IF($B121=Параметры!AA$46,Резиденты!AA$74,0)</f>
        <v>0</v>
      </c>
      <c r="AB121" s="158">
        <f>IF($B121=Параметры!AB$46,Резиденты!AB$74,0)</f>
        <v>0</v>
      </c>
      <c r="AC121" s="158">
        <f ca="1">IF($B121=Параметры!AC$46,Резиденты!AC$74,0)</f>
        <v>0</v>
      </c>
      <c r="AD121" s="158">
        <f ca="1">IF($B121=Параметры!AD$46,Резиденты!AD$74,0)</f>
        <v>0</v>
      </c>
      <c r="AE121" s="158">
        <f ca="1">IF($B121=Параметры!AE$46,Резиденты!AE$74,0)</f>
        <v>0</v>
      </c>
      <c r="AF121" s="158">
        <f ca="1">IF($B121=Параметры!AF$46,Резиденты!AF$74,0)</f>
        <v>0</v>
      </c>
      <c r="AG121" s="158">
        <f>IF($B121=Параметры!AG$46,Резиденты!AG$74,0)</f>
        <v>0</v>
      </c>
      <c r="AH121" s="158">
        <f>IF($B121=Параметры!AH$46,Резиденты!AH$74,0)</f>
        <v>0</v>
      </c>
      <c r="AI121" s="158">
        <f>IF($B121=Параметры!AI$46,Резиденты!AI$74,0)</f>
        <v>0</v>
      </c>
      <c r="AJ121" s="158">
        <f>IF($B121=Параметры!AJ$46,Резиденты!AJ$74,0)</f>
        <v>0</v>
      </c>
      <c r="AK121" s="158">
        <f>IF($B121=Параметры!AK$46,Резиденты!AK$74,0)</f>
        <v>0</v>
      </c>
      <c r="AL121" s="158">
        <f>IF($B121=Параметры!AL$46,Резиденты!AL$74,0)</f>
        <v>0</v>
      </c>
      <c r="AM121" s="158">
        <f>IF($B121=Параметры!AM$46,Резиденты!AM$74,0)</f>
        <v>0</v>
      </c>
      <c r="AN121" s="158">
        <f>IF($B121=Параметры!AN$46,Резиденты!AN$74,0)</f>
        <v>0</v>
      </c>
      <c r="AO121" s="158">
        <f>IF($B121=Параметры!AO$46,Резиденты!AO$74,0)</f>
        <v>0</v>
      </c>
      <c r="AP121" s="158">
        <f>IF($B121=Параметры!AP$46,Резиденты!AP$74,0)</f>
        <v>0</v>
      </c>
      <c r="AQ121" s="158">
        <f>IF($B121=Параметры!AQ$46,Резиденты!AQ$74,0)</f>
        <v>0</v>
      </c>
      <c r="AR121" s="158">
        <f>IF($B121=Параметры!AR$46,Резиденты!AR$74,0)</f>
        <v>0</v>
      </c>
      <c r="AS121" s="41"/>
      <c r="AT121" s="84">
        <f t="shared" ca="1" si="73"/>
        <v>0</v>
      </c>
    </row>
    <row r="122" spans="1:46" x14ac:dyDescent="0.2">
      <c r="A122" s="66" t="s">
        <v>672</v>
      </c>
      <c r="B122" s="434">
        <f t="shared" si="74"/>
        <v>2027</v>
      </c>
      <c r="C122" s="35" t="s">
        <v>455</v>
      </c>
      <c r="D122" s="65"/>
      <c r="E122" s="158">
        <f>IF($B122=Параметры!E$46,Резиденты!E$74,0)</f>
        <v>0</v>
      </c>
      <c r="F122" s="158">
        <f>IF($B122=Параметры!F$46,Резиденты!F$74,0)</f>
        <v>0</v>
      </c>
      <c r="G122" s="158">
        <f>IF($B122=Параметры!G$46,Резиденты!G$74,0)</f>
        <v>0</v>
      </c>
      <c r="H122" s="158">
        <f>IF($B122=Параметры!H$46,Резиденты!H$74,0)</f>
        <v>0</v>
      </c>
      <c r="I122" s="158">
        <f>IF($B122=Параметры!I$46,Резиденты!I$74,0)</f>
        <v>0</v>
      </c>
      <c r="J122" s="158">
        <f>IF($B122=Параметры!J$46,Резиденты!J$74,0)</f>
        <v>0</v>
      </c>
      <c r="K122" s="158">
        <f>IF($B122=Параметры!K$46,Резиденты!K$74,0)</f>
        <v>0</v>
      </c>
      <c r="L122" s="158">
        <f>IF($B122=Параметры!L$46,Резиденты!L$74,0)</f>
        <v>0</v>
      </c>
      <c r="M122" s="158">
        <f>IF($B122=Параметры!M$46,Резиденты!M$74,0)</f>
        <v>0</v>
      </c>
      <c r="N122" s="158">
        <f>IF($B122=Параметры!N$46,Резиденты!N$74,0)</f>
        <v>0</v>
      </c>
      <c r="O122" s="158">
        <f>IF($B122=Параметры!O$46,Резиденты!O$74,0)</f>
        <v>0</v>
      </c>
      <c r="P122" s="158">
        <f>IF($B122=Параметры!P$46,Резиденты!P$74,0)</f>
        <v>0</v>
      </c>
      <c r="Q122" s="158">
        <f>IF($B122=Параметры!Q$46,Резиденты!Q$74,0)</f>
        <v>0</v>
      </c>
      <c r="R122" s="158">
        <f>IF($B122=Параметры!R$46,Резиденты!R$74,0)</f>
        <v>0</v>
      </c>
      <c r="S122" s="158">
        <f>IF($B122=Параметры!S$46,Резиденты!S$74,0)</f>
        <v>0</v>
      </c>
      <c r="T122" s="158">
        <f>IF($B122=Параметры!T$46,Резиденты!T$74,0)</f>
        <v>0</v>
      </c>
      <c r="U122" s="158">
        <f>IF($B122=Параметры!U$46,Резиденты!U$74,0)</f>
        <v>0</v>
      </c>
      <c r="V122" s="158">
        <f>IF($B122=Параметры!V$46,Резиденты!V$74,0)</f>
        <v>0</v>
      </c>
      <c r="W122" s="158">
        <f>IF($B122=Параметры!W$46,Резиденты!W$74,0)</f>
        <v>0</v>
      </c>
      <c r="X122" s="158">
        <f>IF($B122=Параметры!X$46,Резиденты!X$74,0)</f>
        <v>0</v>
      </c>
      <c r="Y122" s="158">
        <f>IF($B122=Параметры!Y$46,Резиденты!Y$74,0)</f>
        <v>0</v>
      </c>
      <c r="Z122" s="158">
        <f>IF($B122=Параметры!Z$46,Резиденты!Z$74,0)</f>
        <v>0</v>
      </c>
      <c r="AA122" s="158">
        <f>IF($B122=Параметры!AA$46,Резиденты!AA$74,0)</f>
        <v>0</v>
      </c>
      <c r="AB122" s="158">
        <f>IF($B122=Параметры!AB$46,Резиденты!AB$74,0)</f>
        <v>0</v>
      </c>
      <c r="AC122" s="158">
        <f>IF($B122=Параметры!AC$46,Резиденты!AC$74,0)</f>
        <v>0</v>
      </c>
      <c r="AD122" s="158">
        <f>IF($B122=Параметры!AD$46,Резиденты!AD$74,0)</f>
        <v>0</v>
      </c>
      <c r="AE122" s="158">
        <f>IF($B122=Параметры!AE$46,Резиденты!AE$74,0)</f>
        <v>0</v>
      </c>
      <c r="AF122" s="158">
        <f>IF($B122=Параметры!AF$46,Резиденты!AF$74,0)</f>
        <v>0</v>
      </c>
      <c r="AG122" s="158">
        <f ca="1">IF($B122=Параметры!AG$46,Резиденты!AG$74,0)</f>
        <v>0</v>
      </c>
      <c r="AH122" s="158">
        <f ca="1">IF($B122=Параметры!AH$46,Резиденты!AH$74,0)</f>
        <v>0</v>
      </c>
      <c r="AI122" s="158">
        <f ca="1">IF($B122=Параметры!AI$46,Резиденты!AI$74,0)</f>
        <v>0</v>
      </c>
      <c r="AJ122" s="158">
        <f ca="1">IF($B122=Параметры!AJ$46,Резиденты!AJ$74,0)</f>
        <v>0</v>
      </c>
      <c r="AK122" s="158">
        <f>IF($B122=Параметры!AK$46,Резиденты!AK$74,0)</f>
        <v>0</v>
      </c>
      <c r="AL122" s="158">
        <f>IF($B122=Параметры!AL$46,Резиденты!AL$74,0)</f>
        <v>0</v>
      </c>
      <c r="AM122" s="158">
        <f>IF($B122=Параметры!AM$46,Резиденты!AM$74,0)</f>
        <v>0</v>
      </c>
      <c r="AN122" s="158">
        <f>IF($B122=Параметры!AN$46,Резиденты!AN$74,0)</f>
        <v>0</v>
      </c>
      <c r="AO122" s="158">
        <f>IF($B122=Параметры!AO$46,Резиденты!AO$74,0)</f>
        <v>0</v>
      </c>
      <c r="AP122" s="158">
        <f>IF($B122=Параметры!AP$46,Резиденты!AP$74,0)</f>
        <v>0</v>
      </c>
      <c r="AQ122" s="158">
        <f>IF($B122=Параметры!AQ$46,Резиденты!AQ$74,0)</f>
        <v>0</v>
      </c>
      <c r="AR122" s="158">
        <f>IF($B122=Параметры!AR$46,Резиденты!AR$74,0)</f>
        <v>0</v>
      </c>
      <c r="AS122" s="41"/>
      <c r="AT122" s="84">
        <f t="shared" ca="1" si="73"/>
        <v>0</v>
      </c>
    </row>
    <row r="123" spans="1:46" x14ac:dyDescent="0.2">
      <c r="A123" s="66" t="s">
        <v>672</v>
      </c>
      <c r="B123" s="434">
        <f t="shared" si="74"/>
        <v>2028</v>
      </c>
      <c r="C123" s="35" t="s">
        <v>455</v>
      </c>
      <c r="D123" s="65"/>
      <c r="E123" s="158">
        <f>IF($B123=Параметры!E$46,Резиденты!E$74,0)</f>
        <v>0</v>
      </c>
      <c r="F123" s="158">
        <f>IF($B123=Параметры!F$46,Резиденты!F$74,0)</f>
        <v>0</v>
      </c>
      <c r="G123" s="158">
        <f>IF($B123=Параметры!G$46,Резиденты!G$74,0)</f>
        <v>0</v>
      </c>
      <c r="H123" s="158">
        <f>IF($B123=Параметры!H$46,Резиденты!H$74,0)</f>
        <v>0</v>
      </c>
      <c r="I123" s="158">
        <f>IF($B123=Параметры!I$46,Резиденты!I$74,0)</f>
        <v>0</v>
      </c>
      <c r="J123" s="158">
        <f>IF($B123=Параметры!J$46,Резиденты!J$74,0)</f>
        <v>0</v>
      </c>
      <c r="K123" s="158">
        <f>IF($B123=Параметры!K$46,Резиденты!K$74,0)</f>
        <v>0</v>
      </c>
      <c r="L123" s="158">
        <f>IF($B123=Параметры!L$46,Резиденты!L$74,0)</f>
        <v>0</v>
      </c>
      <c r="M123" s="158">
        <f>IF($B123=Параметры!M$46,Резиденты!M$74,0)</f>
        <v>0</v>
      </c>
      <c r="N123" s="158">
        <f>IF($B123=Параметры!N$46,Резиденты!N$74,0)</f>
        <v>0</v>
      </c>
      <c r="O123" s="158">
        <f>IF($B123=Параметры!O$46,Резиденты!O$74,0)</f>
        <v>0</v>
      </c>
      <c r="P123" s="158">
        <f>IF($B123=Параметры!P$46,Резиденты!P$74,0)</f>
        <v>0</v>
      </c>
      <c r="Q123" s="158">
        <f>IF($B123=Параметры!Q$46,Резиденты!Q$74,0)</f>
        <v>0</v>
      </c>
      <c r="R123" s="158">
        <f>IF($B123=Параметры!R$46,Резиденты!R$74,0)</f>
        <v>0</v>
      </c>
      <c r="S123" s="158">
        <f>IF($B123=Параметры!S$46,Резиденты!S$74,0)</f>
        <v>0</v>
      </c>
      <c r="T123" s="158">
        <f>IF($B123=Параметры!T$46,Резиденты!T$74,0)</f>
        <v>0</v>
      </c>
      <c r="U123" s="158">
        <f>IF($B123=Параметры!U$46,Резиденты!U$74,0)</f>
        <v>0</v>
      </c>
      <c r="V123" s="158">
        <f>IF($B123=Параметры!V$46,Резиденты!V$74,0)</f>
        <v>0</v>
      </c>
      <c r="W123" s="158">
        <f>IF($B123=Параметры!W$46,Резиденты!W$74,0)</f>
        <v>0</v>
      </c>
      <c r="X123" s="158">
        <f>IF($B123=Параметры!X$46,Резиденты!X$74,0)</f>
        <v>0</v>
      </c>
      <c r="Y123" s="158">
        <f>IF($B123=Параметры!Y$46,Резиденты!Y$74,0)</f>
        <v>0</v>
      </c>
      <c r="Z123" s="158">
        <f>IF($B123=Параметры!Z$46,Резиденты!Z$74,0)</f>
        <v>0</v>
      </c>
      <c r="AA123" s="158">
        <f>IF($B123=Параметры!AA$46,Резиденты!AA$74,0)</f>
        <v>0</v>
      </c>
      <c r="AB123" s="158">
        <f>IF($B123=Параметры!AB$46,Резиденты!AB$74,0)</f>
        <v>0</v>
      </c>
      <c r="AC123" s="158">
        <f>IF($B123=Параметры!AC$46,Резиденты!AC$74,0)</f>
        <v>0</v>
      </c>
      <c r="AD123" s="158">
        <f>IF($B123=Параметры!AD$46,Резиденты!AD$74,0)</f>
        <v>0</v>
      </c>
      <c r="AE123" s="158">
        <f>IF($B123=Параметры!AE$46,Резиденты!AE$74,0)</f>
        <v>0</v>
      </c>
      <c r="AF123" s="158">
        <f>IF($B123=Параметры!AF$46,Резиденты!AF$74,0)</f>
        <v>0</v>
      </c>
      <c r="AG123" s="158">
        <f>IF($B123=Параметры!AG$46,Резиденты!AG$74,0)</f>
        <v>0</v>
      </c>
      <c r="AH123" s="158">
        <f>IF($B123=Параметры!AH$46,Резиденты!AH$74,0)</f>
        <v>0</v>
      </c>
      <c r="AI123" s="158">
        <f>IF($B123=Параметры!AI$46,Резиденты!AI$74,0)</f>
        <v>0</v>
      </c>
      <c r="AJ123" s="158">
        <f>IF($B123=Параметры!AJ$46,Резиденты!AJ$74,0)</f>
        <v>0</v>
      </c>
      <c r="AK123" s="158">
        <f ca="1">IF($B123=Параметры!AK$46,Резиденты!AK$74,0)</f>
        <v>0</v>
      </c>
      <c r="AL123" s="158">
        <f ca="1">IF($B123=Параметры!AL$46,Резиденты!AL$74,0)</f>
        <v>0</v>
      </c>
      <c r="AM123" s="158">
        <f ca="1">IF($B123=Параметры!AM$46,Резиденты!AM$74,0)</f>
        <v>409429.66220429027</v>
      </c>
      <c r="AN123" s="158">
        <f ca="1">IF($B123=Параметры!AN$46,Резиденты!AN$74,0)</f>
        <v>0</v>
      </c>
      <c r="AO123" s="158">
        <f>IF($B123=Параметры!AO$46,Резиденты!AO$74,0)</f>
        <v>0</v>
      </c>
      <c r="AP123" s="158">
        <f>IF($B123=Параметры!AP$46,Резиденты!AP$74,0)</f>
        <v>0</v>
      </c>
      <c r="AQ123" s="158">
        <f>IF($B123=Параметры!AQ$46,Резиденты!AQ$74,0)</f>
        <v>0</v>
      </c>
      <c r="AR123" s="158">
        <f>IF($B123=Параметры!AR$46,Резиденты!AR$74,0)</f>
        <v>0</v>
      </c>
      <c r="AS123" s="41"/>
      <c r="AT123" s="84">
        <f t="shared" ca="1" si="73"/>
        <v>409429.66220429027</v>
      </c>
    </row>
    <row r="124" spans="1:46" x14ac:dyDescent="0.2">
      <c r="A124" s="66" t="s">
        <v>672</v>
      </c>
      <c r="B124" s="434">
        <f t="shared" si="74"/>
        <v>2029</v>
      </c>
      <c r="C124" s="35" t="s">
        <v>455</v>
      </c>
      <c r="D124" s="65"/>
      <c r="E124" s="158">
        <f>IF($B124=Параметры!E$46,Резиденты!E$74,0)</f>
        <v>0</v>
      </c>
      <c r="F124" s="158">
        <f>IF($B124=Параметры!F$46,Резиденты!F$74,0)</f>
        <v>0</v>
      </c>
      <c r="G124" s="158">
        <f>IF($B124=Параметры!G$46,Резиденты!G$74,0)</f>
        <v>0</v>
      </c>
      <c r="H124" s="158">
        <f>IF($B124=Параметры!H$46,Резиденты!H$74,0)</f>
        <v>0</v>
      </c>
      <c r="I124" s="158">
        <f>IF($B124=Параметры!I$46,Резиденты!I$74,0)</f>
        <v>0</v>
      </c>
      <c r="J124" s="158">
        <f>IF($B124=Параметры!J$46,Резиденты!J$74,0)</f>
        <v>0</v>
      </c>
      <c r="K124" s="158">
        <f>IF($B124=Параметры!K$46,Резиденты!K$74,0)</f>
        <v>0</v>
      </c>
      <c r="L124" s="158">
        <f>IF($B124=Параметры!L$46,Резиденты!L$74,0)</f>
        <v>0</v>
      </c>
      <c r="M124" s="158">
        <f>IF($B124=Параметры!M$46,Резиденты!M$74,0)</f>
        <v>0</v>
      </c>
      <c r="N124" s="158">
        <f>IF($B124=Параметры!N$46,Резиденты!N$74,0)</f>
        <v>0</v>
      </c>
      <c r="O124" s="158">
        <f>IF($B124=Параметры!O$46,Резиденты!O$74,0)</f>
        <v>0</v>
      </c>
      <c r="P124" s="158">
        <f>IF($B124=Параметры!P$46,Резиденты!P$74,0)</f>
        <v>0</v>
      </c>
      <c r="Q124" s="158">
        <f>IF($B124=Параметры!Q$46,Резиденты!Q$74,0)</f>
        <v>0</v>
      </c>
      <c r="R124" s="158">
        <f>IF($B124=Параметры!R$46,Резиденты!R$74,0)</f>
        <v>0</v>
      </c>
      <c r="S124" s="158">
        <f>IF($B124=Параметры!S$46,Резиденты!S$74,0)</f>
        <v>0</v>
      </c>
      <c r="T124" s="158">
        <f>IF($B124=Параметры!T$46,Резиденты!T$74,0)</f>
        <v>0</v>
      </c>
      <c r="U124" s="158">
        <f>IF($B124=Параметры!U$46,Резиденты!U$74,0)</f>
        <v>0</v>
      </c>
      <c r="V124" s="158">
        <f>IF($B124=Параметры!V$46,Резиденты!V$74,0)</f>
        <v>0</v>
      </c>
      <c r="W124" s="158">
        <f>IF($B124=Параметры!W$46,Резиденты!W$74,0)</f>
        <v>0</v>
      </c>
      <c r="X124" s="158">
        <f>IF($B124=Параметры!X$46,Резиденты!X$74,0)</f>
        <v>0</v>
      </c>
      <c r="Y124" s="158">
        <f>IF($B124=Параметры!Y$46,Резиденты!Y$74,0)</f>
        <v>0</v>
      </c>
      <c r="Z124" s="158">
        <f>IF($B124=Параметры!Z$46,Резиденты!Z$74,0)</f>
        <v>0</v>
      </c>
      <c r="AA124" s="158">
        <f>IF($B124=Параметры!AA$46,Резиденты!AA$74,0)</f>
        <v>0</v>
      </c>
      <c r="AB124" s="158">
        <f>IF($B124=Параметры!AB$46,Резиденты!AB$74,0)</f>
        <v>0</v>
      </c>
      <c r="AC124" s="158">
        <f>IF($B124=Параметры!AC$46,Резиденты!AC$74,0)</f>
        <v>0</v>
      </c>
      <c r="AD124" s="158">
        <f>IF($B124=Параметры!AD$46,Резиденты!AD$74,0)</f>
        <v>0</v>
      </c>
      <c r="AE124" s="158">
        <f>IF($B124=Параметры!AE$46,Резиденты!AE$74,0)</f>
        <v>0</v>
      </c>
      <c r="AF124" s="158">
        <f>IF($B124=Параметры!AF$46,Резиденты!AF$74,0)</f>
        <v>0</v>
      </c>
      <c r="AG124" s="158">
        <f>IF($B124=Параметры!AG$46,Резиденты!AG$74,0)</f>
        <v>0</v>
      </c>
      <c r="AH124" s="158">
        <f>IF($B124=Параметры!AH$46,Резиденты!AH$74,0)</f>
        <v>0</v>
      </c>
      <c r="AI124" s="158">
        <f>IF($B124=Параметры!AI$46,Резиденты!AI$74,0)</f>
        <v>0</v>
      </c>
      <c r="AJ124" s="158">
        <f>IF($B124=Параметры!AJ$46,Резиденты!AJ$74,0)</f>
        <v>0</v>
      </c>
      <c r="AK124" s="158">
        <f>IF($B124=Параметры!AK$46,Резиденты!AK$74,0)</f>
        <v>0</v>
      </c>
      <c r="AL124" s="158">
        <f>IF($B124=Параметры!AL$46,Резиденты!AL$74,0)</f>
        <v>0</v>
      </c>
      <c r="AM124" s="158">
        <f>IF($B124=Параметры!AM$46,Резиденты!AM$74,0)</f>
        <v>0</v>
      </c>
      <c r="AN124" s="158">
        <f>IF($B124=Параметры!AN$46,Резиденты!AN$74,0)</f>
        <v>0</v>
      </c>
      <c r="AO124" s="158">
        <f ca="1">IF($B124=Параметры!AO$46,Резиденты!AO$74,0)</f>
        <v>0</v>
      </c>
      <c r="AP124" s="158">
        <f ca="1">IF($B124=Параметры!AP$46,Резиденты!AP$74,0)</f>
        <v>0</v>
      </c>
      <c r="AQ124" s="158">
        <f ca="1">IF($B124=Параметры!AQ$46,Резиденты!AQ$74,0)</f>
        <v>6376700.9574672151</v>
      </c>
      <c r="AR124" s="158">
        <f ca="1">IF($B124=Параметры!AR$46,Резиденты!AR$74,0)</f>
        <v>0</v>
      </c>
      <c r="AS124" s="41"/>
      <c r="AT124" s="84">
        <f t="shared" ca="1" si="73"/>
        <v>6376700.9574672151</v>
      </c>
    </row>
    <row r="125" spans="1:46" s="60" customFormat="1" x14ac:dyDescent="0.2">
      <c r="A125" s="50" t="s">
        <v>678</v>
      </c>
      <c r="B125" s="396"/>
      <c r="C125" s="396" t="s">
        <v>455</v>
      </c>
      <c r="D125" s="159"/>
      <c r="E125" s="160">
        <f>SUM(E116:E124)</f>
        <v>0</v>
      </c>
      <c r="F125" s="160">
        <f t="shared" ref="F125:AR125" si="75">SUM(F116:F124)</f>
        <v>0</v>
      </c>
      <c r="G125" s="160">
        <f t="shared" si="75"/>
        <v>0</v>
      </c>
      <c r="H125" s="160">
        <f t="shared" si="75"/>
        <v>0</v>
      </c>
      <c r="I125" s="160">
        <f t="shared" ca="1" si="75"/>
        <v>0</v>
      </c>
      <c r="J125" s="160">
        <f t="shared" ca="1" si="75"/>
        <v>0</v>
      </c>
      <c r="K125" s="160">
        <f t="shared" ca="1" si="75"/>
        <v>0</v>
      </c>
      <c r="L125" s="160">
        <f t="shared" ca="1" si="75"/>
        <v>0</v>
      </c>
      <c r="M125" s="160">
        <f t="shared" ca="1" si="75"/>
        <v>0</v>
      </c>
      <c r="N125" s="160">
        <f t="shared" ca="1" si="75"/>
        <v>0</v>
      </c>
      <c r="O125" s="160">
        <f t="shared" ca="1" si="75"/>
        <v>0</v>
      </c>
      <c r="P125" s="160">
        <f t="shared" ca="1" si="75"/>
        <v>0</v>
      </c>
      <c r="Q125" s="160">
        <f t="shared" ca="1" si="75"/>
        <v>0</v>
      </c>
      <c r="R125" s="160">
        <f t="shared" ca="1" si="75"/>
        <v>0</v>
      </c>
      <c r="S125" s="160">
        <f t="shared" ca="1" si="75"/>
        <v>0</v>
      </c>
      <c r="T125" s="160">
        <f t="shared" ca="1" si="75"/>
        <v>0</v>
      </c>
      <c r="U125" s="160">
        <f t="shared" ca="1" si="75"/>
        <v>0</v>
      </c>
      <c r="V125" s="160">
        <f t="shared" ca="1" si="75"/>
        <v>0</v>
      </c>
      <c r="W125" s="160">
        <f t="shared" ca="1" si="75"/>
        <v>0</v>
      </c>
      <c r="X125" s="160">
        <f t="shared" ca="1" si="75"/>
        <v>0</v>
      </c>
      <c r="Y125" s="160">
        <f t="shared" ca="1" si="75"/>
        <v>0</v>
      </c>
      <c r="Z125" s="160">
        <f t="shared" ca="1" si="75"/>
        <v>0</v>
      </c>
      <c r="AA125" s="160">
        <f t="shared" ca="1" si="75"/>
        <v>0</v>
      </c>
      <c r="AB125" s="160">
        <f t="shared" ca="1" si="75"/>
        <v>0</v>
      </c>
      <c r="AC125" s="160">
        <f t="shared" ca="1" si="75"/>
        <v>0</v>
      </c>
      <c r="AD125" s="160">
        <f t="shared" ca="1" si="75"/>
        <v>0</v>
      </c>
      <c r="AE125" s="160">
        <f t="shared" ca="1" si="75"/>
        <v>0</v>
      </c>
      <c r="AF125" s="160">
        <f t="shared" ca="1" si="75"/>
        <v>0</v>
      </c>
      <c r="AG125" s="160">
        <f t="shared" ca="1" si="75"/>
        <v>0</v>
      </c>
      <c r="AH125" s="160">
        <f t="shared" ca="1" si="75"/>
        <v>0</v>
      </c>
      <c r="AI125" s="160">
        <f t="shared" ca="1" si="75"/>
        <v>0</v>
      </c>
      <c r="AJ125" s="160">
        <f t="shared" ca="1" si="75"/>
        <v>0</v>
      </c>
      <c r="AK125" s="160">
        <f t="shared" ca="1" si="75"/>
        <v>0</v>
      </c>
      <c r="AL125" s="160">
        <f t="shared" ca="1" si="75"/>
        <v>0</v>
      </c>
      <c r="AM125" s="160">
        <f t="shared" ca="1" si="75"/>
        <v>409429.66220429027</v>
      </c>
      <c r="AN125" s="160">
        <f t="shared" ca="1" si="75"/>
        <v>0</v>
      </c>
      <c r="AO125" s="160">
        <f t="shared" ca="1" si="75"/>
        <v>0</v>
      </c>
      <c r="AP125" s="160">
        <f t="shared" ca="1" si="75"/>
        <v>0</v>
      </c>
      <c r="AQ125" s="160">
        <f t="shared" ca="1" si="75"/>
        <v>6376700.9574672151</v>
      </c>
      <c r="AR125" s="160">
        <f t="shared" ca="1" si="75"/>
        <v>0</v>
      </c>
      <c r="AS125" s="135"/>
      <c r="AT125" s="137">
        <f t="shared" ca="1" si="73"/>
        <v>6786130.6196715049</v>
      </c>
    </row>
    <row r="126" spans="1:46" x14ac:dyDescent="0.2">
      <c r="A126" s="49" t="s">
        <v>674</v>
      </c>
      <c r="B126" s="161">
        <f>ИД!C281</f>
        <v>20</v>
      </c>
      <c r="C126" s="35" t="s">
        <v>2</v>
      </c>
      <c r="D126" s="65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41"/>
      <c r="AT126" s="92"/>
    </row>
    <row r="127" spans="1:46" x14ac:dyDescent="0.2">
      <c r="A127" s="66" t="s">
        <v>675</v>
      </c>
      <c r="B127" s="434">
        <f>B116</f>
        <v>2021</v>
      </c>
      <c r="C127" s="35" t="s">
        <v>455</v>
      </c>
      <c r="D127" s="65"/>
      <c r="E127" s="158">
        <v>0</v>
      </c>
      <c r="F127" s="158">
        <f ca="1">MIN(SUM($E116:F116)/($B$126*4),$AT116-SUM($E127:E127))</f>
        <v>0</v>
      </c>
      <c r="G127" s="158">
        <f ca="1">MIN(SUM($E116:G116)/($B$126*4),$AT116-SUM($E127:F127))</f>
        <v>0</v>
      </c>
      <c r="H127" s="158">
        <f ca="1">MIN(SUM($E116:H116)/($B$126*4),$AT116-SUM($E127:G127))</f>
        <v>0</v>
      </c>
      <c r="I127" s="158">
        <f ca="1">MIN(SUM($E116:I116)/($B$126*4),$AT116-SUM($E127:H127))</f>
        <v>0</v>
      </c>
      <c r="J127" s="158">
        <f ca="1">MIN(SUM($E116:J116)/($B$126*4),$AT116-SUM($E127:I127))</f>
        <v>0</v>
      </c>
      <c r="K127" s="158">
        <f ca="1">MIN(SUM($E116:K116)/($B$126*4),$AT116-SUM($E127:J127))</f>
        <v>0</v>
      </c>
      <c r="L127" s="158">
        <f ca="1">MIN(SUM($E116:L116)/($B$126*4),$AT116-SUM($E127:K127))</f>
        <v>0</v>
      </c>
      <c r="M127" s="158">
        <f ca="1">MIN(SUM($E116:M116)/($B$126*4),$AT116-SUM($E127:L127))</f>
        <v>0</v>
      </c>
      <c r="N127" s="158">
        <f ca="1">MIN(SUM($E116:N116)/($B$126*4),$AT116-SUM($E127:M127))</f>
        <v>0</v>
      </c>
      <c r="O127" s="158">
        <f ca="1">MIN(SUM($E116:O116)/($B$126*4),$AT116-SUM($E127:N127))</f>
        <v>0</v>
      </c>
      <c r="P127" s="158">
        <f ca="1">MIN(SUM($E116:P116)/($B$126*4),$AT116-SUM($E127:O127))</f>
        <v>0</v>
      </c>
      <c r="Q127" s="158">
        <f ca="1">MIN(SUM($E116:Q116)/($B$126*4),$AT116-SUM($E127:P127))</f>
        <v>0</v>
      </c>
      <c r="R127" s="158">
        <f ca="1">MIN(SUM($E116:R116)/($B$126*4),$AT116-SUM($E127:Q127))</f>
        <v>0</v>
      </c>
      <c r="S127" s="158">
        <f ca="1">MIN(SUM($E116:S116)/($B$126*4),$AT116-SUM($E127:R127))</f>
        <v>0</v>
      </c>
      <c r="T127" s="158">
        <f ca="1">MIN(SUM($E116:T116)/($B$126*4),$AT116-SUM($E127:S127))</f>
        <v>0</v>
      </c>
      <c r="U127" s="158">
        <f ca="1">MIN(SUM($E116:U116)/($B$126*4),$AT116-SUM($E127:T127))</f>
        <v>0</v>
      </c>
      <c r="V127" s="158">
        <f ca="1">MIN(SUM($E116:V116)/($B$126*4),$AT116-SUM($E127:U127))</f>
        <v>0</v>
      </c>
      <c r="W127" s="158">
        <f ca="1">MIN(SUM($E116:W116)/($B$126*4),$AT116-SUM($E127:V127))</f>
        <v>0</v>
      </c>
      <c r="X127" s="158">
        <f ca="1">MIN(SUM($E116:X116)/($B$126*4),$AT116-SUM($E127:W127))</f>
        <v>0</v>
      </c>
      <c r="Y127" s="158">
        <f ca="1">MIN(SUM($E116:Y116)/($B$126*4),$AT116-SUM($E127:X127))</f>
        <v>0</v>
      </c>
      <c r="Z127" s="158">
        <f ca="1">MIN(SUM($E116:Z116)/($B$126*4),$AT116-SUM($E127:Y127))</f>
        <v>0</v>
      </c>
      <c r="AA127" s="158">
        <f ca="1">MIN(SUM($E116:AA116)/($B$126*4),$AT116-SUM($E127:Z127))</f>
        <v>0</v>
      </c>
      <c r="AB127" s="158">
        <f ca="1">MIN(SUM($E116:AB116)/($B$126*4),$AT116-SUM($E127:AA127))</f>
        <v>0</v>
      </c>
      <c r="AC127" s="158">
        <f ca="1">MIN(SUM($E116:AC116)/($B$126*4),$AT116-SUM($E127:AB127))</f>
        <v>0</v>
      </c>
      <c r="AD127" s="158">
        <f ca="1">MIN(SUM($E116:AD116)/($B$126*4),$AT116-SUM($E127:AC127))</f>
        <v>0</v>
      </c>
      <c r="AE127" s="158">
        <f ca="1">MIN(SUM($E116:AE116)/($B$126*4),$AT116-SUM($E127:AD127))</f>
        <v>0</v>
      </c>
      <c r="AF127" s="158">
        <f ca="1">MIN(SUM($E116:AF116)/($B$126*4),$AT116-SUM($E127:AE127))</f>
        <v>0</v>
      </c>
      <c r="AG127" s="158">
        <f ca="1">MIN(SUM($E116:AG116)/($B$126*4),$AT116-SUM($E127:AF127))</f>
        <v>0</v>
      </c>
      <c r="AH127" s="158">
        <f ca="1">MIN(SUM($E116:AH116)/($B$126*4),$AT116-SUM($E127:AG127))</f>
        <v>0</v>
      </c>
      <c r="AI127" s="158">
        <f ca="1">MIN(SUM($E116:AI116)/($B$126*4),$AT116-SUM($E127:AH127))</f>
        <v>0</v>
      </c>
      <c r="AJ127" s="158">
        <f ca="1">MIN(SUM($E116:AJ116)/($B$126*4),$AT116-SUM($E127:AI127))</f>
        <v>0</v>
      </c>
      <c r="AK127" s="158">
        <f ca="1">MIN(SUM($E116:AK116)/($B$126*4),$AT116-SUM($E127:AJ127))</f>
        <v>0</v>
      </c>
      <c r="AL127" s="158">
        <f ca="1">MIN(SUM($E116:AL116)/($B$126*4),$AT116-SUM($E127:AK127))</f>
        <v>0</v>
      </c>
      <c r="AM127" s="158">
        <f ca="1">MIN(SUM($E116:AM116)/($B$126*4),$AT116-SUM($E127:AL127))</f>
        <v>0</v>
      </c>
      <c r="AN127" s="158">
        <f ca="1">MIN(SUM($E116:AN116)/($B$126*4),$AT116-SUM($E127:AM127))</f>
        <v>0</v>
      </c>
      <c r="AO127" s="158">
        <f ca="1">MIN(SUM($E116:AO116)/($B$126*4),$AT116-SUM($E127:AN127))</f>
        <v>0</v>
      </c>
      <c r="AP127" s="158">
        <f ca="1">MIN(SUM($E116:AP116)/($B$126*4),$AT116-SUM($E127:AO127))</f>
        <v>0</v>
      </c>
      <c r="AQ127" s="158">
        <f ca="1">MIN(SUM($E116:AQ116)/($B$126*4),$AT116-SUM($E127:AP127))</f>
        <v>0</v>
      </c>
      <c r="AR127" s="158">
        <f ca="1">MIN(SUM($E116:AR116)/($B$126*4),$AT116-SUM($E127:AQ127))</f>
        <v>0</v>
      </c>
      <c r="AS127" s="41"/>
      <c r="AT127" s="84">
        <f t="shared" ref="AT127:AT136" ca="1" si="76">SUM(E127:AS127)</f>
        <v>0</v>
      </c>
    </row>
    <row r="128" spans="1:46" x14ac:dyDescent="0.2">
      <c r="A128" s="66" t="s">
        <v>675</v>
      </c>
      <c r="B128" s="434">
        <f>B117</f>
        <v>2022</v>
      </c>
      <c r="C128" s="35" t="s">
        <v>455</v>
      </c>
      <c r="D128" s="65"/>
      <c r="E128" s="158">
        <v>0</v>
      </c>
      <c r="F128" s="158">
        <f ca="1">MIN(SUM($E117:F117)/($B$126*4),$AT117-SUM($E128:E128))</f>
        <v>0</v>
      </c>
      <c r="G128" s="158">
        <f ca="1">MIN(SUM($E117:G117)/($B$126*4),$AT117-SUM($E128:F128))</f>
        <v>0</v>
      </c>
      <c r="H128" s="158">
        <f ca="1">MIN(SUM($E117:H117)/($B$126*4),$AT117-SUM($E128:G128))</f>
        <v>0</v>
      </c>
      <c r="I128" s="158">
        <f ca="1">MIN(SUM($E117:I117)/($B$126*4),$AT117-SUM($E128:H128))</f>
        <v>0</v>
      </c>
      <c r="J128" s="158">
        <f ca="1">MIN(SUM($E117:J117)/($B$126*4),$AT117-SUM($E128:I128))</f>
        <v>0</v>
      </c>
      <c r="K128" s="158">
        <f ca="1">MIN(SUM($E117:K117)/($B$126*4),$AT117-SUM($E128:J128))</f>
        <v>0</v>
      </c>
      <c r="L128" s="158">
        <f ca="1">MIN(SUM($E117:L117)/($B$126*4),$AT117-SUM($E128:K128))</f>
        <v>0</v>
      </c>
      <c r="M128" s="158">
        <f ca="1">MIN(SUM($E117:M117)/($B$126*4),$AT117-SUM($E128:L128))</f>
        <v>0</v>
      </c>
      <c r="N128" s="158">
        <f ca="1">MIN(SUM($E117:N117)/($B$126*4),$AT117-SUM($E128:M128))</f>
        <v>0</v>
      </c>
      <c r="O128" s="158">
        <f ca="1">MIN(SUM($E117:O117)/($B$126*4),$AT117-SUM($E128:N128))</f>
        <v>0</v>
      </c>
      <c r="P128" s="158">
        <f ca="1">MIN(SUM($E117:P117)/($B$126*4),$AT117-SUM($E128:O128))</f>
        <v>0</v>
      </c>
      <c r="Q128" s="158">
        <f ca="1">MIN(SUM($E117:Q117)/($B$126*4),$AT117-SUM($E128:P128))</f>
        <v>0</v>
      </c>
      <c r="R128" s="158">
        <f ca="1">MIN(SUM($E117:R117)/($B$126*4),$AT117-SUM($E128:Q128))</f>
        <v>0</v>
      </c>
      <c r="S128" s="158">
        <f ca="1">MIN(SUM($E117:S117)/($B$126*4),$AT117-SUM($E128:R128))</f>
        <v>0</v>
      </c>
      <c r="T128" s="158">
        <f ca="1">MIN(SUM($E117:T117)/($B$126*4),$AT117-SUM($E128:S128))</f>
        <v>0</v>
      </c>
      <c r="U128" s="158">
        <f ca="1">MIN(SUM($E117:U117)/($B$126*4),$AT117-SUM($E128:T128))</f>
        <v>0</v>
      </c>
      <c r="V128" s="158">
        <f ca="1">MIN(SUM($E117:V117)/($B$126*4),$AT117-SUM($E128:U128))</f>
        <v>0</v>
      </c>
      <c r="W128" s="158">
        <f ca="1">MIN(SUM($E117:W117)/($B$126*4),$AT117-SUM($E128:V128))</f>
        <v>0</v>
      </c>
      <c r="X128" s="158">
        <f ca="1">MIN(SUM($E117:X117)/($B$126*4),$AT117-SUM($E128:W128))</f>
        <v>0</v>
      </c>
      <c r="Y128" s="158">
        <f ca="1">MIN(SUM($E117:Y117)/($B$126*4),$AT117-SUM($E128:X128))</f>
        <v>0</v>
      </c>
      <c r="Z128" s="158">
        <f ca="1">MIN(SUM($E117:Z117)/($B$126*4),$AT117-SUM($E128:Y128))</f>
        <v>0</v>
      </c>
      <c r="AA128" s="158">
        <f ca="1">MIN(SUM($E117:AA117)/($B$126*4),$AT117-SUM($E128:Z128))</f>
        <v>0</v>
      </c>
      <c r="AB128" s="158">
        <f ca="1">MIN(SUM($E117:AB117)/($B$126*4),$AT117-SUM($E128:AA128))</f>
        <v>0</v>
      </c>
      <c r="AC128" s="158">
        <f ca="1">MIN(SUM($E117:AC117)/($B$126*4),$AT117-SUM($E128:AB128))</f>
        <v>0</v>
      </c>
      <c r="AD128" s="158">
        <f ca="1">MIN(SUM($E117:AD117)/($B$126*4),$AT117-SUM($E128:AC128))</f>
        <v>0</v>
      </c>
      <c r="AE128" s="158">
        <f ca="1">MIN(SUM($E117:AE117)/($B$126*4),$AT117-SUM($E128:AD128))</f>
        <v>0</v>
      </c>
      <c r="AF128" s="158">
        <f ca="1">MIN(SUM($E117:AF117)/($B$126*4),$AT117-SUM($E128:AE128))</f>
        <v>0</v>
      </c>
      <c r="AG128" s="158">
        <f ca="1">MIN(SUM($E117:AG117)/($B$126*4),$AT117-SUM($E128:AF128))</f>
        <v>0</v>
      </c>
      <c r="AH128" s="158">
        <f ca="1">MIN(SUM($E117:AH117)/($B$126*4),$AT117-SUM($E128:AG128))</f>
        <v>0</v>
      </c>
      <c r="AI128" s="158">
        <f ca="1">MIN(SUM($E117:AI117)/($B$126*4),$AT117-SUM($E128:AH128))</f>
        <v>0</v>
      </c>
      <c r="AJ128" s="158">
        <f ca="1">MIN(SUM($E117:AJ117)/($B$126*4),$AT117-SUM($E128:AI128))</f>
        <v>0</v>
      </c>
      <c r="AK128" s="158">
        <f ca="1">MIN(SUM($E117:AK117)/($B$126*4),$AT117-SUM($E128:AJ128))</f>
        <v>0</v>
      </c>
      <c r="AL128" s="158">
        <f ca="1">MIN(SUM($E117:AL117)/($B$126*4),$AT117-SUM($E128:AK128))</f>
        <v>0</v>
      </c>
      <c r="AM128" s="158">
        <f ca="1">MIN(SUM($E117:AM117)/($B$126*4),$AT117-SUM($E128:AL128))</f>
        <v>0</v>
      </c>
      <c r="AN128" s="158">
        <f ca="1">MIN(SUM($E117:AN117)/($B$126*4),$AT117-SUM($E128:AM128))</f>
        <v>0</v>
      </c>
      <c r="AO128" s="158">
        <f ca="1">MIN(SUM($E117:AO117)/($B$126*4),$AT117-SUM($E128:AN128))</f>
        <v>0</v>
      </c>
      <c r="AP128" s="158">
        <f ca="1">MIN(SUM($E117:AP117)/($B$126*4),$AT117-SUM($E128:AO128))</f>
        <v>0</v>
      </c>
      <c r="AQ128" s="158">
        <f ca="1">MIN(SUM($E117:AQ117)/($B$126*4),$AT117-SUM($E128:AP128))</f>
        <v>0</v>
      </c>
      <c r="AR128" s="158">
        <f ca="1">MIN(SUM($E117:AR117)/($B$126*4),$AT117-SUM($E128:AQ128))</f>
        <v>0</v>
      </c>
      <c r="AS128" s="41"/>
      <c r="AT128" s="84">
        <f t="shared" ca="1" si="76"/>
        <v>0</v>
      </c>
    </row>
    <row r="129" spans="1:46" x14ac:dyDescent="0.2">
      <c r="A129" s="66" t="s">
        <v>675</v>
      </c>
      <c r="B129" s="434">
        <f>B118</f>
        <v>2023</v>
      </c>
      <c r="C129" s="35" t="s">
        <v>455</v>
      </c>
      <c r="D129" s="65"/>
      <c r="E129" s="158">
        <v>0</v>
      </c>
      <c r="F129" s="158">
        <f ca="1">MIN(SUM($E118:F118)/($B$126*4),$AT118-SUM($E129:E129))</f>
        <v>0</v>
      </c>
      <c r="G129" s="158">
        <f ca="1">MIN(SUM($E118:G118)/($B$126*4),$AT118-SUM($E129:F129))</f>
        <v>0</v>
      </c>
      <c r="H129" s="158">
        <f ca="1">MIN(SUM($E118:H118)/($B$126*4),$AT118-SUM($E129:G129))</f>
        <v>0</v>
      </c>
      <c r="I129" s="158">
        <f ca="1">MIN(SUM($E118:I118)/($B$126*4),$AT118-SUM($E129:H129))</f>
        <v>0</v>
      </c>
      <c r="J129" s="158">
        <f ca="1">MIN(SUM($E118:J118)/($B$126*4),$AT118-SUM($E129:I129))</f>
        <v>0</v>
      </c>
      <c r="K129" s="158">
        <f ca="1">MIN(SUM($E118:K118)/($B$126*4),$AT118-SUM($E129:J129))</f>
        <v>0</v>
      </c>
      <c r="L129" s="158">
        <f ca="1">MIN(SUM($E118:L118)/($B$126*4),$AT118-SUM($E129:K129))</f>
        <v>0</v>
      </c>
      <c r="M129" s="158">
        <f ca="1">MIN(SUM($E118:M118)/($B$126*4),$AT118-SUM($E129:L129))</f>
        <v>0</v>
      </c>
      <c r="N129" s="158">
        <f ca="1">MIN(SUM($E118:N118)/($B$126*4),$AT118-SUM($E129:M129))</f>
        <v>0</v>
      </c>
      <c r="O129" s="158">
        <f ca="1">MIN(SUM($E118:O118)/($B$126*4),$AT118-SUM($E129:N129))</f>
        <v>0</v>
      </c>
      <c r="P129" s="158">
        <f ca="1">MIN(SUM($E118:P118)/($B$126*4),$AT118-SUM($E129:O129))</f>
        <v>0</v>
      </c>
      <c r="Q129" s="158">
        <f ca="1">MIN(SUM($E118:Q118)/($B$126*4),$AT118-SUM($E129:P129))</f>
        <v>0</v>
      </c>
      <c r="R129" s="158">
        <f ca="1">MIN(SUM($E118:R118)/($B$126*4),$AT118-SUM($E129:Q129))</f>
        <v>0</v>
      </c>
      <c r="S129" s="158">
        <f ca="1">MIN(SUM($E118:S118)/($B$126*4),$AT118-SUM($E129:R129))</f>
        <v>0</v>
      </c>
      <c r="T129" s="158">
        <f ca="1">MIN(SUM($E118:T118)/($B$126*4),$AT118-SUM($E129:S129))</f>
        <v>0</v>
      </c>
      <c r="U129" s="158">
        <f ca="1">MIN(SUM($E118:U118)/($B$126*4),$AT118-SUM($E129:T129))</f>
        <v>0</v>
      </c>
      <c r="V129" s="158">
        <f ca="1">MIN(SUM($E118:V118)/($B$126*4),$AT118-SUM($E129:U129))</f>
        <v>0</v>
      </c>
      <c r="W129" s="158">
        <f ca="1">MIN(SUM($E118:W118)/($B$126*4),$AT118-SUM($E129:V129))</f>
        <v>0</v>
      </c>
      <c r="X129" s="158">
        <f ca="1">MIN(SUM($E118:X118)/($B$126*4),$AT118-SUM($E129:W129))</f>
        <v>0</v>
      </c>
      <c r="Y129" s="158">
        <f ca="1">MIN(SUM($E118:Y118)/($B$126*4),$AT118-SUM($E129:X129))</f>
        <v>0</v>
      </c>
      <c r="Z129" s="158">
        <f ca="1">MIN(SUM($E118:Z118)/($B$126*4),$AT118-SUM($E129:Y129))</f>
        <v>0</v>
      </c>
      <c r="AA129" s="158">
        <f ca="1">MIN(SUM($E118:AA118)/($B$126*4),$AT118-SUM($E129:Z129))</f>
        <v>0</v>
      </c>
      <c r="AB129" s="158">
        <f ca="1">MIN(SUM($E118:AB118)/($B$126*4),$AT118-SUM($E129:AA129))</f>
        <v>0</v>
      </c>
      <c r="AC129" s="158">
        <f ca="1">MIN(SUM($E118:AC118)/($B$126*4),$AT118-SUM($E129:AB129))</f>
        <v>0</v>
      </c>
      <c r="AD129" s="158">
        <f ca="1">MIN(SUM($E118:AD118)/($B$126*4),$AT118-SUM($E129:AC129))</f>
        <v>0</v>
      </c>
      <c r="AE129" s="158">
        <f ca="1">MIN(SUM($E118:AE118)/($B$126*4),$AT118-SUM($E129:AD129))</f>
        <v>0</v>
      </c>
      <c r="AF129" s="158">
        <f ca="1">MIN(SUM($E118:AF118)/($B$126*4),$AT118-SUM($E129:AE129))</f>
        <v>0</v>
      </c>
      <c r="AG129" s="158">
        <f ca="1">MIN(SUM($E118:AG118)/($B$126*4),$AT118-SUM($E129:AF129))</f>
        <v>0</v>
      </c>
      <c r="AH129" s="158">
        <f ca="1">MIN(SUM($E118:AH118)/($B$126*4),$AT118-SUM($E129:AG129))</f>
        <v>0</v>
      </c>
      <c r="AI129" s="158">
        <f ca="1">MIN(SUM($E118:AI118)/($B$126*4),$AT118-SUM($E129:AH129))</f>
        <v>0</v>
      </c>
      <c r="AJ129" s="158">
        <f ca="1">MIN(SUM($E118:AJ118)/($B$126*4),$AT118-SUM($E129:AI129))</f>
        <v>0</v>
      </c>
      <c r="AK129" s="158">
        <f ca="1">MIN(SUM($E118:AK118)/($B$126*4),$AT118-SUM($E129:AJ129))</f>
        <v>0</v>
      </c>
      <c r="AL129" s="158">
        <f ca="1">MIN(SUM($E118:AL118)/($B$126*4),$AT118-SUM($E129:AK129))</f>
        <v>0</v>
      </c>
      <c r="AM129" s="158">
        <f ca="1">MIN(SUM($E118:AM118)/($B$126*4),$AT118-SUM($E129:AL129))</f>
        <v>0</v>
      </c>
      <c r="AN129" s="158">
        <f ca="1">MIN(SUM($E118:AN118)/($B$126*4),$AT118-SUM($E129:AM129))</f>
        <v>0</v>
      </c>
      <c r="AO129" s="158">
        <f ca="1">MIN(SUM($E118:AO118)/($B$126*4),$AT118-SUM($E129:AN129))</f>
        <v>0</v>
      </c>
      <c r="AP129" s="158">
        <f ca="1">MIN(SUM($E118:AP118)/($B$126*4),$AT118-SUM($E129:AO129))</f>
        <v>0</v>
      </c>
      <c r="AQ129" s="158">
        <f ca="1">MIN(SUM($E118:AQ118)/($B$126*4),$AT118-SUM($E129:AP129))</f>
        <v>0</v>
      </c>
      <c r="AR129" s="158">
        <f ca="1">MIN(SUM($E118:AR118)/($B$126*4),$AT118-SUM($E129:AQ129))</f>
        <v>0</v>
      </c>
      <c r="AS129" s="41"/>
      <c r="AT129" s="84">
        <f t="shared" ca="1" si="76"/>
        <v>0</v>
      </c>
    </row>
    <row r="130" spans="1:46" x14ac:dyDescent="0.2">
      <c r="A130" s="66" t="s">
        <v>675</v>
      </c>
      <c r="B130" s="434">
        <f>B119</f>
        <v>2024</v>
      </c>
      <c r="C130" s="35" t="s">
        <v>455</v>
      </c>
      <c r="D130" s="65"/>
      <c r="E130" s="158">
        <v>0</v>
      </c>
      <c r="F130" s="158">
        <f ca="1">MIN(SUM($E119:F119)/($B$126*4),$AT119-SUM($E130:E130))</f>
        <v>0</v>
      </c>
      <c r="G130" s="158">
        <f ca="1">MIN(SUM($E119:G119)/($B$126*4),$AT119-SUM($E130:F130))</f>
        <v>0</v>
      </c>
      <c r="H130" s="158">
        <f ca="1">MIN(SUM($E119:H119)/($B$126*4),$AT119-SUM($E130:G130))</f>
        <v>0</v>
      </c>
      <c r="I130" s="158">
        <f ca="1">MIN(SUM($E119:I119)/($B$126*4),$AT119-SUM($E130:H130))</f>
        <v>0</v>
      </c>
      <c r="J130" s="158">
        <f ca="1">MIN(SUM($E119:J119)/($B$126*4),$AT119-SUM($E130:I130))</f>
        <v>0</v>
      </c>
      <c r="K130" s="158">
        <f ca="1">MIN(SUM($E119:K119)/($B$126*4),$AT119-SUM($E130:J130))</f>
        <v>0</v>
      </c>
      <c r="L130" s="158">
        <f ca="1">MIN(SUM($E119:L119)/($B$126*4),$AT119-SUM($E130:K130))</f>
        <v>0</v>
      </c>
      <c r="M130" s="158">
        <f ca="1">MIN(SUM($E119:M119)/($B$126*4),$AT119-SUM($E130:L130))</f>
        <v>0</v>
      </c>
      <c r="N130" s="158">
        <f ca="1">MIN(SUM($E119:N119)/($B$126*4),$AT119-SUM($E130:M130))</f>
        <v>0</v>
      </c>
      <c r="O130" s="158">
        <f ca="1">MIN(SUM($E119:O119)/($B$126*4),$AT119-SUM($E130:N130))</f>
        <v>0</v>
      </c>
      <c r="P130" s="158">
        <f ca="1">MIN(SUM($E119:P119)/($B$126*4),$AT119-SUM($E130:O130))</f>
        <v>0</v>
      </c>
      <c r="Q130" s="158">
        <f ca="1">MIN(SUM($E119:Q119)/($B$126*4),$AT119-SUM($E130:P130))</f>
        <v>0</v>
      </c>
      <c r="R130" s="158">
        <f ca="1">MIN(SUM($E119:R119)/($B$126*4),$AT119-SUM($E130:Q130))</f>
        <v>0</v>
      </c>
      <c r="S130" s="158">
        <f ca="1">MIN(SUM($E119:S119)/($B$126*4),$AT119-SUM($E130:R130))</f>
        <v>0</v>
      </c>
      <c r="T130" s="158">
        <f ca="1">MIN(SUM($E119:T119)/($B$126*4),$AT119-SUM($E130:S130))</f>
        <v>0</v>
      </c>
      <c r="U130" s="158">
        <f ca="1">MIN(SUM($E119:U119)/($B$126*4),$AT119-SUM($E130:T130))</f>
        <v>0</v>
      </c>
      <c r="V130" s="158">
        <f ca="1">MIN(SUM($E119:V119)/($B$126*4),$AT119-SUM($E130:U130))</f>
        <v>0</v>
      </c>
      <c r="W130" s="158">
        <f ca="1">MIN(SUM($E119:W119)/($B$126*4),$AT119-SUM($E130:V130))</f>
        <v>0</v>
      </c>
      <c r="X130" s="158">
        <f ca="1">MIN(SUM($E119:X119)/($B$126*4),$AT119-SUM($E130:W130))</f>
        <v>0</v>
      </c>
      <c r="Y130" s="158">
        <f ca="1">MIN(SUM($E119:Y119)/($B$126*4),$AT119-SUM($E130:X130))</f>
        <v>0</v>
      </c>
      <c r="Z130" s="158">
        <f ca="1">MIN(SUM($E119:Z119)/($B$126*4),$AT119-SUM($E130:Y130))</f>
        <v>0</v>
      </c>
      <c r="AA130" s="158">
        <f ca="1">MIN(SUM($E119:AA119)/($B$126*4),$AT119-SUM($E130:Z130))</f>
        <v>0</v>
      </c>
      <c r="AB130" s="158">
        <f ca="1">MIN(SUM($E119:AB119)/($B$126*4),$AT119-SUM($E130:AA130))</f>
        <v>0</v>
      </c>
      <c r="AC130" s="158">
        <f ca="1">MIN(SUM($E119:AC119)/($B$126*4),$AT119-SUM($E130:AB130))</f>
        <v>0</v>
      </c>
      <c r="AD130" s="158">
        <f ca="1">MIN(SUM($E119:AD119)/($B$126*4),$AT119-SUM($E130:AC130))</f>
        <v>0</v>
      </c>
      <c r="AE130" s="158">
        <f ca="1">MIN(SUM($E119:AE119)/($B$126*4),$AT119-SUM($E130:AD130))</f>
        <v>0</v>
      </c>
      <c r="AF130" s="158">
        <f ca="1">MIN(SUM($E119:AF119)/($B$126*4),$AT119-SUM($E130:AE130))</f>
        <v>0</v>
      </c>
      <c r="AG130" s="158">
        <f ca="1">MIN(SUM($E119:AG119)/($B$126*4),$AT119-SUM($E130:AF130))</f>
        <v>0</v>
      </c>
      <c r="AH130" s="158">
        <f ca="1">MIN(SUM($E119:AH119)/($B$126*4),$AT119-SUM($E130:AG130))</f>
        <v>0</v>
      </c>
      <c r="AI130" s="158">
        <f ca="1">MIN(SUM($E119:AI119)/($B$126*4),$AT119-SUM($E130:AH130))</f>
        <v>0</v>
      </c>
      <c r="AJ130" s="158">
        <f ca="1">MIN(SUM($E119:AJ119)/($B$126*4),$AT119-SUM($E130:AI130))</f>
        <v>0</v>
      </c>
      <c r="AK130" s="158">
        <f ca="1">MIN(SUM($E119:AK119)/($B$126*4),$AT119-SUM($E130:AJ130))</f>
        <v>0</v>
      </c>
      <c r="AL130" s="158">
        <f ca="1">MIN(SUM($E119:AL119)/($B$126*4),$AT119-SUM($E130:AK130))</f>
        <v>0</v>
      </c>
      <c r="AM130" s="158">
        <f ca="1">MIN(SUM($E119:AM119)/($B$126*4),$AT119-SUM($E130:AL130))</f>
        <v>0</v>
      </c>
      <c r="AN130" s="158">
        <f ca="1">MIN(SUM($E119:AN119)/($B$126*4),$AT119-SUM($E130:AM130))</f>
        <v>0</v>
      </c>
      <c r="AO130" s="158">
        <f ca="1">MIN(SUM($E119:AO119)/($B$126*4),$AT119-SUM($E130:AN130))</f>
        <v>0</v>
      </c>
      <c r="AP130" s="158">
        <f ca="1">MIN(SUM($E119:AP119)/($B$126*4),$AT119-SUM($E130:AO130))</f>
        <v>0</v>
      </c>
      <c r="AQ130" s="158">
        <f ca="1">MIN(SUM($E119:AQ119)/($B$126*4),$AT119-SUM($E130:AP130))</f>
        <v>0</v>
      </c>
      <c r="AR130" s="158">
        <f ca="1">MIN(SUM($E119:AR119)/($B$126*4),$AT119-SUM($E130:AQ130))</f>
        <v>0</v>
      </c>
      <c r="AS130" s="41"/>
      <c r="AT130" s="84">
        <f t="shared" ca="1" si="76"/>
        <v>0</v>
      </c>
    </row>
    <row r="131" spans="1:46" x14ac:dyDescent="0.2">
      <c r="A131" s="66" t="s">
        <v>675</v>
      </c>
      <c r="B131" s="434">
        <f>B120</f>
        <v>2025</v>
      </c>
      <c r="C131" s="35" t="s">
        <v>455</v>
      </c>
      <c r="D131" s="65"/>
      <c r="E131" s="158">
        <v>0</v>
      </c>
      <c r="F131" s="158">
        <f ca="1">MIN(SUM($E120:F120)/($B$126*4),$AT120-SUM($E131:E131))</f>
        <v>0</v>
      </c>
      <c r="G131" s="158">
        <f ca="1">MIN(SUM($E120:G120)/($B$126*4),$AT120-SUM($E131:F131))</f>
        <v>0</v>
      </c>
      <c r="H131" s="158">
        <f ca="1">MIN(SUM($E120:H120)/($B$126*4),$AT120-SUM($E131:G131))</f>
        <v>0</v>
      </c>
      <c r="I131" s="158">
        <f ca="1">MIN(SUM($E120:I120)/($B$126*4),$AT120-SUM($E131:H131))</f>
        <v>0</v>
      </c>
      <c r="J131" s="158">
        <f ca="1">MIN(SUM($E120:J120)/($B$126*4),$AT120-SUM($E131:I131))</f>
        <v>0</v>
      </c>
      <c r="K131" s="158">
        <f ca="1">MIN(SUM($E120:K120)/($B$126*4),$AT120-SUM($E131:J131))</f>
        <v>0</v>
      </c>
      <c r="L131" s="158">
        <f ca="1">MIN(SUM($E120:L120)/($B$126*4),$AT120-SUM($E131:K131))</f>
        <v>0</v>
      </c>
      <c r="M131" s="158">
        <f ca="1">MIN(SUM($E120:M120)/($B$126*4),$AT120-SUM($E131:L131))</f>
        <v>0</v>
      </c>
      <c r="N131" s="158">
        <f ca="1">MIN(SUM($E120:N120)/($B$126*4),$AT120-SUM($E131:M131))</f>
        <v>0</v>
      </c>
      <c r="O131" s="158">
        <f ca="1">MIN(SUM($E120:O120)/($B$126*4),$AT120-SUM($E131:N131))</f>
        <v>0</v>
      </c>
      <c r="P131" s="158">
        <f ca="1">MIN(SUM($E120:P120)/($B$126*4),$AT120-SUM($E131:O131))</f>
        <v>0</v>
      </c>
      <c r="Q131" s="158">
        <f ca="1">MIN(SUM($E120:Q120)/($B$126*4),$AT120-SUM($E131:P131))</f>
        <v>0</v>
      </c>
      <c r="R131" s="158">
        <f ca="1">MIN(SUM($E120:R120)/($B$126*4),$AT120-SUM($E131:Q131))</f>
        <v>0</v>
      </c>
      <c r="S131" s="158">
        <f ca="1">MIN(SUM($E120:S120)/($B$126*4),$AT120-SUM($E131:R131))</f>
        <v>0</v>
      </c>
      <c r="T131" s="158">
        <f ca="1">MIN(SUM($E120:T120)/($B$126*4),$AT120-SUM($E131:S131))</f>
        <v>0</v>
      </c>
      <c r="U131" s="158">
        <f ca="1">MIN(SUM($E120:U120)/($B$126*4),$AT120-SUM($E131:T131))</f>
        <v>0</v>
      </c>
      <c r="V131" s="158">
        <f ca="1">MIN(SUM($E120:V120)/($B$126*4),$AT120-SUM($E131:U131))</f>
        <v>0</v>
      </c>
      <c r="W131" s="158">
        <f ca="1">MIN(SUM($E120:W120)/($B$126*4),$AT120-SUM($E131:V131))</f>
        <v>0</v>
      </c>
      <c r="X131" s="158">
        <f ca="1">MIN(SUM($E120:X120)/($B$126*4),$AT120-SUM($E131:W131))</f>
        <v>0</v>
      </c>
      <c r="Y131" s="158">
        <f ca="1">MIN(SUM($E120:Y120)/($B$126*4),$AT120-SUM($E131:X131))</f>
        <v>0</v>
      </c>
      <c r="Z131" s="158">
        <f ca="1">MIN(SUM($E120:Z120)/($B$126*4),$AT120-SUM($E131:Y131))</f>
        <v>0</v>
      </c>
      <c r="AA131" s="158">
        <f ca="1">MIN(SUM($E120:AA120)/($B$126*4),$AT120-SUM($E131:Z131))</f>
        <v>0</v>
      </c>
      <c r="AB131" s="158">
        <f ca="1">MIN(SUM($E120:AB120)/($B$126*4),$AT120-SUM($E131:AA131))</f>
        <v>0</v>
      </c>
      <c r="AC131" s="158">
        <f ca="1">MIN(SUM($E120:AC120)/($B$126*4),$AT120-SUM($E131:AB131))</f>
        <v>0</v>
      </c>
      <c r="AD131" s="158">
        <f ca="1">MIN(SUM($E120:AD120)/($B$126*4),$AT120-SUM($E131:AC131))</f>
        <v>0</v>
      </c>
      <c r="AE131" s="158">
        <f ca="1">MIN(SUM($E120:AE120)/($B$126*4),$AT120-SUM($E131:AD131))</f>
        <v>0</v>
      </c>
      <c r="AF131" s="158">
        <f ca="1">MIN(SUM($E120:AF120)/($B$126*4),$AT120-SUM($E131:AE131))</f>
        <v>0</v>
      </c>
      <c r="AG131" s="158">
        <f ca="1">MIN(SUM($E120:AG120)/($B$126*4),$AT120-SUM($E131:AF131))</f>
        <v>0</v>
      </c>
      <c r="AH131" s="158">
        <f ca="1">MIN(SUM($E120:AH120)/($B$126*4),$AT120-SUM($E131:AG131))</f>
        <v>0</v>
      </c>
      <c r="AI131" s="158">
        <f ca="1">MIN(SUM($E120:AI120)/($B$126*4),$AT120-SUM($E131:AH131))</f>
        <v>0</v>
      </c>
      <c r="AJ131" s="158">
        <f ca="1">MIN(SUM($E120:AJ120)/($B$126*4),$AT120-SUM($E131:AI131))</f>
        <v>0</v>
      </c>
      <c r="AK131" s="158">
        <f ca="1">MIN(SUM($E120:AK120)/($B$126*4),$AT120-SUM($E131:AJ131))</f>
        <v>0</v>
      </c>
      <c r="AL131" s="158">
        <f ca="1">MIN(SUM($E120:AL120)/($B$126*4),$AT120-SUM($E131:AK131))</f>
        <v>0</v>
      </c>
      <c r="AM131" s="158">
        <f ca="1">MIN(SUM($E120:AM120)/($B$126*4),$AT120-SUM($E131:AL131))</f>
        <v>0</v>
      </c>
      <c r="AN131" s="158">
        <f ca="1">MIN(SUM($E120:AN120)/($B$126*4),$AT120-SUM($E131:AM131))</f>
        <v>0</v>
      </c>
      <c r="AO131" s="158">
        <f ca="1">MIN(SUM($E120:AO120)/($B$126*4),$AT120-SUM($E131:AN131))</f>
        <v>0</v>
      </c>
      <c r="AP131" s="158">
        <f ca="1">MIN(SUM($E120:AP120)/($B$126*4),$AT120-SUM($E131:AO131))</f>
        <v>0</v>
      </c>
      <c r="AQ131" s="158">
        <f ca="1">MIN(SUM($E120:AQ120)/($B$126*4),$AT120-SUM($E131:AP131))</f>
        <v>0</v>
      </c>
      <c r="AR131" s="158">
        <f ca="1">MIN(SUM($E120:AR120)/($B$126*4),$AT120-SUM($E131:AQ131))</f>
        <v>0</v>
      </c>
      <c r="AS131" s="41"/>
      <c r="AT131" s="84">
        <f t="shared" ca="1" si="76"/>
        <v>0</v>
      </c>
    </row>
    <row r="132" spans="1:46" x14ac:dyDescent="0.2">
      <c r="A132" s="66" t="s">
        <v>675</v>
      </c>
      <c r="B132" s="434">
        <f t="shared" ref="B132:B135" si="77">B121</f>
        <v>2026</v>
      </c>
      <c r="C132" s="35" t="s">
        <v>455</v>
      </c>
      <c r="D132" s="65"/>
      <c r="E132" s="158">
        <v>0</v>
      </c>
      <c r="F132" s="158">
        <f ca="1">MIN(SUM($E121:F121)/($B$126*4),$AT121-SUM($E132:E132))</f>
        <v>0</v>
      </c>
      <c r="G132" s="158">
        <f ca="1">MIN(SUM($E121:G121)/($B$126*4),$AT121-SUM($E132:F132))</f>
        <v>0</v>
      </c>
      <c r="H132" s="158">
        <f ca="1">MIN(SUM($E121:H121)/($B$126*4),$AT121-SUM($E132:G132))</f>
        <v>0</v>
      </c>
      <c r="I132" s="158">
        <f ca="1">MIN(SUM($E121:I121)/($B$126*4),$AT121-SUM($E132:H132))</f>
        <v>0</v>
      </c>
      <c r="J132" s="158">
        <f ca="1">MIN(SUM($E121:J121)/($B$126*4),$AT121-SUM($E132:I132))</f>
        <v>0</v>
      </c>
      <c r="K132" s="158">
        <f ca="1">MIN(SUM($E121:K121)/($B$126*4),$AT121-SUM($E132:J132))</f>
        <v>0</v>
      </c>
      <c r="L132" s="158">
        <f ca="1">MIN(SUM($E121:L121)/($B$126*4),$AT121-SUM($E132:K132))</f>
        <v>0</v>
      </c>
      <c r="M132" s="158">
        <f ca="1">MIN(SUM($E121:M121)/($B$126*4),$AT121-SUM($E132:L132))</f>
        <v>0</v>
      </c>
      <c r="N132" s="158">
        <f ca="1">MIN(SUM($E121:N121)/($B$126*4),$AT121-SUM($E132:M132))</f>
        <v>0</v>
      </c>
      <c r="O132" s="158">
        <f ca="1">MIN(SUM($E121:O121)/($B$126*4),$AT121-SUM($E132:N132))</f>
        <v>0</v>
      </c>
      <c r="P132" s="158">
        <f ca="1">MIN(SUM($E121:P121)/($B$126*4),$AT121-SUM($E132:O132))</f>
        <v>0</v>
      </c>
      <c r="Q132" s="158">
        <f ca="1">MIN(SUM($E121:Q121)/($B$126*4),$AT121-SUM($E132:P132))</f>
        <v>0</v>
      </c>
      <c r="R132" s="158">
        <f ca="1">MIN(SUM($E121:R121)/($B$126*4),$AT121-SUM($E132:Q132))</f>
        <v>0</v>
      </c>
      <c r="S132" s="158">
        <f ca="1">MIN(SUM($E121:S121)/($B$126*4),$AT121-SUM($E132:R132))</f>
        <v>0</v>
      </c>
      <c r="T132" s="158">
        <f ca="1">MIN(SUM($E121:T121)/($B$126*4),$AT121-SUM($E132:S132))</f>
        <v>0</v>
      </c>
      <c r="U132" s="158">
        <f ca="1">MIN(SUM($E121:U121)/($B$126*4),$AT121-SUM($E132:T132))</f>
        <v>0</v>
      </c>
      <c r="V132" s="158">
        <f ca="1">MIN(SUM($E121:V121)/($B$126*4),$AT121-SUM($E132:U132))</f>
        <v>0</v>
      </c>
      <c r="W132" s="158">
        <f ca="1">MIN(SUM($E121:W121)/($B$126*4),$AT121-SUM($E132:V132))</f>
        <v>0</v>
      </c>
      <c r="X132" s="158">
        <f ca="1">MIN(SUM($E121:X121)/($B$126*4),$AT121-SUM($E132:W132))</f>
        <v>0</v>
      </c>
      <c r="Y132" s="158">
        <f ca="1">MIN(SUM($E121:Y121)/($B$126*4),$AT121-SUM($E132:X132))</f>
        <v>0</v>
      </c>
      <c r="Z132" s="158">
        <f ca="1">MIN(SUM($E121:Z121)/($B$126*4),$AT121-SUM($E132:Y132))</f>
        <v>0</v>
      </c>
      <c r="AA132" s="158">
        <f ca="1">MIN(SUM($E121:AA121)/($B$126*4),$AT121-SUM($E132:Z132))</f>
        <v>0</v>
      </c>
      <c r="AB132" s="158">
        <f ca="1">MIN(SUM($E121:AB121)/($B$126*4),$AT121-SUM($E132:AA132))</f>
        <v>0</v>
      </c>
      <c r="AC132" s="158">
        <f ca="1">MIN(SUM($E121:AC121)/($B$126*4),$AT121-SUM($E132:AB132))</f>
        <v>0</v>
      </c>
      <c r="AD132" s="158">
        <f ca="1">MIN(SUM($E121:AD121)/($B$126*4),$AT121-SUM($E132:AC132))</f>
        <v>0</v>
      </c>
      <c r="AE132" s="158">
        <f ca="1">MIN(SUM($E121:AE121)/($B$126*4),$AT121-SUM($E132:AD132))</f>
        <v>0</v>
      </c>
      <c r="AF132" s="158">
        <f ca="1">MIN(SUM($E121:AF121)/($B$126*4),$AT121-SUM($E132:AE132))</f>
        <v>0</v>
      </c>
      <c r="AG132" s="158">
        <f ca="1">MIN(SUM($E121:AG121)/($B$126*4),$AT121-SUM($E132:AF132))</f>
        <v>0</v>
      </c>
      <c r="AH132" s="158">
        <f ca="1">MIN(SUM($E121:AH121)/($B$126*4),$AT121-SUM($E132:AG132))</f>
        <v>0</v>
      </c>
      <c r="AI132" s="158">
        <f ca="1">MIN(SUM($E121:AI121)/($B$126*4),$AT121-SUM($E132:AH132))</f>
        <v>0</v>
      </c>
      <c r="AJ132" s="158">
        <f ca="1">MIN(SUM($E121:AJ121)/($B$126*4),$AT121-SUM($E132:AI132))</f>
        <v>0</v>
      </c>
      <c r="AK132" s="158">
        <f ca="1">MIN(SUM($E121:AK121)/($B$126*4),$AT121-SUM($E132:AJ132))</f>
        <v>0</v>
      </c>
      <c r="AL132" s="158">
        <f ca="1">MIN(SUM($E121:AL121)/($B$126*4),$AT121-SUM($E132:AK132))</f>
        <v>0</v>
      </c>
      <c r="AM132" s="158">
        <f ca="1">MIN(SUM($E121:AM121)/($B$126*4),$AT121-SUM($E132:AL132))</f>
        <v>0</v>
      </c>
      <c r="AN132" s="158">
        <f ca="1">MIN(SUM($E121:AN121)/($B$126*4),$AT121-SUM($E132:AM132))</f>
        <v>0</v>
      </c>
      <c r="AO132" s="158">
        <f ca="1">MIN(SUM($E121:AO121)/($B$126*4),$AT121-SUM($E132:AN132))</f>
        <v>0</v>
      </c>
      <c r="AP132" s="158">
        <f ca="1">MIN(SUM($E121:AP121)/($B$126*4),$AT121-SUM($E132:AO132))</f>
        <v>0</v>
      </c>
      <c r="AQ132" s="158">
        <f ca="1">MIN(SUM($E121:AQ121)/($B$126*4),$AT121-SUM($E132:AP132))</f>
        <v>0</v>
      </c>
      <c r="AR132" s="158">
        <f ca="1">MIN(SUM($E121:AR121)/($B$126*4),$AT121-SUM($E132:AQ132))</f>
        <v>0</v>
      </c>
      <c r="AS132" s="41"/>
      <c r="AT132" s="84">
        <f t="shared" ca="1" si="76"/>
        <v>0</v>
      </c>
    </row>
    <row r="133" spans="1:46" x14ac:dyDescent="0.2">
      <c r="A133" s="66" t="s">
        <v>675</v>
      </c>
      <c r="B133" s="434">
        <f t="shared" si="77"/>
        <v>2027</v>
      </c>
      <c r="C133" s="35" t="s">
        <v>455</v>
      </c>
      <c r="D133" s="65"/>
      <c r="E133" s="158">
        <v>0</v>
      </c>
      <c r="F133" s="158">
        <f ca="1">MIN(SUM($E122:F122)/($B$126*4),$AT122-SUM($E133:E133))</f>
        <v>0</v>
      </c>
      <c r="G133" s="158">
        <f ca="1">MIN(SUM($E122:G122)/($B$126*4),$AT122-SUM($E133:F133))</f>
        <v>0</v>
      </c>
      <c r="H133" s="158">
        <f ca="1">MIN(SUM($E122:H122)/($B$126*4),$AT122-SUM($E133:G133))</f>
        <v>0</v>
      </c>
      <c r="I133" s="158">
        <f ca="1">MIN(SUM($E122:I122)/($B$126*4),$AT122-SUM($E133:H133))</f>
        <v>0</v>
      </c>
      <c r="J133" s="158">
        <f ca="1">MIN(SUM($E122:J122)/($B$126*4),$AT122-SUM($E133:I133))</f>
        <v>0</v>
      </c>
      <c r="K133" s="158">
        <f ca="1">MIN(SUM($E122:K122)/($B$126*4),$AT122-SUM($E133:J133))</f>
        <v>0</v>
      </c>
      <c r="L133" s="158">
        <f ca="1">MIN(SUM($E122:L122)/($B$126*4),$AT122-SUM($E133:K133))</f>
        <v>0</v>
      </c>
      <c r="M133" s="158">
        <f ca="1">MIN(SUM($E122:M122)/($B$126*4),$AT122-SUM($E133:L133))</f>
        <v>0</v>
      </c>
      <c r="N133" s="158">
        <f ca="1">MIN(SUM($E122:N122)/($B$126*4),$AT122-SUM($E133:M133))</f>
        <v>0</v>
      </c>
      <c r="O133" s="158">
        <f ca="1">MIN(SUM($E122:O122)/($B$126*4),$AT122-SUM($E133:N133))</f>
        <v>0</v>
      </c>
      <c r="P133" s="158">
        <f ca="1">MIN(SUM($E122:P122)/($B$126*4),$AT122-SUM($E133:O133))</f>
        <v>0</v>
      </c>
      <c r="Q133" s="158">
        <f ca="1">MIN(SUM($E122:Q122)/($B$126*4),$AT122-SUM($E133:P133))</f>
        <v>0</v>
      </c>
      <c r="R133" s="158">
        <f ca="1">MIN(SUM($E122:R122)/($B$126*4),$AT122-SUM($E133:Q133))</f>
        <v>0</v>
      </c>
      <c r="S133" s="158">
        <f ca="1">MIN(SUM($E122:S122)/($B$126*4),$AT122-SUM($E133:R133))</f>
        <v>0</v>
      </c>
      <c r="T133" s="158">
        <f ca="1">MIN(SUM($E122:T122)/($B$126*4),$AT122-SUM($E133:S133))</f>
        <v>0</v>
      </c>
      <c r="U133" s="158">
        <f ca="1">MIN(SUM($E122:U122)/($B$126*4),$AT122-SUM($E133:T133))</f>
        <v>0</v>
      </c>
      <c r="V133" s="158">
        <f ca="1">MIN(SUM($E122:V122)/($B$126*4),$AT122-SUM($E133:U133))</f>
        <v>0</v>
      </c>
      <c r="W133" s="158">
        <f ca="1">MIN(SUM($E122:W122)/($B$126*4),$AT122-SUM($E133:V133))</f>
        <v>0</v>
      </c>
      <c r="X133" s="158">
        <f ca="1">MIN(SUM($E122:X122)/($B$126*4),$AT122-SUM($E133:W133))</f>
        <v>0</v>
      </c>
      <c r="Y133" s="158">
        <f ca="1">MIN(SUM($E122:Y122)/($B$126*4),$AT122-SUM($E133:X133))</f>
        <v>0</v>
      </c>
      <c r="Z133" s="158">
        <f ca="1">MIN(SUM($E122:Z122)/($B$126*4),$AT122-SUM($E133:Y133))</f>
        <v>0</v>
      </c>
      <c r="AA133" s="158">
        <f ca="1">MIN(SUM($E122:AA122)/($B$126*4),$AT122-SUM($E133:Z133))</f>
        <v>0</v>
      </c>
      <c r="AB133" s="158">
        <f ca="1">MIN(SUM($E122:AB122)/($B$126*4),$AT122-SUM($E133:AA133))</f>
        <v>0</v>
      </c>
      <c r="AC133" s="158">
        <f ca="1">MIN(SUM($E122:AC122)/($B$126*4),$AT122-SUM($E133:AB133))</f>
        <v>0</v>
      </c>
      <c r="AD133" s="158">
        <f ca="1">MIN(SUM($E122:AD122)/($B$126*4),$AT122-SUM($E133:AC133))</f>
        <v>0</v>
      </c>
      <c r="AE133" s="158">
        <f ca="1">MIN(SUM($E122:AE122)/($B$126*4),$AT122-SUM($E133:AD133))</f>
        <v>0</v>
      </c>
      <c r="AF133" s="158">
        <f ca="1">MIN(SUM($E122:AF122)/($B$126*4),$AT122-SUM($E133:AE133))</f>
        <v>0</v>
      </c>
      <c r="AG133" s="158">
        <f ca="1">MIN(SUM($E122:AG122)/($B$126*4),$AT122-SUM($E133:AF133))</f>
        <v>0</v>
      </c>
      <c r="AH133" s="158">
        <f ca="1">MIN(SUM($E122:AH122)/($B$126*4),$AT122-SUM($E133:AG133))</f>
        <v>0</v>
      </c>
      <c r="AI133" s="158">
        <f ca="1">MIN(SUM($E122:AI122)/($B$126*4),$AT122-SUM($E133:AH133))</f>
        <v>0</v>
      </c>
      <c r="AJ133" s="158">
        <f ca="1">MIN(SUM($E122:AJ122)/($B$126*4),$AT122-SUM($E133:AI133))</f>
        <v>0</v>
      </c>
      <c r="AK133" s="158">
        <f ca="1">MIN(SUM($E122:AK122)/($B$126*4),$AT122-SUM($E133:AJ133))</f>
        <v>0</v>
      </c>
      <c r="AL133" s="158">
        <f ca="1">MIN(SUM($E122:AL122)/($B$126*4),$AT122-SUM($E133:AK133))</f>
        <v>0</v>
      </c>
      <c r="AM133" s="158">
        <f ca="1">MIN(SUM($E122:AM122)/($B$126*4),$AT122-SUM($E133:AL133))</f>
        <v>0</v>
      </c>
      <c r="AN133" s="158">
        <f ca="1">MIN(SUM($E122:AN122)/($B$126*4),$AT122-SUM($E133:AM133))</f>
        <v>0</v>
      </c>
      <c r="AO133" s="158">
        <f ca="1">MIN(SUM($E122:AO122)/($B$126*4),$AT122-SUM($E133:AN133))</f>
        <v>0</v>
      </c>
      <c r="AP133" s="158">
        <f ca="1">MIN(SUM($E122:AP122)/($B$126*4),$AT122-SUM($E133:AO133))</f>
        <v>0</v>
      </c>
      <c r="AQ133" s="158">
        <f ca="1">MIN(SUM($E122:AQ122)/($B$126*4),$AT122-SUM($E133:AP133))</f>
        <v>0</v>
      </c>
      <c r="AR133" s="158">
        <f ca="1">MIN(SUM($E122:AR122)/($B$126*4),$AT122-SUM($E133:AQ133))</f>
        <v>0</v>
      </c>
      <c r="AS133" s="41"/>
      <c r="AT133" s="84">
        <f t="shared" ca="1" si="76"/>
        <v>0</v>
      </c>
    </row>
    <row r="134" spans="1:46" x14ac:dyDescent="0.2">
      <c r="A134" s="66" t="s">
        <v>675</v>
      </c>
      <c r="B134" s="434">
        <f t="shared" si="77"/>
        <v>2028</v>
      </c>
      <c r="C134" s="35" t="s">
        <v>455</v>
      </c>
      <c r="D134" s="65"/>
      <c r="E134" s="158">
        <v>0</v>
      </c>
      <c r="F134" s="158">
        <f ca="1">MIN(SUM($E123:F123)/($B$126*4),$AT123-SUM($E134:E134))</f>
        <v>0</v>
      </c>
      <c r="G134" s="158">
        <f ca="1">MIN(SUM($E123:G123)/($B$126*4),$AT123-SUM($E134:F134))</f>
        <v>0</v>
      </c>
      <c r="H134" s="158">
        <f ca="1">MIN(SUM($E123:H123)/($B$126*4),$AT123-SUM($E134:G134))</f>
        <v>0</v>
      </c>
      <c r="I134" s="158">
        <f ca="1">MIN(SUM($E123:I123)/($B$126*4),$AT123-SUM($E134:H134))</f>
        <v>0</v>
      </c>
      <c r="J134" s="158">
        <f ca="1">MIN(SUM($E123:J123)/($B$126*4),$AT123-SUM($E134:I134))</f>
        <v>0</v>
      </c>
      <c r="K134" s="158">
        <f ca="1">MIN(SUM($E123:K123)/($B$126*4),$AT123-SUM($E134:J134))</f>
        <v>0</v>
      </c>
      <c r="L134" s="158">
        <f ca="1">MIN(SUM($E123:L123)/($B$126*4),$AT123-SUM($E134:K134))</f>
        <v>0</v>
      </c>
      <c r="M134" s="158">
        <f ca="1">MIN(SUM($E123:M123)/($B$126*4),$AT123-SUM($E134:L134))</f>
        <v>0</v>
      </c>
      <c r="N134" s="158">
        <f ca="1">MIN(SUM($E123:N123)/($B$126*4),$AT123-SUM($E134:M134))</f>
        <v>0</v>
      </c>
      <c r="O134" s="158">
        <f ca="1">MIN(SUM($E123:O123)/($B$126*4),$AT123-SUM($E134:N134))</f>
        <v>0</v>
      </c>
      <c r="P134" s="158">
        <f ca="1">MIN(SUM($E123:P123)/($B$126*4),$AT123-SUM($E134:O134))</f>
        <v>0</v>
      </c>
      <c r="Q134" s="158">
        <f ca="1">MIN(SUM($E123:Q123)/($B$126*4),$AT123-SUM($E134:P134))</f>
        <v>0</v>
      </c>
      <c r="R134" s="158">
        <f ca="1">MIN(SUM($E123:R123)/($B$126*4),$AT123-SUM($E134:Q134))</f>
        <v>0</v>
      </c>
      <c r="S134" s="158">
        <f ca="1">MIN(SUM($E123:S123)/($B$126*4),$AT123-SUM($E134:R134))</f>
        <v>0</v>
      </c>
      <c r="T134" s="158">
        <f ca="1">MIN(SUM($E123:T123)/($B$126*4),$AT123-SUM($E134:S134))</f>
        <v>0</v>
      </c>
      <c r="U134" s="158">
        <f ca="1">MIN(SUM($E123:U123)/($B$126*4),$AT123-SUM($E134:T134))</f>
        <v>0</v>
      </c>
      <c r="V134" s="158">
        <f ca="1">MIN(SUM($E123:V123)/($B$126*4),$AT123-SUM($E134:U134))</f>
        <v>0</v>
      </c>
      <c r="W134" s="158">
        <f ca="1">MIN(SUM($E123:W123)/($B$126*4),$AT123-SUM($E134:V134))</f>
        <v>0</v>
      </c>
      <c r="X134" s="158">
        <f ca="1">MIN(SUM($E123:X123)/($B$126*4),$AT123-SUM($E134:W134))</f>
        <v>0</v>
      </c>
      <c r="Y134" s="158">
        <f ca="1">MIN(SUM($E123:Y123)/($B$126*4),$AT123-SUM($E134:X134))</f>
        <v>0</v>
      </c>
      <c r="Z134" s="158">
        <f ca="1">MIN(SUM($E123:Z123)/($B$126*4),$AT123-SUM($E134:Y134))</f>
        <v>0</v>
      </c>
      <c r="AA134" s="158">
        <f ca="1">MIN(SUM($E123:AA123)/($B$126*4),$AT123-SUM($E134:Z134))</f>
        <v>0</v>
      </c>
      <c r="AB134" s="158">
        <f ca="1">MIN(SUM($E123:AB123)/($B$126*4),$AT123-SUM($E134:AA134))</f>
        <v>0</v>
      </c>
      <c r="AC134" s="158">
        <f ca="1">MIN(SUM($E123:AC123)/($B$126*4),$AT123-SUM($E134:AB134))</f>
        <v>0</v>
      </c>
      <c r="AD134" s="158">
        <f ca="1">MIN(SUM($E123:AD123)/($B$126*4),$AT123-SUM($E134:AC134))</f>
        <v>0</v>
      </c>
      <c r="AE134" s="158">
        <f ca="1">MIN(SUM($E123:AE123)/($B$126*4),$AT123-SUM($E134:AD134))</f>
        <v>0</v>
      </c>
      <c r="AF134" s="158">
        <f ca="1">MIN(SUM($E123:AF123)/($B$126*4),$AT123-SUM($E134:AE134))</f>
        <v>0</v>
      </c>
      <c r="AG134" s="158">
        <f ca="1">MIN(SUM($E123:AG123)/($B$126*4),$AT123-SUM($E134:AF134))</f>
        <v>0</v>
      </c>
      <c r="AH134" s="158">
        <f ca="1">MIN(SUM($E123:AH123)/($B$126*4),$AT123-SUM($E134:AG134))</f>
        <v>0</v>
      </c>
      <c r="AI134" s="158">
        <f ca="1">MIN(SUM($E123:AI123)/($B$126*4),$AT123-SUM($E134:AH134))</f>
        <v>0</v>
      </c>
      <c r="AJ134" s="158">
        <f ca="1">MIN(SUM($E123:AJ123)/($B$126*4),$AT123-SUM($E134:AI134))</f>
        <v>0</v>
      </c>
      <c r="AK134" s="158">
        <f ca="1">MIN(SUM($E123:AK123)/($B$126*4),$AT123-SUM($E134:AJ134))</f>
        <v>0</v>
      </c>
      <c r="AL134" s="158">
        <f ca="1">MIN(SUM($E123:AL123)/($B$126*4),$AT123-SUM($E134:AK134))</f>
        <v>0</v>
      </c>
      <c r="AM134" s="158">
        <f ca="1">MIN(SUM($E123:AM123)/($B$126*4),$AT123-SUM($E134:AL134))</f>
        <v>5117.8707775536286</v>
      </c>
      <c r="AN134" s="158">
        <f ca="1">MIN(SUM($E123:AN123)/($B$126*4),$AT123-SUM($E134:AM134))</f>
        <v>5117.8707775536286</v>
      </c>
      <c r="AO134" s="158">
        <f ca="1">MIN(SUM($E123:AO123)/($B$126*4),$AT123-SUM($E134:AN134))</f>
        <v>5117.8707775536286</v>
      </c>
      <c r="AP134" s="158">
        <f ca="1">MIN(SUM($E123:AP123)/($B$126*4),$AT123-SUM($E134:AO134))</f>
        <v>5117.8707775536286</v>
      </c>
      <c r="AQ134" s="158">
        <f ca="1">MIN(SUM($E123:AQ123)/($B$126*4),$AT123-SUM($E134:AP134))</f>
        <v>5117.8707775536286</v>
      </c>
      <c r="AR134" s="158">
        <f ca="1">MIN(SUM($E123:AR123)/($B$126*4),$AT123-SUM($E134:AQ134))</f>
        <v>5117.8707775536286</v>
      </c>
      <c r="AS134" s="41"/>
      <c r="AT134" s="84">
        <f t="shared" ca="1" si="76"/>
        <v>30707.22466532177</v>
      </c>
    </row>
    <row r="135" spans="1:46" x14ac:dyDescent="0.2">
      <c r="A135" s="66" t="s">
        <v>675</v>
      </c>
      <c r="B135" s="434">
        <f t="shared" si="77"/>
        <v>2029</v>
      </c>
      <c r="C135" s="35" t="s">
        <v>455</v>
      </c>
      <c r="D135" s="65"/>
      <c r="E135" s="158">
        <v>0</v>
      </c>
      <c r="F135" s="158">
        <f ca="1">MIN(SUM($E124:F124)/($B$126*4),$AT124-SUM($E135:E135))</f>
        <v>0</v>
      </c>
      <c r="G135" s="158">
        <f ca="1">MIN(SUM($E124:G124)/($B$126*4),$AT124-SUM($E135:F135))</f>
        <v>0</v>
      </c>
      <c r="H135" s="158">
        <f ca="1">MIN(SUM($E124:H124)/($B$126*4),$AT124-SUM($E135:G135))</f>
        <v>0</v>
      </c>
      <c r="I135" s="158">
        <f ca="1">MIN(SUM($E124:I124)/($B$126*4),$AT124-SUM($E135:H135))</f>
        <v>0</v>
      </c>
      <c r="J135" s="158">
        <f ca="1">MIN(SUM($E124:J124)/($B$126*4),$AT124-SUM($E135:I135))</f>
        <v>0</v>
      </c>
      <c r="K135" s="158">
        <f ca="1">MIN(SUM($E124:K124)/($B$126*4),$AT124-SUM($E135:J135))</f>
        <v>0</v>
      </c>
      <c r="L135" s="158">
        <f ca="1">MIN(SUM($E124:L124)/($B$126*4),$AT124-SUM($E135:K135))</f>
        <v>0</v>
      </c>
      <c r="M135" s="158">
        <f ca="1">MIN(SUM($E124:M124)/($B$126*4),$AT124-SUM($E135:L135))</f>
        <v>0</v>
      </c>
      <c r="N135" s="158">
        <f ca="1">MIN(SUM($E124:N124)/($B$126*4),$AT124-SUM($E135:M135))</f>
        <v>0</v>
      </c>
      <c r="O135" s="158">
        <f ca="1">MIN(SUM($E124:O124)/($B$126*4),$AT124-SUM($E135:N135))</f>
        <v>0</v>
      </c>
      <c r="P135" s="158">
        <f ca="1">MIN(SUM($E124:P124)/($B$126*4),$AT124-SUM($E135:O135))</f>
        <v>0</v>
      </c>
      <c r="Q135" s="158">
        <f ca="1">MIN(SUM($E124:Q124)/($B$126*4),$AT124-SUM($E135:P135))</f>
        <v>0</v>
      </c>
      <c r="R135" s="158">
        <f ca="1">MIN(SUM($E124:R124)/($B$126*4),$AT124-SUM($E135:Q135))</f>
        <v>0</v>
      </c>
      <c r="S135" s="158">
        <f ca="1">MIN(SUM($E124:S124)/($B$126*4),$AT124-SUM($E135:R135))</f>
        <v>0</v>
      </c>
      <c r="T135" s="158">
        <f ca="1">MIN(SUM($E124:T124)/($B$126*4),$AT124-SUM($E135:S135))</f>
        <v>0</v>
      </c>
      <c r="U135" s="158">
        <f ca="1">MIN(SUM($E124:U124)/($B$126*4),$AT124-SUM($E135:T135))</f>
        <v>0</v>
      </c>
      <c r="V135" s="158">
        <f ca="1">MIN(SUM($E124:V124)/($B$126*4),$AT124-SUM($E135:U135))</f>
        <v>0</v>
      </c>
      <c r="W135" s="158">
        <f ca="1">MIN(SUM($E124:W124)/($B$126*4),$AT124-SUM($E135:V135))</f>
        <v>0</v>
      </c>
      <c r="X135" s="158">
        <f ca="1">MIN(SUM($E124:X124)/($B$126*4),$AT124-SUM($E135:W135))</f>
        <v>0</v>
      </c>
      <c r="Y135" s="158">
        <f ca="1">MIN(SUM($E124:Y124)/($B$126*4),$AT124-SUM($E135:X135))</f>
        <v>0</v>
      </c>
      <c r="Z135" s="158">
        <f ca="1">MIN(SUM($E124:Z124)/($B$126*4),$AT124-SUM($E135:Y135))</f>
        <v>0</v>
      </c>
      <c r="AA135" s="158">
        <f ca="1">MIN(SUM($E124:AA124)/($B$126*4),$AT124-SUM($E135:Z135))</f>
        <v>0</v>
      </c>
      <c r="AB135" s="158">
        <f ca="1">MIN(SUM($E124:AB124)/($B$126*4),$AT124-SUM($E135:AA135))</f>
        <v>0</v>
      </c>
      <c r="AC135" s="158">
        <f ca="1">MIN(SUM($E124:AC124)/($B$126*4),$AT124-SUM($E135:AB135))</f>
        <v>0</v>
      </c>
      <c r="AD135" s="158">
        <f ca="1">MIN(SUM($E124:AD124)/($B$126*4),$AT124-SUM($E135:AC135))</f>
        <v>0</v>
      </c>
      <c r="AE135" s="158">
        <f ca="1">MIN(SUM($E124:AE124)/($B$126*4),$AT124-SUM($E135:AD135))</f>
        <v>0</v>
      </c>
      <c r="AF135" s="158">
        <f ca="1">MIN(SUM($E124:AF124)/($B$126*4),$AT124-SUM($E135:AE135))</f>
        <v>0</v>
      </c>
      <c r="AG135" s="158">
        <f ca="1">MIN(SUM($E124:AG124)/($B$126*4),$AT124-SUM($E135:AF135))</f>
        <v>0</v>
      </c>
      <c r="AH135" s="158">
        <f ca="1">MIN(SUM($E124:AH124)/($B$126*4),$AT124-SUM($E135:AG135))</f>
        <v>0</v>
      </c>
      <c r="AI135" s="158">
        <f ca="1">MIN(SUM($E124:AI124)/($B$126*4),$AT124-SUM($E135:AH135))</f>
        <v>0</v>
      </c>
      <c r="AJ135" s="158">
        <f ca="1">MIN(SUM($E124:AJ124)/($B$126*4),$AT124-SUM($E135:AI135))</f>
        <v>0</v>
      </c>
      <c r="AK135" s="158">
        <f ca="1">MIN(SUM($E124:AK124)/($B$126*4),$AT124-SUM($E135:AJ135))</f>
        <v>0</v>
      </c>
      <c r="AL135" s="158">
        <f ca="1">MIN(SUM($E124:AL124)/($B$126*4),$AT124-SUM($E135:AK135))</f>
        <v>0</v>
      </c>
      <c r="AM135" s="158">
        <f ca="1">MIN(SUM($E124:AM124)/($B$126*4),$AT124-SUM($E135:AL135))</f>
        <v>0</v>
      </c>
      <c r="AN135" s="158">
        <f ca="1">MIN(SUM($E124:AN124)/($B$126*4),$AT124-SUM($E135:AM135))</f>
        <v>0</v>
      </c>
      <c r="AO135" s="158">
        <f ca="1">MIN(SUM($E124:AO124)/($B$126*4),$AT124-SUM($E135:AN135))</f>
        <v>0</v>
      </c>
      <c r="AP135" s="158">
        <f ca="1">MIN(SUM($E124:AP124)/($B$126*4),$AT124-SUM($E135:AO135))</f>
        <v>0</v>
      </c>
      <c r="AQ135" s="158">
        <f ca="1">MIN(SUM($E124:AQ124)/($B$126*4),$AT124-SUM($E135:AP135))</f>
        <v>79708.761968340186</v>
      </c>
      <c r="AR135" s="158">
        <f ca="1">MIN(SUM($E124:AR124)/($B$126*4),$AT124-SUM($E135:AQ135))</f>
        <v>79708.761968340186</v>
      </c>
      <c r="AS135" s="41"/>
      <c r="AT135" s="84">
        <f t="shared" ca="1" si="76"/>
        <v>159417.52393668037</v>
      </c>
    </row>
    <row r="136" spans="1:46" s="60" customFormat="1" x14ac:dyDescent="0.2">
      <c r="A136" s="50" t="s">
        <v>679</v>
      </c>
      <c r="B136" s="549"/>
      <c r="C136" s="396" t="s">
        <v>455</v>
      </c>
      <c r="D136" s="159"/>
      <c r="E136" s="160">
        <f t="shared" ref="E136:T136" si="78">SUM(E127:E135)</f>
        <v>0</v>
      </c>
      <c r="F136" s="160">
        <f t="shared" ca="1" si="78"/>
        <v>0</v>
      </c>
      <c r="G136" s="160">
        <f t="shared" ca="1" si="78"/>
        <v>0</v>
      </c>
      <c r="H136" s="160">
        <f t="shared" ca="1" si="78"/>
        <v>0</v>
      </c>
      <c r="I136" s="160">
        <f t="shared" ca="1" si="78"/>
        <v>0</v>
      </c>
      <c r="J136" s="160">
        <f t="shared" ca="1" si="78"/>
        <v>0</v>
      </c>
      <c r="K136" s="160">
        <f t="shared" ca="1" si="78"/>
        <v>0</v>
      </c>
      <c r="L136" s="160">
        <f t="shared" ca="1" si="78"/>
        <v>0</v>
      </c>
      <c r="M136" s="160">
        <f t="shared" ca="1" si="78"/>
        <v>0</v>
      </c>
      <c r="N136" s="160">
        <f t="shared" ca="1" si="78"/>
        <v>0</v>
      </c>
      <c r="O136" s="160">
        <f t="shared" ca="1" si="78"/>
        <v>0</v>
      </c>
      <c r="P136" s="160">
        <f t="shared" ca="1" si="78"/>
        <v>0</v>
      </c>
      <c r="Q136" s="160">
        <f t="shared" ca="1" si="78"/>
        <v>0</v>
      </c>
      <c r="R136" s="160">
        <f t="shared" ca="1" si="78"/>
        <v>0</v>
      </c>
      <c r="S136" s="160">
        <f t="shared" ca="1" si="78"/>
        <v>0</v>
      </c>
      <c r="T136" s="160">
        <f t="shared" ca="1" si="78"/>
        <v>0</v>
      </c>
      <c r="U136" s="160">
        <f t="shared" ref="U136:AR136" ca="1" si="79">SUM(U127:U135)</f>
        <v>0</v>
      </c>
      <c r="V136" s="160">
        <f t="shared" ca="1" si="79"/>
        <v>0</v>
      </c>
      <c r="W136" s="160">
        <f t="shared" ca="1" si="79"/>
        <v>0</v>
      </c>
      <c r="X136" s="160">
        <f t="shared" ca="1" si="79"/>
        <v>0</v>
      </c>
      <c r="Y136" s="160">
        <f t="shared" ca="1" si="79"/>
        <v>0</v>
      </c>
      <c r="Z136" s="160">
        <f t="shared" ca="1" si="79"/>
        <v>0</v>
      </c>
      <c r="AA136" s="160">
        <f t="shared" ca="1" si="79"/>
        <v>0</v>
      </c>
      <c r="AB136" s="160">
        <f t="shared" ca="1" si="79"/>
        <v>0</v>
      </c>
      <c r="AC136" s="160">
        <f t="shared" ca="1" si="79"/>
        <v>0</v>
      </c>
      <c r="AD136" s="160">
        <f t="shared" ca="1" si="79"/>
        <v>0</v>
      </c>
      <c r="AE136" s="160">
        <f t="shared" ca="1" si="79"/>
        <v>0</v>
      </c>
      <c r="AF136" s="160">
        <f t="shared" ca="1" si="79"/>
        <v>0</v>
      </c>
      <c r="AG136" s="160">
        <f t="shared" ca="1" si="79"/>
        <v>0</v>
      </c>
      <c r="AH136" s="160">
        <f t="shared" ca="1" si="79"/>
        <v>0</v>
      </c>
      <c r="AI136" s="160">
        <f t="shared" ca="1" si="79"/>
        <v>0</v>
      </c>
      <c r="AJ136" s="160">
        <f t="shared" ca="1" si="79"/>
        <v>0</v>
      </c>
      <c r="AK136" s="160">
        <f t="shared" ca="1" si="79"/>
        <v>0</v>
      </c>
      <c r="AL136" s="160">
        <f t="shared" ca="1" si="79"/>
        <v>0</v>
      </c>
      <c r="AM136" s="160">
        <f t="shared" ca="1" si="79"/>
        <v>5117.8707775536286</v>
      </c>
      <c r="AN136" s="160">
        <f t="shared" ca="1" si="79"/>
        <v>5117.8707775536286</v>
      </c>
      <c r="AO136" s="160">
        <f t="shared" ca="1" si="79"/>
        <v>5117.8707775536286</v>
      </c>
      <c r="AP136" s="160">
        <f t="shared" ca="1" si="79"/>
        <v>5117.8707775536286</v>
      </c>
      <c r="AQ136" s="160">
        <f t="shared" ca="1" si="79"/>
        <v>84826.632745893818</v>
      </c>
      <c r="AR136" s="160">
        <f t="shared" ca="1" si="79"/>
        <v>84826.632745893818</v>
      </c>
      <c r="AS136" s="135"/>
      <c r="AT136" s="137">
        <f t="shared" ca="1" si="76"/>
        <v>190124.74860200216</v>
      </c>
    </row>
    <row r="138" spans="1:46" x14ac:dyDescent="0.2">
      <c r="A138" s="46"/>
      <c r="B138" s="46"/>
      <c r="C138" s="46"/>
      <c r="D138" s="47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73"/>
      <c r="AT138" s="91"/>
    </row>
    <row r="140" spans="1:46" ht="12" thickBot="1" x14ac:dyDescent="0.25"/>
    <row r="141" spans="1:46" s="43" customFormat="1" ht="25.5" customHeight="1" thickBot="1" x14ac:dyDescent="0.25">
      <c r="A141" s="481" t="s">
        <v>683</v>
      </c>
      <c r="B141" s="479"/>
      <c r="C141" s="485"/>
      <c r="D141" s="486"/>
      <c r="E141" s="479" t="str">
        <f>CHOOSE($D$2,Параметры!E$53,Параметры!E$54)</f>
        <v>1 кв. 2020</v>
      </c>
      <c r="F141" s="479" t="str">
        <f>CHOOSE($D$2,Параметры!F$53,Параметры!F$54)</f>
        <v>2 кв. 2020</v>
      </c>
      <c r="G141" s="479" t="str">
        <f>CHOOSE($D$2,Параметры!G$53,Параметры!G$54)</f>
        <v>3 кв. 2020</v>
      </c>
      <c r="H141" s="479" t="str">
        <f>CHOOSE($D$2,Параметры!H$53,Параметры!H$54)</f>
        <v>4 кв. 2020</v>
      </c>
      <c r="I141" s="479" t="str">
        <f>CHOOSE($D$2,Параметры!I$53,Параметры!I$54)</f>
        <v>1 кв. 2021</v>
      </c>
      <c r="J141" s="479" t="str">
        <f>CHOOSE($D$2,Параметры!J$53,Параметры!J$54)</f>
        <v>2 кв. 2021</v>
      </c>
      <c r="K141" s="479" t="str">
        <f>CHOOSE($D$2,Параметры!K$53,Параметры!K$54)</f>
        <v>3 кв. 2021</v>
      </c>
      <c r="L141" s="479" t="str">
        <f>CHOOSE($D$2,Параметры!L$53,Параметры!L$54)</f>
        <v>4 кв. 2021</v>
      </c>
      <c r="M141" s="479" t="str">
        <f>CHOOSE($D$2,Параметры!M$53,Параметры!M$54)</f>
        <v>1 кв. 2022</v>
      </c>
      <c r="N141" s="479" t="str">
        <f>CHOOSE($D$2,Параметры!N$53,Параметры!N$54)</f>
        <v>2 кв. 2022</v>
      </c>
      <c r="O141" s="479" t="str">
        <f>CHOOSE($D$2,Параметры!O$53,Параметры!O$54)</f>
        <v>3 кв. 2022</v>
      </c>
      <c r="P141" s="479" t="str">
        <f>CHOOSE($D$2,Параметры!P$53,Параметры!P$54)</f>
        <v>4 кв. 2022</v>
      </c>
      <c r="Q141" s="479" t="str">
        <f>CHOOSE($D$2,Параметры!Q$53,Параметры!Q$54)</f>
        <v>1 кв. 2023</v>
      </c>
      <c r="R141" s="479" t="str">
        <f>CHOOSE($D$2,Параметры!R$53,Параметры!R$54)</f>
        <v>2 кв. 2023</v>
      </c>
      <c r="S141" s="479" t="str">
        <f>CHOOSE($D$2,Параметры!S$53,Параметры!S$54)</f>
        <v>3 кв. 2023</v>
      </c>
      <c r="T141" s="479" t="str">
        <f>CHOOSE($D$2,Параметры!T$53,Параметры!T$54)</f>
        <v>4 кв. 2023</v>
      </c>
      <c r="U141" s="479" t="str">
        <f>CHOOSE($D$2,Параметры!U$53,Параметры!U$54)</f>
        <v>1 кв. 2024</v>
      </c>
      <c r="V141" s="479" t="str">
        <f>CHOOSE($D$2,Параметры!V$53,Параметры!V$54)</f>
        <v>2 кв. 2024</v>
      </c>
      <c r="W141" s="479" t="str">
        <f>CHOOSE($D$2,Параметры!W$53,Параметры!W$54)</f>
        <v>3 кв. 2024</v>
      </c>
      <c r="X141" s="479" t="str">
        <f>CHOOSE($D$2,Параметры!X$53,Параметры!X$54)</f>
        <v>4 кв. 2024</v>
      </c>
      <c r="Y141" s="479" t="str">
        <f>CHOOSE($D$2,Параметры!Y$53,Параметры!Y$54)</f>
        <v>1 кв. 2025</v>
      </c>
      <c r="Z141" s="479" t="str">
        <f>CHOOSE($D$2,Параметры!Z$53,Параметры!Z$54)</f>
        <v>2 кв. 2025</v>
      </c>
      <c r="AA141" s="479" t="str">
        <f>CHOOSE($D$2,Параметры!AA$53,Параметры!AA$54)</f>
        <v>3 кв. 2025</v>
      </c>
      <c r="AB141" s="479" t="str">
        <f>CHOOSE($D$2,Параметры!AB$53,Параметры!AB$54)</f>
        <v>4 кв. 2025</v>
      </c>
      <c r="AC141" s="479" t="str">
        <f>CHOOSE($D$2,Параметры!AC$53,Параметры!AC$54)</f>
        <v>1 кв. 2026</v>
      </c>
      <c r="AD141" s="479" t="str">
        <f>CHOOSE($D$2,Параметры!AD$53,Параметры!AD$54)</f>
        <v>2 кв. 2026</v>
      </c>
      <c r="AE141" s="479" t="str">
        <f>CHOOSE($D$2,Параметры!AE$53,Параметры!AE$54)</f>
        <v>3 кв. 2026</v>
      </c>
      <c r="AF141" s="479" t="str">
        <f>CHOOSE($D$2,Параметры!AF$53,Параметры!AF$54)</f>
        <v>4 кв. 2026</v>
      </c>
      <c r="AG141" s="479" t="str">
        <f>CHOOSE($D$2,Параметры!AG$53,Параметры!AG$54)</f>
        <v>1 кв. 2027</v>
      </c>
      <c r="AH141" s="479" t="str">
        <f>CHOOSE($D$2,Параметры!AH$53,Параметры!AH$54)</f>
        <v>2 кв. 2027</v>
      </c>
      <c r="AI141" s="479" t="str">
        <f>CHOOSE($D$2,Параметры!AI$53,Параметры!AI$54)</f>
        <v>3 кв. 2027</v>
      </c>
      <c r="AJ141" s="479" t="str">
        <f>CHOOSE($D$2,Параметры!AJ$53,Параметры!AJ$54)</f>
        <v>4 кв. 2027</v>
      </c>
      <c r="AK141" s="479" t="str">
        <f>CHOOSE($D$2,Параметры!AK$53,Параметры!AK$54)</f>
        <v>1 кв. 2028</v>
      </c>
      <c r="AL141" s="479" t="str">
        <f>CHOOSE($D$2,Параметры!AL$53,Параметры!AL$54)</f>
        <v>2 кв. 2028</v>
      </c>
      <c r="AM141" s="479" t="str">
        <f>CHOOSE($D$2,Параметры!AM$53,Параметры!AM$54)</f>
        <v>3 кв. 2028</v>
      </c>
      <c r="AN141" s="479" t="str">
        <f>CHOOSE($D$2,Параметры!AN$53,Параметры!AN$54)</f>
        <v>4 кв. 2028</v>
      </c>
      <c r="AO141" s="479" t="str">
        <f>CHOOSE($D$2,Параметры!AO$53,Параметры!AO$54)</f>
        <v>1 кв. 2029</v>
      </c>
      <c r="AP141" s="479" t="str">
        <f>CHOOSE($D$2,Параметры!AP$53,Параметры!AP$54)</f>
        <v>2 кв. 2029</v>
      </c>
      <c r="AQ141" s="479" t="str">
        <f>CHOOSE($D$2,Параметры!AQ$53,Параметры!AQ$54)</f>
        <v>3 кв. 2029</v>
      </c>
      <c r="AR141" s="479" t="str">
        <f>CHOOSE($D$2,Параметры!AR$53,Параметры!AR$54)</f>
        <v>4 кв. 2029</v>
      </c>
      <c r="AS141" s="485"/>
      <c r="AT141" s="485" t="s">
        <v>0</v>
      </c>
    </row>
    <row r="143" spans="1:46" x14ac:dyDescent="0.2">
      <c r="A143" s="49" t="s">
        <v>835</v>
      </c>
      <c r="B143" s="64"/>
      <c r="C143" s="35" t="s">
        <v>455</v>
      </c>
      <c r="D143" s="65"/>
      <c r="E143" s="158">
        <f>SUM($E125:E125)-SUM($E136:E136)</f>
        <v>0</v>
      </c>
      <c r="F143" s="158">
        <f ca="1">SUM($E125:F125)-SUM($E136:F136)</f>
        <v>0</v>
      </c>
      <c r="G143" s="158">
        <f ca="1">SUM($E125:G125)-SUM($E136:G136)</f>
        <v>0</v>
      </c>
      <c r="H143" s="158">
        <f ca="1">SUM($E125:H125)-SUM($E136:H136)</f>
        <v>0</v>
      </c>
      <c r="I143" s="158">
        <f ca="1">SUM($E125:I125)-SUM($E136:I136)</f>
        <v>0</v>
      </c>
      <c r="J143" s="158">
        <f ca="1">SUM($E125:J125)-SUM($E136:J136)</f>
        <v>0</v>
      </c>
      <c r="K143" s="158">
        <f ca="1">SUM($E125:K125)-SUM($E136:K136)</f>
        <v>0</v>
      </c>
      <c r="L143" s="158">
        <f ca="1">SUM($E125:L125)-SUM($E136:L136)</f>
        <v>0</v>
      </c>
      <c r="M143" s="158">
        <f ca="1">SUM($E125:M125)-SUM($E136:M136)</f>
        <v>0</v>
      </c>
      <c r="N143" s="158">
        <f ca="1">SUM($E125:N125)-SUM($E136:N136)</f>
        <v>0</v>
      </c>
      <c r="O143" s="158">
        <f ca="1">SUM($E125:O125)-SUM($E136:O136)</f>
        <v>0</v>
      </c>
      <c r="P143" s="158">
        <f ca="1">SUM($E125:P125)-SUM($E136:P136)</f>
        <v>0</v>
      </c>
      <c r="Q143" s="158">
        <f ca="1">SUM($E125:Q125)-SUM($E136:Q136)</f>
        <v>0</v>
      </c>
      <c r="R143" s="158">
        <f ca="1">SUM($E125:R125)-SUM($E136:R136)</f>
        <v>0</v>
      </c>
      <c r="S143" s="158">
        <f ca="1">SUM($E125:S125)-SUM($E136:S136)</f>
        <v>0</v>
      </c>
      <c r="T143" s="158">
        <f ca="1">SUM($E125:T125)-SUM($E136:T136)</f>
        <v>0</v>
      </c>
      <c r="U143" s="158">
        <f ca="1">SUM($E125:U125)-SUM($E136:U136)</f>
        <v>0</v>
      </c>
      <c r="V143" s="158">
        <f ca="1">SUM($E125:V125)-SUM($E136:V136)</f>
        <v>0</v>
      </c>
      <c r="W143" s="158">
        <f ca="1">SUM($E125:W125)-SUM($E136:W136)</f>
        <v>0</v>
      </c>
      <c r="X143" s="158">
        <f ca="1">SUM($E125:X125)-SUM($E136:X136)</f>
        <v>0</v>
      </c>
      <c r="Y143" s="158">
        <f ca="1">SUM($E125:Y125)-SUM($E136:Y136)</f>
        <v>0</v>
      </c>
      <c r="Z143" s="158">
        <f ca="1">SUM($E125:Z125)-SUM($E136:Z136)</f>
        <v>0</v>
      </c>
      <c r="AA143" s="158">
        <f ca="1">SUM($E125:AA125)-SUM($E136:AA136)</f>
        <v>0</v>
      </c>
      <c r="AB143" s="158">
        <f ca="1">SUM($E125:AB125)-SUM($E136:AB136)</f>
        <v>0</v>
      </c>
      <c r="AC143" s="158">
        <f ca="1">SUM($E125:AC125)-SUM($E136:AC136)</f>
        <v>0</v>
      </c>
      <c r="AD143" s="158">
        <f ca="1">SUM($E125:AD125)-SUM($E136:AD136)</f>
        <v>0</v>
      </c>
      <c r="AE143" s="158">
        <f ca="1">SUM($E125:AE125)-SUM($E136:AE136)</f>
        <v>0</v>
      </c>
      <c r="AF143" s="158">
        <f ca="1">SUM($E125:AF125)-SUM($E136:AF136)</f>
        <v>0</v>
      </c>
      <c r="AG143" s="158">
        <f ca="1">SUM($E125:AG125)-SUM($E136:AG136)</f>
        <v>0</v>
      </c>
      <c r="AH143" s="158">
        <f ca="1">SUM($E125:AH125)-SUM($E136:AH136)</f>
        <v>0</v>
      </c>
      <c r="AI143" s="158">
        <f ca="1">SUM($E125:AI125)-SUM($E136:AI136)</f>
        <v>0</v>
      </c>
      <c r="AJ143" s="158">
        <f ca="1">SUM($E125:AJ125)-SUM($E136:AJ136)</f>
        <v>0</v>
      </c>
      <c r="AK143" s="158">
        <f ca="1">SUM($E125:AK125)-SUM($E136:AK136)</f>
        <v>0</v>
      </c>
      <c r="AL143" s="158">
        <f ca="1">SUM($E125:AL125)-SUM($E136:AL136)</f>
        <v>0</v>
      </c>
      <c r="AM143" s="158">
        <f ca="1">SUM($E125:AM125)-SUM($E136:AM136)</f>
        <v>404311.79142673663</v>
      </c>
      <c r="AN143" s="158">
        <f ca="1">SUM($E125:AN125)-SUM($E136:AN136)</f>
        <v>399193.92064918304</v>
      </c>
      <c r="AO143" s="158">
        <f ca="1">SUM($E125:AO125)-SUM($E136:AO136)</f>
        <v>394076.0498716294</v>
      </c>
      <c r="AP143" s="158">
        <f ca="1">SUM($E125:AP125)-SUM($E136:AP136)</f>
        <v>388958.17909407575</v>
      </c>
      <c r="AQ143" s="158">
        <f ca="1">SUM($E125:AQ125)-SUM($E136:AQ136)</f>
        <v>6680832.5038153967</v>
      </c>
      <c r="AR143" s="158">
        <f ca="1">SUM($E125:AR125)-SUM($E136:AR136)</f>
        <v>6596005.871069503</v>
      </c>
      <c r="AS143" s="41"/>
      <c r="AT143" s="84"/>
    </row>
    <row r="145" spans="1:46" x14ac:dyDescent="0.2">
      <c r="A145" s="66" t="s">
        <v>686</v>
      </c>
      <c r="B145" s="64"/>
      <c r="C145" s="35" t="s">
        <v>455</v>
      </c>
      <c r="D145" s="65"/>
      <c r="E145" s="82">
        <f>E143*Параметры!E171/4</f>
        <v>0</v>
      </c>
      <c r="F145" s="82">
        <f ca="1">F143*Параметры!F171/4</f>
        <v>0</v>
      </c>
      <c r="G145" s="82">
        <f ca="1">G143*Параметры!G171/4</f>
        <v>0</v>
      </c>
      <c r="H145" s="82">
        <f ca="1">H143*Параметры!H171/4</f>
        <v>0</v>
      </c>
      <c r="I145" s="82">
        <f ca="1">I143*Параметры!I171/4</f>
        <v>0</v>
      </c>
      <c r="J145" s="82">
        <f ca="1">J143*Параметры!J171/4</f>
        <v>0</v>
      </c>
      <c r="K145" s="82">
        <f ca="1">K143*Параметры!K171/4</f>
        <v>0</v>
      </c>
      <c r="L145" s="82">
        <f ca="1">L143*Параметры!L171/4</f>
        <v>0</v>
      </c>
      <c r="M145" s="82">
        <f ca="1">M143*Параметры!M171/4</f>
        <v>0</v>
      </c>
      <c r="N145" s="82">
        <f ca="1">N143*Параметры!N171/4</f>
        <v>0</v>
      </c>
      <c r="O145" s="82">
        <f ca="1">O143*Параметры!O171/4</f>
        <v>0</v>
      </c>
      <c r="P145" s="82">
        <f ca="1">P143*Параметры!P171/4</f>
        <v>0</v>
      </c>
      <c r="Q145" s="82">
        <f ca="1">Q143*Параметры!Q171/4</f>
        <v>0</v>
      </c>
      <c r="R145" s="82">
        <f ca="1">R143*Параметры!R171/4</f>
        <v>0</v>
      </c>
      <c r="S145" s="82">
        <f ca="1">S143*Параметры!S171/4</f>
        <v>0</v>
      </c>
      <c r="T145" s="82">
        <f ca="1">T143*Параметры!T171/4</f>
        <v>0</v>
      </c>
      <c r="U145" s="82">
        <f ca="1">U143*Параметры!U171/4</f>
        <v>0</v>
      </c>
      <c r="V145" s="82">
        <f ca="1">V143*Параметры!V171/4</f>
        <v>0</v>
      </c>
      <c r="W145" s="82">
        <f ca="1">W143*Параметры!W171/4</f>
        <v>0</v>
      </c>
      <c r="X145" s="82">
        <f ca="1">X143*Параметры!X171/4</f>
        <v>0</v>
      </c>
      <c r="Y145" s="82">
        <f ca="1">Y143*Параметры!Y171/4</f>
        <v>0</v>
      </c>
      <c r="Z145" s="82">
        <f ca="1">Z143*Параметры!Z171/4</f>
        <v>0</v>
      </c>
      <c r="AA145" s="82">
        <f ca="1">AA143*Параметры!AA171/4</f>
        <v>0</v>
      </c>
      <c r="AB145" s="82">
        <f ca="1">AB143*Параметры!AB171/4</f>
        <v>0</v>
      </c>
      <c r="AC145" s="82">
        <f ca="1">AC143*Параметры!AC171/4</f>
        <v>0</v>
      </c>
      <c r="AD145" s="82">
        <f ca="1">AD143*Параметры!AD171/4</f>
        <v>0</v>
      </c>
      <c r="AE145" s="82">
        <f ca="1">AE143*Параметры!AE171/4</f>
        <v>0</v>
      </c>
      <c r="AF145" s="82">
        <f ca="1">AF143*Параметры!AF171/4</f>
        <v>0</v>
      </c>
      <c r="AG145" s="82">
        <f ca="1">AG143*Параметры!AG171/4</f>
        <v>0</v>
      </c>
      <c r="AH145" s="82">
        <f ca="1">AH143*Параметры!AH171/4</f>
        <v>0</v>
      </c>
      <c r="AI145" s="82">
        <f ca="1">AI143*Параметры!AI171/4</f>
        <v>0</v>
      </c>
      <c r="AJ145" s="82">
        <f ca="1">AJ143*Параметры!AJ171/4</f>
        <v>0</v>
      </c>
      <c r="AK145" s="82">
        <f ca="1">AK143*Параметры!AK171/4</f>
        <v>0</v>
      </c>
      <c r="AL145" s="82">
        <f ca="1">AL143*Параметры!AL171/4</f>
        <v>0</v>
      </c>
      <c r="AM145" s="82">
        <f ca="1">AM143*Параметры!AM171/4</f>
        <v>2223.7148528470511</v>
      </c>
      <c r="AN145" s="82">
        <f ca="1">AN143*Параметры!AN171/4</f>
        <v>2195.5665635705068</v>
      </c>
      <c r="AO145" s="82">
        <f ca="1">AO143*Параметры!AO171/4</f>
        <v>2167.4182742939615</v>
      </c>
      <c r="AP145" s="82">
        <f ca="1">AP143*Параметры!AP171/4</f>
        <v>2139.2699850174163</v>
      </c>
      <c r="AQ145" s="82">
        <f ca="1">AQ143*Параметры!AQ171/4</f>
        <v>36744.578770984677</v>
      </c>
      <c r="AR145" s="82">
        <f ca="1">AR143*Параметры!AR171/4</f>
        <v>36278.032290882264</v>
      </c>
      <c r="AT145" s="84">
        <f t="shared" ref="AT145:AT146" ca="1" si="80">SUM(E145:AS145)</f>
        <v>81748.580737595883</v>
      </c>
    </row>
    <row r="146" spans="1:46" x14ac:dyDescent="0.2">
      <c r="A146" s="66" t="s">
        <v>687</v>
      </c>
      <c r="B146" s="64"/>
      <c r="C146" s="35" t="s">
        <v>455</v>
      </c>
      <c r="D146" s="65"/>
      <c r="E146" s="554">
        <f ca="1">F146</f>
        <v>0</v>
      </c>
      <c r="F146" s="82">
        <f ca="1">OFFSET(F145,0,-Параметры!$B$173/Параметры!$B$27)</f>
        <v>0</v>
      </c>
      <c r="G146" s="82">
        <f ca="1">OFFSET(G145,0,-Параметры!$B$173/Параметры!$B$27)</f>
        <v>0</v>
      </c>
      <c r="H146" s="82">
        <f ca="1">OFFSET(H145,0,-Параметры!$B$173/Параметры!$B$27)</f>
        <v>0</v>
      </c>
      <c r="I146" s="82">
        <f ca="1">OFFSET(I145,0,-Параметры!$B$173/Параметры!$B$27)</f>
        <v>0</v>
      </c>
      <c r="J146" s="82">
        <f ca="1">OFFSET(J145,0,-Параметры!$B$173/Параметры!$B$27)</f>
        <v>0</v>
      </c>
      <c r="K146" s="82">
        <f ca="1">OFFSET(K145,0,-Параметры!$B$173/Параметры!$B$27)</f>
        <v>0</v>
      </c>
      <c r="L146" s="82">
        <f ca="1">OFFSET(L145,0,-Параметры!$B$173/Параметры!$B$27)</f>
        <v>0</v>
      </c>
      <c r="M146" s="82">
        <f ca="1">OFFSET(M145,0,-Параметры!$B$173/Параметры!$B$27)</f>
        <v>0</v>
      </c>
      <c r="N146" s="82">
        <f ca="1">OFFSET(N145,0,-Параметры!$B$173/Параметры!$B$27)</f>
        <v>0</v>
      </c>
      <c r="O146" s="82">
        <f ca="1">OFFSET(O145,0,-Параметры!$B$173/Параметры!$B$27)</f>
        <v>0</v>
      </c>
      <c r="P146" s="82">
        <f ca="1">OFFSET(P145,0,-Параметры!$B$173/Параметры!$B$27)</f>
        <v>0</v>
      </c>
      <c r="Q146" s="82">
        <f ca="1">OFFSET(Q145,0,-Параметры!$B$173/Параметры!$B$27)</f>
        <v>0</v>
      </c>
      <c r="R146" s="82">
        <f ca="1">OFFSET(R145,0,-Параметры!$B$173/Параметры!$B$27)</f>
        <v>0</v>
      </c>
      <c r="S146" s="82">
        <f ca="1">OFFSET(S145,0,-Параметры!$B$173/Параметры!$B$27)</f>
        <v>0</v>
      </c>
      <c r="T146" s="82">
        <f ca="1">OFFSET(T145,0,-Параметры!$B$173/Параметры!$B$27)</f>
        <v>0</v>
      </c>
      <c r="U146" s="82">
        <f ca="1">OFFSET(U145,0,-Параметры!$B$173/Параметры!$B$27)</f>
        <v>0</v>
      </c>
      <c r="V146" s="82">
        <f ca="1">OFFSET(V145,0,-Параметры!$B$173/Параметры!$B$27)</f>
        <v>0</v>
      </c>
      <c r="W146" s="82">
        <f ca="1">OFFSET(W145,0,-Параметры!$B$173/Параметры!$B$27)</f>
        <v>0</v>
      </c>
      <c r="X146" s="82">
        <f ca="1">OFFSET(X145,0,-Параметры!$B$173/Параметры!$B$27)</f>
        <v>0</v>
      </c>
      <c r="Y146" s="82">
        <f ca="1">OFFSET(Y145,0,-Параметры!$B$173/Параметры!$B$27)</f>
        <v>0</v>
      </c>
      <c r="Z146" s="82">
        <f ca="1">OFFSET(Z145,0,-Параметры!$B$173/Параметры!$B$27)</f>
        <v>0</v>
      </c>
      <c r="AA146" s="82">
        <f ca="1">OFFSET(AA145,0,-Параметры!$B$173/Параметры!$B$27)</f>
        <v>0</v>
      </c>
      <c r="AB146" s="82">
        <f ca="1">OFFSET(AB145,0,-Параметры!$B$173/Параметры!$B$27)</f>
        <v>0</v>
      </c>
      <c r="AC146" s="82">
        <f ca="1">OFFSET(AC145,0,-Параметры!$B$173/Параметры!$B$27)</f>
        <v>0</v>
      </c>
      <c r="AD146" s="82">
        <f ca="1">OFFSET(AD145,0,-Параметры!$B$173/Параметры!$B$27)</f>
        <v>0</v>
      </c>
      <c r="AE146" s="82">
        <f ca="1">OFFSET(AE145,0,-Параметры!$B$173/Параметры!$B$27)</f>
        <v>0</v>
      </c>
      <c r="AF146" s="82">
        <f ca="1">OFFSET(AF145,0,-Параметры!$B$173/Параметры!$B$27)</f>
        <v>0</v>
      </c>
      <c r="AG146" s="82">
        <f ca="1">OFFSET(AG145,0,-Параметры!$B$173/Параметры!$B$27)</f>
        <v>0</v>
      </c>
      <c r="AH146" s="82">
        <f ca="1">OFFSET(AH145,0,-Параметры!$B$173/Параметры!$B$27)</f>
        <v>0</v>
      </c>
      <c r="AI146" s="82">
        <f ca="1">OFFSET(AI145,0,-Параметры!$B$173/Параметры!$B$27)</f>
        <v>0</v>
      </c>
      <c r="AJ146" s="82">
        <f ca="1">OFFSET(AJ145,0,-Параметры!$B$173/Параметры!$B$27)</f>
        <v>0</v>
      </c>
      <c r="AK146" s="82">
        <f ca="1">OFFSET(AK145,0,-Параметры!$B$173/Параметры!$B$27)</f>
        <v>0</v>
      </c>
      <c r="AL146" s="82">
        <f ca="1">OFFSET(AL145,0,-Параметры!$B$173/Параметры!$B$27)</f>
        <v>0</v>
      </c>
      <c r="AM146" s="82">
        <f ca="1">OFFSET(AM145,0,-Параметры!$B$173/Параметры!$B$27)</f>
        <v>0</v>
      </c>
      <c r="AN146" s="82">
        <f ca="1">OFFSET(AN145,0,-Параметры!$B$173/Параметры!$B$27)</f>
        <v>2223.7148528470511</v>
      </c>
      <c r="AO146" s="82">
        <f ca="1">OFFSET(AO145,0,-Параметры!$B$173/Параметры!$B$27)</f>
        <v>2195.5665635705068</v>
      </c>
      <c r="AP146" s="82">
        <f ca="1">OFFSET(AP145,0,-Параметры!$B$173/Параметры!$B$27)</f>
        <v>2167.4182742939615</v>
      </c>
      <c r="AQ146" s="82">
        <f ca="1">OFFSET(AQ145,0,-Параметры!$B$173/Параметры!$B$27)</f>
        <v>2139.2699850174163</v>
      </c>
      <c r="AR146" s="82">
        <f ca="1">OFFSET(AR145,0,-Параметры!$B$173/Параметры!$B$27)</f>
        <v>36744.578770984677</v>
      </c>
      <c r="AT146" s="84">
        <f t="shared" ca="1" si="80"/>
        <v>45470.548446713612</v>
      </c>
    </row>
    <row r="148" spans="1:46" x14ac:dyDescent="0.2">
      <c r="A148" s="46"/>
      <c r="B148" s="46"/>
      <c r="C148" s="46"/>
      <c r="D148" s="47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73"/>
      <c r="AT148" s="91"/>
    </row>
    <row r="150" spans="1:46" ht="12" thickBot="1" x14ac:dyDescent="0.25"/>
    <row r="151" spans="1:46" s="43" customFormat="1" ht="25.5" customHeight="1" thickBot="1" x14ac:dyDescent="0.25">
      <c r="A151" s="481" t="s">
        <v>700</v>
      </c>
      <c r="B151" s="479"/>
      <c r="C151" s="485"/>
      <c r="D151" s="486"/>
      <c r="E151" s="479" t="str">
        <f>CHOOSE($D$2,Параметры!E$53,Параметры!E$54)</f>
        <v>1 кв. 2020</v>
      </c>
      <c r="F151" s="479" t="str">
        <f>CHOOSE($D$2,Параметры!F$53,Параметры!F$54)</f>
        <v>2 кв. 2020</v>
      </c>
      <c r="G151" s="479" t="str">
        <f>CHOOSE($D$2,Параметры!G$53,Параметры!G$54)</f>
        <v>3 кв. 2020</v>
      </c>
      <c r="H151" s="479" t="str">
        <f>CHOOSE($D$2,Параметры!H$53,Параметры!H$54)</f>
        <v>4 кв. 2020</v>
      </c>
      <c r="I151" s="479" t="str">
        <f>CHOOSE($D$2,Параметры!I$53,Параметры!I$54)</f>
        <v>1 кв. 2021</v>
      </c>
      <c r="J151" s="479" t="str">
        <f>CHOOSE($D$2,Параметры!J$53,Параметры!J$54)</f>
        <v>2 кв. 2021</v>
      </c>
      <c r="K151" s="479" t="str">
        <f>CHOOSE($D$2,Параметры!K$53,Параметры!K$54)</f>
        <v>3 кв. 2021</v>
      </c>
      <c r="L151" s="479" t="str">
        <f>CHOOSE($D$2,Параметры!L$53,Параметры!L$54)</f>
        <v>4 кв. 2021</v>
      </c>
      <c r="M151" s="479" t="str">
        <f>CHOOSE($D$2,Параметры!M$53,Параметры!M$54)</f>
        <v>1 кв. 2022</v>
      </c>
      <c r="N151" s="479" t="str">
        <f>CHOOSE($D$2,Параметры!N$53,Параметры!N$54)</f>
        <v>2 кв. 2022</v>
      </c>
      <c r="O151" s="479" t="str">
        <f>CHOOSE($D$2,Параметры!O$53,Параметры!O$54)</f>
        <v>3 кв. 2022</v>
      </c>
      <c r="P151" s="479" t="str">
        <f>CHOOSE($D$2,Параметры!P$53,Параметры!P$54)</f>
        <v>4 кв. 2022</v>
      </c>
      <c r="Q151" s="479" t="str">
        <f>CHOOSE($D$2,Параметры!Q$53,Параметры!Q$54)</f>
        <v>1 кв. 2023</v>
      </c>
      <c r="R151" s="479" t="str">
        <f>CHOOSE($D$2,Параметры!R$53,Параметры!R$54)</f>
        <v>2 кв. 2023</v>
      </c>
      <c r="S151" s="479" t="str">
        <f>CHOOSE($D$2,Параметры!S$53,Параметры!S$54)</f>
        <v>3 кв. 2023</v>
      </c>
      <c r="T151" s="479" t="str">
        <f>CHOOSE($D$2,Параметры!T$53,Параметры!T$54)</f>
        <v>4 кв. 2023</v>
      </c>
      <c r="U151" s="479" t="str">
        <f>CHOOSE($D$2,Параметры!U$53,Параметры!U$54)</f>
        <v>1 кв. 2024</v>
      </c>
      <c r="V151" s="479" t="str">
        <f>CHOOSE($D$2,Параметры!V$53,Параметры!V$54)</f>
        <v>2 кв. 2024</v>
      </c>
      <c r="W151" s="479" t="str">
        <f>CHOOSE($D$2,Параметры!W$53,Параметры!W$54)</f>
        <v>3 кв. 2024</v>
      </c>
      <c r="X151" s="479" t="str">
        <f>CHOOSE($D$2,Параметры!X$53,Параметры!X$54)</f>
        <v>4 кв. 2024</v>
      </c>
      <c r="Y151" s="479" t="str">
        <f>CHOOSE($D$2,Параметры!Y$53,Параметры!Y$54)</f>
        <v>1 кв. 2025</v>
      </c>
      <c r="Z151" s="479" t="str">
        <f>CHOOSE($D$2,Параметры!Z$53,Параметры!Z$54)</f>
        <v>2 кв. 2025</v>
      </c>
      <c r="AA151" s="479" t="str">
        <f>CHOOSE($D$2,Параметры!AA$53,Параметры!AA$54)</f>
        <v>3 кв. 2025</v>
      </c>
      <c r="AB151" s="479" t="str">
        <f>CHOOSE($D$2,Параметры!AB$53,Параметры!AB$54)</f>
        <v>4 кв. 2025</v>
      </c>
      <c r="AC151" s="479" t="str">
        <f>CHOOSE($D$2,Параметры!AC$53,Параметры!AC$54)</f>
        <v>1 кв. 2026</v>
      </c>
      <c r="AD151" s="479" t="str">
        <f>CHOOSE($D$2,Параметры!AD$53,Параметры!AD$54)</f>
        <v>2 кв. 2026</v>
      </c>
      <c r="AE151" s="479" t="str">
        <f>CHOOSE($D$2,Параметры!AE$53,Параметры!AE$54)</f>
        <v>3 кв. 2026</v>
      </c>
      <c r="AF151" s="479" t="str">
        <f>CHOOSE($D$2,Параметры!AF$53,Параметры!AF$54)</f>
        <v>4 кв. 2026</v>
      </c>
      <c r="AG151" s="479" t="str">
        <f>CHOOSE($D$2,Параметры!AG$53,Параметры!AG$54)</f>
        <v>1 кв. 2027</v>
      </c>
      <c r="AH151" s="479" t="str">
        <f>CHOOSE($D$2,Параметры!AH$53,Параметры!AH$54)</f>
        <v>2 кв. 2027</v>
      </c>
      <c r="AI151" s="479" t="str">
        <f>CHOOSE($D$2,Параметры!AI$53,Параметры!AI$54)</f>
        <v>3 кв. 2027</v>
      </c>
      <c r="AJ151" s="479" t="str">
        <f>CHOOSE($D$2,Параметры!AJ$53,Параметры!AJ$54)</f>
        <v>4 кв. 2027</v>
      </c>
      <c r="AK151" s="479" t="str">
        <f>CHOOSE($D$2,Параметры!AK$53,Параметры!AK$54)</f>
        <v>1 кв. 2028</v>
      </c>
      <c r="AL151" s="479" t="str">
        <f>CHOOSE($D$2,Параметры!AL$53,Параметры!AL$54)</f>
        <v>2 кв. 2028</v>
      </c>
      <c r="AM151" s="479" t="str">
        <f>CHOOSE($D$2,Параметры!AM$53,Параметры!AM$54)</f>
        <v>3 кв. 2028</v>
      </c>
      <c r="AN151" s="479" t="str">
        <f>CHOOSE($D$2,Параметры!AN$53,Параметры!AN$54)</f>
        <v>4 кв. 2028</v>
      </c>
      <c r="AO151" s="479" t="str">
        <f>CHOOSE($D$2,Параметры!AO$53,Параметры!AO$54)</f>
        <v>1 кв. 2029</v>
      </c>
      <c r="AP151" s="479" t="str">
        <f>CHOOSE($D$2,Параметры!AP$53,Параметры!AP$54)</f>
        <v>2 кв. 2029</v>
      </c>
      <c r="AQ151" s="479" t="str">
        <f>CHOOSE($D$2,Параметры!AQ$53,Параметры!AQ$54)</f>
        <v>3 кв. 2029</v>
      </c>
      <c r="AR151" s="479" t="str">
        <f>CHOOSE($D$2,Параметры!AR$53,Параметры!AR$54)</f>
        <v>4 кв. 2029</v>
      </c>
      <c r="AS151" s="485"/>
      <c r="AT151" s="485" t="s">
        <v>0</v>
      </c>
    </row>
    <row r="153" spans="1:46" ht="22.5" x14ac:dyDescent="0.2">
      <c r="A153" s="551" t="s">
        <v>693</v>
      </c>
      <c r="B153" s="64"/>
      <c r="C153" s="35" t="s">
        <v>368</v>
      </c>
      <c r="D153" s="65"/>
      <c r="E153" s="82">
        <f ca="1">CEILING(IFERROR(OFFSET(E15,0,-$B$78)/ИД!$C$283,0),1)</f>
        <v>0</v>
      </c>
      <c r="F153" s="82">
        <f ca="1">CEILING(IFERROR(OFFSET(F15,0,-$B$78)/ИД!$C$283,0),1)</f>
        <v>0</v>
      </c>
      <c r="G153" s="82">
        <f ca="1">CEILING(IFERROR(OFFSET(G15,0,-$B$78)/ИД!$C$283,0),1)</f>
        <v>0</v>
      </c>
      <c r="H153" s="82">
        <f ca="1">CEILING(IFERROR(OFFSET(H15,0,-$B$78)/ИД!$C$283,0),1)</f>
        <v>274</v>
      </c>
      <c r="I153" s="82">
        <f ca="1">CEILING(IFERROR(OFFSET(I15,0,-$B$78)/ИД!$C$283,0),1)</f>
        <v>274</v>
      </c>
      <c r="J153" s="82">
        <f ca="1">CEILING(IFERROR(OFFSET(J15,0,-$B$78)/ИД!$C$283,0),1)</f>
        <v>274</v>
      </c>
      <c r="K153" s="82">
        <f ca="1">CEILING(IFERROR(OFFSET(K15,0,-$B$78)/ИД!$C$283,0),1)</f>
        <v>274</v>
      </c>
      <c r="L153" s="82">
        <f ca="1">CEILING(IFERROR(OFFSET(L15,0,-$B$78)/ИД!$C$283,0),1)</f>
        <v>274</v>
      </c>
      <c r="M153" s="82">
        <f ca="1">CEILING(IFERROR(OFFSET(M15,0,-$B$78)/ИД!$C$283,0),1)</f>
        <v>274</v>
      </c>
      <c r="N153" s="82">
        <f ca="1">CEILING(IFERROR(OFFSET(N15,0,-$B$78)/ИД!$C$283,0),1)</f>
        <v>410</v>
      </c>
      <c r="O153" s="82">
        <f ca="1">CEILING(IFERROR(OFFSET(O15,0,-$B$78)/ИД!$C$283,0),1)</f>
        <v>410</v>
      </c>
      <c r="P153" s="82">
        <f ca="1">CEILING(IFERROR(OFFSET(P15,0,-$B$78)/ИД!$C$283,0),1)</f>
        <v>410</v>
      </c>
      <c r="Q153" s="82">
        <f ca="1">CEILING(IFERROR(OFFSET(Q15,0,-$B$78)/ИД!$C$283,0),1)</f>
        <v>410</v>
      </c>
      <c r="R153" s="82">
        <f ca="1">CEILING(IFERROR(OFFSET(R15,0,-$B$78)/ИД!$C$283,0),1)</f>
        <v>478</v>
      </c>
      <c r="S153" s="82">
        <f ca="1">CEILING(IFERROR(OFFSET(S15,0,-$B$78)/ИД!$C$283,0),1)</f>
        <v>478</v>
      </c>
      <c r="T153" s="82">
        <f ca="1">CEILING(IFERROR(OFFSET(T15,0,-$B$78)/ИД!$C$283,0),1)</f>
        <v>478</v>
      </c>
      <c r="U153" s="82">
        <f ca="1">CEILING(IFERROR(OFFSET(U15,0,-$B$78)/ИД!$C$283,0),1)</f>
        <v>478</v>
      </c>
      <c r="V153" s="82">
        <f ca="1">CEILING(IFERROR(OFFSET(V15,0,-$B$78)/ИД!$C$283,0),1)</f>
        <v>1521</v>
      </c>
      <c r="W153" s="82">
        <f ca="1">CEILING(IFERROR(OFFSET(W15,0,-$B$78)/ИД!$C$283,0),1)</f>
        <v>1521</v>
      </c>
      <c r="X153" s="82">
        <f ca="1">CEILING(IFERROR(OFFSET(X15,0,-$B$78)/ИД!$C$283,0),1)</f>
        <v>1521</v>
      </c>
      <c r="Y153" s="82">
        <f ca="1">CEILING(IFERROR(OFFSET(Y15,0,-$B$78)/ИД!$C$283,0),1)</f>
        <v>1521</v>
      </c>
      <c r="Z153" s="82">
        <f ca="1">CEILING(IFERROR(OFFSET(Z15,0,-$B$78)/ИД!$C$283,0),1)</f>
        <v>1521</v>
      </c>
      <c r="AA153" s="82">
        <f ca="1">CEILING(IFERROR(OFFSET(AA15,0,-$B$78)/ИД!$C$283,0),1)</f>
        <v>1521</v>
      </c>
      <c r="AB153" s="82">
        <f ca="1">CEILING(IFERROR(OFFSET(AB15,0,-$B$78)/ИД!$C$283,0),1)</f>
        <v>1521</v>
      </c>
      <c r="AC153" s="82">
        <f ca="1">CEILING(IFERROR(OFFSET(AC15,0,-$B$78)/ИД!$C$283,0),1)</f>
        <v>1521</v>
      </c>
      <c r="AD153" s="82">
        <f ca="1">CEILING(IFERROR(OFFSET(AD15,0,-$B$78)/ИД!$C$283,0),1)</f>
        <v>1521</v>
      </c>
      <c r="AE153" s="82">
        <f ca="1">CEILING(IFERROR(OFFSET(AE15,0,-$B$78)/ИД!$C$283,0),1)</f>
        <v>1521</v>
      </c>
      <c r="AF153" s="82">
        <f ca="1">CEILING(IFERROR(OFFSET(AF15,0,-$B$78)/ИД!$C$283,0),1)</f>
        <v>1521</v>
      </c>
      <c r="AG153" s="82">
        <f ca="1">CEILING(IFERROR(OFFSET(AG15,0,-$B$78)/ИД!$C$283,0),1)</f>
        <v>1521</v>
      </c>
      <c r="AH153" s="82">
        <f ca="1">CEILING(IFERROR(OFFSET(AH15,0,-$B$78)/ИД!$C$283,0),1)</f>
        <v>1521</v>
      </c>
      <c r="AI153" s="82">
        <f ca="1">CEILING(IFERROR(OFFSET(AI15,0,-$B$78)/ИД!$C$283,0),1)</f>
        <v>1521</v>
      </c>
      <c r="AJ153" s="82">
        <f ca="1">CEILING(IFERROR(OFFSET(AJ15,0,-$B$78)/ИД!$C$283,0),1)</f>
        <v>1521</v>
      </c>
      <c r="AK153" s="82">
        <f ca="1">CEILING(IFERROR(OFFSET(AK15,0,-$B$78)/ИД!$C$283,0),1)</f>
        <v>1521</v>
      </c>
      <c r="AL153" s="82">
        <f ca="1">CEILING(IFERROR(OFFSET(AL15,0,-$B$78)/ИД!$C$283,0),1)</f>
        <v>1521</v>
      </c>
      <c r="AM153" s="82">
        <f ca="1">CEILING(IFERROR(OFFSET(AM15,0,-$B$78)/ИД!$C$283,0),1)</f>
        <v>1521</v>
      </c>
      <c r="AN153" s="82">
        <f ca="1">CEILING(IFERROR(OFFSET(AN15,0,-$B$78)/ИД!$C$283,0),1)</f>
        <v>1521</v>
      </c>
      <c r="AO153" s="82">
        <f ca="1">CEILING(IFERROR(OFFSET(AO15,0,-$B$78)/ИД!$C$283,0),1)</f>
        <v>1521</v>
      </c>
      <c r="AP153" s="82">
        <f ca="1">CEILING(IFERROR(OFFSET(AP15,0,-$B$78)/ИД!$C$283,0),1)</f>
        <v>1521</v>
      </c>
      <c r="AQ153" s="82">
        <f ca="1">CEILING(IFERROR(OFFSET(AQ15,0,-$B$78)/ИД!$C$283,0),1)</f>
        <v>1521</v>
      </c>
      <c r="AR153" s="82">
        <f ca="1">CEILING(IFERROR(OFFSET(AR15,0,-$B$78)/ИД!$C$283,0),1)</f>
        <v>1521</v>
      </c>
    </row>
    <row r="154" spans="1:46" x14ac:dyDescent="0.2">
      <c r="A154" s="49" t="s">
        <v>609</v>
      </c>
      <c r="B154" s="304">
        <f>ИД!C285</f>
        <v>56.234999999999999</v>
      </c>
      <c r="C154" s="35" t="s">
        <v>455</v>
      </c>
      <c r="D154" s="65"/>
      <c r="E154" s="558">
        <f>$B$154*E158</f>
        <v>56.234999999999999</v>
      </c>
      <c r="F154" s="558">
        <f t="shared" ref="F154:AR154" ca="1" si="81">$B$154*F158</f>
        <v>56.234999999999999</v>
      </c>
      <c r="G154" s="558">
        <f t="shared" ca="1" si="81"/>
        <v>56.234999999999999</v>
      </c>
      <c r="H154" s="558">
        <f t="shared" ca="1" si="81"/>
        <v>56.234999999999999</v>
      </c>
      <c r="I154" s="558">
        <f t="shared" ca="1" si="81"/>
        <v>56.234999999999999</v>
      </c>
      <c r="J154" s="558">
        <f t="shared" ca="1" si="81"/>
        <v>57.135892569261181</v>
      </c>
      <c r="K154" s="558">
        <f t="shared" ca="1" si="81"/>
        <v>58.05121756354859</v>
      </c>
      <c r="L154" s="558">
        <f t="shared" ca="1" si="81"/>
        <v>58.981206192330752</v>
      </c>
      <c r="M154" s="558">
        <f t="shared" ca="1" si="81"/>
        <v>59.926093369084235</v>
      </c>
      <c r="N154" s="558">
        <f t="shared" ca="1" si="81"/>
        <v>60.936439460992894</v>
      </c>
      <c r="O154" s="558">
        <f t="shared" ca="1" si="81"/>
        <v>61.96381985579108</v>
      </c>
      <c r="P154" s="558">
        <f t="shared" ca="1" si="81"/>
        <v>63.008521749596298</v>
      </c>
      <c r="Q154" s="558">
        <f t="shared" ca="1" si="81"/>
        <v>64.070837180615001</v>
      </c>
      <c r="R154" s="558">
        <f t="shared" ca="1" si="81"/>
        <v>65.137445621551024</v>
      </c>
      <c r="S154" s="558">
        <f t="shared" ca="1" si="81"/>
        <v>66.221810246366275</v>
      </c>
      <c r="T154" s="558">
        <f t="shared" ca="1" si="81"/>
        <v>67.324226648133035</v>
      </c>
      <c r="U154" s="558">
        <f t="shared" ca="1" si="81"/>
        <v>68.444995340759291</v>
      </c>
      <c r="V154" s="558">
        <f t="shared" ca="1" si="81"/>
        <v>69.605961504549441</v>
      </c>
      <c r="W154" s="558">
        <f t="shared" ca="1" si="81"/>
        <v>70.786620012925994</v>
      </c>
      <c r="X154" s="558">
        <f t="shared" ca="1" si="81"/>
        <v>71.987304888057238</v>
      </c>
      <c r="Y154" s="558">
        <f t="shared" ca="1" si="81"/>
        <v>73.208355817805938</v>
      </c>
      <c r="Z154" s="558">
        <f t="shared" ca="1" si="81"/>
        <v>74.434862154279571</v>
      </c>
      <c r="AA154" s="558">
        <f t="shared" ca="1" si="81"/>
        <v>75.681916934665196</v>
      </c>
      <c r="AB154" s="558">
        <f t="shared" ca="1" si="81"/>
        <v>76.949864420166037</v>
      </c>
      <c r="AC154" s="558">
        <f t="shared" ca="1" si="81"/>
        <v>78.239054639613173</v>
      </c>
      <c r="AD154" s="558">
        <f t="shared" ca="1" si="81"/>
        <v>79.537018149374219</v>
      </c>
      <c r="AE154" s="558">
        <f t="shared" ca="1" si="81"/>
        <v>80.856514502041307</v>
      </c>
      <c r="AF154" s="558">
        <f t="shared" ca="1" si="81"/>
        <v>82.197900921311501</v>
      </c>
      <c r="AG154" s="558">
        <f t="shared" ca="1" si="81"/>
        <v>83.561540557120679</v>
      </c>
      <c r="AH154" s="558">
        <f t="shared" ca="1" si="81"/>
        <v>84.942272478892633</v>
      </c>
      <c r="AI154" s="558">
        <f t="shared" ca="1" si="81"/>
        <v>86.34581897094526</v>
      </c>
      <c r="AJ154" s="558">
        <f t="shared" ca="1" si="81"/>
        <v>87.772557010596771</v>
      </c>
      <c r="AK154" s="558">
        <f t="shared" ca="1" si="81"/>
        <v>89.222869804162826</v>
      </c>
      <c r="AL154" s="558">
        <f t="shared" ca="1" si="81"/>
        <v>90.684909860020298</v>
      </c>
      <c r="AM154" s="558">
        <f t="shared" ca="1" si="81"/>
        <v>92.170907463192961</v>
      </c>
      <c r="AN154" s="558">
        <f t="shared" ca="1" si="81"/>
        <v>93.681255191210482</v>
      </c>
      <c r="AO154" s="558">
        <f t="shared" ca="1" si="81"/>
        <v>95.216352054527974</v>
      </c>
      <c r="AP154" s="558">
        <f t="shared" ca="1" si="81"/>
        <v>96.764120494450097</v>
      </c>
      <c r="AQ154" s="558">
        <f t="shared" ca="1" si="81"/>
        <v>98.337048343359513</v>
      </c>
      <c r="AR154" s="558">
        <f t="shared" ca="1" si="81"/>
        <v>99.935544574487821</v>
      </c>
    </row>
    <row r="155" spans="1:46" x14ac:dyDescent="0.2">
      <c r="A155" s="49" t="s">
        <v>688</v>
      </c>
      <c r="B155" s="64"/>
      <c r="C155" s="35" t="s">
        <v>455</v>
      </c>
      <c r="D155" s="65"/>
      <c r="E155" s="82">
        <f ca="1">E153*$B$154*3</f>
        <v>0</v>
      </c>
      <c r="F155" s="82">
        <f t="shared" ref="F155:AR155" ca="1" si="82">F153*$B$154*3</f>
        <v>0</v>
      </c>
      <c r="G155" s="82">
        <f t="shared" ca="1" si="82"/>
        <v>0</v>
      </c>
      <c r="H155" s="82">
        <f t="shared" ca="1" si="82"/>
        <v>46225.17</v>
      </c>
      <c r="I155" s="82">
        <f t="shared" ca="1" si="82"/>
        <v>46225.17</v>
      </c>
      <c r="J155" s="82">
        <f t="shared" ca="1" si="82"/>
        <v>46225.17</v>
      </c>
      <c r="K155" s="82">
        <f t="shared" ca="1" si="82"/>
        <v>46225.17</v>
      </c>
      <c r="L155" s="82">
        <f t="shared" ca="1" si="82"/>
        <v>46225.17</v>
      </c>
      <c r="M155" s="82">
        <f t="shared" ca="1" si="82"/>
        <v>46225.17</v>
      </c>
      <c r="N155" s="82">
        <f t="shared" ca="1" si="82"/>
        <v>69169.049999999988</v>
      </c>
      <c r="O155" s="82">
        <f t="shared" ca="1" si="82"/>
        <v>69169.049999999988</v>
      </c>
      <c r="P155" s="82">
        <f t="shared" ca="1" si="82"/>
        <v>69169.049999999988</v>
      </c>
      <c r="Q155" s="82">
        <f t="shared" ca="1" si="82"/>
        <v>69169.049999999988</v>
      </c>
      <c r="R155" s="82">
        <f t="shared" ca="1" si="82"/>
        <v>80640.989999999991</v>
      </c>
      <c r="S155" s="82">
        <f t="shared" ca="1" si="82"/>
        <v>80640.989999999991</v>
      </c>
      <c r="T155" s="82">
        <f t="shared" ca="1" si="82"/>
        <v>80640.989999999991</v>
      </c>
      <c r="U155" s="82">
        <f t="shared" ca="1" si="82"/>
        <v>80640.989999999991</v>
      </c>
      <c r="V155" s="82">
        <f t="shared" ca="1" si="82"/>
        <v>256600.30499999999</v>
      </c>
      <c r="W155" s="82">
        <f t="shared" ca="1" si="82"/>
        <v>256600.30499999999</v>
      </c>
      <c r="X155" s="82">
        <f t="shared" ca="1" si="82"/>
        <v>256600.30499999999</v>
      </c>
      <c r="Y155" s="82">
        <f t="shared" ca="1" si="82"/>
        <v>256600.30499999999</v>
      </c>
      <c r="Z155" s="82">
        <f t="shared" ca="1" si="82"/>
        <v>256600.30499999999</v>
      </c>
      <c r="AA155" s="82">
        <f t="shared" ca="1" si="82"/>
        <v>256600.30499999999</v>
      </c>
      <c r="AB155" s="82">
        <f t="shared" ca="1" si="82"/>
        <v>256600.30499999999</v>
      </c>
      <c r="AC155" s="82">
        <f t="shared" ca="1" si="82"/>
        <v>256600.30499999999</v>
      </c>
      <c r="AD155" s="82">
        <f t="shared" ca="1" si="82"/>
        <v>256600.30499999999</v>
      </c>
      <c r="AE155" s="82">
        <f t="shared" ca="1" si="82"/>
        <v>256600.30499999999</v>
      </c>
      <c r="AF155" s="82">
        <f t="shared" ca="1" si="82"/>
        <v>256600.30499999999</v>
      </c>
      <c r="AG155" s="82">
        <f t="shared" ca="1" si="82"/>
        <v>256600.30499999999</v>
      </c>
      <c r="AH155" s="82">
        <f t="shared" ca="1" si="82"/>
        <v>256600.30499999999</v>
      </c>
      <c r="AI155" s="82">
        <f t="shared" ca="1" si="82"/>
        <v>256600.30499999999</v>
      </c>
      <c r="AJ155" s="82">
        <f t="shared" ca="1" si="82"/>
        <v>256600.30499999999</v>
      </c>
      <c r="AK155" s="82">
        <f t="shared" ca="1" si="82"/>
        <v>256600.30499999999</v>
      </c>
      <c r="AL155" s="82">
        <f t="shared" ca="1" si="82"/>
        <v>256600.30499999999</v>
      </c>
      <c r="AM155" s="82">
        <f t="shared" ca="1" si="82"/>
        <v>256600.30499999999</v>
      </c>
      <c r="AN155" s="82">
        <f t="shared" ca="1" si="82"/>
        <v>256600.30499999999</v>
      </c>
      <c r="AO155" s="82">
        <f t="shared" ca="1" si="82"/>
        <v>256600.30499999999</v>
      </c>
      <c r="AP155" s="82">
        <f t="shared" ca="1" si="82"/>
        <v>256600.30499999999</v>
      </c>
      <c r="AQ155" s="82">
        <f t="shared" ca="1" si="82"/>
        <v>256600.30499999999</v>
      </c>
      <c r="AR155" s="82">
        <f t="shared" ca="1" si="82"/>
        <v>256600.30499999999</v>
      </c>
    </row>
    <row r="156" spans="1:46" outlineLevel="1" x14ac:dyDescent="0.2">
      <c r="A156" s="544" t="str">
        <f>Параметры!$A$86</f>
        <v>Изменение заработной платы</v>
      </c>
      <c r="B156" s="263" t="s">
        <v>391</v>
      </c>
      <c r="C156" s="21" t="s">
        <v>14</v>
      </c>
      <c r="E156" s="362">
        <f>CHOOSE($E$2,Параметры!E$86,Параметры!E$113,Параметры!E$122)</f>
        <v>0</v>
      </c>
      <c r="F156" s="362">
        <f>CHOOSE($E$2,Параметры!F$86,Параметры!F$113,Параметры!F$122)</f>
        <v>0</v>
      </c>
      <c r="G156" s="362">
        <f>CHOOSE($E$2,Параметры!G$86,Параметры!G$113,Параметры!G$122)</f>
        <v>0</v>
      </c>
      <c r="H156" s="362">
        <f>CHOOSE($E$2,Параметры!H$86,Параметры!H$113,Параметры!H$122)</f>
        <v>0</v>
      </c>
      <c r="I156" s="362">
        <f>CHOOSE($E$2,Параметры!I$86,Параметры!I$113,Параметры!I$122)</f>
        <v>6.5636940856837134E-2</v>
      </c>
      <c r="J156" s="362">
        <f>CHOOSE($E$2,Параметры!J$86,Параметры!J$113,Параметры!J$122)</f>
        <v>6.5636940856837134E-2</v>
      </c>
      <c r="K156" s="362">
        <f>CHOOSE($E$2,Параметры!K$86,Параметры!K$113,Параметры!K$122)</f>
        <v>6.5636940856837134E-2</v>
      </c>
      <c r="L156" s="362">
        <f>CHOOSE($E$2,Параметры!L$86,Параметры!L$113,Параметры!L$122)</f>
        <v>6.5636940856837134E-2</v>
      </c>
      <c r="M156" s="362">
        <f>CHOOSE($E$2,Параметры!M$86,Параметры!M$113,Параметры!M$122)</f>
        <v>6.9164258480914675E-2</v>
      </c>
      <c r="N156" s="362">
        <f>CHOOSE($E$2,Параметры!N$86,Параметры!N$113,Параметры!N$122)</f>
        <v>6.9164258480914675E-2</v>
      </c>
      <c r="O156" s="362">
        <f>CHOOSE($E$2,Параметры!O$86,Параметры!O$113,Параметры!O$122)</f>
        <v>6.9164258480914675E-2</v>
      </c>
      <c r="P156" s="362">
        <f>CHOOSE($E$2,Параметры!P$86,Параметры!P$113,Параметры!P$122)</f>
        <v>6.9164258480914675E-2</v>
      </c>
      <c r="Q156" s="362">
        <f>CHOOSE($E$2,Параметры!Q$86,Параметры!Q$113,Параметры!Q$122)</f>
        <v>6.8270657176112026E-2</v>
      </c>
      <c r="R156" s="362">
        <f>CHOOSE($E$2,Параметры!R$86,Параметры!R$113,Параметры!R$122)</f>
        <v>6.8270657176112026E-2</v>
      </c>
      <c r="S156" s="362">
        <f>CHOOSE($E$2,Параметры!S$86,Параметры!S$113,Параметры!S$122)</f>
        <v>6.8270657176112026E-2</v>
      </c>
      <c r="T156" s="362">
        <f>CHOOSE($E$2,Параметры!T$86,Параметры!T$113,Параметры!T$122)</f>
        <v>6.8270657176112026E-2</v>
      </c>
      <c r="U156" s="362">
        <f>CHOOSE($E$2,Параметры!U$86,Параметры!U$113,Параметры!U$122)</f>
        <v>6.9593992275576166E-2</v>
      </c>
      <c r="V156" s="362">
        <f>CHOOSE($E$2,Параметры!V$86,Параметры!V$113,Параметры!V$122)</f>
        <v>6.9593992275576166E-2</v>
      </c>
      <c r="W156" s="362">
        <f>CHOOSE($E$2,Параметры!W$86,Параметры!W$113,Параметры!W$122)</f>
        <v>6.9593992275576166E-2</v>
      </c>
      <c r="X156" s="362">
        <f>CHOOSE($E$2,Параметры!X$86,Параметры!X$113,Параметры!X$122)</f>
        <v>6.9593992275576166E-2</v>
      </c>
      <c r="Y156" s="362">
        <f>CHOOSE($E$2,Параметры!Y$86,Параметры!Y$113,Параметры!Y$122)</f>
        <v>6.8717549596758909E-2</v>
      </c>
      <c r="Z156" s="362">
        <f>CHOOSE($E$2,Параметры!Z$86,Параметры!Z$113,Параметры!Z$122)</f>
        <v>6.8717549596758909E-2</v>
      </c>
      <c r="AA156" s="362">
        <f>CHOOSE($E$2,Параметры!AA$86,Параметры!AA$113,Параметры!AA$122)</f>
        <v>6.8717549596758909E-2</v>
      </c>
      <c r="AB156" s="362">
        <f>CHOOSE($E$2,Параметры!AB$86,Параметры!AB$113,Параметры!AB$122)</f>
        <v>6.8717549596758909E-2</v>
      </c>
      <c r="AC156" s="362">
        <f>CHOOSE($E$2,Параметры!AC$86,Параметры!AC$113,Параметры!AC$122)</f>
        <v>6.8028504971386461E-2</v>
      </c>
      <c r="AD156" s="362">
        <f>CHOOSE($E$2,Параметры!AD$86,Параметры!AD$113,Параметры!AD$122)</f>
        <v>6.8028504971386461E-2</v>
      </c>
      <c r="AE156" s="362">
        <f>CHOOSE($E$2,Параметры!AE$86,Параметры!AE$113,Параметры!AE$122)</f>
        <v>6.8028504971386461E-2</v>
      </c>
      <c r="AF156" s="362">
        <f>CHOOSE($E$2,Параметры!AF$86,Параметры!AF$113,Параметры!AF$122)</f>
        <v>6.8028504971386461E-2</v>
      </c>
      <c r="AG156" s="362">
        <f>CHOOSE($E$2,Параметры!AG$86,Параметры!AG$113,Параметры!AG$122)</f>
        <v>6.7750417348662717E-2</v>
      </c>
      <c r="AH156" s="362">
        <f>CHOOSE($E$2,Параметры!AH$86,Параметры!AH$113,Параметры!AH$122)</f>
        <v>6.7750417348662717E-2</v>
      </c>
      <c r="AI156" s="362">
        <f>CHOOSE($E$2,Параметры!AI$86,Параметры!AI$113,Параметры!AI$122)</f>
        <v>6.7750417348662717E-2</v>
      </c>
      <c r="AJ156" s="362">
        <f>CHOOSE($E$2,Параметры!AJ$86,Параметры!AJ$113,Параметры!AJ$122)</f>
        <v>6.7750417348662717E-2</v>
      </c>
      <c r="AK156" s="362">
        <f>CHOOSE($E$2,Параметры!AK$86,Параметры!AK$113,Параметры!AK$122)</f>
        <v>6.7174282373121841E-2</v>
      </c>
      <c r="AL156" s="362">
        <f>CHOOSE($E$2,Параметры!AL$86,Параметры!AL$113,Параметры!AL$122)</f>
        <v>6.7174282373121841E-2</v>
      </c>
      <c r="AM156" s="362">
        <f>CHOOSE($E$2,Параметры!AM$86,Параметры!AM$113,Параметры!AM$122)</f>
        <v>6.7174282373121841E-2</v>
      </c>
      <c r="AN156" s="362">
        <f>CHOOSE($E$2,Параметры!AN$86,Параметры!AN$113,Параметры!AN$122)</f>
        <v>6.7174282373121841E-2</v>
      </c>
      <c r="AO156" s="362">
        <f>CHOOSE($E$2,Параметры!AO$86,Параметры!AO$113,Параметры!AO$122)</f>
        <v>6.6623774358420818E-2</v>
      </c>
      <c r="AP156" s="362">
        <f>CHOOSE($E$2,Параметры!AP$86,Параметры!AP$113,Параметры!AP$122)</f>
        <v>6.6623774358420818E-2</v>
      </c>
      <c r="AQ156" s="362">
        <f>CHOOSE($E$2,Параметры!AQ$86,Параметры!AQ$113,Параметры!AQ$122)</f>
        <v>6.6623774358420818E-2</v>
      </c>
      <c r="AR156" s="362">
        <f>CHOOSE($E$2,Параметры!AR$86,Параметры!AR$113,Параметры!AR$122)</f>
        <v>6.6623774358420818E-2</v>
      </c>
      <c r="AS156" s="127"/>
      <c r="AT156" s="119"/>
    </row>
    <row r="157" spans="1:46" outlineLevel="1" x14ac:dyDescent="0.2">
      <c r="A157" s="302" t="s">
        <v>392</v>
      </c>
      <c r="B157" s="25"/>
      <c r="C157" s="21" t="s">
        <v>133</v>
      </c>
      <c r="E157" s="416">
        <f ca="1">IF(E$2=1,1,IF(Параметры!$B$62=1,POWER(1+OFFSET(E156,0,-1),Параметры!E$39/360),1) * IF(E$2&gt;1,D157, 1))</f>
        <v>1</v>
      </c>
      <c r="F157" s="416">
        <f ca="1">IF(F$2=1,1,IF(Параметры!$B$62=1,POWER(1+OFFSET(F156,0,-1),Параметры!F$39/360),1) * IF(F$2&gt;1,E157, 1))</f>
        <v>1</v>
      </c>
      <c r="G157" s="416">
        <f ca="1">IF(G$2=1,1,IF(Параметры!$B$62=1,POWER(1+OFFSET(G156,0,-1),Параметры!G$39/360),1) * IF(G$2&gt;1,F157, 1))</f>
        <v>1</v>
      </c>
      <c r="H157" s="416">
        <f ca="1">IF(H$2=1,1,IF(Параметры!$B$62=1,POWER(1+OFFSET(H156,0,-1),Параметры!H$39/360),1) * IF(H$2&gt;1,G157, 1))</f>
        <v>1</v>
      </c>
      <c r="I157" s="416">
        <f ca="1">IF(I$2=1,1,IF(Параметры!$B$62=1,POWER(1+OFFSET(I156,0,-1),Параметры!I$39/360),1) * IF(I$2&gt;1,H157, 1))</f>
        <v>1</v>
      </c>
      <c r="J157" s="416">
        <f ca="1">IF(J$2=1,1,IF(Параметры!$B$62=1,POWER(1+OFFSET(J156,0,-1),Параметры!J$39/360),1) * IF(J$2&gt;1,I157, 1))</f>
        <v>1.0160201399352926</v>
      </c>
      <c r="K157" s="416">
        <f ca="1">IF(K$2=1,1,IF(Параметры!$B$62=1,POWER(1+OFFSET(K156,0,-1),Параметры!K$39/360),1) * IF(K$2&gt;1,J157, 1))</f>
        <v>1.0322969247541316</v>
      </c>
      <c r="L157" s="416">
        <f ca="1">IF(L$2=1,1,IF(Параметры!$B$62=1,POWER(1+OFFSET(L156,0,-1),Параметры!L$39/360),1) * IF(L$2&gt;1,K157, 1))</f>
        <v>1.048834465943465</v>
      </c>
      <c r="M157" s="416">
        <f ca="1">IF(M$2=1,1,IF(Параметры!$B$62=1,POWER(1+OFFSET(M156,0,-1),Параметры!M$39/360),1) * IF(M$2&gt;1,L157, 1))</f>
        <v>1.0656369408568371</v>
      </c>
      <c r="N157" s="416">
        <f ca="1">IF(N$2=1,1,IF(Параметры!$B$62=1,POWER(1+OFFSET(N156,0,-1),Параметры!N$39/360),1) * IF(N$2&gt;1,M157, 1))</f>
        <v>1.0836034402239334</v>
      </c>
      <c r="O157" s="416">
        <f ca="1">IF(O$2=1,1,IF(Параметры!$B$62=1,POWER(1+OFFSET(O156,0,-1),Параметры!O$39/360),1) * IF(O$2&gt;1,N157, 1))</f>
        <v>1.1018728524191532</v>
      </c>
      <c r="P157" s="416">
        <f ca="1">IF(P$2=1,1,IF(Параметры!$B$62=1,POWER(1+OFFSET(P156,0,-1),Параметры!P$39/360),1) * IF(P$2&gt;1,O157, 1))</f>
        <v>1.1204502845131377</v>
      </c>
      <c r="Q157" s="416">
        <f ca="1">IF(Q$2=1,1,IF(Параметры!$B$62=1,POWER(1+OFFSET(Q156,0,-1),Параметры!Q$39/360),1) * IF(Q$2&gt;1,P157, 1))</f>
        <v>1.1393409296810706</v>
      </c>
      <c r="R157" s="416">
        <f ca="1">IF(R$2=1,1,IF(Параметры!$B$62=1,POWER(1+OFFSET(R156,0,-1),Параметры!R$39/360),1) * IF(R$2&gt;1,Q157, 1))</f>
        <v>1.1583079153827869</v>
      </c>
      <c r="S157" s="416">
        <f ca="1">IF(S$2=1,1,IF(Параметры!$B$62=1,POWER(1+OFFSET(S156,0,-1),Параметры!S$39/360),1) * IF(S$2&gt;1,R157, 1))</f>
        <v>1.1775906507756073</v>
      </c>
      <c r="T157" s="416">
        <f ca="1">IF(T$2=1,1,IF(Параметры!$B$62=1,POWER(1+OFFSET(T156,0,-1),Параметры!T$39/360),1) * IF(T$2&gt;1,S157, 1))</f>
        <v>1.197194392249187</v>
      </c>
      <c r="U157" s="416">
        <f ca="1">IF(U$2=1,1,IF(Параметры!$B$62=1,POWER(1+OFFSET(U156,0,-1),Параметры!U$39/360),1) * IF(U$2&gt;1,T157, 1))</f>
        <v>1.2171244836980402</v>
      </c>
      <c r="V157" s="416">
        <f ca="1">IF(V$2=1,1,IF(Параметры!$B$62=1,POWER(1+OFFSET(V156,0,-1),Параметры!V$39/360),1) * IF(V$2&gt;1,U157, 1))</f>
        <v>1.237769387473094</v>
      </c>
      <c r="W157" s="416">
        <f ca="1">IF(W$2=1,1,IF(Параметры!$B$62=1,POWER(1+OFFSET(W156,0,-1),Параметры!W$39/360),1) * IF(W$2&gt;1,V157, 1))</f>
        <v>1.2587644707553303</v>
      </c>
      <c r="X157" s="416">
        <f ca="1">IF(X$2=1,1,IF(Параметры!$B$62=1,POWER(1+OFFSET(X156,0,-1),Параметры!X$39/360),1) * IF(X$2&gt;1,W157, 1))</f>
        <v>1.2801156733005643</v>
      </c>
      <c r="Y157" s="416">
        <f ca="1">IF(Y$2=1,1,IF(Параметры!$B$62=1,POWER(1+OFFSET(Y156,0,-1),Параметры!Y$39/360),1) * IF(Y$2&gt;1,X157, 1))</f>
        <v>1.3018290356149362</v>
      </c>
      <c r="Z157" s="416">
        <f ca="1">IF(Z$2=1,1,IF(Параметры!$B$62=1,POWER(1+OFFSET(Z156,0,-1),Параметры!Z$39/360),1) * IF(Z$2&gt;1,Y157, 1))</f>
        <v>1.3236394088073189</v>
      </c>
      <c r="AA157" s="416">
        <f ca="1">IF(AA$2=1,1,IF(Параметры!$B$62=1,POWER(1+OFFSET(AA156,0,-1),Параметры!AA$39/360),1) * IF(AA$2&gt;1,Z157, 1))</f>
        <v>1.3458151851100773</v>
      </c>
      <c r="AB157" s="416">
        <f ca="1">IF(AB$2=1,1,IF(Параметры!$B$62=1,POWER(1+OFFSET(AB156,0,-1),Параметры!AB$39/360),1) * IF(AB$2&gt;1,AA157, 1))</f>
        <v>1.3683624863548687</v>
      </c>
      <c r="AC157" s="416">
        <f ca="1">IF(AC$2=1,1,IF(Параметры!$B$62=1,POWER(1+OFFSET(AC156,0,-1),Параметры!AC$39/360),1) * IF(AC$2&gt;1,AB157, 1))</f>
        <v>1.391287536936306</v>
      </c>
      <c r="AD157" s="416">
        <f ca="1">IF(AD$2=1,1,IF(Параметры!$B$62=1,POWER(1+OFFSET(AD156,0,-1),Параметры!AD$39/360),1) * IF(AD$2&gt;1,AC157, 1))</f>
        <v>1.4143685987263133</v>
      </c>
      <c r="AE157" s="416">
        <f ca="1">IF(AE$2=1,1,IF(Параметры!$B$62=1,POWER(1+OFFSET(AE156,0,-1),Параметры!AE$39/360),1) * IF(AE$2&gt;1,AD157, 1))</f>
        <v>1.4378325687212823</v>
      </c>
      <c r="AF157" s="416">
        <f ca="1">IF(AF$2=1,1,IF(Параметры!$B$62=1,POWER(1+OFFSET(AF156,0,-1),Параметры!AF$39/360),1) * IF(AF$2&gt;1,AE157, 1))</f>
        <v>1.4616857992586734</v>
      </c>
      <c r="AG157" s="416">
        <f ca="1">IF(AG$2=1,1,IF(Параметры!$B$62=1,POWER(1+OFFSET(AG156,0,-1),Параметры!AG$39/360),1) * IF(AG$2&gt;1,AF157, 1))</f>
        <v>1.4859347480594056</v>
      </c>
      <c r="AH157" s="416">
        <f ca="1">IF(AH$2=1,1,IF(Параметры!$B$62=1,POWER(1+OFFSET(AH156,0,-1),Параметры!AH$39/360),1) * IF(AH$2&gt;1,AG157, 1))</f>
        <v>1.5104876407734087</v>
      </c>
      <c r="AI157" s="416">
        <f ca="1">IF(AI$2=1,1,IF(Параметры!$B$62=1,POWER(1+OFFSET(AI156,0,-1),Параметры!AI$39/360),1) * IF(AI$2&gt;1,AH157, 1))</f>
        <v>1.5354462340347694</v>
      </c>
      <c r="AJ157" s="416">
        <f ca="1">IF(AJ$2=1,1,IF(Параметры!$B$62=1,POWER(1+OFFSET(AJ156,0,-1),Параметры!AJ$39/360),1) * IF(AJ$2&gt;1,AI157, 1))</f>
        <v>1.5608172314501072</v>
      </c>
      <c r="AK157" s="416">
        <f ca="1">IF(AK$2=1,1,IF(Параметры!$B$62=1,POWER(1+OFFSET(AK156,0,-1),Параметры!AK$39/360),1) * IF(AK$2&gt;1,AJ157, 1))</f>
        <v>1.5866074473933107</v>
      </c>
      <c r="AL157" s="416">
        <f ca="1">IF(AL$2=1,1,IF(Параметры!$B$62=1,POWER(1+OFFSET(AL156,0,-1),Параметры!AL$39/360),1) * IF(AL$2&gt;1,AK157, 1))</f>
        <v>1.6126062036102125</v>
      </c>
      <c r="AM157" s="416">
        <f ca="1">IF(AM$2=1,1,IF(Параметры!$B$62=1,POWER(1+OFFSET(AM156,0,-1),Параметры!AM$39/360),1) * IF(AM$2&gt;1,AL157, 1))</f>
        <v>1.6390309853862002</v>
      </c>
      <c r="AN157" s="416">
        <f ca="1">IF(AN$2=1,1,IF(Параметры!$B$62=1,POWER(1+OFFSET(AN156,0,-1),Параметры!AN$39/360),1) * IF(AN$2&gt;1,AM157, 1))</f>
        <v>1.6658887737389612</v>
      </c>
      <c r="AO157" s="416">
        <f ca="1">IF(AO$2=1,1,IF(Параметры!$B$62=1,POWER(1+OFFSET(AO156,0,-1),Параметры!AO$39/360),1) * IF(AO$2&gt;1,AN157, 1))</f>
        <v>1.6931866640798074</v>
      </c>
      <c r="AP157" s="416">
        <f ca="1">IF(AP$2=1,1,IF(Параметры!$B$62=1,POWER(1+OFFSET(AP156,0,-1),Параметры!AP$39/360),1) * IF(AP$2&gt;1,AO157, 1))</f>
        <v>1.7207098869823081</v>
      </c>
      <c r="AQ157" s="416">
        <f ca="1">IF(AQ$2=1,1,IF(Параметры!$B$62=1,POWER(1+OFFSET(AQ156,0,-1),Параметры!AQ$39/360),1) * IF(AQ$2&gt;1,AP157, 1))</f>
        <v>1.7486805075728553</v>
      </c>
      <c r="AR157" s="416">
        <f ca="1">IF(AR$2=1,1,IF(Параметры!$B$62=1,POWER(1+OFFSET(AR156,0,-1),Параметры!AR$39/360),1) * IF(AR$2&gt;1,AQ157, 1))</f>
        <v>1.7771057984260303</v>
      </c>
      <c r="AS157" s="128"/>
      <c r="AT157" s="117"/>
    </row>
    <row r="158" spans="1:46" outlineLevel="1" x14ac:dyDescent="0.2">
      <c r="A158" s="319" t="s">
        <v>491</v>
      </c>
      <c r="B158" s="24"/>
      <c r="C158" s="2" t="s">
        <v>133</v>
      </c>
      <c r="D158" s="310"/>
      <c r="E158" s="417">
        <f>IF(E$2=1,1,CHOOSE($E$2,E157,IF(Параметры!E$43=1,E157,D158),IF(Параметры!E$48=1,E157,D158),IF(Параметры!E$45&lt;&gt;Параметры!D$45,E157,D158),IF(Параметры!E$50&lt;&gt;Параметры!D$50,E157,D158)))</f>
        <v>1</v>
      </c>
      <c r="F158" s="417">
        <f ca="1">IF(F$2=1,1,CHOOSE($E$2,F157,IF(Параметры!F$43=1,F157,E158),IF(Параметры!F$48=1,F157,E158),IF(Параметры!F$45&lt;&gt;Параметры!E$45,F157,E158),IF(Параметры!F$50&lt;&gt;Параметры!E$50,F157,E158)))</f>
        <v>1</v>
      </c>
      <c r="G158" s="417">
        <f ca="1">IF(G$2=1,1,CHOOSE($E$2,G157,IF(Параметры!G$43=1,G157,F158),IF(Параметры!G$48=1,G157,F158),IF(Параметры!G$45&lt;&gt;Параметры!F$45,G157,F158),IF(Параметры!G$50&lt;&gt;Параметры!F$50,G157,F158)))</f>
        <v>1</v>
      </c>
      <c r="H158" s="417">
        <f ca="1">IF(H$2=1,1,CHOOSE($E$2,H157,IF(Параметры!H$43=1,H157,G158),IF(Параметры!H$48=1,H157,G158),IF(Параметры!H$45&lt;&gt;Параметры!G$45,H157,G158),IF(Параметры!H$50&lt;&gt;Параметры!G$50,H157,G158)))</f>
        <v>1</v>
      </c>
      <c r="I158" s="417">
        <f ca="1">IF(I$2=1,1,CHOOSE($E$2,I157,IF(Параметры!I$43=1,I157,H158),IF(Параметры!I$48=1,I157,H158),IF(Параметры!I$45&lt;&gt;Параметры!H$45,I157,H158),IF(Параметры!I$50&lt;&gt;Параметры!H$50,I157,H158)))</f>
        <v>1</v>
      </c>
      <c r="J158" s="417">
        <f ca="1">IF(J$2=1,1,CHOOSE($E$2,J157,IF(Параметры!J$43=1,J157,I158),IF(Параметры!J$48=1,J157,I158),IF(Параметры!J$45&lt;&gt;Параметры!I$45,J157,I158),IF(Параметры!J$50&lt;&gt;Параметры!I$50,J157,I158)))</f>
        <v>1.0160201399352926</v>
      </c>
      <c r="K158" s="417">
        <f ca="1">IF(K$2=1,1,CHOOSE($E$2,K157,IF(Параметры!K$43=1,K157,J158),IF(Параметры!K$48=1,K157,J158),IF(Параметры!K$45&lt;&gt;Параметры!J$45,K157,J158),IF(Параметры!K$50&lt;&gt;Параметры!J$50,K157,J158)))</f>
        <v>1.0322969247541316</v>
      </c>
      <c r="L158" s="417">
        <f ca="1">IF(L$2=1,1,CHOOSE($E$2,L157,IF(Параметры!L$43=1,L157,K158),IF(Параметры!L$48=1,L157,K158),IF(Параметры!L$45&lt;&gt;Параметры!K$45,L157,K158),IF(Параметры!L$50&lt;&gt;Параметры!K$50,L157,K158)))</f>
        <v>1.048834465943465</v>
      </c>
      <c r="M158" s="417">
        <f ca="1">IF(M$2=1,1,CHOOSE($E$2,M157,IF(Параметры!M$43=1,M157,L158),IF(Параметры!M$48=1,M157,L158),IF(Параметры!M$45&lt;&gt;Параметры!L$45,M157,L158),IF(Параметры!M$50&lt;&gt;Параметры!L$50,M157,L158)))</f>
        <v>1.0656369408568371</v>
      </c>
      <c r="N158" s="417">
        <f ca="1">IF(N$2=1,1,CHOOSE($E$2,N157,IF(Параметры!N$43=1,N157,M158),IF(Параметры!N$48=1,N157,M158),IF(Параметры!N$45&lt;&gt;Параметры!M$45,N157,M158),IF(Параметры!N$50&lt;&gt;Параметры!M$50,N157,M158)))</f>
        <v>1.0836034402239334</v>
      </c>
      <c r="O158" s="417">
        <f ca="1">IF(O$2=1,1,CHOOSE($E$2,O157,IF(Параметры!O$43=1,O157,N158),IF(Параметры!O$48=1,O157,N158),IF(Параметры!O$45&lt;&gt;Параметры!N$45,O157,N158),IF(Параметры!O$50&lt;&gt;Параметры!N$50,O157,N158)))</f>
        <v>1.1018728524191532</v>
      </c>
      <c r="P158" s="417">
        <f ca="1">IF(P$2=1,1,CHOOSE($E$2,P157,IF(Параметры!P$43=1,P157,O158),IF(Параметры!P$48=1,P157,O158),IF(Параметры!P$45&lt;&gt;Параметры!O$45,P157,O158),IF(Параметры!P$50&lt;&gt;Параметры!O$50,P157,O158)))</f>
        <v>1.1204502845131377</v>
      </c>
      <c r="Q158" s="417">
        <f ca="1">IF(Q$2=1,1,CHOOSE($E$2,Q157,IF(Параметры!Q$43=1,Q157,P158),IF(Параметры!Q$48=1,Q157,P158),IF(Параметры!Q$45&lt;&gt;Параметры!P$45,Q157,P158),IF(Параметры!Q$50&lt;&gt;Параметры!P$50,Q157,P158)))</f>
        <v>1.1393409296810706</v>
      </c>
      <c r="R158" s="417">
        <f ca="1">IF(R$2=1,1,CHOOSE($E$2,R157,IF(Параметры!R$43=1,R157,Q158),IF(Параметры!R$48=1,R157,Q158),IF(Параметры!R$45&lt;&gt;Параметры!Q$45,R157,Q158),IF(Параметры!R$50&lt;&gt;Параметры!Q$50,R157,Q158)))</f>
        <v>1.1583079153827869</v>
      </c>
      <c r="S158" s="417">
        <f ca="1">IF(S$2=1,1,CHOOSE($E$2,S157,IF(Параметры!S$43=1,S157,R158),IF(Параметры!S$48=1,S157,R158),IF(Параметры!S$45&lt;&gt;Параметры!R$45,S157,R158),IF(Параметры!S$50&lt;&gt;Параметры!R$50,S157,R158)))</f>
        <v>1.1775906507756073</v>
      </c>
      <c r="T158" s="417">
        <f ca="1">IF(T$2=1,1,CHOOSE($E$2,T157,IF(Параметры!T$43=1,T157,S158),IF(Параметры!T$48=1,T157,S158),IF(Параметры!T$45&lt;&gt;Параметры!S$45,T157,S158),IF(Параметры!T$50&lt;&gt;Параметры!S$50,T157,S158)))</f>
        <v>1.197194392249187</v>
      </c>
      <c r="U158" s="417">
        <f ca="1">IF(U$2=1,1,CHOOSE($E$2,U157,IF(Параметры!U$43=1,U157,T158),IF(Параметры!U$48=1,U157,T158),IF(Параметры!U$45&lt;&gt;Параметры!T$45,U157,T158),IF(Параметры!U$50&lt;&gt;Параметры!T$50,U157,T158)))</f>
        <v>1.2171244836980402</v>
      </c>
      <c r="V158" s="417">
        <f ca="1">IF(V$2=1,1,CHOOSE($E$2,V157,IF(Параметры!V$43=1,V157,U158),IF(Параметры!V$48=1,V157,U158),IF(Параметры!V$45&lt;&gt;Параметры!U$45,V157,U158),IF(Параметры!V$50&lt;&gt;Параметры!U$50,V157,U158)))</f>
        <v>1.237769387473094</v>
      </c>
      <c r="W158" s="417">
        <f ca="1">IF(W$2=1,1,CHOOSE($E$2,W157,IF(Параметры!W$43=1,W157,V158),IF(Параметры!W$48=1,W157,V158),IF(Параметры!W$45&lt;&gt;Параметры!V$45,W157,V158),IF(Параметры!W$50&lt;&gt;Параметры!V$50,W157,V158)))</f>
        <v>1.2587644707553303</v>
      </c>
      <c r="X158" s="417">
        <f ca="1">IF(X$2=1,1,CHOOSE($E$2,X157,IF(Параметры!X$43=1,X157,W158),IF(Параметры!X$48=1,X157,W158),IF(Параметры!X$45&lt;&gt;Параметры!W$45,X157,W158),IF(Параметры!X$50&lt;&gt;Параметры!W$50,X157,W158)))</f>
        <v>1.2801156733005643</v>
      </c>
      <c r="Y158" s="417">
        <f ca="1">IF(Y$2=1,1,CHOOSE($E$2,Y157,IF(Параметры!Y$43=1,Y157,X158),IF(Параметры!Y$48=1,Y157,X158),IF(Параметры!Y$45&lt;&gt;Параметры!X$45,Y157,X158),IF(Параметры!Y$50&lt;&gt;Параметры!X$50,Y157,X158)))</f>
        <v>1.3018290356149362</v>
      </c>
      <c r="Z158" s="417">
        <f ca="1">IF(Z$2=1,1,CHOOSE($E$2,Z157,IF(Параметры!Z$43=1,Z157,Y158),IF(Параметры!Z$48=1,Z157,Y158),IF(Параметры!Z$45&lt;&gt;Параметры!Y$45,Z157,Y158),IF(Параметры!Z$50&lt;&gt;Параметры!Y$50,Z157,Y158)))</f>
        <v>1.3236394088073189</v>
      </c>
      <c r="AA158" s="417">
        <f ca="1">IF(AA$2=1,1,CHOOSE($E$2,AA157,IF(Параметры!AA$43=1,AA157,Z158),IF(Параметры!AA$48=1,AA157,Z158),IF(Параметры!AA$45&lt;&gt;Параметры!Z$45,AA157,Z158),IF(Параметры!AA$50&lt;&gt;Параметры!Z$50,AA157,Z158)))</f>
        <v>1.3458151851100773</v>
      </c>
      <c r="AB158" s="417">
        <f ca="1">IF(AB$2=1,1,CHOOSE($E$2,AB157,IF(Параметры!AB$43=1,AB157,AA158),IF(Параметры!AB$48=1,AB157,AA158),IF(Параметры!AB$45&lt;&gt;Параметры!AA$45,AB157,AA158),IF(Параметры!AB$50&lt;&gt;Параметры!AA$50,AB157,AA158)))</f>
        <v>1.3683624863548687</v>
      </c>
      <c r="AC158" s="417">
        <f ca="1">IF(AC$2=1,1,CHOOSE($E$2,AC157,IF(Параметры!AC$43=1,AC157,AB158),IF(Параметры!AC$48=1,AC157,AB158),IF(Параметры!AC$45&lt;&gt;Параметры!AB$45,AC157,AB158),IF(Параметры!AC$50&lt;&gt;Параметры!AB$50,AC157,AB158)))</f>
        <v>1.391287536936306</v>
      </c>
      <c r="AD158" s="417">
        <f ca="1">IF(AD$2=1,1,CHOOSE($E$2,AD157,IF(Параметры!AD$43=1,AD157,AC158),IF(Параметры!AD$48=1,AD157,AC158),IF(Параметры!AD$45&lt;&gt;Параметры!AC$45,AD157,AC158),IF(Параметры!AD$50&lt;&gt;Параметры!AC$50,AD157,AC158)))</f>
        <v>1.4143685987263133</v>
      </c>
      <c r="AE158" s="417">
        <f ca="1">IF(AE$2=1,1,CHOOSE($E$2,AE157,IF(Параметры!AE$43=1,AE157,AD158),IF(Параметры!AE$48=1,AE157,AD158),IF(Параметры!AE$45&lt;&gt;Параметры!AD$45,AE157,AD158),IF(Параметры!AE$50&lt;&gt;Параметры!AD$50,AE157,AD158)))</f>
        <v>1.4378325687212823</v>
      </c>
      <c r="AF158" s="417">
        <f ca="1">IF(AF$2=1,1,CHOOSE($E$2,AF157,IF(Параметры!AF$43=1,AF157,AE158),IF(Параметры!AF$48=1,AF157,AE158),IF(Параметры!AF$45&lt;&gt;Параметры!AE$45,AF157,AE158),IF(Параметры!AF$50&lt;&gt;Параметры!AE$50,AF157,AE158)))</f>
        <v>1.4616857992586734</v>
      </c>
      <c r="AG158" s="417">
        <f ca="1">IF(AG$2=1,1,CHOOSE($E$2,AG157,IF(Параметры!AG$43=1,AG157,AF158),IF(Параметры!AG$48=1,AG157,AF158),IF(Параметры!AG$45&lt;&gt;Параметры!AF$45,AG157,AF158),IF(Параметры!AG$50&lt;&gt;Параметры!AF$50,AG157,AF158)))</f>
        <v>1.4859347480594056</v>
      </c>
      <c r="AH158" s="417">
        <f ca="1">IF(AH$2=1,1,CHOOSE($E$2,AH157,IF(Параметры!AH$43=1,AH157,AG158),IF(Параметры!AH$48=1,AH157,AG158),IF(Параметры!AH$45&lt;&gt;Параметры!AG$45,AH157,AG158),IF(Параметры!AH$50&lt;&gt;Параметры!AG$50,AH157,AG158)))</f>
        <v>1.5104876407734087</v>
      </c>
      <c r="AI158" s="417">
        <f ca="1">IF(AI$2=1,1,CHOOSE($E$2,AI157,IF(Параметры!AI$43=1,AI157,AH158),IF(Параметры!AI$48=1,AI157,AH158),IF(Параметры!AI$45&lt;&gt;Параметры!AH$45,AI157,AH158),IF(Параметры!AI$50&lt;&gt;Параметры!AH$50,AI157,AH158)))</f>
        <v>1.5354462340347694</v>
      </c>
      <c r="AJ158" s="417">
        <f ca="1">IF(AJ$2=1,1,CHOOSE($E$2,AJ157,IF(Параметры!AJ$43=1,AJ157,AI158),IF(Параметры!AJ$48=1,AJ157,AI158),IF(Параметры!AJ$45&lt;&gt;Параметры!AI$45,AJ157,AI158),IF(Параметры!AJ$50&lt;&gt;Параметры!AI$50,AJ157,AI158)))</f>
        <v>1.5608172314501072</v>
      </c>
      <c r="AK158" s="417">
        <f ca="1">IF(AK$2=1,1,CHOOSE($E$2,AK157,IF(Параметры!AK$43=1,AK157,AJ158),IF(Параметры!AK$48=1,AK157,AJ158),IF(Параметры!AK$45&lt;&gt;Параметры!AJ$45,AK157,AJ158),IF(Параметры!AK$50&lt;&gt;Параметры!AJ$50,AK157,AJ158)))</f>
        <v>1.5866074473933107</v>
      </c>
      <c r="AL158" s="417">
        <f ca="1">IF(AL$2=1,1,CHOOSE($E$2,AL157,IF(Параметры!AL$43=1,AL157,AK158),IF(Параметры!AL$48=1,AL157,AK158),IF(Параметры!AL$45&lt;&gt;Параметры!AK$45,AL157,AK158),IF(Параметры!AL$50&lt;&gt;Параметры!AK$50,AL157,AK158)))</f>
        <v>1.6126062036102125</v>
      </c>
      <c r="AM158" s="417">
        <f ca="1">IF(AM$2=1,1,CHOOSE($E$2,AM157,IF(Параметры!AM$43=1,AM157,AL158),IF(Параметры!AM$48=1,AM157,AL158),IF(Параметры!AM$45&lt;&gt;Параметры!AL$45,AM157,AL158),IF(Параметры!AM$50&lt;&gt;Параметры!AL$50,AM157,AL158)))</f>
        <v>1.6390309853862002</v>
      </c>
      <c r="AN158" s="417">
        <f ca="1">IF(AN$2=1,1,CHOOSE($E$2,AN157,IF(Параметры!AN$43=1,AN157,AM158),IF(Параметры!AN$48=1,AN157,AM158),IF(Параметры!AN$45&lt;&gt;Параметры!AM$45,AN157,AM158),IF(Параметры!AN$50&lt;&gt;Параметры!AM$50,AN157,AM158)))</f>
        <v>1.6658887737389612</v>
      </c>
      <c r="AO158" s="417">
        <f ca="1">IF(AO$2=1,1,CHOOSE($E$2,AO157,IF(Параметры!AO$43=1,AO157,AN158),IF(Параметры!AO$48=1,AO157,AN158),IF(Параметры!AO$45&lt;&gt;Параметры!AN$45,AO157,AN158),IF(Параметры!AO$50&lt;&gt;Параметры!AN$50,AO157,AN158)))</f>
        <v>1.6931866640798074</v>
      </c>
      <c r="AP158" s="417">
        <f ca="1">IF(AP$2=1,1,CHOOSE($E$2,AP157,IF(Параметры!AP$43=1,AP157,AO158),IF(Параметры!AP$48=1,AP157,AO158),IF(Параметры!AP$45&lt;&gt;Параметры!AO$45,AP157,AO158),IF(Параметры!AP$50&lt;&gt;Параметры!AO$50,AP157,AO158)))</f>
        <v>1.7207098869823081</v>
      </c>
      <c r="AQ158" s="417">
        <f ca="1">IF(AQ$2=1,1,CHOOSE($E$2,AQ157,IF(Параметры!AQ$43=1,AQ157,AP158),IF(Параметры!AQ$48=1,AQ157,AP158),IF(Параметры!AQ$45&lt;&gt;Параметры!AP$45,AQ157,AP158),IF(Параметры!AQ$50&lt;&gt;Параметры!AP$50,AQ157,AP158)))</f>
        <v>1.7486805075728553</v>
      </c>
      <c r="AR158" s="417">
        <f ca="1">IF(AR$2=1,1,CHOOSE($E$2,AR157,IF(Параметры!AR$43=1,AR157,AQ158),IF(Параметры!AR$48=1,AR157,AQ158),IF(Параметры!AR$45&lt;&gt;Параметры!AQ$45,AR157,AQ158),IF(Параметры!AR$50&lt;&gt;Параметры!AQ$50,AR157,AQ158)))</f>
        <v>1.7771057984260303</v>
      </c>
      <c r="AS158" s="120"/>
      <c r="AT158" s="116"/>
    </row>
    <row r="159" spans="1:46" x14ac:dyDescent="0.2">
      <c r="A159" s="49" t="s">
        <v>689</v>
      </c>
      <c r="B159" s="64"/>
      <c r="C159" s="35" t="s">
        <v>455</v>
      </c>
      <c r="D159" s="65"/>
      <c r="E159" s="82">
        <f ca="1">E158*E155</f>
        <v>0</v>
      </c>
      <c r="F159" s="82">
        <f t="shared" ref="F159:AR159" ca="1" si="83">F158*F155</f>
        <v>0</v>
      </c>
      <c r="G159" s="82">
        <f t="shared" ca="1" si="83"/>
        <v>0</v>
      </c>
      <c r="H159" s="82">
        <f t="shared" ca="1" si="83"/>
        <v>46225.17</v>
      </c>
      <c r="I159" s="82">
        <f t="shared" ca="1" si="83"/>
        <v>46225.17</v>
      </c>
      <c r="J159" s="82">
        <f t="shared" ca="1" si="83"/>
        <v>46965.703691932686</v>
      </c>
      <c r="K159" s="82">
        <f t="shared" ca="1" si="83"/>
        <v>47718.10083723694</v>
      </c>
      <c r="L159" s="82">
        <f t="shared" ca="1" si="83"/>
        <v>48482.551490095873</v>
      </c>
      <c r="M159" s="82">
        <f t="shared" ca="1" si="83"/>
        <v>49259.24874938724</v>
      </c>
      <c r="N159" s="82">
        <f t="shared" ca="1" si="83"/>
        <v>74951.820537021253</v>
      </c>
      <c r="O159" s="82">
        <f t="shared" ca="1" si="83"/>
        <v>76215.498422623015</v>
      </c>
      <c r="P159" s="82">
        <f t="shared" ca="1" si="83"/>
        <v>77500.481752003427</v>
      </c>
      <c r="Q159" s="82">
        <f t="shared" ca="1" si="83"/>
        <v>78807.129732156449</v>
      </c>
      <c r="R159" s="82">
        <f t="shared" ca="1" si="83"/>
        <v>93407.097021304158</v>
      </c>
      <c r="S159" s="82">
        <f t="shared" ca="1" si="83"/>
        <v>94962.075893289235</v>
      </c>
      <c r="T159" s="82">
        <f t="shared" ca="1" si="83"/>
        <v>96542.941013422751</v>
      </c>
      <c r="U159" s="82">
        <f t="shared" ca="1" si="83"/>
        <v>98150.12331864881</v>
      </c>
      <c r="V159" s="82">
        <f t="shared" ca="1" si="83"/>
        <v>317612.00234525907</v>
      </c>
      <c r="W159" s="82">
        <f t="shared" ca="1" si="83"/>
        <v>322999.3471189813</v>
      </c>
      <c r="X159" s="82">
        <f t="shared" ca="1" si="83"/>
        <v>328478.07220420515</v>
      </c>
      <c r="Y159" s="82">
        <f t="shared" ca="1" si="83"/>
        <v>334049.7275966485</v>
      </c>
      <c r="Z159" s="82">
        <f t="shared" ca="1" si="83"/>
        <v>339646.27600997768</v>
      </c>
      <c r="AA159" s="82">
        <f t="shared" ca="1" si="83"/>
        <v>345336.58697287727</v>
      </c>
      <c r="AB159" s="82">
        <f t="shared" ca="1" si="83"/>
        <v>351122.23134921765</v>
      </c>
      <c r="AC159" s="82">
        <f t="shared" ca="1" si="83"/>
        <v>357004.80632055487</v>
      </c>
      <c r="AD159" s="82">
        <f t="shared" ca="1" si="83"/>
        <v>362927.41381559457</v>
      </c>
      <c r="AE159" s="82">
        <f t="shared" ca="1" si="83"/>
        <v>368948.27567281446</v>
      </c>
      <c r="AF159" s="82">
        <f t="shared" ca="1" si="83"/>
        <v>375069.02190394438</v>
      </c>
      <c r="AG159" s="82">
        <f t="shared" ca="1" si="83"/>
        <v>381291.30956214166</v>
      </c>
      <c r="AH159" s="82">
        <f t="shared" ca="1" si="83"/>
        <v>387591.58932118712</v>
      </c>
      <c r="AI159" s="82">
        <f t="shared" ca="1" si="83"/>
        <v>393995.9719644232</v>
      </c>
      <c r="AJ159" s="82">
        <f t="shared" ca="1" si="83"/>
        <v>400506.17763935309</v>
      </c>
      <c r="AK159" s="82">
        <f t="shared" ca="1" si="83"/>
        <v>407123.95491639496</v>
      </c>
      <c r="AL159" s="82">
        <f t="shared" ca="1" si="83"/>
        <v>413795.24369127263</v>
      </c>
      <c r="AM159" s="82">
        <f t="shared" ca="1" si="83"/>
        <v>420575.85075454949</v>
      </c>
      <c r="AN159" s="82">
        <f t="shared" ca="1" si="83"/>
        <v>427467.56743749342</v>
      </c>
      <c r="AO159" s="82">
        <f t="shared" ca="1" si="83"/>
        <v>434472.21442481113</v>
      </c>
      <c r="AP159" s="82">
        <f t="shared" ca="1" si="83"/>
        <v>441534.68181617575</v>
      </c>
      <c r="AQ159" s="82">
        <f t="shared" ca="1" si="83"/>
        <v>448711.95159074949</v>
      </c>
      <c r="AR159" s="82">
        <f t="shared" ca="1" si="83"/>
        <v>456005.88989338791</v>
      </c>
    </row>
    <row r="160" spans="1:46" x14ac:dyDescent="0.2">
      <c r="A160" s="49"/>
      <c r="B160" s="64"/>
      <c r="C160" s="35"/>
      <c r="D160" s="65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</row>
    <row r="161" spans="1:46" x14ac:dyDescent="0.2">
      <c r="A161" s="49" t="s">
        <v>690</v>
      </c>
      <c r="B161" s="64"/>
      <c r="C161" s="35"/>
      <c r="D161" s="65"/>
      <c r="E161" s="158">
        <f ca="1">SUM(E162:E165)</f>
        <v>0</v>
      </c>
      <c r="F161" s="158">
        <f ca="1">SUM(F162:F165)</f>
        <v>0</v>
      </c>
      <c r="G161" s="158">
        <f t="shared" ref="G161:AR161" ca="1" si="84">SUM(G162:G165)</f>
        <v>0</v>
      </c>
      <c r="H161" s="158">
        <f t="shared" ca="1" si="84"/>
        <v>14144.90202</v>
      </c>
      <c r="I161" s="158">
        <f t="shared" ca="1" si="84"/>
        <v>14144.90202</v>
      </c>
      <c r="J161" s="158">
        <f t="shared" ca="1" si="84"/>
        <v>14371.505329731403</v>
      </c>
      <c r="K161" s="158">
        <f t="shared" ca="1" si="84"/>
        <v>14601.738856194504</v>
      </c>
      <c r="L161" s="158">
        <f t="shared" ca="1" si="84"/>
        <v>14835.660755969337</v>
      </c>
      <c r="M161" s="158">
        <f t="shared" ca="1" si="84"/>
        <v>15073.330117312495</v>
      </c>
      <c r="N161" s="158">
        <f t="shared" ca="1" si="84"/>
        <v>22935.257084328507</v>
      </c>
      <c r="O161" s="158">
        <f t="shared" ca="1" si="84"/>
        <v>23321.942517322645</v>
      </c>
      <c r="P161" s="158">
        <f t="shared" ca="1" si="84"/>
        <v>23715.14741611305</v>
      </c>
      <c r="Q161" s="158">
        <f t="shared" ca="1" si="84"/>
        <v>24114.981698039872</v>
      </c>
      <c r="R161" s="158">
        <f t="shared" ca="1" si="84"/>
        <v>28582.57168851907</v>
      </c>
      <c r="S161" s="158">
        <f t="shared" ca="1" si="84"/>
        <v>29058.395223346506</v>
      </c>
      <c r="T161" s="158">
        <f t="shared" ca="1" si="84"/>
        <v>29542.139950107361</v>
      </c>
      <c r="U161" s="158">
        <f t="shared" ca="1" si="84"/>
        <v>30033.937735506537</v>
      </c>
      <c r="V161" s="158">
        <f t="shared" ca="1" si="84"/>
        <v>97189.272717649277</v>
      </c>
      <c r="W161" s="158">
        <f t="shared" ca="1" si="84"/>
        <v>98837.800218408272</v>
      </c>
      <c r="X161" s="158">
        <f t="shared" ca="1" si="84"/>
        <v>100514.29009448677</v>
      </c>
      <c r="Y161" s="158">
        <f t="shared" ca="1" si="84"/>
        <v>102219.21664457444</v>
      </c>
      <c r="Z161" s="158">
        <f t="shared" ca="1" si="84"/>
        <v>103931.76045905318</v>
      </c>
      <c r="AA161" s="158">
        <f t="shared" ca="1" si="84"/>
        <v>105672.99561370045</v>
      </c>
      <c r="AB161" s="158">
        <f t="shared" ca="1" si="84"/>
        <v>107443.40279286061</v>
      </c>
      <c r="AC161" s="158">
        <f t="shared" ca="1" si="84"/>
        <v>109243.47073408977</v>
      </c>
      <c r="AD161" s="158">
        <f t="shared" ca="1" si="84"/>
        <v>111055.78862757194</v>
      </c>
      <c r="AE161" s="158">
        <f t="shared" ca="1" si="84"/>
        <v>112898.17235588122</v>
      </c>
      <c r="AF161" s="158">
        <f t="shared" ca="1" si="84"/>
        <v>114771.12070260698</v>
      </c>
      <c r="AG161" s="158">
        <f t="shared" ca="1" si="84"/>
        <v>116675.14072601535</v>
      </c>
      <c r="AH161" s="158">
        <f t="shared" ca="1" si="84"/>
        <v>118603.02633228328</v>
      </c>
      <c r="AI161" s="158">
        <f t="shared" ca="1" si="84"/>
        <v>120562.76742111349</v>
      </c>
      <c r="AJ161" s="158">
        <f t="shared" ca="1" si="84"/>
        <v>122554.89035764204</v>
      </c>
      <c r="AK161" s="158">
        <f t="shared" ca="1" si="84"/>
        <v>124579.93020441686</v>
      </c>
      <c r="AL161" s="158">
        <f t="shared" ca="1" si="84"/>
        <v>126621.34456952942</v>
      </c>
      <c r="AM161" s="158">
        <f t="shared" ca="1" si="84"/>
        <v>128696.21033089215</v>
      </c>
      <c r="AN161" s="158">
        <f t="shared" ca="1" si="84"/>
        <v>130805.07563587299</v>
      </c>
      <c r="AO161" s="158">
        <f t="shared" ca="1" si="84"/>
        <v>132948.49761399219</v>
      </c>
      <c r="AP161" s="158">
        <f t="shared" ca="1" si="84"/>
        <v>135109.61263574977</v>
      </c>
      <c r="AQ161" s="158">
        <f t="shared" ca="1" si="84"/>
        <v>137305.85718676937</v>
      </c>
      <c r="AR161" s="158">
        <f t="shared" ca="1" si="84"/>
        <v>139537.8023073767</v>
      </c>
      <c r="AT161" s="84">
        <f t="shared" ref="AT161:AT168" ca="1" si="85">SUM(E161:AS161)</f>
        <v>2996253.8586950283</v>
      </c>
    </row>
    <row r="162" spans="1:46" x14ac:dyDescent="0.2">
      <c r="A162" s="553" t="s">
        <v>483</v>
      </c>
      <c r="B162" s="64"/>
      <c r="C162" s="35" t="s">
        <v>455</v>
      </c>
      <c r="D162" s="65"/>
      <c r="E162" s="158">
        <f ca="1">E$159*Параметры!E159</f>
        <v>0</v>
      </c>
      <c r="F162" s="158">
        <f ca="1">F$159*Параметры!F159</f>
        <v>0</v>
      </c>
      <c r="G162" s="158">
        <f ca="1">G$159*Параметры!G159</f>
        <v>0</v>
      </c>
      <c r="H162" s="158">
        <f ca="1">H$159*Параметры!H159</f>
        <v>10169.537399999999</v>
      </c>
      <c r="I162" s="158">
        <f ca="1">I$159*Параметры!I159</f>
        <v>10169.537399999999</v>
      </c>
      <c r="J162" s="158">
        <f ca="1">J$159*Параметры!J159</f>
        <v>10332.454812225191</v>
      </c>
      <c r="K162" s="158">
        <f ca="1">K$159*Параметры!K159</f>
        <v>10497.982184192128</v>
      </c>
      <c r="L162" s="158">
        <f ca="1">L$159*Параметры!L159</f>
        <v>10666.161327821092</v>
      </c>
      <c r="M162" s="158">
        <f ca="1">M$159*Параметры!M159</f>
        <v>10837.034724865192</v>
      </c>
      <c r="N162" s="158">
        <f ca="1">N$159*Параметры!N159</f>
        <v>16489.400518144677</v>
      </c>
      <c r="O162" s="158">
        <f ca="1">O$159*Параметры!O159</f>
        <v>16767.409652977065</v>
      </c>
      <c r="P162" s="158">
        <f ca="1">P$159*Параметры!P159</f>
        <v>17050.105985440754</v>
      </c>
      <c r="Q162" s="158">
        <f ca="1">Q$159*Параметры!Q159</f>
        <v>17337.568541074419</v>
      </c>
      <c r="R162" s="158">
        <f ca="1">R$159*Параметры!R159</f>
        <v>20549.561344686914</v>
      </c>
      <c r="S162" s="158">
        <f ca="1">S$159*Параметры!S159</f>
        <v>20891.656696523631</v>
      </c>
      <c r="T162" s="158">
        <f ca="1">T$159*Параметры!T159</f>
        <v>21239.447022953005</v>
      </c>
      <c r="U162" s="158">
        <f ca="1">U$159*Параметры!U159</f>
        <v>21593.027130102739</v>
      </c>
      <c r="V162" s="158">
        <f ca="1">V$159*Параметры!V159</f>
        <v>69874.640515956999</v>
      </c>
      <c r="W162" s="158">
        <f ca="1">W$159*Параметры!W159</f>
        <v>71059.856366175882</v>
      </c>
      <c r="X162" s="158">
        <f ca="1">X$159*Параметры!X159</f>
        <v>72265.175884925135</v>
      </c>
      <c r="Y162" s="158">
        <f ca="1">Y$159*Параметры!Y159</f>
        <v>73490.940071262667</v>
      </c>
      <c r="Z162" s="158">
        <f ca="1">Z$159*Параметры!Z159</f>
        <v>74722.180722195088</v>
      </c>
      <c r="AA162" s="158">
        <f ca="1">AA$159*Параметры!AA159</f>
        <v>75974.049134033005</v>
      </c>
      <c r="AB162" s="158">
        <f ca="1">AB$159*Параметры!AB159</f>
        <v>77246.890896827885</v>
      </c>
      <c r="AC162" s="158">
        <f ca="1">AC$159*Параметры!AC159</f>
        <v>78541.057390522066</v>
      </c>
      <c r="AD162" s="158">
        <f ca="1">AD$159*Параметры!AD159</f>
        <v>79844.031039430804</v>
      </c>
      <c r="AE162" s="158">
        <f ca="1">AE$159*Параметры!AE159</f>
        <v>81168.620648019176</v>
      </c>
      <c r="AF162" s="158">
        <f ca="1">AF$159*Параметры!AF159</f>
        <v>82515.184818867769</v>
      </c>
      <c r="AG162" s="158">
        <f ca="1">AG$159*Параметры!AG159</f>
        <v>83884.088103671165</v>
      </c>
      <c r="AH162" s="158">
        <f ca="1">AH$159*Параметры!AH159</f>
        <v>85270.149650661173</v>
      </c>
      <c r="AI162" s="158">
        <f ca="1">AI$159*Параметры!AI159</f>
        <v>86679.113832173098</v>
      </c>
      <c r="AJ162" s="158">
        <f ca="1">AJ$159*Параметры!AJ159</f>
        <v>88111.359080657683</v>
      </c>
      <c r="AK162" s="158">
        <f ca="1">AK$159*Параметры!AK159</f>
        <v>89567.270081606897</v>
      </c>
      <c r="AL162" s="158">
        <f ca="1">AL$159*Параметры!AL159</f>
        <v>91034.953612079975</v>
      </c>
      <c r="AM162" s="158">
        <f ca="1">AM$159*Параметры!AM159</f>
        <v>92526.687166000891</v>
      </c>
      <c r="AN162" s="158">
        <f ca="1">AN$159*Параметры!AN159</f>
        <v>94042.864836248555</v>
      </c>
      <c r="AO162" s="158">
        <f ca="1">AO$159*Параметры!AO159</f>
        <v>95583.887173458454</v>
      </c>
      <c r="AP162" s="158">
        <f ca="1">AP$159*Параметры!AP159</f>
        <v>97137.62999955866</v>
      </c>
      <c r="AQ162" s="158">
        <f ca="1">AQ$159*Параметры!AQ159</f>
        <v>98716.629349964889</v>
      </c>
      <c r="AR162" s="158">
        <f ca="1">AR$159*Параметры!AR159</f>
        <v>100321.29577654535</v>
      </c>
      <c r="AT162" s="84">
        <f t="shared" ca="1" si="85"/>
        <v>2154169.4408918503</v>
      </c>
    </row>
    <row r="163" spans="1:46" x14ac:dyDescent="0.2">
      <c r="A163" s="553" t="s">
        <v>484</v>
      </c>
      <c r="B163" s="64"/>
      <c r="C163" s="35" t="s">
        <v>455</v>
      </c>
      <c r="D163" s="65"/>
      <c r="E163" s="158">
        <f ca="1">E$159*(Параметры!E161+Параметры!E162)</f>
        <v>0</v>
      </c>
      <c r="F163" s="158">
        <f ca="1">F$159*(Параметры!F161+Параметры!F162)</f>
        <v>0</v>
      </c>
      <c r="G163" s="158">
        <f ca="1">G$159*(Параметры!G161+Параметры!G162)</f>
        <v>0</v>
      </c>
      <c r="H163" s="158">
        <f ca="1">H$159*(Параметры!H161+Параметры!H162)</f>
        <v>1617.88095</v>
      </c>
      <c r="I163" s="158">
        <f ca="1">I$159*(Параметры!I161+Параметры!I162)</f>
        <v>1617.88095</v>
      </c>
      <c r="J163" s="158">
        <f ca="1">J$159*(Параметры!J161+Параметры!J162)</f>
        <v>1643.7996292176442</v>
      </c>
      <c r="K163" s="158">
        <f ca="1">K$159*(Параметры!K161+Параметры!K162)</f>
        <v>1670.133529303293</v>
      </c>
      <c r="L163" s="158">
        <f ca="1">L$159*(Параметры!L161+Параметры!L162)</f>
        <v>1696.8893021533556</v>
      </c>
      <c r="M163" s="158">
        <f ca="1">M$159*(Параметры!M161+Параметры!M162)</f>
        <v>1724.0737062285536</v>
      </c>
      <c r="N163" s="158">
        <f ca="1">N$159*(Параметры!N161+Параметры!N162)</f>
        <v>2623.3137187957441</v>
      </c>
      <c r="O163" s="158">
        <f ca="1">O$159*(Параметры!O161+Параметры!O162)</f>
        <v>2667.5424447918058</v>
      </c>
      <c r="P163" s="158">
        <f ca="1">P$159*(Параметры!P161+Параметры!P162)</f>
        <v>2712.5168613201204</v>
      </c>
      <c r="Q163" s="158">
        <f ca="1">Q$159*(Параметры!Q161+Параметры!Q162)</f>
        <v>2758.2495406254761</v>
      </c>
      <c r="R163" s="158">
        <f ca="1">R$159*(Параметры!R161+Параметры!R162)</f>
        <v>3269.2483957456457</v>
      </c>
      <c r="S163" s="158">
        <f ca="1">S$159*(Параметры!S161+Параметры!S162)</f>
        <v>3323.6726562651234</v>
      </c>
      <c r="T163" s="158">
        <f ca="1">T$159*(Параметры!T161+Параметры!T162)</f>
        <v>3379.0029354697967</v>
      </c>
      <c r="U163" s="158">
        <f ca="1">U$159*(Параметры!U161+Параметры!U162)</f>
        <v>3435.2543161527087</v>
      </c>
      <c r="V163" s="158">
        <f ca="1">V$159*(Параметры!V161+Параметры!V162)</f>
        <v>11116.420082084069</v>
      </c>
      <c r="W163" s="158">
        <f ca="1">W$159*(Параметры!W161+Параметры!W162)</f>
        <v>11304.977149164346</v>
      </c>
      <c r="X163" s="158">
        <f ca="1">X$159*(Параметры!X161+Параметры!X162)</f>
        <v>11496.732527147182</v>
      </c>
      <c r="Y163" s="158">
        <f ca="1">Y$159*(Параметры!Y161+Параметры!Y162)</f>
        <v>11691.740465882698</v>
      </c>
      <c r="Z163" s="158">
        <f ca="1">Z$159*(Параметры!Z161+Параметры!Z162)</f>
        <v>11887.619660349221</v>
      </c>
      <c r="AA163" s="158">
        <f ca="1">AA$159*(Параметры!AA161+Параметры!AA162)</f>
        <v>12086.780544050705</v>
      </c>
      <c r="AB163" s="158">
        <f ca="1">AB$159*(Параметры!AB161+Параметры!AB162)</f>
        <v>12289.278097222619</v>
      </c>
      <c r="AC163" s="158">
        <f ca="1">AC$159*(Параметры!AC161+Параметры!AC162)</f>
        <v>12495.168221219421</v>
      </c>
      <c r="AD163" s="158">
        <f ca="1">AD$159*(Параметры!AD161+Параметры!AD162)</f>
        <v>12702.459483545812</v>
      </c>
      <c r="AE163" s="158">
        <f ca="1">AE$159*(Параметры!AE161+Параметры!AE162)</f>
        <v>12913.189648548507</v>
      </c>
      <c r="AF163" s="158">
        <f ca="1">AF$159*(Параметры!AF161+Параметры!AF162)</f>
        <v>13127.415766638054</v>
      </c>
      <c r="AG163" s="158">
        <f ca="1">AG$159*(Параметры!AG161+Параметры!AG162)</f>
        <v>13345.19583467496</v>
      </c>
      <c r="AH163" s="158">
        <f ca="1">AH$159*(Параметры!AH161+Параметры!AH162)</f>
        <v>13565.70562624155</v>
      </c>
      <c r="AI163" s="158">
        <f ca="1">AI$159*(Параметры!AI161+Параметры!AI162)</f>
        <v>13789.859018754812</v>
      </c>
      <c r="AJ163" s="158">
        <f ca="1">AJ$159*(Параметры!AJ161+Параметры!AJ162)</f>
        <v>14017.716217377359</v>
      </c>
      <c r="AK163" s="158">
        <f ca="1">AK$159*(Параметры!AK161+Параметры!AK162)</f>
        <v>14249.338422073824</v>
      </c>
      <c r="AL163" s="158">
        <f ca="1">AL$159*(Параметры!AL161+Параметры!AL162)</f>
        <v>14482.833529194544</v>
      </c>
      <c r="AM163" s="158">
        <f ca="1">AM$159*(Параметры!AM161+Параметры!AM162)</f>
        <v>14720.154776409234</v>
      </c>
      <c r="AN163" s="158">
        <f ca="1">AN$159*(Параметры!AN161+Параметры!AN162)</f>
        <v>14961.364860312271</v>
      </c>
      <c r="AO163" s="158">
        <f ca="1">AO$159*(Параметры!AO161+Параметры!AO162)</f>
        <v>15206.527504868391</v>
      </c>
      <c r="AP163" s="158">
        <f ca="1">AP$159*(Параметры!AP161+Параметры!AP162)</f>
        <v>15453.713863566152</v>
      </c>
      <c r="AQ163" s="158">
        <f ca="1">AQ$159*(Параметры!AQ161+Параметры!AQ162)</f>
        <v>15704.918305676234</v>
      </c>
      <c r="AR163" s="158">
        <f ca="1">AR$159*(Параметры!AR161+Параметры!AR162)</f>
        <v>15960.206146268578</v>
      </c>
      <c r="AT163" s="84">
        <f t="shared" ca="1" si="85"/>
        <v>342708.7746873399</v>
      </c>
    </row>
    <row r="164" spans="1:46" x14ac:dyDescent="0.2">
      <c r="A164" s="553" t="s">
        <v>485</v>
      </c>
      <c r="B164" s="64"/>
      <c r="C164" s="35" t="s">
        <v>455</v>
      </c>
      <c r="D164" s="65"/>
      <c r="E164" s="158">
        <f ca="1">E$159*Параметры!E160</f>
        <v>0</v>
      </c>
      <c r="F164" s="158">
        <f ca="1">F$159*Параметры!F160</f>
        <v>0</v>
      </c>
      <c r="G164" s="158">
        <f ca="1">G$159*Параметры!G160</f>
        <v>0</v>
      </c>
      <c r="H164" s="158">
        <f ca="1">H$159*Параметры!H160</f>
        <v>2357.4836699999996</v>
      </c>
      <c r="I164" s="158">
        <f ca="1">I$159*Параметры!I160</f>
        <v>2357.4836699999996</v>
      </c>
      <c r="J164" s="158">
        <f ca="1">J$159*Параметры!J160</f>
        <v>2395.2508882885668</v>
      </c>
      <c r="K164" s="158">
        <f ca="1">K$159*Параметры!K160</f>
        <v>2433.6231426990839</v>
      </c>
      <c r="L164" s="158">
        <f ca="1">L$159*Параметры!L160</f>
        <v>2472.6101259948896</v>
      </c>
      <c r="M164" s="158">
        <f ca="1">M$159*Параметры!M160</f>
        <v>2512.2216862187493</v>
      </c>
      <c r="N164" s="158">
        <f ca="1">N$159*Параметры!N160</f>
        <v>3822.5428473880838</v>
      </c>
      <c r="O164" s="158">
        <f ca="1">O$159*Параметры!O160</f>
        <v>3886.9904195537733</v>
      </c>
      <c r="P164" s="158">
        <f ca="1">P$159*Параметры!P160</f>
        <v>3952.5245693521747</v>
      </c>
      <c r="Q164" s="158">
        <f ca="1">Q$159*Параметры!Q160</f>
        <v>4019.1636163399785</v>
      </c>
      <c r="R164" s="158">
        <f ca="1">R$159*Параметры!R160</f>
        <v>4763.7619480865114</v>
      </c>
      <c r="S164" s="158">
        <f ca="1">S$159*Параметры!S160</f>
        <v>4843.0658705577507</v>
      </c>
      <c r="T164" s="158">
        <f ca="1">T$159*Параметры!T160</f>
        <v>4923.6899916845596</v>
      </c>
      <c r="U164" s="158">
        <f ca="1">U$159*Параметры!U160</f>
        <v>5005.6562892510892</v>
      </c>
      <c r="V164" s="158">
        <f ca="1">V$159*Параметры!V160</f>
        <v>16198.212119608212</v>
      </c>
      <c r="W164" s="158">
        <f ca="1">W$159*Параметры!W160</f>
        <v>16472.966703068047</v>
      </c>
      <c r="X164" s="158">
        <f ca="1">X$159*Параметры!X160</f>
        <v>16752.381682414463</v>
      </c>
      <c r="Y164" s="158">
        <f ca="1">Y$159*Параметры!Y160</f>
        <v>17036.536107429074</v>
      </c>
      <c r="Z164" s="158">
        <f ca="1">Z$159*Параметры!Z160</f>
        <v>17321.960076508862</v>
      </c>
      <c r="AA164" s="158">
        <f ca="1">AA$159*Параметры!AA160</f>
        <v>17612.16593561674</v>
      </c>
      <c r="AB164" s="158">
        <f ca="1">AB$159*Параметры!AB160</f>
        <v>17907.233798810099</v>
      </c>
      <c r="AC164" s="158">
        <f ca="1">AC$159*Параметры!AC160</f>
        <v>18207.245122348297</v>
      </c>
      <c r="AD164" s="158">
        <f ca="1">AD$159*Параметры!AD160</f>
        <v>18509.29810459532</v>
      </c>
      <c r="AE164" s="158">
        <f ca="1">AE$159*Параметры!AE160</f>
        <v>18816.362059313535</v>
      </c>
      <c r="AF164" s="158">
        <f ca="1">AF$159*Параметры!AF160</f>
        <v>19128.520117101161</v>
      </c>
      <c r="AG164" s="158">
        <f ca="1">AG$159*Параметры!AG160</f>
        <v>19445.856787669225</v>
      </c>
      <c r="AH164" s="158">
        <f ca="1">AH$159*Параметры!AH160</f>
        <v>19767.171055380542</v>
      </c>
      <c r="AI164" s="158">
        <f ca="1">AI$159*Параметры!AI160</f>
        <v>20093.794570185582</v>
      </c>
      <c r="AJ164" s="158">
        <f ca="1">AJ$159*Параметры!AJ160</f>
        <v>20425.815059607005</v>
      </c>
      <c r="AK164" s="158">
        <f ca="1">AK$159*Параметры!AK160</f>
        <v>20763.321700736142</v>
      </c>
      <c r="AL164" s="158">
        <f ca="1">AL$159*Параметры!AL160</f>
        <v>21103.557428254902</v>
      </c>
      <c r="AM164" s="158">
        <f ca="1">AM$159*Параметры!AM160</f>
        <v>21449.368388482024</v>
      </c>
      <c r="AN164" s="158">
        <f ca="1">AN$159*Параметры!AN160</f>
        <v>21800.845939312163</v>
      </c>
      <c r="AO164" s="158">
        <f ca="1">AO$159*Параметры!AO160</f>
        <v>22158.082935665367</v>
      </c>
      <c r="AP164" s="158">
        <f ca="1">AP$159*Параметры!AP160</f>
        <v>22518.268772624961</v>
      </c>
      <c r="AQ164" s="158">
        <f ca="1">AQ$159*Параметры!AQ160</f>
        <v>22884.309531128223</v>
      </c>
      <c r="AR164" s="158">
        <f ca="1">AR$159*Параметры!AR160</f>
        <v>23256.300384562783</v>
      </c>
      <c r="AT164" s="84">
        <f t="shared" ca="1" si="85"/>
        <v>499375.64311583794</v>
      </c>
    </row>
    <row r="165" spans="1:46" x14ac:dyDescent="0.2">
      <c r="A165" s="553" t="s">
        <v>487</v>
      </c>
      <c r="B165" s="64"/>
      <c r="C165" s="35" t="s">
        <v>455</v>
      </c>
      <c r="D165" s="65"/>
      <c r="E165" s="158">
        <f ca="1">E$159*Параметры!E163</f>
        <v>0</v>
      </c>
      <c r="F165" s="158">
        <f ca="1">F$159*Параметры!F163</f>
        <v>0</v>
      </c>
      <c r="G165" s="158">
        <f ca="1">G$159*Параметры!G163</f>
        <v>0</v>
      </c>
      <c r="H165" s="158">
        <f ca="1">H$159*Параметры!H163</f>
        <v>0</v>
      </c>
      <c r="I165" s="158">
        <f ca="1">I$159*Параметры!I163</f>
        <v>0</v>
      </c>
      <c r="J165" s="158">
        <f ca="1">J$159*Параметры!J163</f>
        <v>0</v>
      </c>
      <c r="K165" s="158">
        <f ca="1">K$159*Параметры!K163</f>
        <v>0</v>
      </c>
      <c r="L165" s="158">
        <f ca="1">L$159*Параметры!L163</f>
        <v>0</v>
      </c>
      <c r="M165" s="158">
        <f ca="1">M$159*Параметры!M163</f>
        <v>0</v>
      </c>
      <c r="N165" s="158">
        <f ca="1">N$159*Параметры!N163</f>
        <v>0</v>
      </c>
      <c r="O165" s="158">
        <f ca="1">O$159*Параметры!O163</f>
        <v>0</v>
      </c>
      <c r="P165" s="158">
        <f ca="1">P$159*Параметры!P163</f>
        <v>0</v>
      </c>
      <c r="Q165" s="158">
        <f ca="1">Q$159*Параметры!Q163</f>
        <v>0</v>
      </c>
      <c r="R165" s="158">
        <f ca="1">R$159*Параметры!R163</f>
        <v>0</v>
      </c>
      <c r="S165" s="158">
        <f ca="1">S$159*Параметры!S163</f>
        <v>0</v>
      </c>
      <c r="T165" s="158">
        <f ca="1">T$159*Параметры!T163</f>
        <v>0</v>
      </c>
      <c r="U165" s="158">
        <f ca="1">U$159*Параметры!U163</f>
        <v>0</v>
      </c>
      <c r="V165" s="158">
        <f ca="1">V$159*Параметры!V163</f>
        <v>0</v>
      </c>
      <c r="W165" s="158">
        <f ca="1">W$159*Параметры!W163</f>
        <v>0</v>
      </c>
      <c r="X165" s="158">
        <f ca="1">X$159*Параметры!X163</f>
        <v>0</v>
      </c>
      <c r="Y165" s="158">
        <f ca="1">Y$159*Параметры!Y163</f>
        <v>0</v>
      </c>
      <c r="Z165" s="158">
        <f ca="1">Z$159*Параметры!Z163</f>
        <v>0</v>
      </c>
      <c r="AA165" s="158">
        <f ca="1">AA$159*Параметры!AA163</f>
        <v>0</v>
      </c>
      <c r="AB165" s="158">
        <f ca="1">AB$159*Параметры!AB163</f>
        <v>0</v>
      </c>
      <c r="AC165" s="158">
        <f ca="1">AC$159*Параметры!AC163</f>
        <v>0</v>
      </c>
      <c r="AD165" s="158">
        <f ca="1">AD$159*Параметры!AD163</f>
        <v>0</v>
      </c>
      <c r="AE165" s="158">
        <f ca="1">AE$159*Параметры!AE163</f>
        <v>0</v>
      </c>
      <c r="AF165" s="158">
        <f ca="1">AF$159*Параметры!AF163</f>
        <v>0</v>
      </c>
      <c r="AG165" s="158">
        <f ca="1">AG$159*Параметры!AG163</f>
        <v>0</v>
      </c>
      <c r="AH165" s="158">
        <f ca="1">AH$159*Параметры!AH163</f>
        <v>0</v>
      </c>
      <c r="AI165" s="158">
        <f ca="1">AI$159*Параметры!AI163</f>
        <v>0</v>
      </c>
      <c r="AJ165" s="158">
        <f ca="1">AJ$159*Параметры!AJ163</f>
        <v>0</v>
      </c>
      <c r="AK165" s="158">
        <f ca="1">AK$159*Параметры!AK163</f>
        <v>0</v>
      </c>
      <c r="AL165" s="158">
        <f ca="1">AL$159*Параметры!AL163</f>
        <v>0</v>
      </c>
      <c r="AM165" s="158">
        <f ca="1">AM$159*Параметры!AM163</f>
        <v>0</v>
      </c>
      <c r="AN165" s="158">
        <f ca="1">AN$159*Параметры!AN163</f>
        <v>0</v>
      </c>
      <c r="AO165" s="158">
        <f ca="1">AO$159*Параметры!AO163</f>
        <v>0</v>
      </c>
      <c r="AP165" s="158">
        <f ca="1">AP$159*Параметры!AP163</f>
        <v>0</v>
      </c>
      <c r="AQ165" s="158">
        <f ca="1">AQ$159*Параметры!AQ163</f>
        <v>0</v>
      </c>
      <c r="AR165" s="158">
        <f ca="1">AR$159*Параметры!AR163</f>
        <v>0</v>
      </c>
      <c r="AT165" s="84">
        <f t="shared" ca="1" si="85"/>
        <v>0</v>
      </c>
    </row>
    <row r="166" spans="1:46" x14ac:dyDescent="0.2">
      <c r="A166" s="49" t="s">
        <v>691</v>
      </c>
      <c r="B166" s="64"/>
      <c r="C166" s="35" t="s">
        <v>455</v>
      </c>
      <c r="D166" s="65"/>
      <c r="E166" s="555">
        <f ca="1">F166</f>
        <v>0</v>
      </c>
      <c r="F166" s="82">
        <f ca="1">F161*(Параметры!$B$27-Параметры!$B$165)/Параметры!$B$27+E161*(Параметры!$B$165)/Параметры!$B$27</f>
        <v>0</v>
      </c>
      <c r="G166" s="82">
        <f ca="1">G161*(Параметры!$B$27-Параметры!$B$165)/Параметры!$B$27+F161*(Параметры!$B$165)/Параметры!$B$27</f>
        <v>0</v>
      </c>
      <c r="H166" s="82">
        <f ca="1">H161*(Параметры!$B$27-Параметры!$B$165)/Параметры!$B$27+G161*(Параметры!$B$165)/Параметры!$B$27</f>
        <v>9429.9346800000003</v>
      </c>
      <c r="I166" s="82">
        <f ca="1">I161*(Параметры!$B$27-Параметры!$B$165)/Параметры!$B$27+H161*(Параметры!$B$165)/Параметры!$B$27</f>
        <v>14144.902020000001</v>
      </c>
      <c r="J166" s="82">
        <f ca="1">J161*(Параметры!$B$27-Параметры!$B$165)/Параметры!$B$27+I161*(Параметры!$B$165)/Параметры!$B$27</f>
        <v>14295.97089315427</v>
      </c>
      <c r="K166" s="82">
        <f ca="1">K161*(Параметры!$B$27-Параметры!$B$165)/Параметры!$B$27+J161*(Параметры!$B$165)/Параметры!$B$27</f>
        <v>14524.994347373471</v>
      </c>
      <c r="L166" s="82">
        <f ca="1">L161*(Параметры!$B$27-Параметры!$B$165)/Параметры!$B$27+K161*(Параметры!$B$165)/Параметры!$B$27</f>
        <v>14757.686789377727</v>
      </c>
      <c r="M166" s="82">
        <f ca="1">M161*(Параметры!$B$27-Параметры!$B$165)/Параметры!$B$27+L161*(Параметры!$B$165)/Параметры!$B$27</f>
        <v>14994.106996864775</v>
      </c>
      <c r="N166" s="82">
        <f ca="1">N161*(Параметры!$B$27-Параметры!$B$165)/Параметры!$B$27+M161*(Параметры!$B$165)/Параметры!$B$27</f>
        <v>20314.614761989837</v>
      </c>
      <c r="O166" s="82">
        <f ca="1">O161*(Параметры!$B$27-Параметры!$B$165)/Параметры!$B$27+N161*(Параметры!$B$165)/Параметры!$B$27</f>
        <v>23193.047372991266</v>
      </c>
      <c r="P166" s="82">
        <f ca="1">P161*(Параметры!$B$27-Параметры!$B$165)/Параметры!$B$27+O161*(Параметры!$B$165)/Параметры!$B$27</f>
        <v>23584.079116516248</v>
      </c>
      <c r="Q166" s="82">
        <f ca="1">Q161*(Параметры!$B$27-Параметры!$B$165)/Параметры!$B$27+P161*(Параметры!$B$165)/Параметры!$B$27</f>
        <v>23981.703604064263</v>
      </c>
      <c r="R166" s="82">
        <f ca="1">R161*(Параметры!$B$27-Параметры!$B$165)/Параметры!$B$27+Q161*(Параметры!$B$165)/Параметры!$B$27</f>
        <v>27093.375025026002</v>
      </c>
      <c r="S166" s="82">
        <f ca="1">S161*(Параметры!$B$27-Параметры!$B$165)/Параметры!$B$27+R161*(Параметры!$B$165)/Параметры!$B$27</f>
        <v>28899.787378404028</v>
      </c>
      <c r="T166" s="82">
        <f ca="1">T161*(Параметры!$B$27-Параметры!$B$165)/Параметры!$B$27+S161*(Параметры!$B$165)/Параметры!$B$27</f>
        <v>29380.891707853742</v>
      </c>
      <c r="U166" s="82">
        <f ca="1">U161*(Параметры!$B$27-Параметры!$B$165)/Параметры!$B$27+T161*(Параметры!$B$165)/Параметры!$B$27</f>
        <v>29870.005140373476</v>
      </c>
      <c r="V166" s="82">
        <f ca="1">V161*(Параметры!$B$27-Параметры!$B$165)/Параметры!$B$27+U161*(Параметры!$B$165)/Параметры!$B$27</f>
        <v>74804.161056935031</v>
      </c>
      <c r="W166" s="82">
        <f ca="1">W161*(Параметры!$B$27-Параметры!$B$165)/Параметры!$B$27+V161*(Параметры!$B$165)/Параметры!$B$27</f>
        <v>98288.291051488617</v>
      </c>
      <c r="X166" s="82">
        <f ca="1">X161*(Параметры!$B$27-Параметры!$B$165)/Параметры!$B$27+W161*(Параметры!$B$165)/Параметры!$B$27</f>
        <v>99955.460135793954</v>
      </c>
      <c r="Y166" s="82">
        <f ca="1">Y161*(Параметры!$B$27-Параметры!$B$165)/Параметры!$B$27+X161*(Параметры!$B$165)/Параметры!$B$27</f>
        <v>101650.90779454523</v>
      </c>
      <c r="Z166" s="82">
        <f ca="1">Z161*(Параметры!$B$27-Параметры!$B$165)/Параметры!$B$27+Y161*(Параметры!$B$165)/Параметры!$B$27</f>
        <v>103360.91252089362</v>
      </c>
      <c r="AA166" s="82">
        <f ca="1">AA161*(Параметры!$B$27-Параметры!$B$165)/Параметры!$B$27+Z161*(Параметры!$B$165)/Параметры!$B$27</f>
        <v>105092.58389548468</v>
      </c>
      <c r="AB166" s="82">
        <f ca="1">AB161*(Параметры!$B$27-Параметры!$B$165)/Параметры!$B$27+AA161*(Параметры!$B$165)/Параметры!$B$27</f>
        <v>106853.2670664739</v>
      </c>
      <c r="AC166" s="82">
        <f ca="1">AC161*(Параметры!$B$27-Параметры!$B$165)/Параметры!$B$27+AB161*(Параметры!$B$165)/Параметры!$B$27</f>
        <v>108643.44808701338</v>
      </c>
      <c r="AD166" s="82">
        <f ca="1">AD161*(Параметры!$B$27-Параметры!$B$165)/Параметры!$B$27+AC161*(Параметры!$B$165)/Параметры!$B$27</f>
        <v>110451.6826630779</v>
      </c>
      <c r="AE166" s="82">
        <f ca="1">AE161*(Параметры!$B$27-Параметры!$B$165)/Параметры!$B$27+AD161*(Параметры!$B$165)/Параметры!$B$27</f>
        <v>112284.04444644481</v>
      </c>
      <c r="AF166" s="82">
        <f ca="1">AF161*(Параметры!$B$27-Параметры!$B$165)/Параметры!$B$27+AE161*(Параметры!$B$165)/Параметры!$B$27</f>
        <v>114146.80458703171</v>
      </c>
      <c r="AG166" s="82">
        <f ca="1">AG161*(Параметры!$B$27-Параметры!$B$165)/Параметры!$B$27+AF161*(Параметры!$B$165)/Параметры!$B$27</f>
        <v>116040.46738487922</v>
      </c>
      <c r="AH166" s="82">
        <f ca="1">AH161*(Параметры!$B$27-Параметры!$B$165)/Параметры!$B$27+AG161*(Параметры!$B$165)/Параметры!$B$27</f>
        <v>117960.39779686063</v>
      </c>
      <c r="AI166" s="82">
        <f ca="1">AI161*(Параметры!$B$27-Параметры!$B$165)/Параметры!$B$27+AH161*(Параметры!$B$165)/Параметры!$B$27</f>
        <v>119909.52039150342</v>
      </c>
      <c r="AJ166" s="82">
        <f ca="1">AJ161*(Параметры!$B$27-Параметры!$B$165)/Параметры!$B$27+AI161*(Параметры!$B$165)/Параметры!$B$27</f>
        <v>121890.8493787992</v>
      </c>
      <c r="AK166" s="82">
        <f ca="1">AK161*(Параметры!$B$27-Параметры!$B$165)/Параметры!$B$27+AJ161*(Параметры!$B$165)/Параметры!$B$27</f>
        <v>123904.91692215859</v>
      </c>
      <c r="AL166" s="82">
        <f ca="1">AL161*(Параметры!$B$27-Параметры!$B$165)/Параметры!$B$27+AK161*(Параметры!$B$165)/Параметры!$B$27</f>
        <v>125940.8731144919</v>
      </c>
      <c r="AM166" s="82">
        <f ca="1">AM161*(Параметры!$B$27-Параметры!$B$165)/Параметры!$B$27+AL161*(Параметры!$B$165)/Параметры!$B$27</f>
        <v>128004.58841043789</v>
      </c>
      <c r="AN166" s="82">
        <f ca="1">AN161*(Параметры!$B$27-Параметры!$B$165)/Параметры!$B$27+AM161*(Параметры!$B$165)/Параметры!$B$27</f>
        <v>130102.12053421271</v>
      </c>
      <c r="AO166" s="82">
        <f ca="1">AO161*(Параметры!$B$27-Параметры!$B$165)/Параметры!$B$27+AN161*(Параметры!$B$165)/Параметры!$B$27</f>
        <v>132234.0236212858</v>
      </c>
      <c r="AP166" s="82">
        <f ca="1">AP161*(Параметры!$B$27-Параметры!$B$165)/Параметры!$B$27+AO161*(Параметры!$B$165)/Параметры!$B$27</f>
        <v>134389.24096183057</v>
      </c>
      <c r="AQ166" s="82">
        <f ca="1">AQ161*(Параметры!$B$27-Параметры!$B$165)/Параметры!$B$27+AP161*(Параметры!$B$165)/Параметры!$B$27</f>
        <v>136573.77566976284</v>
      </c>
      <c r="AR166" s="82">
        <f ca="1">AR161*(Параметры!$B$27-Параметры!$B$165)/Параметры!$B$27+AQ161*(Параметры!$B$165)/Параметры!$B$27</f>
        <v>138793.82060050758</v>
      </c>
      <c r="AT166" s="84">
        <f t="shared" ca="1" si="85"/>
        <v>2949741.2579259025</v>
      </c>
    </row>
    <row r="167" spans="1:46" x14ac:dyDescent="0.2">
      <c r="A167" s="49"/>
      <c r="B167" s="64"/>
      <c r="C167" s="35"/>
      <c r="D167" s="65"/>
      <c r="E167" s="158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</row>
    <row r="168" spans="1:46" x14ac:dyDescent="0.2">
      <c r="A168" s="49" t="s">
        <v>692</v>
      </c>
      <c r="B168" s="64"/>
      <c r="C168" s="35" t="s">
        <v>455</v>
      </c>
      <c r="D168" s="65"/>
      <c r="E168" s="158">
        <f ca="1">E159*Параметры!E$190</f>
        <v>0</v>
      </c>
      <c r="F168" s="158">
        <f ca="1">F159*Параметры!F$190</f>
        <v>0</v>
      </c>
      <c r="G168" s="158">
        <f ca="1">G159*Параметры!G$190</f>
        <v>0</v>
      </c>
      <c r="H168" s="158">
        <f ca="1">H159*Параметры!H$190</f>
        <v>6009.2721000000001</v>
      </c>
      <c r="I168" s="158">
        <f ca="1">I159*Параметры!I$190</f>
        <v>6009.2721000000001</v>
      </c>
      <c r="J168" s="158">
        <f ca="1">J159*Параметры!J$190</f>
        <v>6105.5414799512491</v>
      </c>
      <c r="K168" s="158">
        <f ca="1">K159*Параметры!K$190</f>
        <v>6203.3531088408026</v>
      </c>
      <c r="L168" s="158">
        <f ca="1">L159*Параметры!L$190</f>
        <v>6302.7316937124633</v>
      </c>
      <c r="M168" s="158">
        <f ca="1">M159*Параметры!M$190</f>
        <v>6403.7023374203418</v>
      </c>
      <c r="N168" s="158">
        <f ca="1">N159*Параметры!N$190</f>
        <v>9743.7366698127626</v>
      </c>
      <c r="O168" s="158">
        <f ca="1">O159*Параметры!O$190</f>
        <v>9908.0147949409929</v>
      </c>
      <c r="P168" s="158">
        <f ca="1">P159*Параметры!P$190</f>
        <v>10075.062627760446</v>
      </c>
      <c r="Q168" s="158">
        <f ca="1">Q159*Параметры!Q$190</f>
        <v>10244.92686518034</v>
      </c>
      <c r="R168" s="158">
        <f ca="1">R159*Параметры!R$190</f>
        <v>12142.92261276954</v>
      </c>
      <c r="S168" s="158">
        <f ca="1">S159*Параметры!S$190</f>
        <v>12345.0698661276</v>
      </c>
      <c r="T168" s="158">
        <f ca="1">T159*Параметры!T$190</f>
        <v>12550.582331744958</v>
      </c>
      <c r="U168" s="158">
        <f ca="1">U159*Параметры!U$190</f>
        <v>12759.516031424346</v>
      </c>
      <c r="V168" s="158">
        <f ca="1">V159*Параметры!V$190</f>
        <v>41289.560304883678</v>
      </c>
      <c r="W168" s="158">
        <f ca="1">W159*Параметры!W$190</f>
        <v>41989.915125467567</v>
      </c>
      <c r="X168" s="158">
        <f ca="1">X159*Параметры!X$190</f>
        <v>42702.149386546669</v>
      </c>
      <c r="Y168" s="158">
        <f ca="1">Y159*Параметры!Y$190</f>
        <v>43426.464587564304</v>
      </c>
      <c r="Z168" s="158">
        <f ca="1">Z159*Параметры!Z$190</f>
        <v>44154.015881297099</v>
      </c>
      <c r="AA168" s="158">
        <f ca="1">AA159*Параметры!AA$190</f>
        <v>44893.756306474046</v>
      </c>
      <c r="AB168" s="158">
        <f ca="1">AB159*Параметры!AB$190</f>
        <v>45645.890075398296</v>
      </c>
      <c r="AC168" s="158">
        <f ca="1">AC159*Параметры!AC$190</f>
        <v>46410.624821672136</v>
      </c>
      <c r="AD168" s="158">
        <f ca="1">AD159*Параметры!AD$190</f>
        <v>47180.563796027294</v>
      </c>
      <c r="AE168" s="158">
        <f ca="1">AE159*Параметры!AE$190</f>
        <v>47963.275837465881</v>
      </c>
      <c r="AF168" s="158">
        <f ca="1">AF159*Параметры!AF$190</f>
        <v>48758.97284751277</v>
      </c>
      <c r="AG168" s="158">
        <f ca="1">AG159*Параметры!AG$190</f>
        <v>49567.870243078418</v>
      </c>
      <c r="AH168" s="158">
        <f ca="1">AH159*Параметры!AH$190</f>
        <v>50386.906611754326</v>
      </c>
      <c r="AI168" s="158">
        <f ca="1">AI159*Параметры!AI$190</f>
        <v>51219.476355375016</v>
      </c>
      <c r="AJ168" s="158">
        <f ca="1">AJ159*Параметры!AJ$190</f>
        <v>52065.803093115901</v>
      </c>
      <c r="AK168" s="158">
        <f ca="1">AK159*Параметры!AK$190</f>
        <v>52926.114139131343</v>
      </c>
      <c r="AL168" s="158">
        <f ca="1">AL159*Параметры!AL$190</f>
        <v>53793.381679865444</v>
      </c>
      <c r="AM168" s="158">
        <f ca="1">AM159*Параметры!AM$190</f>
        <v>54674.860598091436</v>
      </c>
      <c r="AN168" s="158">
        <f ca="1">AN159*Параметры!AN$190</f>
        <v>55570.783766874149</v>
      </c>
      <c r="AO168" s="158">
        <f ca="1">AO159*Параметры!AO$190</f>
        <v>56481.387875225446</v>
      </c>
      <c r="AP168" s="158">
        <f ca="1">AP159*Параметры!AP$190</f>
        <v>57399.508636102852</v>
      </c>
      <c r="AQ168" s="158">
        <f ca="1">AQ159*Параметры!AQ$190</f>
        <v>58332.553706797436</v>
      </c>
      <c r="AR168" s="158">
        <f ca="1">AR159*Параметры!AR$190</f>
        <v>59280.765686140432</v>
      </c>
      <c r="AT168" s="84">
        <f t="shared" ca="1" si="85"/>
        <v>1272918.3059815478</v>
      </c>
    </row>
    <row r="169" spans="1:46" x14ac:dyDescent="0.2"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</row>
    <row r="170" spans="1:46" x14ac:dyDescent="0.2">
      <c r="A170" s="46"/>
      <c r="B170" s="46"/>
      <c r="C170" s="46"/>
      <c r="D170" s="47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73"/>
      <c r="AT170" s="91"/>
    </row>
    <row r="172" spans="1:46" ht="12" thickBot="1" x14ac:dyDescent="0.25"/>
    <row r="173" spans="1:46" s="43" customFormat="1" ht="25.5" customHeight="1" thickBot="1" x14ac:dyDescent="0.25">
      <c r="A173" s="481" t="s">
        <v>694</v>
      </c>
      <c r="B173" s="479"/>
      <c r="C173" s="485"/>
      <c r="D173" s="486"/>
      <c r="E173" s="479" t="str">
        <f>CHOOSE($D$2,Параметры!E$53,Параметры!E$54)</f>
        <v>1 кв. 2020</v>
      </c>
      <c r="F173" s="479" t="str">
        <f>CHOOSE($D$2,Параметры!F$53,Параметры!F$54)</f>
        <v>2 кв. 2020</v>
      </c>
      <c r="G173" s="479" t="str">
        <f>CHOOSE($D$2,Параметры!G$53,Параметры!G$54)</f>
        <v>3 кв. 2020</v>
      </c>
      <c r="H173" s="479" t="str">
        <f>CHOOSE($D$2,Параметры!H$53,Параметры!H$54)</f>
        <v>4 кв. 2020</v>
      </c>
      <c r="I173" s="479" t="str">
        <f>CHOOSE($D$2,Параметры!I$53,Параметры!I$54)</f>
        <v>1 кв. 2021</v>
      </c>
      <c r="J173" s="479" t="str">
        <f>CHOOSE($D$2,Параметры!J$53,Параметры!J$54)</f>
        <v>2 кв. 2021</v>
      </c>
      <c r="K173" s="479" t="str">
        <f>CHOOSE($D$2,Параметры!K$53,Параметры!K$54)</f>
        <v>3 кв. 2021</v>
      </c>
      <c r="L173" s="479" t="str">
        <f>CHOOSE($D$2,Параметры!L$53,Параметры!L$54)</f>
        <v>4 кв. 2021</v>
      </c>
      <c r="M173" s="479" t="str">
        <f>CHOOSE($D$2,Параметры!M$53,Параметры!M$54)</f>
        <v>1 кв. 2022</v>
      </c>
      <c r="N173" s="479" t="str">
        <f>CHOOSE($D$2,Параметры!N$53,Параметры!N$54)</f>
        <v>2 кв. 2022</v>
      </c>
      <c r="O173" s="479" t="str">
        <f>CHOOSE($D$2,Параметры!O$53,Параметры!O$54)</f>
        <v>3 кв. 2022</v>
      </c>
      <c r="P173" s="479" t="str">
        <f>CHOOSE($D$2,Параметры!P$53,Параметры!P$54)</f>
        <v>4 кв. 2022</v>
      </c>
      <c r="Q173" s="479" t="str">
        <f>CHOOSE($D$2,Параметры!Q$53,Параметры!Q$54)</f>
        <v>1 кв. 2023</v>
      </c>
      <c r="R173" s="479" t="str">
        <f>CHOOSE($D$2,Параметры!R$53,Параметры!R$54)</f>
        <v>2 кв. 2023</v>
      </c>
      <c r="S173" s="479" t="str">
        <f>CHOOSE($D$2,Параметры!S$53,Параметры!S$54)</f>
        <v>3 кв. 2023</v>
      </c>
      <c r="T173" s="479" t="str">
        <f>CHOOSE($D$2,Параметры!T$53,Параметры!T$54)</f>
        <v>4 кв. 2023</v>
      </c>
      <c r="U173" s="479" t="str">
        <f>CHOOSE($D$2,Параметры!U$53,Параметры!U$54)</f>
        <v>1 кв. 2024</v>
      </c>
      <c r="V173" s="479" t="str">
        <f>CHOOSE($D$2,Параметры!V$53,Параметры!V$54)</f>
        <v>2 кв. 2024</v>
      </c>
      <c r="W173" s="479" t="str">
        <f>CHOOSE($D$2,Параметры!W$53,Параметры!W$54)</f>
        <v>3 кв. 2024</v>
      </c>
      <c r="X173" s="479" t="str">
        <f>CHOOSE($D$2,Параметры!X$53,Параметры!X$54)</f>
        <v>4 кв. 2024</v>
      </c>
      <c r="Y173" s="479" t="str">
        <f>CHOOSE($D$2,Параметры!Y$53,Параметры!Y$54)</f>
        <v>1 кв. 2025</v>
      </c>
      <c r="Z173" s="479" t="str">
        <f>CHOOSE($D$2,Параметры!Z$53,Параметры!Z$54)</f>
        <v>2 кв. 2025</v>
      </c>
      <c r="AA173" s="479" t="str">
        <f>CHOOSE($D$2,Параметры!AA$53,Параметры!AA$54)</f>
        <v>3 кв. 2025</v>
      </c>
      <c r="AB173" s="479" t="str">
        <f>CHOOSE($D$2,Параметры!AB$53,Параметры!AB$54)</f>
        <v>4 кв. 2025</v>
      </c>
      <c r="AC173" s="479" t="str">
        <f>CHOOSE($D$2,Параметры!AC$53,Параметры!AC$54)</f>
        <v>1 кв. 2026</v>
      </c>
      <c r="AD173" s="479" t="str">
        <f>CHOOSE($D$2,Параметры!AD$53,Параметры!AD$54)</f>
        <v>2 кв. 2026</v>
      </c>
      <c r="AE173" s="479" t="str">
        <f>CHOOSE($D$2,Параметры!AE$53,Параметры!AE$54)</f>
        <v>3 кв. 2026</v>
      </c>
      <c r="AF173" s="479" t="str">
        <f>CHOOSE($D$2,Параметры!AF$53,Параметры!AF$54)</f>
        <v>4 кв. 2026</v>
      </c>
      <c r="AG173" s="479" t="str">
        <f>CHOOSE($D$2,Параметры!AG$53,Параметры!AG$54)</f>
        <v>1 кв. 2027</v>
      </c>
      <c r="AH173" s="479" t="str">
        <f>CHOOSE($D$2,Параметры!AH$53,Параметры!AH$54)</f>
        <v>2 кв. 2027</v>
      </c>
      <c r="AI173" s="479" t="str">
        <f>CHOOSE($D$2,Параметры!AI$53,Параметры!AI$54)</f>
        <v>3 кв. 2027</v>
      </c>
      <c r="AJ173" s="479" t="str">
        <f>CHOOSE($D$2,Параметры!AJ$53,Параметры!AJ$54)</f>
        <v>4 кв. 2027</v>
      </c>
      <c r="AK173" s="479" t="str">
        <f>CHOOSE($D$2,Параметры!AK$53,Параметры!AK$54)</f>
        <v>1 кв. 2028</v>
      </c>
      <c r="AL173" s="479" t="str">
        <f>CHOOSE($D$2,Параметры!AL$53,Параметры!AL$54)</f>
        <v>2 кв. 2028</v>
      </c>
      <c r="AM173" s="479" t="str">
        <f>CHOOSE($D$2,Параметры!AM$53,Параметры!AM$54)</f>
        <v>3 кв. 2028</v>
      </c>
      <c r="AN173" s="479" t="str">
        <f>CHOOSE($D$2,Параметры!AN$53,Параметры!AN$54)</f>
        <v>4 кв. 2028</v>
      </c>
      <c r="AO173" s="479" t="str">
        <f>CHOOSE($D$2,Параметры!AO$53,Параметры!AO$54)</f>
        <v>1 кв. 2029</v>
      </c>
      <c r="AP173" s="479" t="str">
        <f>CHOOSE($D$2,Параметры!AP$53,Параметры!AP$54)</f>
        <v>2 кв. 2029</v>
      </c>
      <c r="AQ173" s="479" t="str">
        <f>CHOOSE($D$2,Параметры!AQ$53,Параметры!AQ$54)</f>
        <v>3 кв. 2029</v>
      </c>
      <c r="AR173" s="479" t="str">
        <f>CHOOSE($D$2,Параметры!AR$53,Параметры!AR$54)</f>
        <v>4 кв. 2029</v>
      </c>
      <c r="AS173" s="485"/>
      <c r="AT173" s="485" t="s">
        <v>0</v>
      </c>
    </row>
    <row r="175" spans="1:46" s="60" customFormat="1" x14ac:dyDescent="0.2">
      <c r="A175" s="549" t="s">
        <v>695</v>
      </c>
      <c r="B175" s="153"/>
      <c r="C175" s="396" t="s">
        <v>455</v>
      </c>
      <c r="D175" s="159"/>
      <c r="E175" s="160">
        <f ca="1">E85+E159+E161+E145+E113+E136</f>
        <v>0</v>
      </c>
      <c r="F175" s="160">
        <f t="shared" ref="F175:R175" ca="1" si="86">F85+F159+F161+F145+F113+F136</f>
        <v>0</v>
      </c>
      <c r="G175" s="160">
        <f t="shared" ca="1" si="86"/>
        <v>0</v>
      </c>
      <c r="H175" s="160">
        <f t="shared" ca="1" si="86"/>
        <v>139729.7782004152</v>
      </c>
      <c r="I175" s="160">
        <f t="shared" ca="1" si="86"/>
        <v>139729.7782004152</v>
      </c>
      <c r="J175" s="160">
        <f t="shared" ca="1" si="86"/>
        <v>140947.84492823706</v>
      </c>
      <c r="K175" s="160">
        <f t="shared" ca="1" si="86"/>
        <v>142183.76646565471</v>
      </c>
      <c r="L175" s="160">
        <f t="shared" ca="1" si="86"/>
        <v>143437.81324072616</v>
      </c>
      <c r="M175" s="160">
        <f t="shared" ca="1" si="86"/>
        <v>144710.25986693561</v>
      </c>
      <c r="N175" s="160">
        <f t="shared" ca="1" si="86"/>
        <v>220452.22023160313</v>
      </c>
      <c r="O175" s="160">
        <f t="shared" ca="1" si="86"/>
        <v>222576.69099813921</v>
      </c>
      <c r="P175" s="160">
        <f t="shared" ca="1" si="86"/>
        <v>224734.27257721359</v>
      </c>
      <c r="Q175" s="160">
        <f t="shared" ca="1" si="86"/>
        <v>226925.49302657356</v>
      </c>
      <c r="R175" s="160">
        <f t="shared" ca="1" si="86"/>
        <v>268681.6146193585</v>
      </c>
      <c r="S175" s="160">
        <f t="shared" ref="S175:AR175" ca="1" si="87">S85+S159+S161+S145+S113+S136</f>
        <v>271307.34472539386</v>
      </c>
      <c r="T175" s="160">
        <f t="shared" ca="1" si="87"/>
        <v>273973.63868604903</v>
      </c>
      <c r="U175" s="160">
        <f t="shared" ca="1" si="87"/>
        <v>276681.13603553642</v>
      </c>
      <c r="V175" s="160">
        <f t="shared" ca="1" si="87"/>
        <v>924325.21139379661</v>
      </c>
      <c r="W175" s="160">
        <f t="shared" ca="1" si="87"/>
        <v>933541.03962325118</v>
      </c>
      <c r="X175" s="160">
        <f t="shared" ca="1" si="87"/>
        <v>942901.58161738398</v>
      </c>
      <c r="Y175" s="160">
        <f t="shared" ca="1" si="87"/>
        <v>952409.15694794082</v>
      </c>
      <c r="Z175" s="160">
        <f t="shared" ca="1" si="87"/>
        <v>961856.020052796</v>
      </c>
      <c r="AA175" s="160">
        <f t="shared" ca="1" si="87"/>
        <v>971448.90326841315</v>
      </c>
      <c r="AB175" s="160">
        <f t="shared" ca="1" si="87"/>
        <v>981190.11793079786</v>
      </c>
      <c r="AC175" s="160">
        <f t="shared" ca="1" si="87"/>
        <v>991082.01261068461</v>
      </c>
      <c r="AD175" s="160">
        <f t="shared" ca="1" si="87"/>
        <v>1001029.0557906437</v>
      </c>
      <c r="AE175" s="160">
        <f t="shared" ca="1" si="87"/>
        <v>1011128.5703681915</v>
      </c>
      <c r="AF175" s="160">
        <f t="shared" ca="1" si="87"/>
        <v>1021382.948813797</v>
      </c>
      <c r="AG175" s="160">
        <f t="shared" ca="1" si="87"/>
        <v>1031794.6217927549</v>
      </c>
      <c r="AH175" s="160">
        <f t="shared" ca="1" si="87"/>
        <v>1042343.4697929472</v>
      </c>
      <c r="AI175" s="160">
        <f t="shared" ca="1" si="87"/>
        <v>1053053.7263223859</v>
      </c>
      <c r="AJ175" s="160">
        <f t="shared" ca="1" si="87"/>
        <v>1011235.7277798065</v>
      </c>
      <c r="AK175" s="160">
        <f t="shared" ca="1" si="87"/>
        <v>1022276.4183974825</v>
      </c>
      <c r="AL175" s="160">
        <f t="shared" ca="1" si="87"/>
        <v>1033483.9786876967</v>
      </c>
      <c r="AM175" s="160">
        <f t="shared" ca="1" si="87"/>
        <v>1062463.1944227254</v>
      </c>
      <c r="AN175" s="160">
        <f t="shared" ca="1" si="87"/>
        <v>1074102.9085405848</v>
      </c>
      <c r="AO175" s="160">
        <f t="shared" ca="1" si="87"/>
        <v>1085920.2137646978</v>
      </c>
      <c r="AP175" s="160">
        <f t="shared" ca="1" si="87"/>
        <v>1070497.2581503002</v>
      </c>
      <c r="AQ175" s="160">
        <f t="shared" ca="1" si="87"/>
        <v>1364068.44181693</v>
      </c>
      <c r="AR175" s="160">
        <f t="shared" ca="1" si="87"/>
        <v>1377808.4531751382</v>
      </c>
      <c r="AT175" s="137">
        <f t="shared" ref="AT175:AT195" ca="1" si="88">SUM(E175:AS175)</f>
        <v>26757414.682863399</v>
      </c>
    </row>
    <row r="176" spans="1:46" s="40" customFormat="1" x14ac:dyDescent="0.2">
      <c r="A176" s="589" t="str">
        <f t="shared" ref="A176:A181" si="89">A9</f>
        <v>Корпус А4</v>
      </c>
      <c r="B176" s="65"/>
      <c r="C176" s="21" t="s">
        <v>455</v>
      </c>
      <c r="D176" s="65"/>
      <c r="E176" s="155">
        <v>0</v>
      </c>
      <c r="F176" s="155">
        <f t="shared" ref="F176:AR176" ca="1" si="90">IFERROR(F$175*OFFSET(F9,0,-$B$78)/OFFSET(F$15,0,-$B$78),0)</f>
        <v>0</v>
      </c>
      <c r="G176" s="155">
        <f t="shared" ca="1" si="90"/>
        <v>0</v>
      </c>
      <c r="H176" s="155">
        <f t="shared" ca="1" si="90"/>
        <v>139729.7782004152</v>
      </c>
      <c r="I176" s="155">
        <f t="shared" ca="1" si="90"/>
        <v>139729.7782004152</v>
      </c>
      <c r="J176" s="155">
        <f t="shared" ca="1" si="90"/>
        <v>140947.84492823706</v>
      </c>
      <c r="K176" s="155">
        <f t="shared" ca="1" si="90"/>
        <v>142183.76646565471</v>
      </c>
      <c r="L176" s="155">
        <f t="shared" ca="1" si="90"/>
        <v>143437.81324072616</v>
      </c>
      <c r="M176" s="155">
        <f t="shared" ca="1" si="90"/>
        <v>144710.25986693561</v>
      </c>
      <c r="N176" s="155">
        <f t="shared" ca="1" si="90"/>
        <v>147171.14149899842</v>
      </c>
      <c r="O176" s="155">
        <f t="shared" ca="1" si="90"/>
        <v>148589.41157794744</v>
      </c>
      <c r="P176" s="155">
        <f t="shared" ca="1" si="90"/>
        <v>150029.78602069968</v>
      </c>
      <c r="Q176" s="155">
        <f t="shared" ca="1" si="90"/>
        <v>151492.61735199433</v>
      </c>
      <c r="R176" s="155">
        <f t="shared" ca="1" si="90"/>
        <v>153805.10903990123</v>
      </c>
      <c r="S176" s="155">
        <f t="shared" ca="1" si="90"/>
        <v>155308.19180885158</v>
      </c>
      <c r="T176" s="155">
        <f t="shared" ca="1" si="90"/>
        <v>156834.49510255471</v>
      </c>
      <c r="U176" s="155">
        <f t="shared" ca="1" si="90"/>
        <v>158384.38501836866</v>
      </c>
      <c r="V176" s="155">
        <f t="shared" ca="1" si="90"/>
        <v>166328.06608600213</v>
      </c>
      <c r="W176" s="155">
        <f t="shared" ca="1" si="90"/>
        <v>167986.4119451122</v>
      </c>
      <c r="X176" s="155">
        <f t="shared" ca="1" si="90"/>
        <v>169670.79837989662</v>
      </c>
      <c r="Y176" s="155">
        <f t="shared" ca="1" si="90"/>
        <v>171381.64278661134</v>
      </c>
      <c r="Z176" s="155">
        <f t="shared" ca="1" si="90"/>
        <v>173081.56230783745</v>
      </c>
      <c r="AA176" s="155">
        <f t="shared" ca="1" si="90"/>
        <v>174807.75747570104</v>
      </c>
      <c r="AB176" s="155">
        <f t="shared" ca="1" si="90"/>
        <v>176560.64420447467</v>
      </c>
      <c r="AC176" s="155">
        <f t="shared" ca="1" si="90"/>
        <v>178340.6451086489</v>
      </c>
      <c r="AD176" s="155">
        <f t="shared" ca="1" si="90"/>
        <v>180130.56973150079</v>
      </c>
      <c r="AE176" s="155">
        <f t="shared" ca="1" si="90"/>
        <v>181947.93088035216</v>
      </c>
      <c r="AF176" s="155">
        <f t="shared" ca="1" si="90"/>
        <v>183793.15906924865</v>
      </c>
      <c r="AG176" s="155">
        <f t="shared" ca="1" si="90"/>
        <v>185666.69168521898</v>
      </c>
      <c r="AH176" s="155">
        <f t="shared" ca="1" si="90"/>
        <v>187564.90831469017</v>
      </c>
      <c r="AI176" s="155">
        <f t="shared" ca="1" si="90"/>
        <v>189492.16966585501</v>
      </c>
      <c r="AJ176" s="155">
        <f t="shared" ca="1" si="90"/>
        <v>181967.21336320668</v>
      </c>
      <c r="AK176" s="155">
        <f t="shared" ca="1" si="90"/>
        <v>183953.93480719157</v>
      </c>
      <c r="AL176" s="155">
        <f t="shared" ca="1" si="90"/>
        <v>185970.68368046169</v>
      </c>
      <c r="AM176" s="155">
        <f t="shared" ca="1" si="90"/>
        <v>191185.36012818961</v>
      </c>
      <c r="AN176" s="155">
        <f t="shared" ca="1" si="90"/>
        <v>193279.87309305635</v>
      </c>
      <c r="AO176" s="155">
        <f t="shared" ca="1" si="90"/>
        <v>195406.34275984261</v>
      </c>
      <c r="AP176" s="155">
        <f t="shared" ca="1" si="90"/>
        <v>192631.05290617218</v>
      </c>
      <c r="AQ176" s="155">
        <f t="shared" ca="1" si="90"/>
        <v>245457.83576998618</v>
      </c>
      <c r="AR176" s="155">
        <f t="shared" ca="1" si="90"/>
        <v>247930.28755323286</v>
      </c>
      <c r="AT176" s="103">
        <f t="shared" ca="1" si="88"/>
        <v>6376889.920024191</v>
      </c>
    </row>
    <row r="177" spans="1:46" s="40" customFormat="1" x14ac:dyDescent="0.2">
      <c r="A177" s="589" t="str">
        <f t="shared" si="89"/>
        <v>Корпус B2</v>
      </c>
      <c r="B177" s="65"/>
      <c r="C177" s="21" t="s">
        <v>455</v>
      </c>
      <c r="D177" s="65"/>
      <c r="E177" s="155">
        <v>0</v>
      </c>
      <c r="F177" s="155">
        <f t="shared" ref="F177:AR177" ca="1" si="91">IFERROR(F$175*OFFSET(F10,0,-$B$78)/OFFSET(F$15,0,-$B$78),0)</f>
        <v>0</v>
      </c>
      <c r="G177" s="155">
        <f t="shared" ca="1" si="91"/>
        <v>0</v>
      </c>
      <c r="H177" s="155">
        <f t="shared" ca="1" si="91"/>
        <v>0</v>
      </c>
      <c r="I177" s="155">
        <f t="shared" ca="1" si="91"/>
        <v>0</v>
      </c>
      <c r="J177" s="155">
        <f t="shared" ca="1" si="91"/>
        <v>0</v>
      </c>
      <c r="K177" s="155">
        <f t="shared" ca="1" si="91"/>
        <v>0</v>
      </c>
      <c r="L177" s="155">
        <f t="shared" ca="1" si="91"/>
        <v>0</v>
      </c>
      <c r="M177" s="155">
        <f t="shared" ca="1" si="91"/>
        <v>0</v>
      </c>
      <c r="N177" s="155">
        <f t="shared" ca="1" si="91"/>
        <v>73281.078732604728</v>
      </c>
      <c r="O177" s="155">
        <f t="shared" ca="1" si="91"/>
        <v>73987.279420191757</v>
      </c>
      <c r="P177" s="155">
        <f t="shared" ca="1" si="91"/>
        <v>74704.486556513904</v>
      </c>
      <c r="Q177" s="155">
        <f t="shared" ca="1" si="91"/>
        <v>75432.875674579249</v>
      </c>
      <c r="R177" s="155">
        <f t="shared" ca="1" si="91"/>
        <v>76584.337052971503</v>
      </c>
      <c r="S177" s="155">
        <f t="shared" ca="1" si="91"/>
        <v>77332.768611028179</v>
      </c>
      <c r="T177" s="155">
        <f t="shared" ca="1" si="91"/>
        <v>78092.762388996212</v>
      </c>
      <c r="U177" s="155">
        <f t="shared" ca="1" si="91"/>
        <v>78864.500678111843</v>
      </c>
      <c r="V177" s="155">
        <f t="shared" ca="1" si="91"/>
        <v>82819.906009719678</v>
      </c>
      <c r="W177" s="155">
        <f t="shared" ca="1" si="91"/>
        <v>83645.647878876553</v>
      </c>
      <c r="X177" s="155">
        <f t="shared" ca="1" si="91"/>
        <v>84484.356158817478</v>
      </c>
      <c r="Y177" s="155">
        <f t="shared" ca="1" si="91"/>
        <v>85336.238684091993</v>
      </c>
      <c r="Z177" s="155">
        <f t="shared" ca="1" si="91"/>
        <v>86182.681369833546</v>
      </c>
      <c r="AA177" s="155">
        <f t="shared" ca="1" si="91"/>
        <v>87042.207515487011</v>
      </c>
      <c r="AB177" s="155">
        <f t="shared" ca="1" si="91"/>
        <v>87915.024217676357</v>
      </c>
      <c r="AC177" s="155">
        <f t="shared" ca="1" si="91"/>
        <v>88801.341909272058</v>
      </c>
      <c r="AD177" s="155">
        <f t="shared" ca="1" si="91"/>
        <v>89692.600928374872</v>
      </c>
      <c r="AE177" s="155">
        <f t="shared" ca="1" si="91"/>
        <v>90597.521445251201</v>
      </c>
      <c r="AF177" s="155">
        <f t="shared" ca="1" si="91"/>
        <v>91516.317826205195</v>
      </c>
      <c r="AG177" s="155">
        <f t="shared" ca="1" si="91"/>
        <v>92449.207859812479</v>
      </c>
      <c r="AH177" s="155">
        <f t="shared" ca="1" si="91"/>
        <v>93394.388829797448</v>
      </c>
      <c r="AI177" s="155">
        <f t="shared" ca="1" si="91"/>
        <v>94354.032068101602</v>
      </c>
      <c r="AJ177" s="155">
        <f t="shared" ca="1" si="91"/>
        <v>90607.122791886359</v>
      </c>
      <c r="AK177" s="155">
        <f t="shared" ca="1" si="91"/>
        <v>91596.373055718839</v>
      </c>
      <c r="AL177" s="155">
        <f t="shared" ca="1" si="91"/>
        <v>92600.574908478171</v>
      </c>
      <c r="AM177" s="155">
        <f t="shared" ca="1" si="91"/>
        <v>95197.12414658819</v>
      </c>
      <c r="AN177" s="155">
        <f t="shared" ca="1" si="91"/>
        <v>96240.047153921856</v>
      </c>
      <c r="AO177" s="155">
        <f t="shared" ca="1" si="91"/>
        <v>97298.882394900938</v>
      </c>
      <c r="AP177" s="155">
        <f t="shared" ca="1" si="91"/>
        <v>95916.979447073318</v>
      </c>
      <c r="AQ177" s="155">
        <f t="shared" ca="1" si="91"/>
        <v>122221.07408684827</v>
      </c>
      <c r="AR177" s="155">
        <f t="shared" ca="1" si="91"/>
        <v>123452.18456098904</v>
      </c>
      <c r="AT177" s="103">
        <f t="shared" ca="1" si="88"/>
        <v>2751641.92436272</v>
      </c>
    </row>
    <row r="178" spans="1:46" s="40" customFormat="1" x14ac:dyDescent="0.2">
      <c r="A178" s="589" t="str">
        <f t="shared" si="89"/>
        <v>БП с ЦОД</v>
      </c>
      <c r="B178" s="65"/>
      <c r="C178" s="21" t="s">
        <v>455</v>
      </c>
      <c r="D178" s="65"/>
      <c r="E178" s="155">
        <v>0</v>
      </c>
      <c r="F178" s="155">
        <f t="shared" ref="F178:AR178" ca="1" si="92">IFERROR(F$175*OFFSET(F11,0,-$B$78)/OFFSET(F$15,0,-$B$78),0)</f>
        <v>0</v>
      </c>
      <c r="G178" s="155">
        <f t="shared" ca="1" si="92"/>
        <v>0</v>
      </c>
      <c r="H178" s="155">
        <f t="shared" ca="1" si="92"/>
        <v>0</v>
      </c>
      <c r="I178" s="155">
        <f t="shared" ca="1" si="92"/>
        <v>0</v>
      </c>
      <c r="J178" s="155">
        <f t="shared" ca="1" si="92"/>
        <v>0</v>
      </c>
      <c r="K178" s="155">
        <f t="shared" ca="1" si="92"/>
        <v>0</v>
      </c>
      <c r="L178" s="155">
        <f t="shared" ca="1" si="92"/>
        <v>0</v>
      </c>
      <c r="M178" s="155">
        <f t="shared" ca="1" si="92"/>
        <v>0</v>
      </c>
      <c r="N178" s="155">
        <f t="shared" ca="1" si="92"/>
        <v>0</v>
      </c>
      <c r="O178" s="155">
        <f t="shared" ca="1" si="92"/>
        <v>0</v>
      </c>
      <c r="P178" s="155">
        <f t="shared" ca="1" si="92"/>
        <v>0</v>
      </c>
      <c r="Q178" s="155">
        <f t="shared" ca="1" si="92"/>
        <v>0</v>
      </c>
      <c r="R178" s="155">
        <f t="shared" ca="1" si="92"/>
        <v>0</v>
      </c>
      <c r="S178" s="155">
        <f t="shared" ca="1" si="92"/>
        <v>0</v>
      </c>
      <c r="T178" s="155">
        <f t="shared" ca="1" si="92"/>
        <v>0</v>
      </c>
      <c r="U178" s="155">
        <f t="shared" ca="1" si="92"/>
        <v>0</v>
      </c>
      <c r="V178" s="155">
        <f t="shared" ca="1" si="92"/>
        <v>279488.50553003047</v>
      </c>
      <c r="W178" s="155">
        <f t="shared" ca="1" si="92"/>
        <v>282275.09841673513</v>
      </c>
      <c r="X178" s="155">
        <f t="shared" ca="1" si="92"/>
        <v>285105.4484500814</v>
      </c>
      <c r="Y178" s="155">
        <f t="shared" ca="1" si="92"/>
        <v>287980.25699970935</v>
      </c>
      <c r="Z178" s="155">
        <f t="shared" ca="1" si="92"/>
        <v>290836.70797451446</v>
      </c>
      <c r="AA178" s="155">
        <f t="shared" ca="1" si="92"/>
        <v>293737.31109623838</v>
      </c>
      <c r="AB178" s="155">
        <f t="shared" ca="1" si="92"/>
        <v>296682.7652442776</v>
      </c>
      <c r="AC178" s="155">
        <f t="shared" ca="1" si="92"/>
        <v>299673.78055670555</v>
      </c>
      <c r="AD178" s="155">
        <f t="shared" ca="1" si="92"/>
        <v>302681.4711384839</v>
      </c>
      <c r="AE178" s="155">
        <f t="shared" ca="1" si="92"/>
        <v>305735.26454481244</v>
      </c>
      <c r="AF178" s="155">
        <f t="shared" ca="1" si="92"/>
        <v>308835.88418774091</v>
      </c>
      <c r="AG178" s="155">
        <f t="shared" ca="1" si="92"/>
        <v>311984.06502830074</v>
      </c>
      <c r="AH178" s="155">
        <f t="shared" ca="1" si="92"/>
        <v>315173.72352327075</v>
      </c>
      <c r="AI178" s="155">
        <f t="shared" ca="1" si="92"/>
        <v>318412.18716610735</v>
      </c>
      <c r="AJ178" s="155">
        <f t="shared" ca="1" si="92"/>
        <v>305767.66576514003</v>
      </c>
      <c r="AK178" s="155">
        <f t="shared" ca="1" si="92"/>
        <v>309106.04286739463</v>
      </c>
      <c r="AL178" s="155">
        <f t="shared" ca="1" si="92"/>
        <v>312494.87640513439</v>
      </c>
      <c r="AM178" s="155">
        <f t="shared" ca="1" si="92"/>
        <v>321257.33100160962</v>
      </c>
      <c r="AN178" s="155">
        <f t="shared" ca="1" si="92"/>
        <v>324776.83502843574</v>
      </c>
      <c r="AO178" s="155">
        <f t="shared" ca="1" si="92"/>
        <v>328350.03733403899</v>
      </c>
      <c r="AP178" s="155">
        <f t="shared" ca="1" si="92"/>
        <v>323686.59338337136</v>
      </c>
      <c r="AQ178" s="155">
        <f t="shared" ca="1" si="92"/>
        <v>412453.80472660088</v>
      </c>
      <c r="AR178" s="155">
        <f t="shared" ca="1" si="92"/>
        <v>416608.3762920358</v>
      </c>
      <c r="AT178" s="103">
        <f t="shared" ca="1" si="88"/>
        <v>7233104.0326607702</v>
      </c>
    </row>
    <row r="179" spans="1:46" s="40" customFormat="1" x14ac:dyDescent="0.2">
      <c r="A179" s="589" t="str">
        <f t="shared" si="89"/>
        <v>Корпус B1</v>
      </c>
      <c r="B179" s="65"/>
      <c r="C179" s="21" t="s">
        <v>455</v>
      </c>
      <c r="D179" s="65"/>
      <c r="E179" s="155">
        <v>0</v>
      </c>
      <c r="F179" s="155">
        <f t="shared" ref="F179:AR179" ca="1" si="93">IFERROR(F$175*OFFSET(F12,0,-$B$78)/OFFSET(F$15,0,-$B$78),0)</f>
        <v>0</v>
      </c>
      <c r="G179" s="155">
        <f t="shared" ca="1" si="93"/>
        <v>0</v>
      </c>
      <c r="H179" s="155">
        <f t="shared" ca="1" si="93"/>
        <v>0</v>
      </c>
      <c r="I179" s="155">
        <f t="shared" ca="1" si="93"/>
        <v>0</v>
      </c>
      <c r="J179" s="155">
        <f t="shared" ca="1" si="93"/>
        <v>0</v>
      </c>
      <c r="K179" s="155">
        <f t="shared" ca="1" si="93"/>
        <v>0</v>
      </c>
      <c r="L179" s="155">
        <f t="shared" ca="1" si="93"/>
        <v>0</v>
      </c>
      <c r="M179" s="155">
        <f t="shared" ca="1" si="93"/>
        <v>0</v>
      </c>
      <c r="N179" s="155">
        <f t="shared" ca="1" si="93"/>
        <v>0</v>
      </c>
      <c r="O179" s="155">
        <f t="shared" ca="1" si="93"/>
        <v>0</v>
      </c>
      <c r="P179" s="155">
        <f t="shared" ca="1" si="93"/>
        <v>0</v>
      </c>
      <c r="Q179" s="155">
        <f t="shared" ca="1" si="93"/>
        <v>0</v>
      </c>
      <c r="R179" s="155">
        <f t="shared" ca="1" si="93"/>
        <v>38292.168526485751</v>
      </c>
      <c r="S179" s="155">
        <f t="shared" ca="1" si="93"/>
        <v>38666.38430551409</v>
      </c>
      <c r="T179" s="155">
        <f t="shared" ca="1" si="93"/>
        <v>39046.381194498106</v>
      </c>
      <c r="U179" s="155">
        <f t="shared" ca="1" si="93"/>
        <v>39432.250339055921</v>
      </c>
      <c r="V179" s="155">
        <f t="shared" ca="1" si="93"/>
        <v>41409.953004859839</v>
      </c>
      <c r="W179" s="155">
        <f t="shared" ca="1" si="93"/>
        <v>41822.823939438276</v>
      </c>
      <c r="X179" s="155">
        <f t="shared" ca="1" si="93"/>
        <v>42242.178079408739</v>
      </c>
      <c r="Y179" s="155">
        <f t="shared" ca="1" si="93"/>
        <v>42668.119342045997</v>
      </c>
      <c r="Z179" s="155">
        <f t="shared" ca="1" si="93"/>
        <v>43091.340684916773</v>
      </c>
      <c r="AA179" s="155">
        <f t="shared" ca="1" si="93"/>
        <v>43521.103757743505</v>
      </c>
      <c r="AB179" s="155">
        <f t="shared" ca="1" si="93"/>
        <v>43957.512108838178</v>
      </c>
      <c r="AC179" s="155">
        <f t="shared" ca="1" si="93"/>
        <v>44400.670954636029</v>
      </c>
      <c r="AD179" s="155">
        <f t="shared" ca="1" si="93"/>
        <v>44846.300464187436</v>
      </c>
      <c r="AE179" s="155">
        <f t="shared" ca="1" si="93"/>
        <v>45298.7607226256</v>
      </c>
      <c r="AF179" s="155">
        <f t="shared" ca="1" si="93"/>
        <v>45758.158913102598</v>
      </c>
      <c r="AG179" s="155">
        <f t="shared" ca="1" si="93"/>
        <v>46224.60392990624</v>
      </c>
      <c r="AH179" s="155">
        <f t="shared" ca="1" si="93"/>
        <v>46697.194414898724</v>
      </c>
      <c r="AI179" s="155">
        <f t="shared" ca="1" si="93"/>
        <v>47177.016034050801</v>
      </c>
      <c r="AJ179" s="155">
        <f t="shared" ca="1" si="93"/>
        <v>45303.561395943179</v>
      </c>
      <c r="AK179" s="155">
        <f t="shared" ca="1" si="93"/>
        <v>45798.18652785942</v>
      </c>
      <c r="AL179" s="155">
        <f t="shared" ca="1" si="93"/>
        <v>46300.287454239085</v>
      </c>
      <c r="AM179" s="155">
        <f t="shared" ca="1" si="93"/>
        <v>47598.562073294095</v>
      </c>
      <c r="AN179" s="155">
        <f t="shared" ca="1" si="93"/>
        <v>48120.023576960928</v>
      </c>
      <c r="AO179" s="155">
        <f t="shared" ca="1" si="93"/>
        <v>48649.441197450469</v>
      </c>
      <c r="AP179" s="155">
        <f t="shared" ca="1" si="93"/>
        <v>47958.489723536659</v>
      </c>
      <c r="AQ179" s="155">
        <f t="shared" ca="1" si="93"/>
        <v>61110.537043424134</v>
      </c>
      <c r="AR179" s="155">
        <f t="shared" ca="1" si="93"/>
        <v>61726.092280494522</v>
      </c>
      <c r="AT179" s="103">
        <f t="shared" ca="1" si="88"/>
        <v>1227118.101989415</v>
      </c>
    </row>
    <row r="180" spans="1:46" s="40" customFormat="1" x14ac:dyDescent="0.2">
      <c r="A180" s="589" t="str">
        <f t="shared" si="89"/>
        <v>Корпус B3</v>
      </c>
      <c r="B180" s="65"/>
      <c r="C180" s="21" t="s">
        <v>455</v>
      </c>
      <c r="D180" s="65"/>
      <c r="E180" s="155">
        <v>0</v>
      </c>
      <c r="F180" s="155">
        <f t="shared" ref="F180:AR180" ca="1" si="94">IFERROR(F$175*OFFSET(F13,0,-$B$78)/OFFSET(F$15,0,-$B$78),0)</f>
        <v>0</v>
      </c>
      <c r="G180" s="155">
        <f t="shared" ca="1" si="94"/>
        <v>0</v>
      </c>
      <c r="H180" s="155">
        <f t="shared" ca="1" si="94"/>
        <v>0</v>
      </c>
      <c r="I180" s="155">
        <f t="shared" ca="1" si="94"/>
        <v>0</v>
      </c>
      <c r="J180" s="155">
        <f t="shared" ca="1" si="94"/>
        <v>0</v>
      </c>
      <c r="K180" s="155">
        <f t="shared" ca="1" si="94"/>
        <v>0</v>
      </c>
      <c r="L180" s="155">
        <f t="shared" ca="1" si="94"/>
        <v>0</v>
      </c>
      <c r="M180" s="155">
        <f t="shared" ca="1" si="94"/>
        <v>0</v>
      </c>
      <c r="N180" s="155">
        <f t="shared" ca="1" si="94"/>
        <v>0</v>
      </c>
      <c r="O180" s="155">
        <f t="shared" ca="1" si="94"/>
        <v>0</v>
      </c>
      <c r="P180" s="155">
        <f t="shared" ca="1" si="94"/>
        <v>0</v>
      </c>
      <c r="Q180" s="155">
        <f t="shared" ca="1" si="94"/>
        <v>0</v>
      </c>
      <c r="R180" s="155">
        <f t="shared" ca="1" si="94"/>
        <v>0</v>
      </c>
      <c r="S180" s="155">
        <f t="shared" ca="1" si="94"/>
        <v>0</v>
      </c>
      <c r="T180" s="155">
        <f t="shared" ca="1" si="94"/>
        <v>0</v>
      </c>
      <c r="U180" s="155">
        <f t="shared" ca="1" si="94"/>
        <v>0</v>
      </c>
      <c r="V180" s="155">
        <f t="shared" ca="1" si="94"/>
        <v>98993.876573944712</v>
      </c>
      <c r="W180" s="155">
        <f t="shared" ca="1" si="94"/>
        <v>99980.878281815065</v>
      </c>
      <c r="X180" s="155">
        <f t="shared" ca="1" si="94"/>
        <v>100983.37862196604</v>
      </c>
      <c r="Y180" s="155">
        <f t="shared" ca="1" si="94"/>
        <v>102001.6260171349</v>
      </c>
      <c r="Z180" s="155">
        <f t="shared" ca="1" si="94"/>
        <v>103013.37122183705</v>
      </c>
      <c r="AA180" s="155">
        <f t="shared" ca="1" si="94"/>
        <v>104040.75496657242</v>
      </c>
      <c r="AB180" s="155">
        <f t="shared" ca="1" si="94"/>
        <v>105084.02479204252</v>
      </c>
      <c r="AC180" s="155">
        <f t="shared" ca="1" si="94"/>
        <v>106143.43222673378</v>
      </c>
      <c r="AD180" s="155">
        <f t="shared" ca="1" si="94"/>
        <v>107208.74598502426</v>
      </c>
      <c r="AE180" s="155">
        <f t="shared" ca="1" si="94"/>
        <v>108290.38920671993</v>
      </c>
      <c r="AF180" s="155">
        <f t="shared" ca="1" si="94"/>
        <v>109388.61812190454</v>
      </c>
      <c r="AG180" s="155">
        <f t="shared" ca="1" si="94"/>
        <v>110503.69305127171</v>
      </c>
      <c r="AH180" s="155">
        <f t="shared" ca="1" si="94"/>
        <v>111633.45922453627</v>
      </c>
      <c r="AI180" s="155">
        <f t="shared" ca="1" si="94"/>
        <v>112780.51201491922</v>
      </c>
      <c r="AJ180" s="155">
        <f t="shared" ca="1" si="94"/>
        <v>108301.86560858437</v>
      </c>
      <c r="AK180" s="155">
        <f t="shared" ca="1" si="94"/>
        <v>109484.30740593538</v>
      </c>
      <c r="AL180" s="155">
        <f t="shared" ca="1" si="94"/>
        <v>110684.6207008541</v>
      </c>
      <c r="AM180" s="155">
        <f t="shared" ca="1" si="94"/>
        <v>113788.25226939836</v>
      </c>
      <c r="AN180" s="155">
        <f t="shared" ca="1" si="94"/>
        <v>115034.84860641907</v>
      </c>
      <c r="AO180" s="155">
        <f t="shared" ca="1" si="94"/>
        <v>116300.46469085805</v>
      </c>
      <c r="AP180" s="155">
        <f t="shared" ca="1" si="94"/>
        <v>114648.68872967351</v>
      </c>
      <c r="AQ180" s="155">
        <f t="shared" ca="1" si="94"/>
        <v>146089.73259965383</v>
      </c>
      <c r="AR180" s="155">
        <f t="shared" ca="1" si="94"/>
        <v>147561.26769547584</v>
      </c>
      <c r="AT180" s="103">
        <f t="shared" ca="1" si="88"/>
        <v>2561940.8086132752</v>
      </c>
    </row>
    <row r="181" spans="1:46" s="40" customFormat="1" x14ac:dyDescent="0.2">
      <c r="A181" s="589" t="str">
        <f t="shared" si="89"/>
        <v>Объект II очереди</v>
      </c>
      <c r="B181" s="65"/>
      <c r="C181" s="21" t="s">
        <v>455</v>
      </c>
      <c r="D181" s="65"/>
      <c r="E181" s="155">
        <v>0</v>
      </c>
      <c r="F181" s="155">
        <f t="shared" ref="F181:AR181" ca="1" si="95">IFERROR(F$175*OFFSET(F14,0,-$B$78)/OFFSET(F$15,0,-$B$78),0)</f>
        <v>0</v>
      </c>
      <c r="G181" s="155">
        <f t="shared" ca="1" si="95"/>
        <v>0</v>
      </c>
      <c r="H181" s="155">
        <f t="shared" ca="1" si="95"/>
        <v>0</v>
      </c>
      <c r="I181" s="155">
        <f t="shared" ca="1" si="95"/>
        <v>0</v>
      </c>
      <c r="J181" s="155">
        <f t="shared" ca="1" si="95"/>
        <v>0</v>
      </c>
      <c r="K181" s="155">
        <f t="shared" ca="1" si="95"/>
        <v>0</v>
      </c>
      <c r="L181" s="155">
        <f t="shared" ca="1" si="95"/>
        <v>0</v>
      </c>
      <c r="M181" s="155">
        <f t="shared" ca="1" si="95"/>
        <v>0</v>
      </c>
      <c r="N181" s="155">
        <f t="shared" ca="1" si="95"/>
        <v>0</v>
      </c>
      <c r="O181" s="155">
        <f t="shared" ca="1" si="95"/>
        <v>0</v>
      </c>
      <c r="P181" s="155">
        <f t="shared" ca="1" si="95"/>
        <v>0</v>
      </c>
      <c r="Q181" s="155">
        <f t="shared" ca="1" si="95"/>
        <v>0</v>
      </c>
      <c r="R181" s="155">
        <f t="shared" ca="1" si="95"/>
        <v>0</v>
      </c>
      <c r="S181" s="155">
        <f t="shared" ca="1" si="95"/>
        <v>0</v>
      </c>
      <c r="T181" s="155">
        <f t="shared" ca="1" si="95"/>
        <v>0</v>
      </c>
      <c r="U181" s="155">
        <f t="shared" ca="1" si="95"/>
        <v>0</v>
      </c>
      <c r="V181" s="155">
        <f t="shared" ca="1" si="95"/>
        <v>255284.90418923981</v>
      </c>
      <c r="W181" s="155">
        <f t="shared" ca="1" si="95"/>
        <v>257830.17916127396</v>
      </c>
      <c r="X181" s="155">
        <f t="shared" ca="1" si="95"/>
        <v>260415.42192721373</v>
      </c>
      <c r="Y181" s="155">
        <f t="shared" ca="1" si="95"/>
        <v>263041.27311834728</v>
      </c>
      <c r="Z181" s="155">
        <f t="shared" ca="1" si="95"/>
        <v>265650.3564938567</v>
      </c>
      <c r="AA181" s="155">
        <f t="shared" ca="1" si="95"/>
        <v>268299.7684566708</v>
      </c>
      <c r="AB181" s="155">
        <f t="shared" ca="1" si="95"/>
        <v>270990.14736348856</v>
      </c>
      <c r="AC181" s="155">
        <f t="shared" ca="1" si="95"/>
        <v>273722.14185468835</v>
      </c>
      <c r="AD181" s="155">
        <f t="shared" ca="1" si="95"/>
        <v>276469.36754307238</v>
      </c>
      <c r="AE181" s="155">
        <f t="shared" ca="1" si="95"/>
        <v>279258.70356843015</v>
      </c>
      <c r="AF181" s="155">
        <f t="shared" ca="1" si="95"/>
        <v>282090.81069559505</v>
      </c>
      <c r="AG181" s="155">
        <f t="shared" ca="1" si="95"/>
        <v>284966.36023824476</v>
      </c>
      <c r="AH181" s="155">
        <f t="shared" ca="1" si="95"/>
        <v>287879.79548575374</v>
      </c>
      <c r="AI181" s="155">
        <f t="shared" ca="1" si="95"/>
        <v>290837.80937335192</v>
      </c>
      <c r="AJ181" s="155">
        <f t="shared" ca="1" si="95"/>
        <v>279288.29885504581</v>
      </c>
      <c r="AK181" s="155">
        <f t="shared" ca="1" si="95"/>
        <v>282337.57373338263</v>
      </c>
      <c r="AL181" s="155">
        <f t="shared" ca="1" si="95"/>
        <v>285432.9355385293</v>
      </c>
      <c r="AM181" s="155">
        <f t="shared" ca="1" si="95"/>
        <v>293436.56480364548</v>
      </c>
      <c r="AN181" s="155">
        <f t="shared" ca="1" si="95"/>
        <v>296651.28108179098</v>
      </c>
      <c r="AO181" s="155">
        <f t="shared" ca="1" si="95"/>
        <v>299915.04538760672</v>
      </c>
      <c r="AP181" s="155">
        <f t="shared" ca="1" si="95"/>
        <v>295655.45396047324</v>
      </c>
      <c r="AQ181" s="155">
        <f t="shared" ca="1" si="95"/>
        <v>376735.45759041671</v>
      </c>
      <c r="AR181" s="155">
        <f t="shared" ca="1" si="95"/>
        <v>380530.24479291018</v>
      </c>
      <c r="AT181" s="103">
        <f t="shared" ca="1" si="88"/>
        <v>6606719.8952130293</v>
      </c>
    </row>
    <row r="182" spans="1:46" s="60" customFormat="1" x14ac:dyDescent="0.2">
      <c r="A182" s="549" t="s">
        <v>696</v>
      </c>
      <c r="B182" s="153"/>
      <c r="C182" s="396" t="s">
        <v>455</v>
      </c>
      <c r="D182" s="159"/>
      <c r="E182" s="160">
        <f>SUM(E183:E188)</f>
        <v>0</v>
      </c>
      <c r="F182" s="160">
        <f t="shared" ref="F182:J182" ca="1" si="96">SUM(F183:F188)</f>
        <v>0</v>
      </c>
      <c r="G182" s="160">
        <f t="shared" ca="1" si="96"/>
        <v>0</v>
      </c>
      <c r="H182" s="160">
        <f t="shared" ca="1" si="96"/>
        <v>27945.955640083041</v>
      </c>
      <c r="I182" s="160">
        <f t="shared" ca="1" si="96"/>
        <v>27945.955640083041</v>
      </c>
      <c r="J182" s="160">
        <f t="shared" ca="1" si="96"/>
        <v>28189.568985647413</v>
      </c>
      <c r="K182" s="160">
        <f t="shared" ref="K182" ca="1" si="97">SUM(K183:K188)</f>
        <v>28436.753293130943</v>
      </c>
      <c r="L182" s="160">
        <f t="shared" ref="L182" ca="1" si="98">SUM(L183:L188)</f>
        <v>28687.562648145235</v>
      </c>
      <c r="M182" s="160">
        <f t="shared" ref="M182" ca="1" si="99">SUM(M183:M188)</f>
        <v>28942.051973387122</v>
      </c>
      <c r="N182" s="160">
        <f t="shared" ref="N182:O182" ca="1" si="100">SUM(N183:N188)</f>
        <v>44090.444046320627</v>
      </c>
      <c r="O182" s="160">
        <f t="shared" ca="1" si="100"/>
        <v>44515.33819962784</v>
      </c>
      <c r="P182" s="160">
        <f t="shared" ref="P182" ca="1" si="101">SUM(P183:P188)</f>
        <v>44946.854515442719</v>
      </c>
      <c r="Q182" s="160">
        <f t="shared" ref="Q182" ca="1" si="102">SUM(Q183:Q188)</f>
        <v>45385.098605314721</v>
      </c>
      <c r="R182" s="160">
        <f t="shared" ref="R182" ca="1" si="103">SUM(R183:R188)</f>
        <v>53736.322923871703</v>
      </c>
      <c r="S182" s="160">
        <f t="shared" ref="S182:T182" ca="1" si="104">SUM(S183:S188)</f>
        <v>54261.46894507877</v>
      </c>
      <c r="T182" s="160">
        <f t="shared" ca="1" si="104"/>
        <v>54794.727737209803</v>
      </c>
      <c r="U182" s="160">
        <f t="shared" ref="U182" ca="1" si="105">SUM(U183:U188)</f>
        <v>55336.227207107288</v>
      </c>
      <c r="V182" s="160">
        <f t="shared" ref="V182" ca="1" si="106">SUM(V183:V188)</f>
        <v>184865.04227875936</v>
      </c>
      <c r="W182" s="160">
        <f t="shared" ref="W182" ca="1" si="107">SUM(W183:W188)</f>
        <v>186708.20792465025</v>
      </c>
      <c r="X182" s="160">
        <f t="shared" ref="X182:Y182" ca="1" si="108">SUM(X183:X188)</f>
        <v>188580.31632347681</v>
      </c>
      <c r="Y182" s="160">
        <f t="shared" ca="1" si="108"/>
        <v>190481.83138958819</v>
      </c>
      <c r="Z182" s="160">
        <f t="shared" ref="Z182" ca="1" si="109">SUM(Z183:Z188)</f>
        <v>192371.20401055919</v>
      </c>
      <c r="AA182" s="160">
        <f t="shared" ref="AA182" ca="1" si="110">SUM(AA183:AA188)</f>
        <v>194289.78065368265</v>
      </c>
      <c r="AB182" s="160">
        <f t="shared" ref="AB182" ca="1" si="111">SUM(AB183:AB188)</f>
        <v>196238.02358615957</v>
      </c>
      <c r="AC182" s="160">
        <f t="shared" ref="AC182:AD182" ca="1" si="112">SUM(AC183:AC188)</f>
        <v>198216.40252213695</v>
      </c>
      <c r="AD182" s="160">
        <f t="shared" ca="1" si="112"/>
        <v>200205.81115812875</v>
      </c>
      <c r="AE182" s="160">
        <f t="shared" ref="AE182" ca="1" si="113">SUM(AE183:AE188)</f>
        <v>202225.71407363832</v>
      </c>
      <c r="AF182" s="160">
        <f t="shared" ref="AF182" ca="1" si="114">SUM(AF183:AF188)</f>
        <v>204276.58976275939</v>
      </c>
      <c r="AG182" s="160">
        <f t="shared" ref="AG182" ca="1" si="115">SUM(AG183:AG188)</f>
        <v>206358.92435855101</v>
      </c>
      <c r="AH182" s="160">
        <f t="shared" ref="AH182:AI182" ca="1" si="116">SUM(AH183:AH188)</f>
        <v>208468.69395858943</v>
      </c>
      <c r="AI182" s="160">
        <f t="shared" ca="1" si="116"/>
        <v>210610.74526447721</v>
      </c>
      <c r="AJ182" s="160">
        <f t="shared" ref="AJ182" ca="1" si="117">SUM(AJ183:AJ188)</f>
        <v>202247.1455559613</v>
      </c>
      <c r="AK182" s="160">
        <f t="shared" ref="AK182" ca="1" si="118">SUM(AK183:AK188)</f>
        <v>204455.2836794965</v>
      </c>
      <c r="AL182" s="160">
        <f t="shared" ref="AL182" ca="1" si="119">SUM(AL183:AL188)</f>
        <v>206696.79573753936</v>
      </c>
      <c r="AM182" s="160">
        <f t="shared" ref="AM182:AN182" ca="1" si="120">SUM(AM183:AM188)</f>
        <v>212492.63888454507</v>
      </c>
      <c r="AN182" s="160">
        <f t="shared" ca="1" si="120"/>
        <v>214820.58170811698</v>
      </c>
      <c r="AO182" s="160">
        <f t="shared" ref="AO182" ca="1" si="121">SUM(AO183:AO188)</f>
        <v>217184.04275293957</v>
      </c>
      <c r="AP182" s="160">
        <f t="shared" ref="AP182" ca="1" si="122">SUM(AP183:AP188)</f>
        <v>214099.45163006004</v>
      </c>
      <c r="AQ182" s="160">
        <f t="shared" ref="AQ182" ca="1" si="123">SUM(AQ183:AQ188)</f>
        <v>272813.68836338603</v>
      </c>
      <c r="AR182" s="160">
        <f t="shared" ref="AR182" ca="1" si="124">SUM(AR183:AR188)</f>
        <v>275561.69063502765</v>
      </c>
      <c r="AT182" s="137">
        <f t="shared" ca="1" si="88"/>
        <v>5351482.9365726793</v>
      </c>
    </row>
    <row r="183" spans="1:46" s="40" customFormat="1" x14ac:dyDescent="0.2">
      <c r="A183" s="589" t="str">
        <f>A176</f>
        <v>Корпус А4</v>
      </c>
      <c r="B183" s="65"/>
      <c r="C183" s="21" t="s">
        <v>455</v>
      </c>
      <c r="D183" s="65"/>
      <c r="E183" s="155">
        <f>E176*Параметры!E$136</f>
        <v>0</v>
      </c>
      <c r="F183" s="155">
        <f ca="1">F176*Параметры!F$136</f>
        <v>0</v>
      </c>
      <c r="G183" s="155">
        <f ca="1">G176*Параметры!G$136</f>
        <v>0</v>
      </c>
      <c r="H183" s="155">
        <f ca="1">H176*Параметры!H$136</f>
        <v>27945.955640083041</v>
      </c>
      <c r="I183" s="155">
        <f ca="1">I176*Параметры!I$136</f>
        <v>27945.955640083041</v>
      </c>
      <c r="J183" s="155">
        <f ca="1">J176*Параметры!J$136</f>
        <v>28189.568985647413</v>
      </c>
      <c r="K183" s="155">
        <f ca="1">K176*Параметры!K$136</f>
        <v>28436.753293130943</v>
      </c>
      <c r="L183" s="155">
        <f ca="1">L176*Параметры!L$136</f>
        <v>28687.562648145235</v>
      </c>
      <c r="M183" s="155">
        <f ca="1">M176*Параметры!M$136</f>
        <v>28942.051973387122</v>
      </c>
      <c r="N183" s="155">
        <f ca="1">N176*Параметры!N$136</f>
        <v>29434.228299799684</v>
      </c>
      <c r="O183" s="155">
        <f ca="1">O176*Параметры!O$136</f>
        <v>29717.88231558949</v>
      </c>
      <c r="P183" s="155">
        <f ca="1">P176*Параметры!P$136</f>
        <v>30005.957204139937</v>
      </c>
      <c r="Q183" s="155">
        <f ca="1">Q176*Параметры!Q$136</f>
        <v>30298.523470398868</v>
      </c>
      <c r="R183" s="155">
        <f ca="1">R176*Параметры!R$136</f>
        <v>30761.021807980247</v>
      </c>
      <c r="S183" s="155">
        <f ca="1">S176*Параметры!S$136</f>
        <v>31061.638361770318</v>
      </c>
      <c r="T183" s="155">
        <f ca="1">T176*Параметры!T$136</f>
        <v>31366.899020510944</v>
      </c>
      <c r="U183" s="155">
        <f ca="1">U176*Параметры!U$136</f>
        <v>31676.877003673733</v>
      </c>
      <c r="V183" s="155">
        <f ca="1">V176*Параметры!V$136</f>
        <v>33265.613217200429</v>
      </c>
      <c r="W183" s="155">
        <f ca="1">W176*Параметры!W$136</f>
        <v>33597.282389022439</v>
      </c>
      <c r="X183" s="155">
        <f ca="1">X176*Параметры!X$136</f>
        <v>33934.159675979325</v>
      </c>
      <c r="Y183" s="155">
        <f ca="1">Y176*Параметры!Y$136</f>
        <v>34276.328557322267</v>
      </c>
      <c r="Z183" s="155">
        <f ca="1">Z176*Параметры!Z$136</f>
        <v>34616.31246156749</v>
      </c>
      <c r="AA183" s="155">
        <f ca="1">AA176*Параметры!AA$136</f>
        <v>34961.551495140207</v>
      </c>
      <c r="AB183" s="155">
        <f ca="1">AB176*Параметры!AB$136</f>
        <v>35312.128840894933</v>
      </c>
      <c r="AC183" s="155">
        <f ca="1">AC176*Параметры!AC$136</f>
        <v>35668.129021729779</v>
      </c>
      <c r="AD183" s="155">
        <f ca="1">AD176*Параметры!AD$136</f>
        <v>36026.11394630016</v>
      </c>
      <c r="AE183" s="155">
        <f ca="1">AE176*Параметры!AE$136</f>
        <v>36389.586176070436</v>
      </c>
      <c r="AF183" s="155">
        <f ca="1">AF176*Параметры!AF$136</f>
        <v>36758.63181384973</v>
      </c>
      <c r="AG183" s="155">
        <f ca="1">AG176*Параметры!AG$136</f>
        <v>37133.338337043795</v>
      </c>
      <c r="AH183" s="155">
        <f ca="1">AH176*Параметры!AH$136</f>
        <v>37512.981662938037</v>
      </c>
      <c r="AI183" s="155">
        <f ca="1">AI176*Параметры!AI$136</f>
        <v>37898.433933171</v>
      </c>
      <c r="AJ183" s="155">
        <f ca="1">AJ176*Параметры!AJ$136</f>
        <v>36393.442672641337</v>
      </c>
      <c r="AK183" s="155">
        <f ca="1">AK176*Параметры!AK$136</f>
        <v>36790.786961438316</v>
      </c>
      <c r="AL183" s="155">
        <f ca="1">AL176*Параметры!AL$136</f>
        <v>37194.13673609234</v>
      </c>
      <c r="AM183" s="155">
        <f ca="1">AM176*Параметры!AM$136</f>
        <v>38237.072025637921</v>
      </c>
      <c r="AN183" s="155">
        <f ca="1">AN176*Параметры!AN$136</f>
        <v>38655.974618611268</v>
      </c>
      <c r="AO183" s="155">
        <f ca="1">AO176*Параметры!AO$136</f>
        <v>39081.268551968526</v>
      </c>
      <c r="AP183" s="155">
        <f ca="1">AP176*Параметры!AP$136</f>
        <v>38526.210581234438</v>
      </c>
      <c r="AQ183" s="155">
        <f ca="1">AQ176*Параметры!AQ$136</f>
        <v>49091.567153997239</v>
      </c>
      <c r="AR183" s="155">
        <f ca="1">AR176*Параметры!AR$136</f>
        <v>49586.057510646577</v>
      </c>
      <c r="AT183" s="103">
        <f t="shared" ref="AT183:AT188" ca="1" si="125">SUM(E183:AS183)</f>
        <v>1275377.9840048379</v>
      </c>
    </row>
    <row r="184" spans="1:46" s="40" customFormat="1" x14ac:dyDescent="0.2">
      <c r="A184" s="589" t="str">
        <f t="shared" ref="A184:A188" si="126">A177</f>
        <v>Корпус B2</v>
      </c>
      <c r="B184" s="65"/>
      <c r="C184" s="21" t="s">
        <v>455</v>
      </c>
      <c r="D184" s="65"/>
      <c r="E184" s="155">
        <f>E177*Параметры!E$136</f>
        <v>0</v>
      </c>
      <c r="F184" s="155">
        <f ca="1">F177*Параметры!F$136</f>
        <v>0</v>
      </c>
      <c r="G184" s="155">
        <f ca="1">G177*Параметры!G$136</f>
        <v>0</v>
      </c>
      <c r="H184" s="155">
        <f ca="1">H177*Параметры!H$136</f>
        <v>0</v>
      </c>
      <c r="I184" s="155">
        <f ca="1">I177*Параметры!I$136</f>
        <v>0</v>
      </c>
      <c r="J184" s="155">
        <f ca="1">J177*Параметры!J$136</f>
        <v>0</v>
      </c>
      <c r="K184" s="155">
        <f ca="1">K177*Параметры!K$136</f>
        <v>0</v>
      </c>
      <c r="L184" s="155">
        <f ca="1">L177*Параметры!L$136</f>
        <v>0</v>
      </c>
      <c r="M184" s="155">
        <f ca="1">M177*Параметры!M$136</f>
        <v>0</v>
      </c>
      <c r="N184" s="155">
        <f ca="1">N177*Параметры!N$136</f>
        <v>14656.215746520946</v>
      </c>
      <c r="O184" s="155">
        <f ca="1">O177*Параметры!O$136</f>
        <v>14797.455884038352</v>
      </c>
      <c r="P184" s="155">
        <f ca="1">P177*Параметры!P$136</f>
        <v>14940.897311302782</v>
      </c>
      <c r="Q184" s="155">
        <f ca="1">Q177*Параметры!Q$136</f>
        <v>15086.575134915851</v>
      </c>
      <c r="R184" s="155">
        <f ca="1">R177*Параметры!R$136</f>
        <v>15316.867410594301</v>
      </c>
      <c r="S184" s="155">
        <f ca="1">S177*Параметры!S$136</f>
        <v>15466.553722205637</v>
      </c>
      <c r="T184" s="155">
        <f ca="1">T177*Параметры!T$136</f>
        <v>15618.552477799243</v>
      </c>
      <c r="U184" s="155">
        <f ca="1">U177*Параметры!U$136</f>
        <v>15772.900135622369</v>
      </c>
      <c r="V184" s="155">
        <f ca="1">V177*Параметры!V$136</f>
        <v>16563.981201943938</v>
      </c>
      <c r="W184" s="155">
        <f ca="1">W177*Параметры!W$136</f>
        <v>16729.129575775311</v>
      </c>
      <c r="X184" s="155">
        <f ca="1">X177*Параметры!X$136</f>
        <v>16896.871231763496</v>
      </c>
      <c r="Y184" s="155">
        <f ca="1">Y177*Параметры!Y$136</f>
        <v>17067.247736818401</v>
      </c>
      <c r="Z184" s="155">
        <f ca="1">Z177*Параметры!Z$136</f>
        <v>17236.536273966711</v>
      </c>
      <c r="AA184" s="155">
        <f ca="1">AA177*Параметры!AA$136</f>
        <v>17408.441503097401</v>
      </c>
      <c r="AB184" s="155">
        <f ca="1">AB177*Параметры!AB$136</f>
        <v>17583.004843535273</v>
      </c>
      <c r="AC184" s="155">
        <f ca="1">AC177*Параметры!AC$136</f>
        <v>17760.268381854414</v>
      </c>
      <c r="AD184" s="155">
        <f ca="1">AD177*Параметры!AD$136</f>
        <v>17938.520185674974</v>
      </c>
      <c r="AE184" s="155">
        <f ca="1">AE177*Параметры!AE$136</f>
        <v>18119.504289050241</v>
      </c>
      <c r="AF184" s="155">
        <f ca="1">AF177*Параметры!AF$136</f>
        <v>18303.263565241039</v>
      </c>
      <c r="AG184" s="155">
        <f ca="1">AG177*Параметры!AG$136</f>
        <v>18489.841571962497</v>
      </c>
      <c r="AH184" s="155">
        <f ca="1">AH177*Параметры!AH$136</f>
        <v>18678.877765959489</v>
      </c>
      <c r="AI184" s="155">
        <f ca="1">AI177*Параметры!AI$136</f>
        <v>18870.806413620321</v>
      </c>
      <c r="AJ184" s="155">
        <f ca="1">AJ177*Параметры!AJ$136</f>
        <v>18121.424558377272</v>
      </c>
      <c r="AK184" s="155">
        <f ca="1">AK177*Параметры!AK$136</f>
        <v>18319.27461114377</v>
      </c>
      <c r="AL184" s="155">
        <f ca="1">AL177*Параметры!AL$136</f>
        <v>18520.114981695635</v>
      </c>
      <c r="AM184" s="155">
        <f ca="1">AM177*Параметры!AM$136</f>
        <v>19039.424829317639</v>
      </c>
      <c r="AN184" s="155">
        <f ca="1">AN177*Параметры!AN$136</f>
        <v>19248.009430784372</v>
      </c>
      <c r="AO184" s="155">
        <f ca="1">AO177*Параметры!AO$136</f>
        <v>19459.776478980188</v>
      </c>
      <c r="AP184" s="155">
        <f ca="1">AP177*Параметры!AP$136</f>
        <v>19183.395889414664</v>
      </c>
      <c r="AQ184" s="155">
        <f ca="1">AQ177*Параметры!AQ$136</f>
        <v>24444.214817369655</v>
      </c>
      <c r="AR184" s="155">
        <f ca="1">AR177*Параметры!AR$136</f>
        <v>24690.436912197809</v>
      </c>
      <c r="AT184" s="103">
        <f t="shared" ca="1" si="125"/>
        <v>550328.38487254409</v>
      </c>
    </row>
    <row r="185" spans="1:46" s="40" customFormat="1" x14ac:dyDescent="0.2">
      <c r="A185" s="589" t="str">
        <f t="shared" si="126"/>
        <v>БП с ЦОД</v>
      </c>
      <c r="B185" s="65"/>
      <c r="C185" s="21" t="s">
        <v>455</v>
      </c>
      <c r="D185" s="65"/>
      <c r="E185" s="155">
        <f>E178*Параметры!E$136</f>
        <v>0</v>
      </c>
      <c r="F185" s="155">
        <f ca="1">F178*Параметры!F$136</f>
        <v>0</v>
      </c>
      <c r="G185" s="155">
        <f ca="1">G178*Параметры!G$136</f>
        <v>0</v>
      </c>
      <c r="H185" s="155">
        <f ca="1">H178*Параметры!H$136</f>
        <v>0</v>
      </c>
      <c r="I185" s="155">
        <f ca="1">I178*Параметры!I$136</f>
        <v>0</v>
      </c>
      <c r="J185" s="155">
        <f ca="1">J178*Параметры!J$136</f>
        <v>0</v>
      </c>
      <c r="K185" s="155">
        <f ca="1">K178*Параметры!K$136</f>
        <v>0</v>
      </c>
      <c r="L185" s="155">
        <f ca="1">L178*Параметры!L$136</f>
        <v>0</v>
      </c>
      <c r="M185" s="155">
        <f ca="1">M178*Параметры!M$136</f>
        <v>0</v>
      </c>
      <c r="N185" s="155">
        <f ca="1">N178*Параметры!N$136</f>
        <v>0</v>
      </c>
      <c r="O185" s="155">
        <f ca="1">O178*Параметры!O$136</f>
        <v>0</v>
      </c>
      <c r="P185" s="155">
        <f ca="1">P178*Параметры!P$136</f>
        <v>0</v>
      </c>
      <c r="Q185" s="155">
        <f ca="1">Q178*Параметры!Q$136</f>
        <v>0</v>
      </c>
      <c r="R185" s="155">
        <f ca="1">R178*Параметры!R$136</f>
        <v>0</v>
      </c>
      <c r="S185" s="155">
        <f ca="1">S178*Параметры!S$136</f>
        <v>0</v>
      </c>
      <c r="T185" s="155">
        <f ca="1">T178*Параметры!T$136</f>
        <v>0</v>
      </c>
      <c r="U185" s="155">
        <f ca="1">U178*Параметры!U$136</f>
        <v>0</v>
      </c>
      <c r="V185" s="155">
        <f ca="1">V178*Параметры!V$136</f>
        <v>55897.701106006098</v>
      </c>
      <c r="W185" s="155">
        <f ca="1">W178*Параметры!W$136</f>
        <v>56455.019683347025</v>
      </c>
      <c r="X185" s="155">
        <f ca="1">X178*Параметры!X$136</f>
        <v>57021.089690016284</v>
      </c>
      <c r="Y185" s="155">
        <f ca="1">Y178*Параметры!Y$136</f>
        <v>57596.051399941876</v>
      </c>
      <c r="Z185" s="155">
        <f ca="1">Z178*Параметры!Z$136</f>
        <v>58167.341594902893</v>
      </c>
      <c r="AA185" s="155">
        <f ca="1">AA178*Параметры!AA$136</f>
        <v>58747.462219247682</v>
      </c>
      <c r="AB185" s="155">
        <f ca="1">AB178*Параметры!AB$136</f>
        <v>59336.553048855523</v>
      </c>
      <c r="AC185" s="155">
        <f ca="1">AC178*Параметры!AC$136</f>
        <v>59934.756111341114</v>
      </c>
      <c r="AD185" s="155">
        <f ca="1">AD178*Параметры!AD$136</f>
        <v>60536.294227696781</v>
      </c>
      <c r="AE185" s="155">
        <f ca="1">AE178*Параметры!AE$136</f>
        <v>61147.052908962491</v>
      </c>
      <c r="AF185" s="155">
        <f ca="1">AF178*Параметры!AF$136</f>
        <v>61767.176837548184</v>
      </c>
      <c r="AG185" s="155">
        <f ca="1">AG178*Параметры!AG$136</f>
        <v>62396.813005660151</v>
      </c>
      <c r="AH185" s="155">
        <f ca="1">AH178*Параметры!AH$136</f>
        <v>63034.744704654149</v>
      </c>
      <c r="AI185" s="155">
        <f ca="1">AI178*Параметры!AI$136</f>
        <v>63682.437433221472</v>
      </c>
      <c r="AJ185" s="155">
        <f ca="1">AJ178*Параметры!AJ$136</f>
        <v>61153.533153028009</v>
      </c>
      <c r="AK185" s="155">
        <f ca="1">AK178*Параметры!AK$136</f>
        <v>61821.208573478929</v>
      </c>
      <c r="AL185" s="155">
        <f ca="1">AL178*Параметры!AL$136</f>
        <v>62498.975281026884</v>
      </c>
      <c r="AM185" s="155">
        <f ca="1">AM178*Параметры!AM$136</f>
        <v>64251.466200321927</v>
      </c>
      <c r="AN185" s="155">
        <f ca="1">AN178*Параметры!AN$136</f>
        <v>64955.367005687149</v>
      </c>
      <c r="AO185" s="155">
        <f ca="1">AO178*Параметры!AO$136</f>
        <v>65670.007466807801</v>
      </c>
      <c r="AP185" s="155">
        <f ca="1">AP178*Параметры!AP$136</f>
        <v>64737.318676674273</v>
      </c>
      <c r="AQ185" s="155">
        <f ca="1">AQ178*Параметры!AQ$136</f>
        <v>82490.760945320188</v>
      </c>
      <c r="AR185" s="155">
        <f ca="1">AR178*Параметры!AR$136</f>
        <v>83321.675258407166</v>
      </c>
      <c r="AT185" s="103">
        <f t="shared" ca="1" si="125"/>
        <v>1446620.8065321541</v>
      </c>
    </row>
    <row r="186" spans="1:46" s="40" customFormat="1" x14ac:dyDescent="0.2">
      <c r="A186" s="589" t="str">
        <f t="shared" si="126"/>
        <v>Корпус B1</v>
      </c>
      <c r="B186" s="65"/>
      <c r="C186" s="21" t="s">
        <v>455</v>
      </c>
      <c r="D186" s="65"/>
      <c r="E186" s="155">
        <f>E179*Параметры!E$136</f>
        <v>0</v>
      </c>
      <c r="F186" s="155">
        <f ca="1">F179*Параметры!F$136</f>
        <v>0</v>
      </c>
      <c r="G186" s="155">
        <f ca="1">G179*Параметры!G$136</f>
        <v>0</v>
      </c>
      <c r="H186" s="155">
        <f ca="1">H179*Параметры!H$136</f>
        <v>0</v>
      </c>
      <c r="I186" s="155">
        <f ca="1">I179*Параметры!I$136</f>
        <v>0</v>
      </c>
      <c r="J186" s="155">
        <f ca="1">J179*Параметры!J$136</f>
        <v>0</v>
      </c>
      <c r="K186" s="155">
        <f ca="1">K179*Параметры!K$136</f>
        <v>0</v>
      </c>
      <c r="L186" s="155">
        <f ca="1">L179*Параметры!L$136</f>
        <v>0</v>
      </c>
      <c r="M186" s="155">
        <f ca="1">M179*Параметры!M$136</f>
        <v>0</v>
      </c>
      <c r="N186" s="155">
        <f ca="1">N179*Параметры!N$136</f>
        <v>0</v>
      </c>
      <c r="O186" s="155">
        <f ca="1">O179*Параметры!O$136</f>
        <v>0</v>
      </c>
      <c r="P186" s="155">
        <f ca="1">P179*Параметры!P$136</f>
        <v>0</v>
      </c>
      <c r="Q186" s="155">
        <f ca="1">Q179*Параметры!Q$136</f>
        <v>0</v>
      </c>
      <c r="R186" s="155">
        <f ca="1">R179*Параметры!R$136</f>
        <v>7658.4337052971505</v>
      </c>
      <c r="S186" s="155">
        <f ca="1">S179*Параметры!S$136</f>
        <v>7733.2768611028187</v>
      </c>
      <c r="T186" s="155">
        <f ca="1">T179*Параметры!T$136</f>
        <v>7809.2762388996216</v>
      </c>
      <c r="U186" s="155">
        <f ca="1">U179*Параметры!U$136</f>
        <v>7886.4500678111845</v>
      </c>
      <c r="V186" s="155">
        <f ca="1">V179*Параметры!V$136</f>
        <v>8281.9906009719689</v>
      </c>
      <c r="W186" s="155">
        <f ca="1">W179*Параметры!W$136</f>
        <v>8364.5647878876553</v>
      </c>
      <c r="X186" s="155">
        <f ca="1">X179*Параметры!X$136</f>
        <v>8448.4356158817482</v>
      </c>
      <c r="Y186" s="155">
        <f ca="1">Y179*Параметры!Y$136</f>
        <v>8533.6238684092004</v>
      </c>
      <c r="Z186" s="155">
        <f ca="1">Z179*Параметры!Z$136</f>
        <v>8618.2681369833554</v>
      </c>
      <c r="AA186" s="155">
        <f ca="1">AA179*Параметры!AA$136</f>
        <v>8704.2207515487007</v>
      </c>
      <c r="AB186" s="155">
        <f ca="1">AB179*Параметры!AB$136</f>
        <v>8791.5024217676364</v>
      </c>
      <c r="AC186" s="155">
        <f ca="1">AC179*Параметры!AC$136</f>
        <v>8880.1341909272069</v>
      </c>
      <c r="AD186" s="155">
        <f ca="1">AD179*Параметры!AD$136</f>
        <v>8969.2600928374868</v>
      </c>
      <c r="AE186" s="155">
        <f ca="1">AE179*Параметры!AE$136</f>
        <v>9059.7521445251205</v>
      </c>
      <c r="AF186" s="155">
        <f ca="1">AF179*Параметры!AF$136</f>
        <v>9151.6317826205195</v>
      </c>
      <c r="AG186" s="155">
        <f ca="1">AG179*Параметры!AG$136</f>
        <v>9244.9207859812486</v>
      </c>
      <c r="AH186" s="155">
        <f ca="1">AH179*Параметры!AH$136</f>
        <v>9339.4388829797444</v>
      </c>
      <c r="AI186" s="155">
        <f ca="1">AI179*Параметры!AI$136</f>
        <v>9435.4032068101606</v>
      </c>
      <c r="AJ186" s="155">
        <f ca="1">AJ179*Параметры!AJ$136</f>
        <v>9060.7122791886359</v>
      </c>
      <c r="AK186" s="155">
        <f ca="1">AK179*Параметры!AK$136</f>
        <v>9159.637305571885</v>
      </c>
      <c r="AL186" s="155">
        <f ca="1">AL179*Параметры!AL$136</f>
        <v>9260.0574908478175</v>
      </c>
      <c r="AM186" s="155">
        <f ca="1">AM179*Параметры!AM$136</f>
        <v>9519.7124146588194</v>
      </c>
      <c r="AN186" s="155">
        <f ca="1">AN179*Параметры!AN$136</f>
        <v>9624.004715392186</v>
      </c>
      <c r="AO186" s="155">
        <f ca="1">AO179*Параметры!AO$136</f>
        <v>9729.8882394900938</v>
      </c>
      <c r="AP186" s="155">
        <f ca="1">AP179*Параметры!AP$136</f>
        <v>9591.6979447073318</v>
      </c>
      <c r="AQ186" s="155">
        <f ca="1">AQ179*Параметры!AQ$136</f>
        <v>12222.107408684828</v>
      </c>
      <c r="AR186" s="155">
        <f ca="1">AR179*Параметры!AR$136</f>
        <v>12345.218456098904</v>
      </c>
      <c r="AT186" s="103">
        <f t="shared" ca="1" si="125"/>
        <v>245423.620397883</v>
      </c>
    </row>
    <row r="187" spans="1:46" s="40" customFormat="1" x14ac:dyDescent="0.2">
      <c r="A187" s="589" t="str">
        <f t="shared" si="126"/>
        <v>Корпус B3</v>
      </c>
      <c r="B187" s="65"/>
      <c r="C187" s="21" t="s">
        <v>455</v>
      </c>
      <c r="D187" s="65"/>
      <c r="E187" s="155">
        <f>E180*Параметры!E$136</f>
        <v>0</v>
      </c>
      <c r="F187" s="155">
        <f ca="1">F180*Параметры!F$136</f>
        <v>0</v>
      </c>
      <c r="G187" s="155">
        <f ca="1">G180*Параметры!G$136</f>
        <v>0</v>
      </c>
      <c r="H187" s="155">
        <f ca="1">H180*Параметры!H$136</f>
        <v>0</v>
      </c>
      <c r="I187" s="155">
        <f ca="1">I180*Параметры!I$136</f>
        <v>0</v>
      </c>
      <c r="J187" s="155">
        <f ca="1">J180*Параметры!J$136</f>
        <v>0</v>
      </c>
      <c r="K187" s="155">
        <f ca="1">K180*Параметры!K$136</f>
        <v>0</v>
      </c>
      <c r="L187" s="155">
        <f ca="1">L180*Параметры!L$136</f>
        <v>0</v>
      </c>
      <c r="M187" s="155">
        <f ca="1">M180*Параметры!M$136</f>
        <v>0</v>
      </c>
      <c r="N187" s="155">
        <f ca="1">N180*Параметры!N$136</f>
        <v>0</v>
      </c>
      <c r="O187" s="155">
        <f ca="1">O180*Параметры!O$136</f>
        <v>0</v>
      </c>
      <c r="P187" s="155">
        <f ca="1">P180*Параметры!P$136</f>
        <v>0</v>
      </c>
      <c r="Q187" s="155">
        <f ca="1">Q180*Параметры!Q$136</f>
        <v>0</v>
      </c>
      <c r="R187" s="155">
        <f ca="1">R180*Параметры!R$136</f>
        <v>0</v>
      </c>
      <c r="S187" s="155">
        <f ca="1">S180*Параметры!S$136</f>
        <v>0</v>
      </c>
      <c r="T187" s="155">
        <f ca="1">T180*Параметры!T$136</f>
        <v>0</v>
      </c>
      <c r="U187" s="155">
        <f ca="1">U180*Параметры!U$136</f>
        <v>0</v>
      </c>
      <c r="V187" s="155">
        <f ca="1">V180*Параметры!V$136</f>
        <v>19798.775314788945</v>
      </c>
      <c r="W187" s="155">
        <f ca="1">W180*Параметры!W$136</f>
        <v>19996.175656363015</v>
      </c>
      <c r="X187" s="155">
        <f ca="1">X180*Параметры!X$136</f>
        <v>20196.675724393208</v>
      </c>
      <c r="Y187" s="155">
        <f ca="1">Y180*Параметры!Y$136</f>
        <v>20400.325203426983</v>
      </c>
      <c r="Z187" s="155">
        <f ca="1">Z180*Параметры!Z$136</f>
        <v>20602.674244367412</v>
      </c>
      <c r="AA187" s="155">
        <f ca="1">AA180*Параметры!AA$136</f>
        <v>20808.150993314484</v>
      </c>
      <c r="AB187" s="155">
        <f ca="1">AB180*Параметры!AB$136</f>
        <v>21016.804958408506</v>
      </c>
      <c r="AC187" s="155">
        <f ca="1">AC180*Параметры!AC$136</f>
        <v>21228.686445346757</v>
      </c>
      <c r="AD187" s="155">
        <f ca="1">AD180*Параметры!AD$136</f>
        <v>21441.749197004854</v>
      </c>
      <c r="AE187" s="155">
        <f ca="1">AE180*Параметры!AE$136</f>
        <v>21658.077841343988</v>
      </c>
      <c r="AF187" s="155">
        <f ca="1">AF180*Параметры!AF$136</f>
        <v>21877.723624380909</v>
      </c>
      <c r="AG187" s="155">
        <f ca="1">AG180*Параметры!AG$136</f>
        <v>22100.738610254342</v>
      </c>
      <c r="AH187" s="155">
        <f ca="1">AH180*Параметры!AH$136</f>
        <v>22326.691844907255</v>
      </c>
      <c r="AI187" s="155">
        <f ca="1">AI180*Параметры!AI$136</f>
        <v>22556.102402983845</v>
      </c>
      <c r="AJ187" s="155">
        <f ca="1">AJ180*Параметры!AJ$136</f>
        <v>21660.373121716875</v>
      </c>
      <c r="AK187" s="155">
        <f ca="1">AK180*Параметры!AK$136</f>
        <v>21896.861481187079</v>
      </c>
      <c r="AL187" s="155">
        <f ca="1">AL180*Параметры!AL$136</f>
        <v>22136.92414017082</v>
      </c>
      <c r="AM187" s="155">
        <f ca="1">AM180*Параметры!AM$136</f>
        <v>22757.650453879673</v>
      </c>
      <c r="AN187" s="155">
        <f ca="1">AN180*Параметры!AN$136</f>
        <v>23006.969721283815</v>
      </c>
      <c r="AO187" s="155">
        <f ca="1">AO180*Параметры!AO$136</f>
        <v>23260.092938171612</v>
      </c>
      <c r="AP187" s="155">
        <f ca="1">AP180*Параметры!AP$136</f>
        <v>22929.737745934704</v>
      </c>
      <c r="AQ187" s="155">
        <f ca="1">AQ180*Параметры!AQ$136</f>
        <v>29217.946519930767</v>
      </c>
      <c r="AR187" s="155">
        <f ca="1">AR180*Параметры!AR$136</f>
        <v>29512.253539095167</v>
      </c>
      <c r="AT187" s="103">
        <f t="shared" ca="1" si="125"/>
        <v>512388.16172265506</v>
      </c>
    </row>
    <row r="188" spans="1:46" x14ac:dyDescent="0.2">
      <c r="A188" s="589" t="str">
        <f t="shared" si="126"/>
        <v>Объект II очереди</v>
      </c>
      <c r="B188" s="64"/>
      <c r="C188" s="21" t="s">
        <v>455</v>
      </c>
      <c r="D188" s="65"/>
      <c r="E188" s="155">
        <f>E181*Параметры!E$136</f>
        <v>0</v>
      </c>
      <c r="F188" s="155">
        <f ca="1">F181*Параметры!F$136</f>
        <v>0</v>
      </c>
      <c r="G188" s="155">
        <f ca="1">G181*Параметры!G$136</f>
        <v>0</v>
      </c>
      <c r="H188" s="155">
        <f ca="1">H181*Параметры!H$136</f>
        <v>0</v>
      </c>
      <c r="I188" s="155">
        <f ca="1">I181*Параметры!I$136</f>
        <v>0</v>
      </c>
      <c r="J188" s="155">
        <f ca="1">J181*Параметры!J$136</f>
        <v>0</v>
      </c>
      <c r="K188" s="155">
        <f ca="1">K181*Параметры!K$136</f>
        <v>0</v>
      </c>
      <c r="L188" s="155">
        <f ca="1">L181*Параметры!L$136</f>
        <v>0</v>
      </c>
      <c r="M188" s="155">
        <f ca="1">M181*Параметры!M$136</f>
        <v>0</v>
      </c>
      <c r="N188" s="155">
        <f ca="1">N181*Параметры!N$136</f>
        <v>0</v>
      </c>
      <c r="O188" s="155">
        <f ca="1">O181*Параметры!O$136</f>
        <v>0</v>
      </c>
      <c r="P188" s="155">
        <f ca="1">P181*Параметры!P$136</f>
        <v>0</v>
      </c>
      <c r="Q188" s="155">
        <f ca="1">Q181*Параметры!Q$136</f>
        <v>0</v>
      </c>
      <c r="R188" s="155">
        <f ca="1">R181*Параметры!R$136</f>
        <v>0</v>
      </c>
      <c r="S188" s="155">
        <f ca="1">S181*Параметры!S$136</f>
        <v>0</v>
      </c>
      <c r="T188" s="155">
        <f ca="1">T181*Параметры!T$136</f>
        <v>0</v>
      </c>
      <c r="U188" s="155">
        <f ca="1">U181*Параметры!U$136</f>
        <v>0</v>
      </c>
      <c r="V188" s="155">
        <f ca="1">V181*Параметры!V$136</f>
        <v>51056.980837847965</v>
      </c>
      <c r="W188" s="155">
        <f ca="1">W181*Параметры!W$136</f>
        <v>51566.035832254798</v>
      </c>
      <c r="X188" s="155">
        <f ca="1">X181*Параметры!X$136</f>
        <v>52083.084385442751</v>
      </c>
      <c r="Y188" s="155">
        <f ca="1">Y181*Параметры!Y$136</f>
        <v>52608.254623669462</v>
      </c>
      <c r="Z188" s="155">
        <f ca="1">Z181*Параметры!Z$136</f>
        <v>53130.071298771341</v>
      </c>
      <c r="AA188" s="155">
        <f ca="1">AA181*Параметры!AA$136</f>
        <v>53659.953691334165</v>
      </c>
      <c r="AB188" s="155">
        <f ca="1">AB181*Параметры!AB$136</f>
        <v>54198.029472697715</v>
      </c>
      <c r="AC188" s="155">
        <f ca="1">AC181*Параметры!AC$136</f>
        <v>54744.428370937676</v>
      </c>
      <c r="AD188" s="155">
        <f ca="1">AD181*Параметры!AD$136</f>
        <v>55293.873508614481</v>
      </c>
      <c r="AE188" s="155">
        <f ca="1">AE181*Параметры!AE$136</f>
        <v>55851.740713686035</v>
      </c>
      <c r="AF188" s="155">
        <f ca="1">AF181*Параметры!AF$136</f>
        <v>56418.162139119013</v>
      </c>
      <c r="AG188" s="155">
        <f ca="1">AG181*Параметры!AG$136</f>
        <v>56993.272047648956</v>
      </c>
      <c r="AH188" s="155">
        <f ca="1">AH181*Параметры!AH$136</f>
        <v>57575.95909715075</v>
      </c>
      <c r="AI188" s="155">
        <f ca="1">AI181*Параметры!AI$136</f>
        <v>58167.561874670384</v>
      </c>
      <c r="AJ188" s="155">
        <f ca="1">AJ181*Параметры!AJ$136</f>
        <v>55857.659771009166</v>
      </c>
      <c r="AK188" s="155">
        <f ca="1">AK181*Параметры!AK$136</f>
        <v>56467.514746676527</v>
      </c>
      <c r="AL188" s="155">
        <f ca="1">AL181*Параметры!AL$136</f>
        <v>57086.587107705862</v>
      </c>
      <c r="AM188" s="155">
        <f ca="1">AM181*Параметры!AM$136</f>
        <v>58687.312960729098</v>
      </c>
      <c r="AN188" s="155">
        <f ca="1">AN181*Параметры!AN$136</f>
        <v>59330.256216358197</v>
      </c>
      <c r="AO188" s="155">
        <f ca="1">AO181*Параметры!AO$136</f>
        <v>59983.009077521347</v>
      </c>
      <c r="AP188" s="155">
        <f ca="1">AP181*Параметры!AP$136</f>
        <v>59131.090792094648</v>
      </c>
      <c r="AQ188" s="155">
        <f ca="1">AQ181*Параметры!AQ$136</f>
        <v>75347.09151808334</v>
      </c>
      <c r="AR188" s="155">
        <f ca="1">AR181*Параметры!AR$136</f>
        <v>76106.048958582032</v>
      </c>
      <c r="AT188" s="103">
        <f t="shared" ca="1" si="125"/>
        <v>1321343.9790426055</v>
      </c>
    </row>
    <row r="189" spans="1:46" s="60" customFormat="1" x14ac:dyDescent="0.2">
      <c r="A189" s="549" t="s">
        <v>697</v>
      </c>
      <c r="B189" s="153"/>
      <c r="C189" s="396" t="s">
        <v>455</v>
      </c>
      <c r="D189" s="159"/>
      <c r="E189" s="136">
        <f>SUM(E190:E195)</f>
        <v>0</v>
      </c>
      <c r="F189" s="136">
        <f t="shared" ref="F189:AR189" ca="1" si="127">SUM(F190:F195)</f>
        <v>0</v>
      </c>
      <c r="G189" s="136">
        <f t="shared" ca="1" si="127"/>
        <v>0</v>
      </c>
      <c r="H189" s="136">
        <f t="shared" ca="1" si="127"/>
        <v>295076.2596177712</v>
      </c>
      <c r="I189" s="136">
        <f t="shared" ca="1" si="127"/>
        <v>0</v>
      </c>
      <c r="J189" s="136">
        <f t="shared" ca="1" si="127"/>
        <v>0</v>
      </c>
      <c r="K189" s="136">
        <f t="shared" ca="1" si="127"/>
        <v>0</v>
      </c>
      <c r="L189" s="136">
        <f t="shared" ca="1" si="127"/>
        <v>0</v>
      </c>
      <c r="M189" s="136">
        <f t="shared" ca="1" si="127"/>
        <v>0</v>
      </c>
      <c r="N189" s="136">
        <f t="shared" ca="1" si="127"/>
        <v>154781.9400505737</v>
      </c>
      <c r="O189" s="136">
        <f t="shared" ca="1" si="127"/>
        <v>0</v>
      </c>
      <c r="P189" s="136">
        <f t="shared" ca="1" si="127"/>
        <v>0</v>
      </c>
      <c r="Q189" s="136">
        <f t="shared" ca="1" si="127"/>
        <v>0</v>
      </c>
      <c r="R189" s="136">
        <f t="shared" ca="1" si="127"/>
        <v>80747.849789316708</v>
      </c>
      <c r="S189" s="136">
        <f t="shared" ca="1" si="127"/>
        <v>0</v>
      </c>
      <c r="T189" s="136">
        <f t="shared" ca="1" si="127"/>
        <v>0</v>
      </c>
      <c r="U189" s="136">
        <f t="shared" ca="1" si="127"/>
        <v>0</v>
      </c>
      <c r="V189" s="136">
        <f t="shared" ca="1" si="127"/>
        <v>1290199.5747965176</v>
      </c>
      <c r="W189" s="136">
        <f t="shared" ca="1" si="127"/>
        <v>0</v>
      </c>
      <c r="X189" s="136">
        <f t="shared" ca="1" si="127"/>
        <v>0</v>
      </c>
      <c r="Y189" s="136">
        <f t="shared" ca="1" si="127"/>
        <v>0</v>
      </c>
      <c r="Z189" s="136">
        <f t="shared" ca="1" si="127"/>
        <v>0</v>
      </c>
      <c r="AA189" s="136">
        <f t="shared" ca="1" si="127"/>
        <v>0</v>
      </c>
      <c r="AB189" s="136">
        <f t="shared" ca="1" si="127"/>
        <v>0</v>
      </c>
      <c r="AC189" s="136">
        <f t="shared" ca="1" si="127"/>
        <v>0</v>
      </c>
      <c r="AD189" s="136">
        <f t="shared" ca="1" si="127"/>
        <v>0</v>
      </c>
      <c r="AE189" s="136">
        <f t="shared" ca="1" si="127"/>
        <v>0</v>
      </c>
      <c r="AF189" s="136">
        <f t="shared" ca="1" si="127"/>
        <v>0</v>
      </c>
      <c r="AG189" s="136">
        <f t="shared" ca="1" si="127"/>
        <v>0</v>
      </c>
      <c r="AH189" s="136">
        <f t="shared" ca="1" si="127"/>
        <v>0</v>
      </c>
      <c r="AI189" s="136">
        <f t="shared" ca="1" si="127"/>
        <v>0</v>
      </c>
      <c r="AJ189" s="136">
        <f t="shared" ca="1" si="127"/>
        <v>0</v>
      </c>
      <c r="AK189" s="136">
        <f t="shared" ca="1" si="127"/>
        <v>81885.932440858058</v>
      </c>
      <c r="AL189" s="136">
        <f t="shared" ca="1" si="127"/>
        <v>0</v>
      </c>
      <c r="AM189" s="136">
        <f t="shared" ca="1" si="127"/>
        <v>0</v>
      </c>
      <c r="AN189" s="136">
        <f t="shared" ca="1" si="127"/>
        <v>0</v>
      </c>
      <c r="AO189" s="136">
        <f t="shared" ca="1" si="127"/>
        <v>1275340.191493443</v>
      </c>
      <c r="AP189" s="136">
        <f t="shared" ca="1" si="127"/>
        <v>0</v>
      </c>
      <c r="AQ189" s="136">
        <f t="shared" ca="1" si="127"/>
        <v>0</v>
      </c>
      <c r="AR189" s="136">
        <f t="shared" ca="1" si="127"/>
        <v>0</v>
      </c>
      <c r="AT189" s="137">
        <f t="shared" ca="1" si="88"/>
        <v>3178031.7481884803</v>
      </c>
    </row>
    <row r="190" spans="1:46" s="40" customFormat="1" x14ac:dyDescent="0.2">
      <c r="A190" s="589" t="str">
        <f>A183</f>
        <v>Корпус А4</v>
      </c>
      <c r="B190" s="65"/>
      <c r="C190" s="21" t="s">
        <v>455</v>
      </c>
      <c r="D190" s="65"/>
      <c r="E190" s="155">
        <v>0</v>
      </c>
      <c r="F190" s="155">
        <f ca="1">(IFERROR(OFFSET(F9,0,-$B$78)-OFFSET(E9,0,-$B$78),0)/1.2*ИД!$C$43/ИД!$C$270*F$29+IF(Деятельность_УК!F419-Деятельность_УК!E419&gt;0,Деятельность_УК!$B427,0))*Параметры!F$136</f>
        <v>0</v>
      </c>
      <c r="G190" s="155">
        <f ca="1">(IFERROR(OFFSET(G9,0,-$B$78)-OFFSET(F9,0,-$B$78),0)/1.2*ИД!$C$43/ИД!$C$270*G$29+IF(Деятельность_УК!G419-Деятельность_УК!F419&gt;0,Деятельность_УК!$B427,0))*Параметры!G$136</f>
        <v>0</v>
      </c>
      <c r="H190" s="155">
        <f ca="1">(IFERROR(OFFSET(H9,0,-$B$78)-OFFSET(G9,0,-$B$78),0)/1.2*ИД!$C$43/ИД!$C$270*H$29+IF(Деятельность_УК!H419-Деятельность_УК!G419&gt;0,Деятельность_УК!$B427,0))*Параметры!H$136</f>
        <v>295076.2596177712</v>
      </c>
      <c r="I190" s="155">
        <f ca="1">(IFERROR(OFFSET(I9,0,-$B$78)-OFFSET(H9,0,-$B$78),0)/1.2*ИД!$C$43/ИД!$C$270*I$29+IF(Деятельность_УК!I419-Деятельность_УК!H419&gt;0,Деятельность_УК!$B427,0))*Параметры!I$136</f>
        <v>0</v>
      </c>
      <c r="J190" s="155">
        <f ca="1">(IFERROR(OFFSET(J9,0,-$B$78)-OFFSET(I9,0,-$B$78),0)/1.2*ИД!$C$43/ИД!$C$270*J$29+IF(Деятельность_УК!J419-Деятельность_УК!I419&gt;0,Деятельность_УК!$B427,0))*Параметры!J$136</f>
        <v>0</v>
      </c>
      <c r="K190" s="155">
        <f ca="1">(IFERROR(OFFSET(K9,0,-$B$78)-OFFSET(J9,0,-$B$78),0)/1.2*ИД!$C$43/ИД!$C$270*K$29+IF(Деятельность_УК!K419-Деятельность_УК!J419&gt;0,Деятельность_УК!$B427,0))*Параметры!K$136</f>
        <v>0</v>
      </c>
      <c r="L190" s="155">
        <f ca="1">(IFERROR(OFFSET(L9,0,-$B$78)-OFFSET(K9,0,-$B$78),0)/1.2*ИД!$C$43/ИД!$C$270*L$29+IF(Деятельность_УК!L419-Деятельность_УК!K419&gt;0,Деятельность_УК!$B427,0))*Параметры!L$136</f>
        <v>0</v>
      </c>
      <c r="M190" s="155">
        <f ca="1">(IFERROR(OFFSET(M9,0,-$B$78)-OFFSET(L9,0,-$B$78),0)/1.2*ИД!$C$43/ИД!$C$270*M$29+IF(Деятельность_УК!M419-Деятельность_УК!L419&gt;0,Деятельность_УК!$B427,0))*Параметры!M$136</f>
        <v>0</v>
      </c>
      <c r="N190" s="155">
        <f ca="1">(IFERROR(OFFSET(N9,0,-$B$78)-OFFSET(M9,0,-$B$78),0)/1.2*ИД!$C$43/ИД!$C$270*N$29+IF(Деятельность_УК!N419-Деятельность_УК!M419&gt;0,Деятельность_УК!$B427,0))*Параметры!N$136</f>
        <v>0</v>
      </c>
      <c r="O190" s="155">
        <f ca="1">(IFERROR(OFFSET(O9,0,-$B$78)-OFFSET(N9,0,-$B$78),0)/1.2*ИД!$C$43/ИД!$C$270*O$29+IF(Деятельность_УК!O419-Деятельность_УК!N419&gt;0,Деятельность_УК!$B427,0))*Параметры!O$136</f>
        <v>0</v>
      </c>
      <c r="P190" s="155">
        <f ca="1">(IFERROR(OFFSET(P9,0,-$B$78)-OFFSET(O9,0,-$B$78),0)/1.2*ИД!$C$43/ИД!$C$270*P$29+IF(Деятельность_УК!P419-Деятельность_УК!O419&gt;0,Деятельность_УК!$B427,0))*Параметры!P$136</f>
        <v>0</v>
      </c>
      <c r="Q190" s="155">
        <f ca="1">(IFERROR(OFFSET(Q9,0,-$B$78)-OFFSET(P9,0,-$B$78),0)/1.2*ИД!$C$43/ИД!$C$270*Q$29+IF(Деятельность_УК!Q419-Деятельность_УК!P419&gt;0,Деятельность_УК!$B427,0))*Параметры!Q$136</f>
        <v>0</v>
      </c>
      <c r="R190" s="155">
        <f ca="1">(IFERROR(OFFSET(R9,0,-$B$78)-OFFSET(Q9,0,-$B$78),0)/1.2*ИД!$C$43/ИД!$C$270*R$29+IF(Деятельность_УК!R419-Деятельность_УК!Q419&gt;0,Деятельность_УК!$B427,0))*Параметры!R$136</f>
        <v>0</v>
      </c>
      <c r="S190" s="155">
        <f ca="1">(IFERROR(OFFSET(S9,0,-$B$78)-OFFSET(R9,0,-$B$78),0)/1.2*ИД!$C$43/ИД!$C$270*S$29+IF(Деятельность_УК!S419-Деятельность_УК!R419&gt;0,Деятельность_УК!$B427,0))*Параметры!S$136</f>
        <v>0</v>
      </c>
      <c r="T190" s="155">
        <f ca="1">(IFERROR(OFFSET(T9,0,-$B$78)-OFFSET(S9,0,-$B$78),0)/1.2*ИД!$C$43/ИД!$C$270*T$29+IF(Деятельность_УК!T419-Деятельность_УК!S419&gt;0,Деятельность_УК!$B427,0))*Параметры!T$136</f>
        <v>0</v>
      </c>
      <c r="U190" s="155">
        <f ca="1">(IFERROR(OFFSET(U9,0,-$B$78)-OFFSET(T9,0,-$B$78),0)/1.2*ИД!$C$43/ИД!$C$270*U$29+IF(Деятельность_УК!U419-Деятельность_УК!T419&gt;0,Деятельность_УК!$B427,0))*Параметры!U$136</f>
        <v>0</v>
      </c>
      <c r="V190" s="155">
        <f ca="1">(IFERROR(OFFSET(V9,0,-$B$78)-OFFSET(U9,0,-$B$78),0)/1.2*ИД!$C$43/ИД!$C$270*V$29+IF(Деятельность_УК!V419-Деятельность_УК!U419&gt;0,Деятельность_УК!$B427,0))*Параметры!V$136</f>
        <v>0</v>
      </c>
      <c r="W190" s="155">
        <f ca="1">(IFERROR(OFFSET(W9,0,-$B$78)-OFFSET(V9,0,-$B$78),0)/1.2*ИД!$C$43/ИД!$C$270*W$29+IF(Деятельность_УК!W419-Деятельность_УК!V419&gt;0,Деятельность_УК!$B427,0))*Параметры!W$136</f>
        <v>0</v>
      </c>
      <c r="X190" s="155">
        <f ca="1">(IFERROR(OFFSET(X9,0,-$B$78)-OFFSET(W9,0,-$B$78),0)/1.2*ИД!$C$43/ИД!$C$270*X$29+IF(Деятельность_УК!X419-Деятельность_УК!W419&gt;0,Деятельность_УК!$B427,0))*Параметры!X$136</f>
        <v>0</v>
      </c>
      <c r="Y190" s="155">
        <f ca="1">(IFERROR(OFFSET(Y9,0,-$B$78)-OFFSET(X9,0,-$B$78),0)/1.2*ИД!$C$43/ИД!$C$270*Y$29+IF(Деятельность_УК!Y419-Деятельность_УК!X419&gt;0,Деятельность_УК!$B427,0))*Параметры!Y$136</f>
        <v>0</v>
      </c>
      <c r="Z190" s="155">
        <f ca="1">(IFERROR(OFFSET(Z9,0,-$B$78)-OFFSET(Y9,0,-$B$78),0)/1.2*ИД!$C$43/ИД!$C$270*Z$29+IF(Деятельность_УК!Z419-Деятельность_УК!Y419&gt;0,Деятельность_УК!$B427,0))*Параметры!Z$136</f>
        <v>0</v>
      </c>
      <c r="AA190" s="155">
        <f ca="1">(IFERROR(OFFSET(AA9,0,-$B$78)-OFFSET(Z9,0,-$B$78),0)/1.2*ИД!$C$43/ИД!$C$270*AA$29+IF(Деятельность_УК!AA419-Деятельность_УК!Z419&gt;0,Деятельность_УК!$B427,0))*Параметры!AA$136</f>
        <v>0</v>
      </c>
      <c r="AB190" s="155">
        <f ca="1">(IFERROR(OFFSET(AB9,0,-$B$78)-OFFSET(AA9,0,-$B$78),0)/1.2*ИД!$C$43/ИД!$C$270*AB$29+IF(Деятельность_УК!AB419-Деятельность_УК!AA419&gt;0,Деятельность_УК!$B427,0))*Параметры!AB$136</f>
        <v>0</v>
      </c>
      <c r="AC190" s="155">
        <f ca="1">(IFERROR(OFFSET(AC9,0,-$B$78)-OFFSET(AB9,0,-$B$78),0)/1.2*ИД!$C$43/ИД!$C$270*AC$29+IF(Деятельность_УК!AC419-Деятельность_УК!AB419&gt;0,Деятельность_УК!$B427,0))*Параметры!AC$136</f>
        <v>0</v>
      </c>
      <c r="AD190" s="155">
        <f ca="1">(IFERROR(OFFSET(AD9,0,-$B$78)-OFFSET(AC9,0,-$B$78),0)/1.2*ИД!$C$43/ИД!$C$270*AD$29+IF(Деятельность_УК!AD419-Деятельность_УК!AC419&gt;0,Деятельность_УК!$B427,0))*Параметры!AD$136</f>
        <v>0</v>
      </c>
      <c r="AE190" s="155">
        <f ca="1">(IFERROR(OFFSET(AE9,0,-$B$78)-OFFSET(AD9,0,-$B$78),0)/1.2*ИД!$C$43/ИД!$C$270*AE$29+IF(Деятельность_УК!AE419-Деятельность_УК!AD419&gt;0,Деятельность_УК!$B427,0))*Параметры!AE$136</f>
        <v>0</v>
      </c>
      <c r="AF190" s="155">
        <f ca="1">(IFERROR(OFFSET(AF9,0,-$B$78)-OFFSET(AE9,0,-$B$78),0)/1.2*ИД!$C$43/ИД!$C$270*AF$29+IF(Деятельность_УК!AF419-Деятельность_УК!AE419&gt;0,Деятельность_УК!$B427,0))*Параметры!AF$136</f>
        <v>0</v>
      </c>
      <c r="AG190" s="155">
        <f ca="1">(IFERROR(OFFSET(AG9,0,-$B$78)-OFFSET(AF9,0,-$B$78),0)/1.2*ИД!$C$43/ИД!$C$270*AG$29+IF(Деятельность_УК!AG419-Деятельность_УК!AF419&gt;0,Деятельность_УК!$B427,0))*Параметры!AG$136</f>
        <v>0</v>
      </c>
      <c r="AH190" s="155">
        <f ca="1">(IFERROR(OFFSET(AH9,0,-$B$78)-OFFSET(AG9,0,-$B$78),0)/1.2*ИД!$C$43/ИД!$C$270*AH$29+IF(Деятельность_УК!AH419-Деятельность_УК!AG419&gt;0,Деятельность_УК!$B427,0))*Параметры!AH$136</f>
        <v>0</v>
      </c>
      <c r="AI190" s="155">
        <f ca="1">(IFERROR(OFFSET(AI9,0,-$B$78)-OFFSET(AH9,0,-$B$78),0)/1.2*ИД!$C$43/ИД!$C$270*AI$29+IF(Деятельность_УК!AI419-Деятельность_УК!AH419&gt;0,Деятельность_УК!$B427,0))*Параметры!AI$136</f>
        <v>0</v>
      </c>
      <c r="AJ190" s="155">
        <f ca="1">(IFERROR(OFFSET(AJ9,0,-$B$78)-OFFSET(AI9,0,-$B$78),0)/1.2*ИД!$C$43/ИД!$C$270*AJ$29+IF(Деятельность_УК!AJ419-Деятельность_УК!AI419&gt;0,Деятельность_УК!$B427,0))*Параметры!AJ$136</f>
        <v>0</v>
      </c>
      <c r="AK190" s="155">
        <f ca="1">(IFERROR(OFFSET(AK9,0,-$B$78)-OFFSET(AJ9,0,-$B$78),0)/1.2*ИД!$C$43/ИД!$C$270*AK$29+IF(Деятельность_УК!AK419-Деятельность_УК!AJ419&gt;0,Деятельность_УК!$B427,0))*Параметры!AK$136</f>
        <v>0</v>
      </c>
      <c r="AL190" s="155">
        <f ca="1">(IFERROR(OFFSET(AL9,0,-$B$78)-OFFSET(AK9,0,-$B$78),0)/1.2*ИД!$C$43/ИД!$C$270*AL$29+IF(Деятельность_УК!AL419-Деятельность_УК!AK419&gt;0,Деятельность_УК!$B427,0))*Параметры!AL$136</f>
        <v>0</v>
      </c>
      <c r="AM190" s="155">
        <f ca="1">(IFERROR(OFFSET(AM9,0,-$B$78)-OFFSET(AL9,0,-$B$78),0)/1.2*ИД!$C$43/ИД!$C$270*AM$29+IF(Деятельность_УК!AM419-Деятельность_УК!AL419&gt;0,Деятельность_УК!$B427,0))*Параметры!AM$136</f>
        <v>0</v>
      </c>
      <c r="AN190" s="155">
        <f ca="1">(IFERROR(OFFSET(AN9,0,-$B$78)-OFFSET(AM9,0,-$B$78),0)/1.2*ИД!$C$43/ИД!$C$270*AN$29+IF(Деятельность_УК!AN419-Деятельность_УК!AM419&gt;0,Деятельность_УК!$B427,0))*Параметры!AN$136</f>
        <v>0</v>
      </c>
      <c r="AO190" s="155">
        <f ca="1">(IFERROR(OFFSET(AO9,0,-$B$78)-OFFSET(AN9,0,-$B$78),0)/1.2*ИД!$C$43/ИД!$C$270*AO$29+IF(Деятельность_УК!AO419-Деятельность_УК!AN419&gt;0,Деятельность_УК!$B427,0))*Параметры!AO$136</f>
        <v>0</v>
      </c>
      <c r="AP190" s="155">
        <f ca="1">(IFERROR(OFFSET(AP9,0,-$B$78)-OFFSET(AO9,0,-$B$78),0)/1.2*ИД!$C$43/ИД!$C$270*AP$29+IF(Деятельность_УК!AP419-Деятельность_УК!AO419&gt;0,Деятельность_УК!$B427,0))*Параметры!AP$136</f>
        <v>0</v>
      </c>
      <c r="AQ190" s="155">
        <f ca="1">(IFERROR(OFFSET(AQ9,0,-$B$78)-OFFSET(AP9,0,-$B$78),0)/1.2*ИД!$C$43/ИД!$C$270*AQ$29+IF(Деятельность_УК!AQ419-Деятельность_УК!AP419&gt;0,Деятельность_УК!$B427,0))*Параметры!AQ$136</f>
        <v>0</v>
      </c>
      <c r="AR190" s="155">
        <f ca="1">(IFERROR(OFFSET(AR9,0,-$B$78)-OFFSET(AQ9,0,-$B$78),0)/1.2*ИД!$C$43/ИД!$C$270*AR$29+IF(Деятельность_УК!AR419-Деятельность_УК!AQ419&gt;0,Деятельность_УК!$B427,0))*Параметры!AR$136</f>
        <v>0</v>
      </c>
      <c r="AT190" s="103">
        <f t="shared" ca="1" si="88"/>
        <v>295076.2596177712</v>
      </c>
    </row>
    <row r="191" spans="1:46" s="40" customFormat="1" x14ac:dyDescent="0.2">
      <c r="A191" s="589" t="str">
        <f t="shared" ref="A191:A195" si="128">A184</f>
        <v>Корпус B2</v>
      </c>
      <c r="B191" s="65"/>
      <c r="C191" s="21" t="s">
        <v>455</v>
      </c>
      <c r="D191" s="65"/>
      <c r="E191" s="155">
        <v>0</v>
      </c>
      <c r="F191" s="155">
        <f ca="1">(IFERROR(OFFSET(F10,0,-$B$78)-OFFSET(E10,0,-$B$78),0)/1.2*ИД!$C$43/ИД!$C$270*F$29+IF(Деятельность_УК!F420-Деятельность_УК!E420&gt;0,Деятельность_УК!$B428,0))*Параметры!F$136</f>
        <v>0</v>
      </c>
      <c r="G191" s="155">
        <f ca="1">(IFERROR(OFFSET(G10,0,-$B$78)-OFFSET(F10,0,-$B$78),0)/1.2*ИД!$C$43/ИД!$C$270*G$29+IF(Деятельность_УК!G420-Деятельность_УК!F420&gt;0,Деятельность_УК!$B428,0))*Параметры!G$136</f>
        <v>0</v>
      </c>
      <c r="H191" s="155">
        <f ca="1">(IFERROR(OFFSET(H10,0,-$B$78)-OFFSET(G10,0,-$B$78),0)/1.2*ИД!$C$43/ИД!$C$270*H$29+IF(Деятельность_УК!H420-Деятельность_УК!G420&gt;0,Деятельность_УК!$B428,0))*Параметры!H$136</f>
        <v>0</v>
      </c>
      <c r="I191" s="155">
        <f ca="1">(IFERROR(OFFSET(I10,0,-$B$78)-OFFSET(H10,0,-$B$78),0)/1.2*ИД!$C$43/ИД!$C$270*I$29+IF(Деятельность_УК!I420-Деятельность_УК!H420&gt;0,Деятельность_УК!$B428,0))*Параметры!I$136</f>
        <v>0</v>
      </c>
      <c r="J191" s="155">
        <f ca="1">(IFERROR(OFFSET(J10,0,-$B$78)-OFFSET(I10,0,-$B$78),0)/1.2*ИД!$C$43/ИД!$C$270*J$29+IF(Деятельность_УК!J420-Деятельность_УК!I420&gt;0,Деятельность_УК!$B428,0))*Параметры!J$136</f>
        <v>0</v>
      </c>
      <c r="K191" s="155">
        <f ca="1">(IFERROR(OFFSET(K10,0,-$B$78)-OFFSET(J10,0,-$B$78),0)/1.2*ИД!$C$43/ИД!$C$270*K$29+IF(Деятельность_УК!K420-Деятельность_УК!J420&gt;0,Деятельность_УК!$B428,0))*Параметры!K$136</f>
        <v>0</v>
      </c>
      <c r="L191" s="155">
        <f ca="1">(IFERROR(OFFSET(L10,0,-$B$78)-OFFSET(K10,0,-$B$78),0)/1.2*ИД!$C$43/ИД!$C$270*L$29+IF(Деятельность_УК!L420-Деятельность_УК!K420&gt;0,Деятельность_УК!$B428,0))*Параметры!L$136</f>
        <v>0</v>
      </c>
      <c r="M191" s="155">
        <f ca="1">(IFERROR(OFFSET(M10,0,-$B$78)-OFFSET(L10,0,-$B$78),0)/1.2*ИД!$C$43/ИД!$C$270*M$29+IF(Деятельность_УК!M420-Деятельность_УК!L420&gt;0,Деятельность_УК!$B428,0))*Параметры!M$136</f>
        <v>0</v>
      </c>
      <c r="N191" s="155">
        <f ca="1">(IFERROR(OFFSET(N10,0,-$B$78)-OFFSET(M10,0,-$B$78),0)/1.2*ИД!$C$43/ИД!$C$270*N$29+IF(Деятельность_УК!N420-Деятельность_УК!M420&gt;0,Деятельность_УК!$B428,0))*Параметры!N$136</f>
        <v>154781.9400505737</v>
      </c>
      <c r="O191" s="155">
        <f ca="1">(IFERROR(OFFSET(O10,0,-$B$78)-OFFSET(N10,0,-$B$78),0)/1.2*ИД!$C$43/ИД!$C$270*O$29+IF(Деятельность_УК!O420-Деятельность_УК!N420&gt;0,Деятельность_УК!$B428,0))*Параметры!O$136</f>
        <v>0</v>
      </c>
      <c r="P191" s="155">
        <f ca="1">(IFERROR(OFFSET(P10,0,-$B$78)-OFFSET(O10,0,-$B$78),0)/1.2*ИД!$C$43/ИД!$C$270*P$29+IF(Деятельность_УК!P420-Деятельность_УК!O420&gt;0,Деятельность_УК!$B428,0))*Параметры!P$136</f>
        <v>0</v>
      </c>
      <c r="Q191" s="155">
        <f ca="1">(IFERROR(OFFSET(Q10,0,-$B$78)-OFFSET(P10,0,-$B$78),0)/1.2*ИД!$C$43/ИД!$C$270*Q$29+IF(Деятельность_УК!Q420-Деятельность_УК!P420&gt;0,Деятельность_УК!$B428,0))*Параметры!Q$136</f>
        <v>0</v>
      </c>
      <c r="R191" s="155">
        <f ca="1">(IFERROR(OFFSET(R10,0,-$B$78)-OFFSET(Q10,0,-$B$78),0)/1.2*ИД!$C$43/ИД!$C$270*R$29+IF(Деятельность_УК!R420-Деятельность_УК!Q420&gt;0,Деятельность_УК!$B428,0))*Параметры!R$136</f>
        <v>0</v>
      </c>
      <c r="S191" s="155">
        <f ca="1">(IFERROR(OFFSET(S10,0,-$B$78)-OFFSET(R10,0,-$B$78),0)/1.2*ИД!$C$43/ИД!$C$270*S$29+IF(Деятельность_УК!S420-Деятельность_УК!R420&gt;0,Деятельность_УК!$B428,0))*Параметры!S$136</f>
        <v>0</v>
      </c>
      <c r="T191" s="155">
        <f ca="1">(IFERROR(OFFSET(T10,0,-$B$78)-OFFSET(S10,0,-$B$78),0)/1.2*ИД!$C$43/ИД!$C$270*T$29+IF(Деятельность_УК!T420-Деятельность_УК!S420&gt;0,Деятельность_УК!$B428,0))*Параметры!T$136</f>
        <v>0</v>
      </c>
      <c r="U191" s="155">
        <f ca="1">(IFERROR(OFFSET(U10,0,-$B$78)-OFFSET(T10,0,-$B$78),0)/1.2*ИД!$C$43/ИД!$C$270*U$29+IF(Деятельность_УК!U420-Деятельность_УК!T420&gt;0,Деятельность_УК!$B428,0))*Параметры!U$136</f>
        <v>0</v>
      </c>
      <c r="V191" s="155">
        <f ca="1">(IFERROR(OFFSET(V10,0,-$B$78)-OFFSET(U10,0,-$B$78),0)/1.2*ИД!$C$43/ИД!$C$270*V$29+IF(Деятельность_УК!V420-Деятельность_УК!U420&gt;0,Деятельность_УК!$B428,0))*Параметры!V$136</f>
        <v>0</v>
      </c>
      <c r="W191" s="155">
        <f ca="1">(IFERROR(OFFSET(W10,0,-$B$78)-OFFSET(V10,0,-$B$78),0)/1.2*ИД!$C$43/ИД!$C$270*W$29+IF(Деятельность_УК!W420-Деятельность_УК!V420&gt;0,Деятельность_УК!$B428,0))*Параметры!W$136</f>
        <v>0</v>
      </c>
      <c r="X191" s="155">
        <f ca="1">(IFERROR(OFFSET(X10,0,-$B$78)-OFFSET(W10,0,-$B$78),0)/1.2*ИД!$C$43/ИД!$C$270*X$29+IF(Деятельность_УК!X420-Деятельность_УК!W420&gt;0,Деятельность_УК!$B428,0))*Параметры!X$136</f>
        <v>0</v>
      </c>
      <c r="Y191" s="155">
        <f ca="1">(IFERROR(OFFSET(Y10,0,-$B$78)-OFFSET(X10,0,-$B$78),0)/1.2*ИД!$C$43/ИД!$C$270*Y$29+IF(Деятельность_УК!Y420-Деятельность_УК!X420&gt;0,Деятельность_УК!$B428,0))*Параметры!Y$136</f>
        <v>0</v>
      </c>
      <c r="Z191" s="155">
        <f ca="1">(IFERROR(OFFSET(Z10,0,-$B$78)-OFFSET(Y10,0,-$B$78),0)/1.2*ИД!$C$43/ИД!$C$270*Z$29+IF(Деятельность_УК!Z420-Деятельность_УК!Y420&gt;0,Деятельность_УК!$B428,0))*Параметры!Z$136</f>
        <v>0</v>
      </c>
      <c r="AA191" s="155">
        <f ca="1">(IFERROR(OFFSET(AA10,0,-$B$78)-OFFSET(Z10,0,-$B$78),0)/1.2*ИД!$C$43/ИД!$C$270*AA$29+IF(Деятельность_УК!AA420-Деятельность_УК!Z420&gt;0,Деятельность_УК!$B428,0))*Параметры!AA$136</f>
        <v>0</v>
      </c>
      <c r="AB191" s="155">
        <f ca="1">(IFERROR(OFFSET(AB10,0,-$B$78)-OFFSET(AA10,0,-$B$78),0)/1.2*ИД!$C$43/ИД!$C$270*AB$29+IF(Деятельность_УК!AB420-Деятельность_УК!AA420&gt;0,Деятельность_УК!$B428,0))*Параметры!AB$136</f>
        <v>0</v>
      </c>
      <c r="AC191" s="155">
        <f ca="1">(IFERROR(OFFSET(AC10,0,-$B$78)-OFFSET(AB10,0,-$B$78),0)/1.2*ИД!$C$43/ИД!$C$270*AC$29+IF(Деятельность_УК!AC420-Деятельность_УК!AB420&gt;0,Деятельность_УК!$B428,0))*Параметры!AC$136</f>
        <v>0</v>
      </c>
      <c r="AD191" s="155">
        <f ca="1">(IFERROR(OFFSET(AD10,0,-$B$78)-OFFSET(AC10,0,-$B$78),0)/1.2*ИД!$C$43/ИД!$C$270*AD$29+IF(Деятельность_УК!AD420-Деятельность_УК!AC420&gt;0,Деятельность_УК!$B428,0))*Параметры!AD$136</f>
        <v>0</v>
      </c>
      <c r="AE191" s="155">
        <f ca="1">(IFERROR(OFFSET(AE10,0,-$B$78)-OFFSET(AD10,0,-$B$78),0)/1.2*ИД!$C$43/ИД!$C$270*AE$29+IF(Деятельность_УК!AE420-Деятельность_УК!AD420&gt;0,Деятельность_УК!$B428,0))*Параметры!AE$136</f>
        <v>0</v>
      </c>
      <c r="AF191" s="155">
        <f ca="1">(IFERROR(OFFSET(AF10,0,-$B$78)-OFFSET(AE10,0,-$B$78),0)/1.2*ИД!$C$43/ИД!$C$270*AF$29+IF(Деятельность_УК!AF420-Деятельность_УК!AE420&gt;0,Деятельность_УК!$B428,0))*Параметры!AF$136</f>
        <v>0</v>
      </c>
      <c r="AG191" s="155">
        <f ca="1">(IFERROR(OFFSET(AG10,0,-$B$78)-OFFSET(AF10,0,-$B$78),0)/1.2*ИД!$C$43/ИД!$C$270*AG$29+IF(Деятельность_УК!AG420-Деятельность_УК!AF420&gt;0,Деятельность_УК!$B428,0))*Параметры!AG$136</f>
        <v>0</v>
      </c>
      <c r="AH191" s="155">
        <f ca="1">(IFERROR(OFFSET(AH10,0,-$B$78)-OFFSET(AG10,0,-$B$78),0)/1.2*ИД!$C$43/ИД!$C$270*AH$29+IF(Деятельность_УК!AH420-Деятельность_УК!AG420&gt;0,Деятельность_УК!$B428,0))*Параметры!AH$136</f>
        <v>0</v>
      </c>
      <c r="AI191" s="155">
        <f ca="1">(IFERROR(OFFSET(AI10,0,-$B$78)-OFFSET(AH10,0,-$B$78),0)/1.2*ИД!$C$43/ИД!$C$270*AI$29+IF(Деятельность_УК!AI420-Деятельность_УК!AH420&gt;0,Деятельность_УК!$B428,0))*Параметры!AI$136</f>
        <v>0</v>
      </c>
      <c r="AJ191" s="155">
        <f ca="1">(IFERROR(OFFSET(AJ10,0,-$B$78)-OFFSET(AI10,0,-$B$78),0)/1.2*ИД!$C$43/ИД!$C$270*AJ$29+IF(Деятельность_УК!AJ420-Деятельность_УК!AI420&gt;0,Деятельность_УК!$B428,0))*Параметры!AJ$136</f>
        <v>0</v>
      </c>
      <c r="AK191" s="155">
        <f ca="1">(IFERROR(OFFSET(AK10,0,-$B$78)-OFFSET(AJ10,0,-$B$78),0)/1.2*ИД!$C$43/ИД!$C$270*AK$29+IF(Деятельность_УК!AK420-Деятельность_УК!AJ420&gt;0,Деятельность_УК!$B428,0))*Параметры!AK$136</f>
        <v>0</v>
      </c>
      <c r="AL191" s="155">
        <f ca="1">(IFERROR(OFFSET(AL10,0,-$B$78)-OFFSET(AK10,0,-$B$78),0)/1.2*ИД!$C$43/ИД!$C$270*AL$29+IF(Деятельность_УК!AL420-Деятельность_УК!AK420&gt;0,Деятельность_УК!$B428,0))*Параметры!AL$136</f>
        <v>0</v>
      </c>
      <c r="AM191" s="155">
        <f ca="1">(IFERROR(OFFSET(AM10,0,-$B$78)-OFFSET(AL10,0,-$B$78),0)/1.2*ИД!$C$43/ИД!$C$270*AM$29+IF(Деятельность_УК!AM420-Деятельность_УК!AL420&gt;0,Деятельность_УК!$B428,0))*Параметры!AM$136</f>
        <v>0</v>
      </c>
      <c r="AN191" s="155">
        <f ca="1">(IFERROR(OFFSET(AN10,0,-$B$78)-OFFSET(AM10,0,-$B$78),0)/1.2*ИД!$C$43/ИД!$C$270*AN$29+IF(Деятельность_УК!AN420-Деятельность_УК!AM420&gt;0,Деятельность_УК!$B428,0))*Параметры!AN$136</f>
        <v>0</v>
      </c>
      <c r="AO191" s="155">
        <f ca="1">(IFERROR(OFFSET(AO10,0,-$B$78)-OFFSET(AN10,0,-$B$78),0)/1.2*ИД!$C$43/ИД!$C$270*AO$29+IF(Деятельность_УК!AO420-Деятельность_УК!AN420&gt;0,Деятельность_УК!$B428,0))*Параметры!AO$136</f>
        <v>648979.38142455067</v>
      </c>
      <c r="AP191" s="155">
        <f ca="1">(IFERROR(OFFSET(AP10,0,-$B$78)-OFFSET(AO10,0,-$B$78),0)/1.2*ИД!$C$43/ИД!$C$270*AP$29+IF(Деятельность_УК!AP420-Деятельность_УК!AO420&gt;0,Деятельность_УК!$B428,0))*Параметры!AP$136</f>
        <v>0</v>
      </c>
      <c r="AQ191" s="155">
        <f ca="1">(IFERROR(OFFSET(AQ10,0,-$B$78)-OFFSET(AP10,0,-$B$78),0)/1.2*ИД!$C$43/ИД!$C$270*AQ$29+IF(Деятельность_УК!AQ420-Деятельность_УК!AP420&gt;0,Деятельность_УК!$B428,0))*Параметры!AQ$136</f>
        <v>0</v>
      </c>
      <c r="AR191" s="155">
        <f ca="1">(IFERROR(OFFSET(AR10,0,-$B$78)-OFFSET(AQ10,0,-$B$78),0)/1.2*ИД!$C$43/ИД!$C$270*AR$29+IF(Деятельность_УК!AR420-Деятельность_УК!AQ420&gt;0,Деятельность_УК!$B428,0))*Параметры!AR$136</f>
        <v>0</v>
      </c>
      <c r="AT191" s="103">
        <f t="shared" ca="1" si="88"/>
        <v>803761.32147512434</v>
      </c>
    </row>
    <row r="192" spans="1:46" s="40" customFormat="1" x14ac:dyDescent="0.2">
      <c r="A192" s="589" t="str">
        <f t="shared" si="128"/>
        <v>БП с ЦОД</v>
      </c>
      <c r="B192" s="65"/>
      <c r="C192" s="21" t="s">
        <v>455</v>
      </c>
      <c r="D192" s="65"/>
      <c r="E192" s="155">
        <v>0</v>
      </c>
      <c r="F192" s="155">
        <f ca="1">(IFERROR(OFFSET(F11,0,-$B$78)-OFFSET(E11,0,-$B$78),0)/1.2*ИД!$C$43/ИД!$C$270*F$29+IF(Деятельность_УК!F421-Деятельность_УК!E421&gt;0,Деятельность_УК!$B429,0))*Параметры!F$136</f>
        <v>0</v>
      </c>
      <c r="G192" s="155">
        <f ca="1">(IFERROR(OFFSET(G11,0,-$B$78)-OFFSET(F11,0,-$B$78),0)/1.2*ИД!$C$43/ИД!$C$270*G$29+IF(Деятельность_УК!G421-Деятельность_УК!F421&gt;0,Деятельность_УК!$B429,0))*Параметры!G$136</f>
        <v>0</v>
      </c>
      <c r="H192" s="155">
        <f ca="1">(IFERROR(OFFSET(H11,0,-$B$78)-OFFSET(G11,0,-$B$78),0)/1.2*ИД!$C$43/ИД!$C$270*H$29+IF(Деятельность_УК!H421-Деятельность_УК!G421&gt;0,Деятельность_УК!$B429,0))*Параметры!H$136</f>
        <v>0</v>
      </c>
      <c r="I192" s="155">
        <f ca="1">(IFERROR(OFFSET(I11,0,-$B$78)-OFFSET(H11,0,-$B$78),0)/1.2*ИД!$C$43/ИД!$C$270*I$29+IF(Деятельность_УК!I421-Деятельность_УК!H421&gt;0,Деятельность_УК!$B429,0))*Параметры!I$136</f>
        <v>0</v>
      </c>
      <c r="J192" s="155">
        <f ca="1">(IFERROR(OFFSET(J11,0,-$B$78)-OFFSET(I11,0,-$B$78),0)/1.2*ИД!$C$43/ИД!$C$270*J$29+IF(Деятельность_УК!J421-Деятельность_УК!I421&gt;0,Деятельность_УК!$B429,0))*Параметры!J$136</f>
        <v>0</v>
      </c>
      <c r="K192" s="155">
        <f ca="1">(IFERROR(OFFSET(K11,0,-$B$78)-OFFSET(J11,0,-$B$78),0)/1.2*ИД!$C$43/ИД!$C$270*K$29+IF(Деятельность_УК!K421-Деятельность_УК!J421&gt;0,Деятельность_УК!$B429,0))*Параметры!K$136</f>
        <v>0</v>
      </c>
      <c r="L192" s="155">
        <f ca="1">(IFERROR(OFFSET(L11,0,-$B$78)-OFFSET(K11,0,-$B$78),0)/1.2*ИД!$C$43/ИД!$C$270*L$29+IF(Деятельность_УК!L421-Деятельность_УК!K421&gt;0,Деятельность_УК!$B429,0))*Параметры!L$136</f>
        <v>0</v>
      </c>
      <c r="M192" s="155">
        <f ca="1">(IFERROR(OFFSET(M11,0,-$B$78)-OFFSET(L11,0,-$B$78),0)/1.2*ИД!$C$43/ИД!$C$270*M$29+IF(Деятельность_УК!M421-Деятельность_УК!L421&gt;0,Деятельность_УК!$B429,0))*Параметры!M$136</f>
        <v>0</v>
      </c>
      <c r="N192" s="155">
        <f ca="1">(IFERROR(OFFSET(N11,0,-$B$78)-OFFSET(M11,0,-$B$78),0)/1.2*ИД!$C$43/ИД!$C$270*N$29+IF(Деятельность_УК!N421-Деятельность_УК!M421&gt;0,Деятельность_УК!$B429,0))*Параметры!N$136</f>
        <v>0</v>
      </c>
      <c r="O192" s="155">
        <f ca="1">(IFERROR(OFFSET(O11,0,-$B$78)-OFFSET(N11,0,-$B$78),0)/1.2*ИД!$C$43/ИД!$C$270*O$29+IF(Деятельность_УК!O421-Деятельность_УК!N421&gt;0,Деятельность_УК!$B429,0))*Параметры!O$136</f>
        <v>0</v>
      </c>
      <c r="P192" s="155">
        <f ca="1">(IFERROR(OFFSET(P11,0,-$B$78)-OFFSET(O11,0,-$B$78),0)/1.2*ИД!$C$43/ИД!$C$270*P$29+IF(Деятельность_УК!P421-Деятельность_УК!O421&gt;0,Деятельность_УК!$B429,0))*Параметры!P$136</f>
        <v>0</v>
      </c>
      <c r="Q192" s="155">
        <f ca="1">(IFERROR(OFFSET(Q11,0,-$B$78)-OFFSET(P11,0,-$B$78),0)/1.2*ИД!$C$43/ИД!$C$270*Q$29+IF(Деятельность_УК!Q421-Деятельность_УК!P421&gt;0,Деятельность_УК!$B429,0))*Параметры!Q$136</f>
        <v>0</v>
      </c>
      <c r="R192" s="155">
        <f ca="1">(IFERROR(OFFSET(R11,0,-$B$78)-OFFSET(Q11,0,-$B$78),0)/1.2*ИД!$C$43/ИД!$C$270*R$29+IF(Деятельность_УК!R421-Деятельность_УК!Q421&gt;0,Деятельность_УК!$B429,0))*Параметры!R$136</f>
        <v>0</v>
      </c>
      <c r="S192" s="155">
        <f ca="1">(IFERROR(OFFSET(S11,0,-$B$78)-OFFSET(R11,0,-$B$78),0)/1.2*ИД!$C$43/ИД!$C$270*S$29+IF(Деятельность_УК!S421-Деятельность_УК!R421&gt;0,Деятельность_УК!$B429,0))*Параметры!S$136</f>
        <v>0</v>
      </c>
      <c r="T192" s="155">
        <f ca="1">(IFERROR(OFFSET(T11,0,-$B$78)-OFFSET(S11,0,-$B$78),0)/1.2*ИД!$C$43/ИД!$C$270*T$29+IF(Деятельность_УК!T421-Деятельность_УК!S421&gt;0,Деятельность_УК!$B429,0))*Параметры!T$136</f>
        <v>0</v>
      </c>
      <c r="U192" s="155">
        <f ca="1">(IFERROR(OFFSET(U11,0,-$B$78)-OFFSET(T11,0,-$B$78),0)/1.2*ИД!$C$43/ИД!$C$270*U$29+IF(Деятельность_УК!U421-Деятельность_УК!T421&gt;0,Деятельность_УК!$B429,0))*Параметры!U$136</f>
        <v>0</v>
      </c>
      <c r="V192" s="155">
        <f ca="1">(IFERROR(OFFSET(V11,0,-$B$78)-OFFSET(U11,0,-$B$78),0)/1.2*ИД!$C$43/ИД!$C$270*V$29+IF(Деятельность_УК!V421-Деятельность_УК!U421&gt;0,Деятельность_УК!$B429,0))*Параметры!V$136</f>
        <v>568972.17447813845</v>
      </c>
      <c r="W192" s="155">
        <f ca="1">(IFERROR(OFFSET(W11,0,-$B$78)-OFFSET(V11,0,-$B$78),0)/1.2*ИД!$C$43/ИД!$C$270*W$29+IF(Деятельность_УК!W421-Деятельность_УК!V421&gt;0,Деятельность_УК!$B429,0))*Параметры!W$136</f>
        <v>0</v>
      </c>
      <c r="X192" s="155">
        <f ca="1">(IFERROR(OFFSET(X11,0,-$B$78)-OFFSET(W11,0,-$B$78),0)/1.2*ИД!$C$43/ИД!$C$270*X$29+IF(Деятельность_УК!X421-Деятельность_УК!W421&gt;0,Деятельность_УК!$B429,0))*Параметры!X$136</f>
        <v>0</v>
      </c>
      <c r="Y192" s="155">
        <f ca="1">(IFERROR(OFFSET(Y11,0,-$B$78)-OFFSET(X11,0,-$B$78),0)/1.2*ИД!$C$43/ИД!$C$270*Y$29+IF(Деятельность_УК!Y421-Деятельность_УК!X421&gt;0,Деятельность_УК!$B429,0))*Параметры!Y$136</f>
        <v>0</v>
      </c>
      <c r="Z192" s="155">
        <f ca="1">(IFERROR(OFFSET(Z11,0,-$B$78)-OFFSET(Y11,0,-$B$78),0)/1.2*ИД!$C$43/ИД!$C$270*Z$29+IF(Деятельность_УК!Z421-Деятельность_УК!Y421&gt;0,Деятельность_УК!$B429,0))*Параметры!Z$136</f>
        <v>0</v>
      </c>
      <c r="AA192" s="155">
        <f ca="1">(IFERROR(OFFSET(AA11,0,-$B$78)-OFFSET(Z11,0,-$B$78),0)/1.2*ИД!$C$43/ИД!$C$270*AA$29+IF(Деятельность_УК!AA421-Деятельность_УК!Z421&gt;0,Деятельность_УК!$B429,0))*Параметры!AA$136</f>
        <v>0</v>
      </c>
      <c r="AB192" s="155">
        <f ca="1">(IFERROR(OFFSET(AB11,0,-$B$78)-OFFSET(AA11,0,-$B$78),0)/1.2*ИД!$C$43/ИД!$C$270*AB$29+IF(Деятельность_УК!AB421-Деятельность_УК!AA421&gt;0,Деятельность_УК!$B429,0))*Параметры!AB$136</f>
        <v>0</v>
      </c>
      <c r="AC192" s="155">
        <f ca="1">(IFERROR(OFFSET(AC11,0,-$B$78)-OFFSET(AB11,0,-$B$78),0)/1.2*ИД!$C$43/ИД!$C$270*AC$29+IF(Деятельность_УК!AC421-Деятельность_УК!AB421&gt;0,Деятельность_УК!$B429,0))*Параметры!AC$136</f>
        <v>0</v>
      </c>
      <c r="AD192" s="155">
        <f ca="1">(IFERROR(OFFSET(AD11,0,-$B$78)-OFFSET(AC11,0,-$B$78),0)/1.2*ИД!$C$43/ИД!$C$270*AD$29+IF(Деятельность_УК!AD421-Деятельность_УК!AC421&gt;0,Деятельность_УК!$B429,0))*Параметры!AD$136</f>
        <v>0</v>
      </c>
      <c r="AE192" s="155">
        <f ca="1">(IFERROR(OFFSET(AE11,0,-$B$78)-OFFSET(AD11,0,-$B$78),0)/1.2*ИД!$C$43/ИД!$C$270*AE$29+IF(Деятельность_УК!AE421-Деятельность_УК!AD421&gt;0,Деятельность_УК!$B429,0))*Параметры!AE$136</f>
        <v>0</v>
      </c>
      <c r="AF192" s="155">
        <f ca="1">(IFERROR(OFFSET(AF11,0,-$B$78)-OFFSET(AE11,0,-$B$78),0)/1.2*ИД!$C$43/ИД!$C$270*AF$29+IF(Деятельность_УК!AF421-Деятельность_УК!AE421&gt;0,Деятельность_УК!$B429,0))*Параметры!AF$136</f>
        <v>0</v>
      </c>
      <c r="AG192" s="155">
        <f ca="1">(IFERROR(OFFSET(AG11,0,-$B$78)-OFFSET(AF11,0,-$B$78),0)/1.2*ИД!$C$43/ИД!$C$270*AG$29+IF(Деятельность_УК!AG421-Деятельность_УК!AF421&gt;0,Деятельность_УК!$B429,0))*Параметры!AG$136</f>
        <v>0</v>
      </c>
      <c r="AH192" s="155">
        <f ca="1">(IFERROR(OFFSET(AH11,0,-$B$78)-OFFSET(AG11,0,-$B$78),0)/1.2*ИД!$C$43/ИД!$C$270*AH$29+IF(Деятельность_УК!AH421-Деятельность_УК!AG421&gt;0,Деятельность_УК!$B429,0))*Параметры!AH$136</f>
        <v>0</v>
      </c>
      <c r="AI192" s="155">
        <f ca="1">(IFERROR(OFFSET(AI11,0,-$B$78)-OFFSET(AH11,0,-$B$78),0)/1.2*ИД!$C$43/ИД!$C$270*AI$29+IF(Деятельность_УК!AI421-Деятельность_УК!AH421&gt;0,Деятельность_УК!$B429,0))*Параметры!AI$136</f>
        <v>0</v>
      </c>
      <c r="AJ192" s="155">
        <f ca="1">(IFERROR(OFFSET(AJ11,0,-$B$78)-OFFSET(AI11,0,-$B$78),0)/1.2*ИД!$C$43/ИД!$C$270*AJ$29+IF(Деятельность_УК!AJ421-Деятельность_УК!AI421&gt;0,Деятельность_УК!$B429,0))*Параметры!AJ$136</f>
        <v>0</v>
      </c>
      <c r="AK192" s="155">
        <f ca="1">(IFERROR(OFFSET(AK11,0,-$B$78)-OFFSET(AJ11,0,-$B$78),0)/1.2*ИД!$C$43/ИД!$C$270*AK$29+IF(Деятельность_УК!AK421-Деятельность_УК!AJ421&gt;0,Деятельность_УК!$B429,0))*Параметры!AK$136</f>
        <v>81885.932440858058</v>
      </c>
      <c r="AL192" s="155">
        <f ca="1">(IFERROR(OFFSET(AL11,0,-$B$78)-OFFSET(AK11,0,-$B$78),0)/1.2*ИД!$C$43/ИД!$C$270*AL$29+IF(Деятельность_УК!AL421-Деятельность_УК!AK421&gt;0,Деятельность_УК!$B429,0))*Параметры!AL$136</f>
        <v>0</v>
      </c>
      <c r="AM192" s="155">
        <f ca="1">(IFERROR(OFFSET(AM11,0,-$B$78)-OFFSET(AL11,0,-$B$78),0)/1.2*ИД!$C$43/ИД!$C$270*AM$29+IF(Деятельность_УК!AM421-Деятельность_УК!AL421&gt;0,Деятельность_УК!$B429,0))*Параметры!AM$136</f>
        <v>0</v>
      </c>
      <c r="AN192" s="155">
        <f ca="1">(IFERROR(OFFSET(AN11,0,-$B$78)-OFFSET(AM11,0,-$B$78),0)/1.2*ИД!$C$43/ИД!$C$270*AN$29+IF(Деятельность_УК!AN421-Деятельность_УК!AM421&gt;0,Деятельность_УК!$B429,0))*Параметры!AN$136</f>
        <v>0</v>
      </c>
      <c r="AO192" s="155">
        <f ca="1">(IFERROR(OFFSET(AO11,0,-$B$78)-OFFSET(AN11,0,-$B$78),0)/1.2*ИД!$C$43/ИД!$C$270*AO$29+IF(Деятельность_УК!AO421-Деятельность_УК!AN421&gt;0,Деятельность_УК!$B429,0))*Параметры!AO$136</f>
        <v>0</v>
      </c>
      <c r="AP192" s="155">
        <f ca="1">(IFERROR(OFFSET(AP11,0,-$B$78)-OFFSET(AO11,0,-$B$78),0)/1.2*ИД!$C$43/ИД!$C$270*AP$29+IF(Деятельность_УК!AP421-Деятельность_УК!AO421&gt;0,Деятельность_УК!$B429,0))*Параметры!AP$136</f>
        <v>0</v>
      </c>
      <c r="AQ192" s="155">
        <f ca="1">(IFERROR(OFFSET(AQ11,0,-$B$78)-OFFSET(AP11,0,-$B$78),0)/1.2*ИД!$C$43/ИД!$C$270*AQ$29+IF(Деятельность_УК!AQ421-Деятельность_УК!AP421&gt;0,Деятельность_УК!$B429,0))*Параметры!AQ$136</f>
        <v>0</v>
      </c>
      <c r="AR192" s="155">
        <f ca="1">(IFERROR(OFFSET(AR11,0,-$B$78)-OFFSET(AQ11,0,-$B$78),0)/1.2*ИД!$C$43/ИД!$C$270*AR$29+IF(Деятельность_УК!AR421-Деятельность_УК!AQ421&gt;0,Деятельность_УК!$B429,0))*Параметры!AR$136</f>
        <v>0</v>
      </c>
      <c r="AT192" s="103">
        <f t="shared" ca="1" si="88"/>
        <v>650858.10691899655</v>
      </c>
    </row>
    <row r="193" spans="1:46" s="40" customFormat="1" x14ac:dyDescent="0.2">
      <c r="A193" s="589" t="str">
        <f t="shared" si="128"/>
        <v>Корпус B1</v>
      </c>
      <c r="B193" s="65"/>
      <c r="C193" s="21" t="s">
        <v>455</v>
      </c>
      <c r="D193" s="65"/>
      <c r="E193" s="155">
        <v>0</v>
      </c>
      <c r="F193" s="155">
        <f ca="1">(IFERROR(OFFSET(F12,0,-$B$78)-OFFSET(E12,0,-$B$78),0)/1.2*ИД!$C$43/ИД!$C$270*F$29+IF(Деятельность_УК!F422-Деятельность_УК!E422&gt;0,Деятельность_УК!$B430,0))*Параметры!F$136</f>
        <v>0</v>
      </c>
      <c r="G193" s="155">
        <f ca="1">(IFERROR(OFFSET(G12,0,-$B$78)-OFFSET(F12,0,-$B$78),0)/1.2*ИД!$C$43/ИД!$C$270*G$29+IF(Деятельность_УК!G422-Деятельность_УК!F422&gt;0,Деятельность_УК!$B430,0))*Параметры!G$136</f>
        <v>0</v>
      </c>
      <c r="H193" s="155">
        <f ca="1">(IFERROR(OFFSET(H12,0,-$B$78)-OFFSET(G12,0,-$B$78),0)/1.2*ИД!$C$43/ИД!$C$270*H$29+IF(Деятельность_УК!H422-Деятельность_УК!G422&gt;0,Деятельность_УК!$B430,0))*Параметры!H$136</f>
        <v>0</v>
      </c>
      <c r="I193" s="155">
        <f ca="1">(IFERROR(OFFSET(I12,0,-$B$78)-OFFSET(H12,0,-$B$78),0)/1.2*ИД!$C$43/ИД!$C$270*I$29+IF(Деятельность_УК!I422-Деятельность_УК!H422&gt;0,Деятельность_УК!$B430,0))*Параметры!I$136</f>
        <v>0</v>
      </c>
      <c r="J193" s="155">
        <f ca="1">(IFERROR(OFFSET(J12,0,-$B$78)-OFFSET(I12,0,-$B$78),0)/1.2*ИД!$C$43/ИД!$C$270*J$29+IF(Деятельность_УК!J422-Деятельность_УК!I422&gt;0,Деятельность_УК!$B430,0))*Параметры!J$136</f>
        <v>0</v>
      </c>
      <c r="K193" s="155">
        <f ca="1">(IFERROR(OFFSET(K12,0,-$B$78)-OFFSET(J12,0,-$B$78),0)/1.2*ИД!$C$43/ИД!$C$270*K$29+IF(Деятельность_УК!K422-Деятельность_УК!J422&gt;0,Деятельность_УК!$B430,0))*Параметры!K$136</f>
        <v>0</v>
      </c>
      <c r="L193" s="155">
        <f ca="1">(IFERROR(OFFSET(L12,0,-$B$78)-OFFSET(K12,0,-$B$78),0)/1.2*ИД!$C$43/ИД!$C$270*L$29+IF(Деятельность_УК!L422-Деятельность_УК!K422&gt;0,Деятельность_УК!$B430,0))*Параметры!L$136</f>
        <v>0</v>
      </c>
      <c r="M193" s="155">
        <f ca="1">(IFERROR(OFFSET(M12,0,-$B$78)-OFFSET(L12,0,-$B$78),0)/1.2*ИД!$C$43/ИД!$C$270*M$29+IF(Деятельность_УК!M422-Деятельность_УК!L422&gt;0,Деятельность_УК!$B430,0))*Параметры!M$136</f>
        <v>0</v>
      </c>
      <c r="N193" s="155">
        <f ca="1">(IFERROR(OFFSET(N12,0,-$B$78)-OFFSET(M12,0,-$B$78),0)/1.2*ИД!$C$43/ИД!$C$270*N$29+IF(Деятельность_УК!N422-Деятельность_УК!M422&gt;0,Деятельность_УК!$B430,0))*Параметры!N$136</f>
        <v>0</v>
      </c>
      <c r="O193" s="155">
        <f ca="1">(IFERROR(OFFSET(O12,0,-$B$78)-OFFSET(N12,0,-$B$78),0)/1.2*ИД!$C$43/ИД!$C$270*O$29+IF(Деятельность_УК!O422-Деятельность_УК!N422&gt;0,Деятельность_УК!$B430,0))*Параметры!O$136</f>
        <v>0</v>
      </c>
      <c r="P193" s="155">
        <f ca="1">(IFERROR(OFFSET(P12,0,-$B$78)-OFFSET(O12,0,-$B$78),0)/1.2*ИД!$C$43/ИД!$C$270*P$29+IF(Деятельность_УК!P422-Деятельность_УК!O422&gt;0,Деятельность_УК!$B430,0))*Параметры!P$136</f>
        <v>0</v>
      </c>
      <c r="Q193" s="155">
        <f ca="1">(IFERROR(OFFSET(Q12,0,-$B$78)-OFFSET(P12,0,-$B$78),0)/1.2*ИД!$C$43/ИД!$C$270*Q$29+IF(Деятельность_УК!Q422-Деятельность_УК!P422&gt;0,Деятельность_УК!$B430,0))*Параметры!Q$136</f>
        <v>0</v>
      </c>
      <c r="R193" s="155">
        <f ca="1">(IFERROR(OFFSET(R12,0,-$B$78)-OFFSET(Q12,0,-$B$78),0)/1.2*ИД!$C$43/ИД!$C$270*R$29+IF(Деятельность_УК!R422-Деятельность_УК!Q422&gt;0,Деятельность_УК!$B430,0))*Параметры!R$136</f>
        <v>80747.849789316708</v>
      </c>
      <c r="S193" s="155">
        <f ca="1">(IFERROR(OFFSET(S12,0,-$B$78)-OFFSET(R12,0,-$B$78),0)/1.2*ИД!$C$43/ИД!$C$270*S$29+IF(Деятельность_УК!S422-Деятельность_УК!R422&gt;0,Деятельность_УК!$B430,0))*Параметры!S$136</f>
        <v>0</v>
      </c>
      <c r="T193" s="155">
        <f ca="1">(IFERROR(OFFSET(T12,0,-$B$78)-OFFSET(S12,0,-$B$78),0)/1.2*ИД!$C$43/ИД!$C$270*T$29+IF(Деятельность_УК!T422-Деятельность_УК!S422&gt;0,Деятельность_УК!$B430,0))*Параметры!T$136</f>
        <v>0</v>
      </c>
      <c r="U193" s="155">
        <f ca="1">(IFERROR(OFFSET(U12,0,-$B$78)-OFFSET(T12,0,-$B$78),0)/1.2*ИД!$C$43/ИД!$C$270*U$29+IF(Деятельность_УК!U422-Деятельность_УК!T422&gt;0,Деятельность_УК!$B430,0))*Параметры!U$136</f>
        <v>0</v>
      </c>
      <c r="V193" s="155">
        <f ca="1">(IFERROR(OFFSET(V12,0,-$B$78)-OFFSET(U12,0,-$B$78),0)/1.2*ИД!$C$43/ИД!$C$270*V$29+IF(Деятельность_УК!V422-Деятельность_УК!U422&gt;0,Деятельность_УК!$B430,0))*Параметры!V$136</f>
        <v>0</v>
      </c>
      <c r="W193" s="155">
        <f ca="1">(IFERROR(OFFSET(W12,0,-$B$78)-OFFSET(V12,0,-$B$78),0)/1.2*ИД!$C$43/ИД!$C$270*W$29+IF(Деятельность_УК!W422-Деятельность_УК!V422&gt;0,Деятельность_УК!$B430,0))*Параметры!W$136</f>
        <v>0</v>
      </c>
      <c r="X193" s="155">
        <f ca="1">(IFERROR(OFFSET(X12,0,-$B$78)-OFFSET(W12,0,-$B$78),0)/1.2*ИД!$C$43/ИД!$C$270*X$29+IF(Деятельность_УК!X422-Деятельность_УК!W422&gt;0,Деятельность_УК!$B430,0))*Параметры!X$136</f>
        <v>0</v>
      </c>
      <c r="Y193" s="155">
        <f ca="1">(IFERROR(OFFSET(Y12,0,-$B$78)-OFFSET(X12,0,-$B$78),0)/1.2*ИД!$C$43/ИД!$C$270*Y$29+IF(Деятельность_УК!Y422-Деятельность_УК!X422&gt;0,Деятельность_УК!$B430,0))*Параметры!Y$136</f>
        <v>0</v>
      </c>
      <c r="Z193" s="155">
        <f ca="1">(IFERROR(OFFSET(Z12,0,-$B$78)-OFFSET(Y12,0,-$B$78),0)/1.2*ИД!$C$43/ИД!$C$270*Z$29+IF(Деятельность_УК!Z422-Деятельность_УК!Y422&gt;0,Деятельность_УК!$B430,0))*Параметры!Z$136</f>
        <v>0</v>
      </c>
      <c r="AA193" s="155">
        <f ca="1">(IFERROR(OFFSET(AA12,0,-$B$78)-OFFSET(Z12,0,-$B$78),0)/1.2*ИД!$C$43/ИД!$C$270*AA$29+IF(Деятельность_УК!AA422-Деятельность_УК!Z422&gt;0,Деятельность_УК!$B430,0))*Параметры!AA$136</f>
        <v>0</v>
      </c>
      <c r="AB193" s="155">
        <f ca="1">(IFERROR(OFFSET(AB12,0,-$B$78)-OFFSET(AA12,0,-$B$78),0)/1.2*ИД!$C$43/ИД!$C$270*AB$29+IF(Деятельность_УК!AB422-Деятельность_УК!AA422&gt;0,Деятельность_УК!$B430,0))*Параметры!AB$136</f>
        <v>0</v>
      </c>
      <c r="AC193" s="155">
        <f ca="1">(IFERROR(OFFSET(AC12,0,-$B$78)-OFFSET(AB12,0,-$B$78),0)/1.2*ИД!$C$43/ИД!$C$270*AC$29+IF(Деятельность_УК!AC422-Деятельность_УК!AB422&gt;0,Деятельность_УК!$B430,0))*Параметры!AC$136</f>
        <v>0</v>
      </c>
      <c r="AD193" s="155">
        <f ca="1">(IFERROR(OFFSET(AD12,0,-$B$78)-OFFSET(AC12,0,-$B$78),0)/1.2*ИД!$C$43/ИД!$C$270*AD$29+IF(Деятельность_УК!AD422-Деятельность_УК!AC422&gt;0,Деятельность_УК!$B430,0))*Параметры!AD$136</f>
        <v>0</v>
      </c>
      <c r="AE193" s="155">
        <f ca="1">(IFERROR(OFFSET(AE12,0,-$B$78)-OFFSET(AD12,0,-$B$78),0)/1.2*ИД!$C$43/ИД!$C$270*AE$29+IF(Деятельность_УК!AE422-Деятельность_УК!AD422&gt;0,Деятельность_УК!$B430,0))*Параметры!AE$136</f>
        <v>0</v>
      </c>
      <c r="AF193" s="155">
        <f ca="1">(IFERROR(OFFSET(AF12,0,-$B$78)-OFFSET(AE12,0,-$B$78),0)/1.2*ИД!$C$43/ИД!$C$270*AF$29+IF(Деятельность_УК!AF422-Деятельность_УК!AE422&gt;0,Деятельность_УК!$B430,0))*Параметры!AF$136</f>
        <v>0</v>
      </c>
      <c r="AG193" s="155">
        <f ca="1">(IFERROR(OFFSET(AG12,0,-$B$78)-OFFSET(AF12,0,-$B$78),0)/1.2*ИД!$C$43/ИД!$C$270*AG$29+IF(Деятельность_УК!AG422-Деятельность_УК!AF422&gt;0,Деятельность_УК!$B430,0))*Параметры!AG$136</f>
        <v>0</v>
      </c>
      <c r="AH193" s="155">
        <f ca="1">(IFERROR(OFFSET(AH12,0,-$B$78)-OFFSET(AG12,0,-$B$78),0)/1.2*ИД!$C$43/ИД!$C$270*AH$29+IF(Деятельность_УК!AH422-Деятельность_УК!AG422&gt;0,Деятельность_УК!$B430,0))*Параметры!AH$136</f>
        <v>0</v>
      </c>
      <c r="AI193" s="155">
        <f ca="1">(IFERROR(OFFSET(AI12,0,-$B$78)-OFFSET(AH12,0,-$B$78),0)/1.2*ИД!$C$43/ИД!$C$270*AI$29+IF(Деятельность_УК!AI422-Деятельность_УК!AH422&gt;0,Деятельность_УК!$B430,0))*Параметры!AI$136</f>
        <v>0</v>
      </c>
      <c r="AJ193" s="155">
        <f ca="1">(IFERROR(OFFSET(AJ12,0,-$B$78)-OFFSET(AI12,0,-$B$78),0)/1.2*ИД!$C$43/ИД!$C$270*AJ$29+IF(Деятельность_УК!AJ422-Деятельность_УК!AI422&gt;0,Деятельность_УК!$B430,0))*Параметры!AJ$136</f>
        <v>0</v>
      </c>
      <c r="AK193" s="155">
        <f ca="1">(IFERROR(OFFSET(AK12,0,-$B$78)-OFFSET(AJ12,0,-$B$78),0)/1.2*ИД!$C$43/ИД!$C$270*AK$29+IF(Деятельность_УК!AK422-Деятельность_УК!AJ422&gt;0,Деятельность_УК!$B430,0))*Параметры!AK$136</f>
        <v>0</v>
      </c>
      <c r="AL193" s="155">
        <f ca="1">(IFERROR(OFFSET(AL12,0,-$B$78)-OFFSET(AK12,0,-$B$78),0)/1.2*ИД!$C$43/ИД!$C$270*AL$29+IF(Деятельность_УК!AL422-Деятельность_УК!AK422&gt;0,Деятельность_УК!$B430,0))*Параметры!AL$136</f>
        <v>0</v>
      </c>
      <c r="AM193" s="155">
        <f ca="1">(IFERROR(OFFSET(AM12,0,-$B$78)-OFFSET(AL12,0,-$B$78),0)/1.2*ИД!$C$43/ИД!$C$270*AM$29+IF(Деятельность_УК!AM422-Деятельность_УК!AL422&gt;0,Деятельность_УК!$B430,0))*Параметры!AM$136</f>
        <v>0</v>
      </c>
      <c r="AN193" s="155">
        <f ca="1">(IFERROR(OFFSET(AN12,0,-$B$78)-OFFSET(AM12,0,-$B$78),0)/1.2*ИД!$C$43/ИД!$C$270*AN$29+IF(Деятельность_УК!AN422-Деятельность_УК!AM422&gt;0,Деятельность_УК!$B430,0))*Параметры!AN$136</f>
        <v>0</v>
      </c>
      <c r="AO193" s="155">
        <f ca="1">(IFERROR(OFFSET(AO12,0,-$B$78)-OFFSET(AN12,0,-$B$78),0)/1.2*ИД!$C$43/ИД!$C$270*AO$29+IF(Деятельность_УК!AO422-Деятельность_УК!AN422&gt;0,Деятельность_УК!$B430,0))*Параметры!AO$136</f>
        <v>0</v>
      </c>
      <c r="AP193" s="155">
        <f ca="1">(IFERROR(OFFSET(AP12,0,-$B$78)-OFFSET(AO12,0,-$B$78),0)/1.2*ИД!$C$43/ИД!$C$270*AP$29+IF(Деятельность_УК!AP422-Деятельность_УК!AO422&gt;0,Деятельность_УК!$B430,0))*Параметры!AP$136</f>
        <v>0</v>
      </c>
      <c r="AQ193" s="155">
        <f ca="1">(IFERROR(OFFSET(AQ12,0,-$B$78)-OFFSET(AP12,0,-$B$78),0)/1.2*ИД!$C$43/ИД!$C$270*AQ$29+IF(Деятельность_УК!AQ422-Деятельность_УК!AP422&gt;0,Деятельность_УК!$B430,0))*Параметры!AQ$136</f>
        <v>0</v>
      </c>
      <c r="AR193" s="155">
        <f ca="1">(IFERROR(OFFSET(AR12,0,-$B$78)-OFFSET(AQ12,0,-$B$78),0)/1.2*ИД!$C$43/ИД!$C$270*AR$29+IF(Деятельность_УК!AR422-Деятельность_УК!AQ422&gt;0,Деятельность_УК!$B430,0))*Параметры!AR$136</f>
        <v>0</v>
      </c>
      <c r="AT193" s="103">
        <f t="shared" ca="1" si="88"/>
        <v>80747.849789316708</v>
      </c>
    </row>
    <row r="194" spans="1:46" s="40" customFormat="1" x14ac:dyDescent="0.2">
      <c r="A194" s="589" t="str">
        <f t="shared" si="128"/>
        <v>Корпус B3</v>
      </c>
      <c r="B194" s="65"/>
      <c r="C194" s="21" t="s">
        <v>455</v>
      </c>
      <c r="D194" s="65"/>
      <c r="E194" s="155">
        <v>0</v>
      </c>
      <c r="F194" s="155">
        <f ca="1">(IFERROR(OFFSET(F13,0,-$B$78)-OFFSET(E13,0,-$B$78),0)/1.2*ИД!$C$43/ИД!$C$270*F$29+IF(Деятельность_УК!F423-Деятельность_УК!E423&gt;0,Деятельность_УК!$B431,0))*Параметры!F$136</f>
        <v>0</v>
      </c>
      <c r="G194" s="155">
        <f ca="1">(IFERROR(OFFSET(G13,0,-$B$78)-OFFSET(F13,0,-$B$78),0)/1.2*ИД!$C$43/ИД!$C$270*G$29+IF(Деятельность_УК!G423-Деятельность_УК!F423&gt;0,Деятельность_УК!$B431,0))*Параметры!G$136</f>
        <v>0</v>
      </c>
      <c r="H194" s="155">
        <f ca="1">(IFERROR(OFFSET(H13,0,-$B$78)-OFFSET(G13,0,-$B$78),0)/1.2*ИД!$C$43/ИД!$C$270*H$29+IF(Деятельность_УК!H423-Деятельность_УК!G423&gt;0,Деятельность_УК!$B431,0))*Параметры!H$136</f>
        <v>0</v>
      </c>
      <c r="I194" s="155">
        <f ca="1">(IFERROR(OFFSET(I13,0,-$B$78)-OFFSET(H13,0,-$B$78),0)/1.2*ИД!$C$43/ИД!$C$270*I$29+IF(Деятельность_УК!I423-Деятельность_УК!H423&gt;0,Деятельность_УК!$B431,0))*Параметры!I$136</f>
        <v>0</v>
      </c>
      <c r="J194" s="155">
        <f ca="1">(IFERROR(OFFSET(J13,0,-$B$78)-OFFSET(I13,0,-$B$78),0)/1.2*ИД!$C$43/ИД!$C$270*J$29+IF(Деятельность_УК!J423-Деятельность_УК!I423&gt;0,Деятельность_УК!$B431,0))*Параметры!J$136</f>
        <v>0</v>
      </c>
      <c r="K194" s="155">
        <f ca="1">(IFERROR(OFFSET(K13,0,-$B$78)-OFFSET(J13,0,-$B$78),0)/1.2*ИД!$C$43/ИД!$C$270*K$29+IF(Деятельность_УК!K423-Деятельность_УК!J423&gt;0,Деятельность_УК!$B431,0))*Параметры!K$136</f>
        <v>0</v>
      </c>
      <c r="L194" s="155">
        <f ca="1">(IFERROR(OFFSET(L13,0,-$B$78)-OFFSET(K13,0,-$B$78),0)/1.2*ИД!$C$43/ИД!$C$270*L$29+IF(Деятельность_УК!L423-Деятельность_УК!K423&gt;0,Деятельность_УК!$B431,0))*Параметры!L$136</f>
        <v>0</v>
      </c>
      <c r="M194" s="155">
        <f ca="1">(IFERROR(OFFSET(M13,0,-$B$78)-OFFSET(L13,0,-$B$78),0)/1.2*ИД!$C$43/ИД!$C$270*M$29+IF(Деятельность_УК!M423-Деятельность_УК!L423&gt;0,Деятельность_УК!$B431,0))*Параметры!M$136</f>
        <v>0</v>
      </c>
      <c r="N194" s="155">
        <f ca="1">(IFERROR(OFFSET(N13,0,-$B$78)-OFFSET(M13,0,-$B$78),0)/1.2*ИД!$C$43/ИД!$C$270*N$29+IF(Деятельность_УК!N423-Деятельность_УК!M423&gt;0,Деятельность_УК!$B431,0))*Параметры!N$136</f>
        <v>0</v>
      </c>
      <c r="O194" s="155">
        <f ca="1">(IFERROR(OFFSET(O13,0,-$B$78)-OFFSET(N13,0,-$B$78),0)/1.2*ИД!$C$43/ИД!$C$270*O$29+IF(Деятельность_УК!O423-Деятельность_УК!N423&gt;0,Деятельность_УК!$B431,0))*Параметры!O$136</f>
        <v>0</v>
      </c>
      <c r="P194" s="155">
        <f ca="1">(IFERROR(OFFSET(P13,0,-$B$78)-OFFSET(O13,0,-$B$78),0)/1.2*ИД!$C$43/ИД!$C$270*P$29+IF(Деятельность_УК!P423-Деятельность_УК!O423&gt;0,Деятельность_УК!$B431,0))*Параметры!P$136</f>
        <v>0</v>
      </c>
      <c r="Q194" s="155">
        <f ca="1">(IFERROR(OFFSET(Q13,0,-$B$78)-OFFSET(P13,0,-$B$78),0)/1.2*ИД!$C$43/ИД!$C$270*Q$29+IF(Деятельность_УК!Q423-Деятельность_УК!P423&gt;0,Деятельность_УК!$B431,0))*Параметры!Q$136</f>
        <v>0</v>
      </c>
      <c r="R194" s="155">
        <f ca="1">(IFERROR(OFFSET(R13,0,-$B$78)-OFFSET(Q13,0,-$B$78),0)/1.2*ИД!$C$43/ИД!$C$270*R$29+IF(Деятельность_УК!R423-Деятельность_УК!Q423&gt;0,Деятельность_УК!$B431,0))*Параметры!R$136</f>
        <v>0</v>
      </c>
      <c r="S194" s="155">
        <f ca="1">(IFERROR(OFFSET(S13,0,-$B$78)-OFFSET(R13,0,-$B$78),0)/1.2*ИД!$C$43/ИД!$C$270*S$29+IF(Деятельность_УК!S423-Деятельность_УК!R423&gt;0,Деятельность_УК!$B431,0))*Параметры!S$136</f>
        <v>0</v>
      </c>
      <c r="T194" s="155">
        <f ca="1">(IFERROR(OFFSET(T13,0,-$B$78)-OFFSET(S13,0,-$B$78),0)/1.2*ИД!$C$43/ИД!$C$270*T$29+IF(Деятельность_УК!T423-Деятельность_УК!S423&gt;0,Деятельность_УК!$B431,0))*Параметры!T$136</f>
        <v>0</v>
      </c>
      <c r="U194" s="155">
        <f ca="1">(IFERROR(OFFSET(U13,0,-$B$78)-OFFSET(T13,0,-$B$78),0)/1.2*ИД!$C$43/ИД!$C$270*U$29+IF(Деятельность_УК!U423-Деятельность_УК!T423&gt;0,Деятельность_УК!$B431,0))*Параметры!U$136</f>
        <v>0</v>
      </c>
      <c r="V194" s="155">
        <f ca="1">(IFERROR(OFFSET(V13,0,-$B$78)-OFFSET(U13,0,-$B$78),0)/1.2*ИД!$C$43/ИД!$C$270*V$29+IF(Деятельность_УК!V423-Деятельность_УК!U423&gt;0,Деятельность_УК!$B431,0))*Параметры!V$136</f>
        <v>201528.00598179089</v>
      </c>
      <c r="W194" s="155">
        <f ca="1">(IFERROR(OFFSET(W13,0,-$B$78)-OFFSET(V13,0,-$B$78),0)/1.2*ИД!$C$43/ИД!$C$270*W$29+IF(Деятельность_УК!W423-Деятельность_УК!V423&gt;0,Деятельность_УК!$B431,0))*Параметры!W$136</f>
        <v>0</v>
      </c>
      <c r="X194" s="155">
        <f ca="1">(IFERROR(OFFSET(X13,0,-$B$78)-OFFSET(W13,0,-$B$78),0)/1.2*ИД!$C$43/ИД!$C$270*X$29+IF(Деятельность_УК!X423-Деятельность_УК!W423&gt;0,Деятельность_УК!$B431,0))*Параметры!X$136</f>
        <v>0</v>
      </c>
      <c r="Y194" s="155">
        <f ca="1">(IFERROR(OFFSET(Y13,0,-$B$78)-OFFSET(X13,0,-$B$78),0)/1.2*ИД!$C$43/ИД!$C$270*Y$29+IF(Деятельность_УК!Y423-Деятельность_УК!X423&gt;0,Деятельность_УК!$B431,0))*Параметры!Y$136</f>
        <v>0</v>
      </c>
      <c r="Z194" s="155">
        <f ca="1">(IFERROR(OFFSET(Z13,0,-$B$78)-OFFSET(Y13,0,-$B$78),0)/1.2*ИД!$C$43/ИД!$C$270*Z$29+IF(Деятельность_УК!Z423-Деятельность_УК!Y423&gt;0,Деятельность_УК!$B431,0))*Параметры!Z$136</f>
        <v>0</v>
      </c>
      <c r="AA194" s="155">
        <f ca="1">(IFERROR(OFFSET(AA13,0,-$B$78)-OFFSET(Z13,0,-$B$78),0)/1.2*ИД!$C$43/ИД!$C$270*AA$29+IF(Деятельность_УК!AA423-Деятельность_УК!Z423&gt;0,Деятельность_УК!$B431,0))*Параметры!AA$136</f>
        <v>0</v>
      </c>
      <c r="AB194" s="155">
        <f ca="1">(IFERROR(OFFSET(AB13,0,-$B$78)-OFFSET(AA13,0,-$B$78),0)/1.2*ИД!$C$43/ИД!$C$270*AB$29+IF(Деятельность_УК!AB423-Деятельность_УК!AA423&gt;0,Деятельность_УК!$B431,0))*Параметры!AB$136</f>
        <v>0</v>
      </c>
      <c r="AC194" s="155">
        <f ca="1">(IFERROR(OFFSET(AC13,0,-$B$78)-OFFSET(AB13,0,-$B$78),0)/1.2*ИД!$C$43/ИД!$C$270*AC$29+IF(Деятельность_УК!AC423-Деятельность_УК!AB423&gt;0,Деятельность_УК!$B431,0))*Параметры!AC$136</f>
        <v>0</v>
      </c>
      <c r="AD194" s="155">
        <f ca="1">(IFERROR(OFFSET(AD13,0,-$B$78)-OFFSET(AC13,0,-$B$78),0)/1.2*ИД!$C$43/ИД!$C$270*AD$29+IF(Деятельность_УК!AD423-Деятельность_УК!AC423&gt;0,Деятельность_УК!$B431,0))*Параметры!AD$136</f>
        <v>0</v>
      </c>
      <c r="AE194" s="155">
        <f ca="1">(IFERROR(OFFSET(AE13,0,-$B$78)-OFFSET(AD13,0,-$B$78),0)/1.2*ИД!$C$43/ИД!$C$270*AE$29+IF(Деятельность_УК!AE423-Деятельность_УК!AD423&gt;0,Деятельность_УК!$B431,0))*Параметры!AE$136</f>
        <v>0</v>
      </c>
      <c r="AF194" s="155">
        <f ca="1">(IFERROR(OFFSET(AF13,0,-$B$78)-OFFSET(AE13,0,-$B$78),0)/1.2*ИД!$C$43/ИД!$C$270*AF$29+IF(Деятельность_УК!AF423-Деятельность_УК!AE423&gt;0,Деятельность_УК!$B431,0))*Параметры!AF$136</f>
        <v>0</v>
      </c>
      <c r="AG194" s="155">
        <f ca="1">(IFERROR(OFFSET(AG13,0,-$B$78)-OFFSET(AF13,0,-$B$78),0)/1.2*ИД!$C$43/ИД!$C$270*AG$29+IF(Деятельность_УК!AG423-Деятельность_УК!AF423&gt;0,Деятельность_УК!$B431,0))*Параметры!AG$136</f>
        <v>0</v>
      </c>
      <c r="AH194" s="155">
        <f ca="1">(IFERROR(OFFSET(AH13,0,-$B$78)-OFFSET(AG13,0,-$B$78),0)/1.2*ИД!$C$43/ИД!$C$270*AH$29+IF(Деятельность_УК!AH423-Деятельность_УК!AG423&gt;0,Деятельность_УК!$B431,0))*Параметры!AH$136</f>
        <v>0</v>
      </c>
      <c r="AI194" s="155">
        <f ca="1">(IFERROR(OFFSET(AI13,0,-$B$78)-OFFSET(AH13,0,-$B$78),0)/1.2*ИД!$C$43/ИД!$C$270*AI$29+IF(Деятельность_УК!AI423-Деятельность_УК!AH423&gt;0,Деятельность_УК!$B431,0))*Параметры!AI$136</f>
        <v>0</v>
      </c>
      <c r="AJ194" s="155">
        <f ca="1">(IFERROR(OFFSET(AJ13,0,-$B$78)-OFFSET(AI13,0,-$B$78),0)/1.2*ИД!$C$43/ИД!$C$270*AJ$29+IF(Деятельность_УК!AJ423-Деятельность_УК!AI423&gt;0,Деятельность_УК!$B431,0))*Параметры!AJ$136</f>
        <v>0</v>
      </c>
      <c r="AK194" s="155">
        <f ca="1">(IFERROR(OFFSET(AK13,0,-$B$78)-OFFSET(AJ13,0,-$B$78),0)/1.2*ИД!$C$43/ИД!$C$270*AK$29+IF(Деятельность_УК!AK423-Деятельность_УК!AJ423&gt;0,Деятельность_УК!$B431,0))*Параметры!AK$136</f>
        <v>0</v>
      </c>
      <c r="AL194" s="155">
        <f ca="1">(IFERROR(OFFSET(AL13,0,-$B$78)-OFFSET(AK13,0,-$B$78),0)/1.2*ИД!$C$43/ИД!$C$270*AL$29+IF(Деятельность_УК!AL423-Деятельность_УК!AK423&gt;0,Деятельность_УК!$B431,0))*Параметры!AL$136</f>
        <v>0</v>
      </c>
      <c r="AM194" s="155">
        <f ca="1">(IFERROR(OFFSET(AM13,0,-$B$78)-OFFSET(AL13,0,-$B$78),0)/1.2*ИД!$C$43/ИД!$C$270*AM$29+IF(Деятельность_УК!AM423-Деятельность_УК!AL423&gt;0,Деятельность_УК!$B431,0))*Параметры!AM$136</f>
        <v>0</v>
      </c>
      <c r="AN194" s="155">
        <f ca="1">(IFERROR(OFFSET(AN13,0,-$B$78)-OFFSET(AM13,0,-$B$78),0)/1.2*ИД!$C$43/ИД!$C$270*AN$29+IF(Деятельность_УК!AN423-Деятельность_УК!AM423&gt;0,Деятельность_УК!$B431,0))*Параметры!AN$136</f>
        <v>0</v>
      </c>
      <c r="AO194" s="155">
        <f ca="1">(IFERROR(OFFSET(AO13,0,-$B$78)-OFFSET(AN13,0,-$B$78),0)/1.2*ИД!$C$43/ИД!$C$270*AO$29+IF(Деятельность_УК!AO423-Деятельность_УК!AN423&gt;0,Деятельность_УК!$B431,0))*Параметры!AO$136</f>
        <v>204789.96401171555</v>
      </c>
      <c r="AP194" s="155">
        <f ca="1">(IFERROR(OFFSET(AP13,0,-$B$78)-OFFSET(AO13,0,-$B$78),0)/1.2*ИД!$C$43/ИД!$C$270*AP$29+IF(Деятельность_УК!AP423-Деятельность_УК!AO423&gt;0,Деятельность_УК!$B431,0))*Параметры!AP$136</f>
        <v>0</v>
      </c>
      <c r="AQ194" s="155">
        <f ca="1">(IFERROR(OFFSET(AQ13,0,-$B$78)-OFFSET(AP13,0,-$B$78),0)/1.2*ИД!$C$43/ИД!$C$270*AQ$29+IF(Деятельность_УК!AQ423-Деятельность_УК!AP423&gt;0,Деятельность_УК!$B431,0))*Параметры!AQ$136</f>
        <v>0</v>
      </c>
      <c r="AR194" s="155">
        <f ca="1">(IFERROR(OFFSET(AR13,0,-$B$78)-OFFSET(AQ13,0,-$B$78),0)/1.2*ИД!$C$43/ИД!$C$270*AR$29+IF(Деятельность_УК!AR423-Деятельность_УК!AQ423&gt;0,Деятельность_УК!$B431,0))*Параметры!AR$136</f>
        <v>0</v>
      </c>
      <c r="AT194" s="103">
        <f t="shared" ca="1" si="88"/>
        <v>406317.96999350644</v>
      </c>
    </row>
    <row r="195" spans="1:46" x14ac:dyDescent="0.2">
      <c r="A195" s="589" t="str">
        <f t="shared" si="128"/>
        <v>Объект II очереди</v>
      </c>
      <c r="B195" s="64"/>
      <c r="C195" s="21" t="s">
        <v>455</v>
      </c>
      <c r="D195" s="65"/>
      <c r="E195" s="155">
        <v>0</v>
      </c>
      <c r="F195" s="155">
        <f ca="1">(IFERROR(OFFSET(F14,0,-$B$78)-OFFSET(E14,0,-$B$78),0)/1.2*ИД!$C$43/ИД!$C$270*F$29+IF(Деятельность_УК!F424-Деятельность_УК!E424&gt;0,Деятельность_УК!$B432,0))*Параметры!F$136</f>
        <v>0</v>
      </c>
      <c r="G195" s="155">
        <f ca="1">(IFERROR(OFFSET(G14,0,-$B$78)-OFFSET(F14,0,-$B$78),0)/1.2*ИД!$C$43/ИД!$C$270*G$29+IF(Деятельность_УК!G424-Деятельность_УК!F424&gt;0,Деятельность_УК!$B432,0))*Параметры!G$136</f>
        <v>0</v>
      </c>
      <c r="H195" s="155">
        <f ca="1">(IFERROR(OFFSET(H14,0,-$B$78)-OFFSET(G14,0,-$B$78),0)/1.2*ИД!$C$43/ИД!$C$270*H$29+IF(Деятельность_УК!H424-Деятельность_УК!G424&gt;0,Деятельность_УК!$B432,0))*Параметры!H$136</f>
        <v>0</v>
      </c>
      <c r="I195" s="155">
        <f ca="1">(IFERROR(OFFSET(I14,0,-$B$78)-OFFSET(H14,0,-$B$78),0)/1.2*ИД!$C$43/ИД!$C$270*I$29+IF(Деятельность_УК!I424-Деятельность_УК!H424&gt;0,Деятельность_УК!$B432,0))*Параметры!I$136</f>
        <v>0</v>
      </c>
      <c r="J195" s="155">
        <f ca="1">(IFERROR(OFFSET(J14,0,-$B$78)-OFFSET(I14,0,-$B$78),0)/1.2*ИД!$C$43/ИД!$C$270*J$29+IF(Деятельность_УК!J424-Деятельность_УК!I424&gt;0,Деятельность_УК!$B432,0))*Параметры!J$136</f>
        <v>0</v>
      </c>
      <c r="K195" s="155">
        <f ca="1">(IFERROR(OFFSET(K14,0,-$B$78)-OFFSET(J14,0,-$B$78),0)/1.2*ИД!$C$43/ИД!$C$270*K$29+IF(Деятельность_УК!K424-Деятельность_УК!J424&gt;0,Деятельность_УК!$B432,0))*Параметры!K$136</f>
        <v>0</v>
      </c>
      <c r="L195" s="155">
        <f ca="1">(IFERROR(OFFSET(L14,0,-$B$78)-OFFSET(K14,0,-$B$78),0)/1.2*ИД!$C$43/ИД!$C$270*L$29+IF(Деятельность_УК!L424-Деятельность_УК!K424&gt;0,Деятельность_УК!$B432,0))*Параметры!L$136</f>
        <v>0</v>
      </c>
      <c r="M195" s="155">
        <f ca="1">(IFERROR(OFFSET(M14,0,-$B$78)-OFFSET(L14,0,-$B$78),0)/1.2*ИД!$C$43/ИД!$C$270*M$29+IF(Деятельность_УК!M424-Деятельность_УК!L424&gt;0,Деятельность_УК!$B432,0))*Параметры!M$136</f>
        <v>0</v>
      </c>
      <c r="N195" s="155">
        <f ca="1">(IFERROR(OFFSET(N14,0,-$B$78)-OFFSET(M14,0,-$B$78),0)/1.2*ИД!$C$43/ИД!$C$270*N$29+IF(Деятельность_УК!N424-Деятельность_УК!M424&gt;0,Деятельность_УК!$B432,0))*Параметры!N$136</f>
        <v>0</v>
      </c>
      <c r="O195" s="155">
        <f ca="1">(IFERROR(OFFSET(O14,0,-$B$78)-OFFSET(N14,0,-$B$78),0)/1.2*ИД!$C$43/ИД!$C$270*O$29+IF(Деятельность_УК!O424-Деятельность_УК!N424&gt;0,Деятельность_УК!$B432,0))*Параметры!O$136</f>
        <v>0</v>
      </c>
      <c r="P195" s="155">
        <f ca="1">(IFERROR(OFFSET(P14,0,-$B$78)-OFFSET(O14,0,-$B$78),0)/1.2*ИД!$C$43/ИД!$C$270*P$29+IF(Деятельность_УК!P424-Деятельность_УК!O424&gt;0,Деятельность_УК!$B432,0))*Параметры!P$136</f>
        <v>0</v>
      </c>
      <c r="Q195" s="155">
        <f ca="1">(IFERROR(OFFSET(Q14,0,-$B$78)-OFFSET(P14,0,-$B$78),0)/1.2*ИД!$C$43/ИД!$C$270*Q$29+IF(Деятельность_УК!Q424-Деятельность_УК!P424&gt;0,Деятельность_УК!$B432,0))*Параметры!Q$136</f>
        <v>0</v>
      </c>
      <c r="R195" s="155">
        <f ca="1">(IFERROR(OFFSET(R14,0,-$B$78)-OFFSET(Q14,0,-$B$78),0)/1.2*ИД!$C$43/ИД!$C$270*R$29+IF(Деятельность_УК!R424-Деятельность_УК!Q424&gt;0,Деятельность_УК!$B432,0))*Параметры!R$136</f>
        <v>0</v>
      </c>
      <c r="S195" s="155">
        <f ca="1">(IFERROR(OFFSET(S14,0,-$B$78)-OFFSET(R14,0,-$B$78),0)/1.2*ИД!$C$43/ИД!$C$270*S$29+IF(Деятельность_УК!S424-Деятельность_УК!R424&gt;0,Деятельность_УК!$B432,0))*Параметры!S$136</f>
        <v>0</v>
      </c>
      <c r="T195" s="155">
        <f ca="1">(IFERROR(OFFSET(T14,0,-$B$78)-OFFSET(S14,0,-$B$78),0)/1.2*ИД!$C$43/ИД!$C$270*T$29+IF(Деятельность_УК!T424-Деятельность_УК!S424&gt;0,Деятельность_УК!$B432,0))*Параметры!T$136</f>
        <v>0</v>
      </c>
      <c r="U195" s="155">
        <f ca="1">(IFERROR(OFFSET(U14,0,-$B$78)-OFFSET(T14,0,-$B$78),0)/1.2*ИД!$C$43/ИД!$C$270*U$29+IF(Деятельность_УК!U424-Деятельность_УК!T424&gt;0,Деятельность_УК!$B432,0))*Параметры!U$136</f>
        <v>0</v>
      </c>
      <c r="V195" s="155">
        <f ca="1">(IFERROR(OFFSET(V14,0,-$B$78)-OFFSET(U14,0,-$B$78),0)/1.2*ИД!$C$43/ИД!$C$270*V$29+IF(Деятельность_УК!V424-Деятельность_УК!U424&gt;0,Деятельность_УК!$B432,0))*Параметры!V$136</f>
        <v>519699.39433658822</v>
      </c>
      <c r="W195" s="155">
        <f ca="1">(IFERROR(OFFSET(W14,0,-$B$78)-OFFSET(V14,0,-$B$78),0)/1.2*ИД!$C$43/ИД!$C$270*W$29+IF(Деятельность_УК!W424-Деятельность_УК!V424&gt;0,Деятельность_УК!$B432,0))*Параметры!W$136</f>
        <v>0</v>
      </c>
      <c r="X195" s="155">
        <f ca="1">(IFERROR(OFFSET(X14,0,-$B$78)-OFFSET(W14,0,-$B$78),0)/1.2*ИД!$C$43/ИД!$C$270*X$29+IF(Деятельность_УК!X424-Деятельность_УК!W424&gt;0,Деятельность_УК!$B432,0))*Параметры!X$136</f>
        <v>0</v>
      </c>
      <c r="Y195" s="155">
        <f ca="1">(IFERROR(OFFSET(Y14,0,-$B$78)-OFFSET(X14,0,-$B$78),0)/1.2*ИД!$C$43/ИД!$C$270*Y$29+IF(Деятельность_УК!Y424-Деятельность_УК!X424&gt;0,Деятельность_УК!$B432,0))*Параметры!Y$136</f>
        <v>0</v>
      </c>
      <c r="Z195" s="155">
        <f ca="1">(IFERROR(OFFSET(Z14,0,-$B$78)-OFFSET(Y14,0,-$B$78),0)/1.2*ИД!$C$43/ИД!$C$270*Z$29+IF(Деятельность_УК!Z424-Деятельность_УК!Y424&gt;0,Деятельность_УК!$B432,0))*Параметры!Z$136</f>
        <v>0</v>
      </c>
      <c r="AA195" s="155">
        <f ca="1">(IFERROR(OFFSET(AA14,0,-$B$78)-OFFSET(Z14,0,-$B$78),0)/1.2*ИД!$C$43/ИД!$C$270*AA$29+IF(Деятельность_УК!AA424-Деятельность_УК!Z424&gt;0,Деятельность_УК!$B432,0))*Параметры!AA$136</f>
        <v>0</v>
      </c>
      <c r="AB195" s="155">
        <f ca="1">(IFERROR(OFFSET(AB14,0,-$B$78)-OFFSET(AA14,0,-$B$78),0)/1.2*ИД!$C$43/ИД!$C$270*AB$29+IF(Деятельность_УК!AB424-Деятельность_УК!AA424&gt;0,Деятельность_УК!$B432,0))*Параметры!AB$136</f>
        <v>0</v>
      </c>
      <c r="AC195" s="155">
        <f ca="1">(IFERROR(OFFSET(AC14,0,-$B$78)-OFFSET(AB14,0,-$B$78),0)/1.2*ИД!$C$43/ИД!$C$270*AC$29+IF(Деятельность_УК!AC424-Деятельность_УК!AB424&gt;0,Деятельность_УК!$B432,0))*Параметры!AC$136</f>
        <v>0</v>
      </c>
      <c r="AD195" s="155">
        <f ca="1">(IFERROR(OFFSET(AD14,0,-$B$78)-OFFSET(AC14,0,-$B$78),0)/1.2*ИД!$C$43/ИД!$C$270*AD$29+IF(Деятельность_УК!AD424-Деятельность_УК!AC424&gt;0,Деятельность_УК!$B432,0))*Параметры!AD$136</f>
        <v>0</v>
      </c>
      <c r="AE195" s="155">
        <f ca="1">(IFERROR(OFFSET(AE14,0,-$B$78)-OFFSET(AD14,0,-$B$78),0)/1.2*ИД!$C$43/ИД!$C$270*AE$29+IF(Деятельность_УК!AE424-Деятельность_УК!AD424&gt;0,Деятельность_УК!$B432,0))*Параметры!AE$136</f>
        <v>0</v>
      </c>
      <c r="AF195" s="155">
        <f ca="1">(IFERROR(OFFSET(AF14,0,-$B$78)-OFFSET(AE14,0,-$B$78),0)/1.2*ИД!$C$43/ИД!$C$270*AF$29+IF(Деятельность_УК!AF424-Деятельность_УК!AE424&gt;0,Деятельность_УК!$B432,0))*Параметры!AF$136</f>
        <v>0</v>
      </c>
      <c r="AG195" s="155">
        <f ca="1">(IFERROR(OFFSET(AG14,0,-$B$78)-OFFSET(AF14,0,-$B$78),0)/1.2*ИД!$C$43/ИД!$C$270*AG$29+IF(Деятельность_УК!AG424-Деятельность_УК!AF424&gt;0,Деятельность_УК!$B432,0))*Параметры!AG$136</f>
        <v>0</v>
      </c>
      <c r="AH195" s="155">
        <f ca="1">(IFERROR(OFFSET(AH14,0,-$B$78)-OFFSET(AG14,0,-$B$78),0)/1.2*ИД!$C$43/ИД!$C$270*AH$29+IF(Деятельность_УК!AH424-Деятельность_УК!AG424&gt;0,Деятельность_УК!$B432,0))*Параметры!AH$136</f>
        <v>0</v>
      </c>
      <c r="AI195" s="155">
        <f ca="1">(IFERROR(OFFSET(AI14,0,-$B$78)-OFFSET(AH14,0,-$B$78),0)/1.2*ИД!$C$43/ИД!$C$270*AI$29+IF(Деятельность_УК!AI424-Деятельность_УК!AH424&gt;0,Деятельность_УК!$B432,0))*Параметры!AI$136</f>
        <v>0</v>
      </c>
      <c r="AJ195" s="155">
        <f ca="1">(IFERROR(OFFSET(AJ14,0,-$B$78)-OFFSET(AI14,0,-$B$78),0)/1.2*ИД!$C$43/ИД!$C$270*AJ$29+IF(Деятельность_УК!AJ424-Деятельность_УК!AI424&gt;0,Деятельность_УК!$B432,0))*Параметры!AJ$136</f>
        <v>0</v>
      </c>
      <c r="AK195" s="155">
        <f ca="1">(IFERROR(OFFSET(AK14,0,-$B$78)-OFFSET(AJ14,0,-$B$78),0)/1.2*ИД!$C$43/ИД!$C$270*AK$29+IF(Деятельность_УК!AK424-Деятельность_УК!AJ424&gt;0,Деятельность_УК!$B432,0))*Параметры!AK$136</f>
        <v>0</v>
      </c>
      <c r="AL195" s="155">
        <f ca="1">(IFERROR(OFFSET(AL14,0,-$B$78)-OFFSET(AK14,0,-$B$78),0)/1.2*ИД!$C$43/ИД!$C$270*AL$29+IF(Деятельность_УК!AL424-Деятельность_УК!AK424&gt;0,Деятельность_УК!$B432,0))*Параметры!AL$136</f>
        <v>0</v>
      </c>
      <c r="AM195" s="155">
        <f ca="1">(IFERROR(OFFSET(AM14,0,-$B$78)-OFFSET(AL14,0,-$B$78),0)/1.2*ИД!$C$43/ИД!$C$270*AM$29+IF(Деятельность_УК!AM424-Деятельность_УК!AL424&gt;0,Деятельность_УК!$B432,0))*Параметры!AM$136</f>
        <v>0</v>
      </c>
      <c r="AN195" s="155">
        <f ca="1">(IFERROR(OFFSET(AN14,0,-$B$78)-OFFSET(AM14,0,-$B$78),0)/1.2*ИД!$C$43/ИД!$C$270*AN$29+IF(Деятельность_УК!AN424-Деятельность_УК!AM424&gt;0,Деятельность_УК!$B432,0))*Параметры!AN$136</f>
        <v>0</v>
      </c>
      <c r="AO195" s="155">
        <f ca="1">(IFERROR(OFFSET(AO14,0,-$B$78)-OFFSET(AN14,0,-$B$78),0)/1.2*ИД!$C$43/ИД!$C$270*AO$29+IF(Деятельность_УК!AO424-Деятельность_УК!AN424&gt;0,Деятельность_УК!$B432,0))*Параметры!AO$136</f>
        <v>421570.84605717688</v>
      </c>
      <c r="AP195" s="155">
        <f ca="1">(IFERROR(OFFSET(AP14,0,-$B$78)-OFFSET(AO14,0,-$B$78),0)/1.2*ИД!$C$43/ИД!$C$270*AP$29+IF(Деятельность_УК!AP424-Деятельность_УК!AO424&gt;0,Деятельность_УК!$B432,0))*Параметры!AP$136</f>
        <v>0</v>
      </c>
      <c r="AQ195" s="155">
        <f ca="1">(IFERROR(OFFSET(AQ14,0,-$B$78)-OFFSET(AP14,0,-$B$78),0)/1.2*ИД!$C$43/ИД!$C$270*AQ$29+IF(Деятельность_УК!AQ424-Деятельность_УК!AP424&gt;0,Деятельность_УК!$B432,0))*Параметры!AQ$136</f>
        <v>0</v>
      </c>
      <c r="AR195" s="155">
        <f ca="1">(IFERROR(OFFSET(AR14,0,-$B$78)-OFFSET(AQ14,0,-$B$78),0)/1.2*ИД!$C$43/ИД!$C$270*AR$29+IF(Деятельность_УК!AR424-Деятельность_УК!AQ424&gt;0,Деятельность_УК!$B432,0))*Параметры!AR$136</f>
        <v>0</v>
      </c>
      <c r="AT195" s="103">
        <f t="shared" ca="1" si="88"/>
        <v>941270.24039376504</v>
      </c>
    </row>
    <row r="196" spans="1:46" s="60" customFormat="1" x14ac:dyDescent="0.2">
      <c r="A196" s="549" t="s">
        <v>698</v>
      </c>
      <c r="B196" s="153"/>
      <c r="C196" s="396" t="s">
        <v>455</v>
      </c>
      <c r="D196" s="159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T196" s="256"/>
    </row>
    <row r="197" spans="1:46" s="40" customFormat="1" x14ac:dyDescent="0.2">
      <c r="A197" s="589" t="str">
        <f>A190</f>
        <v>Корпус А4</v>
      </c>
      <c r="B197" s="65"/>
      <c r="C197" s="21" t="s">
        <v>455</v>
      </c>
      <c r="D197" s="65"/>
      <c r="E197" s="155">
        <v>0</v>
      </c>
      <c r="F197" s="155">
        <f ca="1">E197+F183-F190-F204</f>
        <v>0</v>
      </c>
      <c r="G197" s="155">
        <f t="shared" ref="G197:AR202" ca="1" si="129">F197+G183-G190-G204</f>
        <v>0</v>
      </c>
      <c r="H197" s="155">
        <f t="shared" ca="1" si="129"/>
        <v>-267130.30397768813</v>
      </c>
      <c r="I197" s="155">
        <f t="shared" ca="1" si="129"/>
        <v>-239184.3483376051</v>
      </c>
      <c r="J197" s="155">
        <f t="shared" ca="1" si="129"/>
        <v>-210994.7793519577</v>
      </c>
      <c r="K197" s="155">
        <f t="shared" ca="1" si="129"/>
        <v>-182558.02605882674</v>
      </c>
      <c r="L197" s="155">
        <f t="shared" ca="1" si="129"/>
        <v>-153870.46341068152</v>
      </c>
      <c r="M197" s="155">
        <f t="shared" ca="1" si="129"/>
        <v>-124928.4114372944</v>
      </c>
      <c r="N197" s="155">
        <f t="shared" ca="1" si="129"/>
        <v>-95494.183137494721</v>
      </c>
      <c r="O197" s="155">
        <f t="shared" ca="1" si="129"/>
        <v>-65776.300821905228</v>
      </c>
      <c r="P197" s="155">
        <f t="shared" ca="1" si="129"/>
        <v>-35770.343617765291</v>
      </c>
      <c r="Q197" s="155">
        <f t="shared" ca="1" si="129"/>
        <v>-5471.820147366423</v>
      </c>
      <c r="R197" s="155">
        <f t="shared" ca="1" si="129"/>
        <v>25289.201660613824</v>
      </c>
      <c r="S197" s="155">
        <f t="shared" ca="1" si="129"/>
        <v>31061.638361770321</v>
      </c>
      <c r="T197" s="155">
        <f t="shared" ca="1" si="129"/>
        <v>31366.899020510948</v>
      </c>
      <c r="U197" s="155">
        <f t="shared" ca="1" si="129"/>
        <v>31676.877003673737</v>
      </c>
      <c r="V197" s="155">
        <f t="shared" ca="1" si="129"/>
        <v>33265.613217200429</v>
      </c>
      <c r="W197" s="155">
        <f t="shared" ca="1" si="129"/>
        <v>33597.282389022439</v>
      </c>
      <c r="X197" s="155">
        <f t="shared" ca="1" si="129"/>
        <v>33934.159675979317</v>
      </c>
      <c r="Y197" s="155">
        <f t="shared" ca="1" si="129"/>
        <v>34276.328557322267</v>
      </c>
      <c r="Z197" s="155">
        <f t="shared" ca="1" si="129"/>
        <v>34616.31246156749</v>
      </c>
      <c r="AA197" s="155">
        <f t="shared" ca="1" si="129"/>
        <v>34961.551495140215</v>
      </c>
      <c r="AB197" s="155">
        <f t="shared" ca="1" si="129"/>
        <v>35312.128840894933</v>
      </c>
      <c r="AC197" s="155">
        <f t="shared" ca="1" si="129"/>
        <v>35668.129021729779</v>
      </c>
      <c r="AD197" s="155">
        <f t="shared" ca="1" si="129"/>
        <v>36026.11394630016</v>
      </c>
      <c r="AE197" s="155">
        <f t="shared" ca="1" si="129"/>
        <v>36389.586176070428</v>
      </c>
      <c r="AF197" s="155">
        <f t="shared" ca="1" si="129"/>
        <v>36758.63181384973</v>
      </c>
      <c r="AG197" s="155">
        <f t="shared" ca="1" si="129"/>
        <v>37133.338337043795</v>
      </c>
      <c r="AH197" s="155">
        <f t="shared" ca="1" si="129"/>
        <v>37512.981662938037</v>
      </c>
      <c r="AI197" s="155">
        <f t="shared" ca="1" si="129"/>
        <v>37898.433933170993</v>
      </c>
      <c r="AJ197" s="155">
        <f t="shared" ca="1" si="129"/>
        <v>36393.442672641337</v>
      </c>
      <c r="AK197" s="155">
        <f t="shared" ca="1" si="129"/>
        <v>36790.786961438309</v>
      </c>
      <c r="AL197" s="155">
        <f t="shared" ca="1" si="129"/>
        <v>37194.136736092332</v>
      </c>
      <c r="AM197" s="155">
        <f t="shared" ca="1" si="129"/>
        <v>38237.072025637928</v>
      </c>
      <c r="AN197" s="155">
        <f t="shared" ca="1" si="129"/>
        <v>38655.974618611275</v>
      </c>
      <c r="AO197" s="155">
        <f t="shared" ca="1" si="129"/>
        <v>39081.268551968533</v>
      </c>
      <c r="AP197" s="155">
        <f t="shared" ca="1" si="129"/>
        <v>38526.210581234438</v>
      </c>
      <c r="AQ197" s="155">
        <f t="shared" ca="1" si="129"/>
        <v>49091.567153997239</v>
      </c>
      <c r="AR197" s="155">
        <f t="shared" ca="1" si="129"/>
        <v>49586.057510646569</v>
      </c>
      <c r="AT197" s="103">
        <f t="shared" ref="AT197:AT202" ca="1" si="130">SUM(E197:AS197)</f>
        <v>-400877.25591151853</v>
      </c>
    </row>
    <row r="198" spans="1:46" s="40" customFormat="1" x14ac:dyDescent="0.2">
      <c r="A198" s="589" t="str">
        <f t="shared" ref="A198:A202" si="131">A191</f>
        <v>Корпус B2</v>
      </c>
      <c r="B198" s="65"/>
      <c r="C198" s="21" t="s">
        <v>455</v>
      </c>
      <c r="D198" s="65"/>
      <c r="E198" s="155">
        <v>0</v>
      </c>
      <c r="F198" s="155">
        <f t="shared" ref="F198:U202" ca="1" si="132">E198+F184-F191-F205</f>
        <v>0</v>
      </c>
      <c r="G198" s="155">
        <f t="shared" ca="1" si="132"/>
        <v>0</v>
      </c>
      <c r="H198" s="155">
        <f t="shared" ca="1" si="132"/>
        <v>0</v>
      </c>
      <c r="I198" s="155">
        <f t="shared" ca="1" si="132"/>
        <v>0</v>
      </c>
      <c r="J198" s="155">
        <f t="shared" ca="1" si="132"/>
        <v>0</v>
      </c>
      <c r="K198" s="155">
        <f t="shared" ca="1" si="132"/>
        <v>0</v>
      </c>
      <c r="L198" s="155">
        <f t="shared" ca="1" si="132"/>
        <v>0</v>
      </c>
      <c r="M198" s="155">
        <f t="shared" ca="1" si="132"/>
        <v>0</v>
      </c>
      <c r="N198" s="155">
        <f t="shared" ca="1" si="132"/>
        <v>-140125.72430405277</v>
      </c>
      <c r="O198" s="155">
        <f t="shared" ca="1" si="132"/>
        <v>-125328.26842001441</v>
      </c>
      <c r="P198" s="155">
        <f t="shared" ca="1" si="132"/>
        <v>-110387.37110871164</v>
      </c>
      <c r="Q198" s="155">
        <f t="shared" ca="1" si="132"/>
        <v>-95300.795973795786</v>
      </c>
      <c r="R198" s="155">
        <f t="shared" ca="1" si="132"/>
        <v>-79983.92856320148</v>
      </c>
      <c r="S198" s="155">
        <f t="shared" ca="1" si="132"/>
        <v>-64517.374840995843</v>
      </c>
      <c r="T198" s="155">
        <f t="shared" ca="1" si="132"/>
        <v>-48898.822363196596</v>
      </c>
      <c r="U198" s="155">
        <f t="shared" ca="1" si="132"/>
        <v>-33125.922227574229</v>
      </c>
      <c r="V198" s="155">
        <f t="shared" ca="1" si="129"/>
        <v>-16561.941025630291</v>
      </c>
      <c r="W198" s="155">
        <f t="shared" ca="1" si="129"/>
        <v>167.18855014501969</v>
      </c>
      <c r="X198" s="155">
        <f t="shared" ca="1" si="129"/>
        <v>16896.871231763496</v>
      </c>
      <c r="Y198" s="155">
        <f t="shared" ca="1" si="129"/>
        <v>17067.247736818401</v>
      </c>
      <c r="Z198" s="155">
        <f t="shared" ca="1" si="129"/>
        <v>17236.536273966707</v>
      </c>
      <c r="AA198" s="155">
        <f t="shared" ca="1" si="129"/>
        <v>17408.441503097401</v>
      </c>
      <c r="AB198" s="155">
        <f t="shared" ca="1" si="129"/>
        <v>17583.004843535269</v>
      </c>
      <c r="AC198" s="155">
        <f t="shared" ca="1" si="129"/>
        <v>17760.268381854414</v>
      </c>
      <c r="AD198" s="155">
        <f t="shared" ca="1" si="129"/>
        <v>17938.520185674974</v>
      </c>
      <c r="AE198" s="155">
        <f t="shared" ca="1" si="129"/>
        <v>18119.504289050241</v>
      </c>
      <c r="AF198" s="155">
        <f t="shared" ca="1" si="129"/>
        <v>18303.263565241035</v>
      </c>
      <c r="AG198" s="155">
        <f t="shared" ca="1" si="129"/>
        <v>18489.841571962494</v>
      </c>
      <c r="AH198" s="155">
        <f t="shared" ca="1" si="129"/>
        <v>18678.877765959489</v>
      </c>
      <c r="AI198" s="155">
        <f t="shared" ca="1" si="129"/>
        <v>18870.806413620321</v>
      </c>
      <c r="AJ198" s="155">
        <f t="shared" ca="1" si="129"/>
        <v>18121.424558377268</v>
      </c>
      <c r="AK198" s="155">
        <f t="shared" ca="1" si="129"/>
        <v>18319.27461114377</v>
      </c>
      <c r="AL198" s="155">
        <f t="shared" ca="1" si="129"/>
        <v>18520.114981695635</v>
      </c>
      <c r="AM198" s="155">
        <f t="shared" ca="1" si="129"/>
        <v>19039.424829317639</v>
      </c>
      <c r="AN198" s="155">
        <f t="shared" ca="1" si="129"/>
        <v>19248.009430784372</v>
      </c>
      <c r="AO198" s="155">
        <f t="shared" ca="1" si="129"/>
        <v>-629519.60494557046</v>
      </c>
      <c r="AP198" s="155">
        <f t="shared" ca="1" si="129"/>
        <v>-610336.20905615576</v>
      </c>
      <c r="AQ198" s="155">
        <f t="shared" ca="1" si="129"/>
        <v>-585891.99423878605</v>
      </c>
      <c r="AR198" s="155">
        <f t="shared" ca="1" si="129"/>
        <v>-561201.5573265882</v>
      </c>
      <c r="AT198" s="103">
        <f t="shared" ca="1" si="130"/>
        <v>-2793410.893670266</v>
      </c>
    </row>
    <row r="199" spans="1:46" s="40" customFormat="1" x14ac:dyDescent="0.2">
      <c r="A199" s="589" t="str">
        <f t="shared" si="131"/>
        <v>БП с ЦОД</v>
      </c>
      <c r="B199" s="65"/>
      <c r="C199" s="21" t="s">
        <v>455</v>
      </c>
      <c r="D199" s="65"/>
      <c r="E199" s="155">
        <v>0</v>
      </c>
      <c r="F199" s="155">
        <f t="shared" ca="1" si="132"/>
        <v>0</v>
      </c>
      <c r="G199" s="155">
        <f t="shared" ca="1" si="129"/>
        <v>0</v>
      </c>
      <c r="H199" s="155">
        <f t="shared" ca="1" si="129"/>
        <v>0</v>
      </c>
      <c r="I199" s="155">
        <f t="shared" ca="1" si="129"/>
        <v>0</v>
      </c>
      <c r="J199" s="155">
        <f t="shared" ca="1" si="129"/>
        <v>0</v>
      </c>
      <c r="K199" s="155">
        <f t="shared" ca="1" si="129"/>
        <v>0</v>
      </c>
      <c r="L199" s="155">
        <f t="shared" ca="1" si="129"/>
        <v>0</v>
      </c>
      <c r="M199" s="155">
        <f t="shared" ca="1" si="129"/>
        <v>0</v>
      </c>
      <c r="N199" s="155">
        <f t="shared" ca="1" si="129"/>
        <v>0</v>
      </c>
      <c r="O199" s="155">
        <f t="shared" ca="1" si="129"/>
        <v>0</v>
      </c>
      <c r="P199" s="155">
        <f t="shared" ca="1" si="129"/>
        <v>0</v>
      </c>
      <c r="Q199" s="155">
        <f t="shared" ca="1" si="129"/>
        <v>0</v>
      </c>
      <c r="R199" s="155">
        <f t="shared" ca="1" si="129"/>
        <v>0</v>
      </c>
      <c r="S199" s="155">
        <f t="shared" ca="1" si="129"/>
        <v>0</v>
      </c>
      <c r="T199" s="155">
        <f t="shared" ca="1" si="129"/>
        <v>0</v>
      </c>
      <c r="U199" s="155">
        <f t="shared" ca="1" si="129"/>
        <v>0</v>
      </c>
      <c r="V199" s="155">
        <f t="shared" ca="1" si="129"/>
        <v>-513074.47337213234</v>
      </c>
      <c r="W199" s="155">
        <f t="shared" ca="1" si="129"/>
        <v>-456619.45368878532</v>
      </c>
      <c r="X199" s="155">
        <f t="shared" ca="1" si="129"/>
        <v>-399598.36399876903</v>
      </c>
      <c r="Y199" s="155">
        <f t="shared" ca="1" si="129"/>
        <v>-342002.31259882718</v>
      </c>
      <c r="Z199" s="155">
        <f t="shared" ca="1" si="129"/>
        <v>-283834.97100392426</v>
      </c>
      <c r="AA199" s="155">
        <f t="shared" ca="1" si="129"/>
        <v>-225087.50878467658</v>
      </c>
      <c r="AB199" s="155">
        <f t="shared" ca="1" si="129"/>
        <v>-165750.95573582104</v>
      </c>
      <c r="AC199" s="155">
        <f t="shared" ca="1" si="129"/>
        <v>-105816.19962447992</v>
      </c>
      <c r="AD199" s="155">
        <f t="shared" ca="1" si="129"/>
        <v>-45279.905396783142</v>
      </c>
      <c r="AE199" s="155">
        <f t="shared" ca="1" si="129"/>
        <v>15867.147512179348</v>
      </c>
      <c r="AF199" s="155">
        <f t="shared" ca="1" si="129"/>
        <v>61767.176837548192</v>
      </c>
      <c r="AG199" s="155">
        <f t="shared" ca="1" si="129"/>
        <v>62396.813005660151</v>
      </c>
      <c r="AH199" s="155">
        <f t="shared" ca="1" si="129"/>
        <v>63034.744704654149</v>
      </c>
      <c r="AI199" s="155">
        <f t="shared" ca="1" si="129"/>
        <v>63682.437433221465</v>
      </c>
      <c r="AJ199" s="155">
        <f t="shared" ca="1" si="129"/>
        <v>61153.533153028009</v>
      </c>
      <c r="AK199" s="155">
        <f t="shared" ca="1" si="129"/>
        <v>-20064.723867379129</v>
      </c>
      <c r="AL199" s="155">
        <f t="shared" ca="1" si="129"/>
        <v>42434.251413647755</v>
      </c>
      <c r="AM199" s="155">
        <f t="shared" ca="1" si="129"/>
        <v>64251.466200321927</v>
      </c>
      <c r="AN199" s="155">
        <f t="shared" ca="1" si="129"/>
        <v>64955.367005687149</v>
      </c>
      <c r="AO199" s="155">
        <f t="shared" ca="1" si="129"/>
        <v>65670.007466807801</v>
      </c>
      <c r="AP199" s="155">
        <f t="shared" ca="1" si="129"/>
        <v>64737.318676674273</v>
      </c>
      <c r="AQ199" s="155">
        <f t="shared" ca="1" si="129"/>
        <v>82490.760945320188</v>
      </c>
      <c r="AR199" s="155">
        <f t="shared" ca="1" si="129"/>
        <v>83321.675258407166</v>
      </c>
      <c r="AT199" s="103">
        <f t="shared" ca="1" si="130"/>
        <v>-1761366.1684584208</v>
      </c>
    </row>
    <row r="200" spans="1:46" s="40" customFormat="1" x14ac:dyDescent="0.2">
      <c r="A200" s="589" t="str">
        <f t="shared" si="131"/>
        <v>Корпус B1</v>
      </c>
      <c r="B200" s="65"/>
      <c r="C200" s="21" t="s">
        <v>455</v>
      </c>
      <c r="D200" s="65"/>
      <c r="E200" s="155">
        <v>0</v>
      </c>
      <c r="F200" s="155">
        <f t="shared" ca="1" si="132"/>
        <v>0</v>
      </c>
      <c r="G200" s="155">
        <f t="shared" ca="1" si="129"/>
        <v>0</v>
      </c>
      <c r="H200" s="155">
        <f t="shared" ca="1" si="129"/>
        <v>0</v>
      </c>
      <c r="I200" s="155">
        <f t="shared" ca="1" si="129"/>
        <v>0</v>
      </c>
      <c r="J200" s="155">
        <f t="shared" ca="1" si="129"/>
        <v>0</v>
      </c>
      <c r="K200" s="155">
        <f t="shared" ca="1" si="129"/>
        <v>0</v>
      </c>
      <c r="L200" s="155">
        <f t="shared" ca="1" si="129"/>
        <v>0</v>
      </c>
      <c r="M200" s="155">
        <f t="shared" ca="1" si="129"/>
        <v>0</v>
      </c>
      <c r="N200" s="155">
        <f t="shared" ca="1" si="129"/>
        <v>0</v>
      </c>
      <c r="O200" s="155">
        <f t="shared" ca="1" si="129"/>
        <v>0</v>
      </c>
      <c r="P200" s="155">
        <f t="shared" ca="1" si="129"/>
        <v>0</v>
      </c>
      <c r="Q200" s="155">
        <f t="shared" ca="1" si="129"/>
        <v>0</v>
      </c>
      <c r="R200" s="155">
        <f t="shared" ca="1" si="129"/>
        <v>-73089.416084019555</v>
      </c>
      <c r="S200" s="155">
        <f t="shared" ca="1" si="129"/>
        <v>-65356.13922291674</v>
      </c>
      <c r="T200" s="155">
        <f t="shared" ca="1" si="129"/>
        <v>-57546.86298401712</v>
      </c>
      <c r="U200" s="155">
        <f t="shared" ca="1" si="129"/>
        <v>-49660.412916205933</v>
      </c>
      <c r="V200" s="155">
        <f t="shared" ca="1" si="129"/>
        <v>-41378.422315233962</v>
      </c>
      <c r="W200" s="155">
        <f t="shared" ca="1" si="129"/>
        <v>-33013.857527346307</v>
      </c>
      <c r="X200" s="155">
        <f t="shared" ca="1" si="129"/>
        <v>-24565.42191146456</v>
      </c>
      <c r="Y200" s="155">
        <f t="shared" ca="1" si="129"/>
        <v>-16031.79804305536</v>
      </c>
      <c r="Z200" s="155">
        <f t="shared" ca="1" si="129"/>
        <v>-7413.5299060720045</v>
      </c>
      <c r="AA200" s="155">
        <f t="shared" ca="1" si="129"/>
        <v>1290.6908454766963</v>
      </c>
      <c r="AB200" s="155">
        <f t="shared" ca="1" si="129"/>
        <v>8791.5024217676364</v>
      </c>
      <c r="AC200" s="155">
        <f t="shared" ca="1" si="129"/>
        <v>8880.1341909272051</v>
      </c>
      <c r="AD200" s="155">
        <f t="shared" ca="1" si="129"/>
        <v>8969.260092837485</v>
      </c>
      <c r="AE200" s="155">
        <f t="shared" ca="1" si="129"/>
        <v>9059.7521445251223</v>
      </c>
      <c r="AF200" s="155">
        <f t="shared" ca="1" si="129"/>
        <v>9151.6317826205195</v>
      </c>
      <c r="AG200" s="155">
        <f t="shared" ca="1" si="129"/>
        <v>9244.9207859812486</v>
      </c>
      <c r="AH200" s="155">
        <f t="shared" ca="1" si="129"/>
        <v>9339.4388829797426</v>
      </c>
      <c r="AI200" s="155">
        <f t="shared" ca="1" si="129"/>
        <v>9435.4032068101624</v>
      </c>
      <c r="AJ200" s="155">
        <f t="shared" ca="1" si="129"/>
        <v>9060.7122791886359</v>
      </c>
      <c r="AK200" s="155">
        <f t="shared" ca="1" si="129"/>
        <v>9159.6373055718868</v>
      </c>
      <c r="AL200" s="155">
        <f t="shared" ca="1" si="129"/>
        <v>9260.0574908478156</v>
      </c>
      <c r="AM200" s="155">
        <f t="shared" ca="1" si="129"/>
        <v>9519.7124146588176</v>
      </c>
      <c r="AN200" s="155">
        <f t="shared" ca="1" si="129"/>
        <v>9624.0047153921842</v>
      </c>
      <c r="AO200" s="155">
        <f t="shared" ca="1" si="129"/>
        <v>9729.8882394900938</v>
      </c>
      <c r="AP200" s="155">
        <f t="shared" ca="1" si="129"/>
        <v>9591.6979447073318</v>
      </c>
      <c r="AQ200" s="155">
        <f t="shared" ca="1" si="129"/>
        <v>12222.107408684828</v>
      </c>
      <c r="AR200" s="155">
        <f t="shared" ca="1" si="129"/>
        <v>12345.218456098904</v>
      </c>
      <c r="AT200" s="103">
        <f t="shared" ca="1" si="130"/>
        <v>-203380.09030176522</v>
      </c>
    </row>
    <row r="201" spans="1:46" s="40" customFormat="1" x14ac:dyDescent="0.2">
      <c r="A201" s="589" t="str">
        <f t="shared" si="131"/>
        <v>Корпус B3</v>
      </c>
      <c r="B201" s="65"/>
      <c r="C201" s="21" t="s">
        <v>455</v>
      </c>
      <c r="D201" s="65"/>
      <c r="E201" s="155">
        <v>0</v>
      </c>
      <c r="F201" s="155">
        <f t="shared" ca="1" si="132"/>
        <v>0</v>
      </c>
      <c r="G201" s="155">
        <f t="shared" ca="1" si="129"/>
        <v>0</v>
      </c>
      <c r="H201" s="155">
        <f t="shared" ca="1" si="129"/>
        <v>0</v>
      </c>
      <c r="I201" s="155">
        <f t="shared" ca="1" si="129"/>
        <v>0</v>
      </c>
      <c r="J201" s="155">
        <f t="shared" ca="1" si="129"/>
        <v>0</v>
      </c>
      <c r="K201" s="155">
        <f t="shared" ca="1" si="129"/>
        <v>0</v>
      </c>
      <c r="L201" s="155">
        <f t="shared" ca="1" si="129"/>
        <v>0</v>
      </c>
      <c r="M201" s="155">
        <f t="shared" ca="1" si="129"/>
        <v>0</v>
      </c>
      <c r="N201" s="155">
        <f t="shared" ca="1" si="129"/>
        <v>0</v>
      </c>
      <c r="O201" s="155">
        <f t="shared" ca="1" si="129"/>
        <v>0</v>
      </c>
      <c r="P201" s="155">
        <f t="shared" ca="1" si="129"/>
        <v>0</v>
      </c>
      <c r="Q201" s="155">
        <f t="shared" ca="1" si="129"/>
        <v>0</v>
      </c>
      <c r="R201" s="155">
        <f t="shared" ca="1" si="129"/>
        <v>0</v>
      </c>
      <c r="S201" s="155">
        <f t="shared" ca="1" si="129"/>
        <v>0</v>
      </c>
      <c r="T201" s="155">
        <f t="shared" ca="1" si="129"/>
        <v>0</v>
      </c>
      <c r="U201" s="155">
        <f t="shared" ca="1" si="129"/>
        <v>0</v>
      </c>
      <c r="V201" s="155">
        <f t="shared" ca="1" si="129"/>
        <v>-181729.23066700195</v>
      </c>
      <c r="W201" s="155">
        <f t="shared" ca="1" si="129"/>
        <v>-161733.05501063893</v>
      </c>
      <c r="X201" s="155">
        <f t="shared" ca="1" si="129"/>
        <v>-141536.37928624573</v>
      </c>
      <c r="Y201" s="155">
        <f t="shared" ca="1" si="129"/>
        <v>-121136.05408281875</v>
      </c>
      <c r="Z201" s="155">
        <f t="shared" ca="1" si="129"/>
        <v>-100533.37983845134</v>
      </c>
      <c r="AA201" s="155">
        <f t="shared" ca="1" si="129"/>
        <v>-79725.228845136851</v>
      </c>
      <c r="AB201" s="155">
        <f t="shared" ca="1" si="129"/>
        <v>-58708.423886728342</v>
      </c>
      <c r="AC201" s="155">
        <f t="shared" ca="1" si="129"/>
        <v>-37479.737441381585</v>
      </c>
      <c r="AD201" s="155">
        <f t="shared" ca="1" si="129"/>
        <v>-16037.988244376731</v>
      </c>
      <c r="AE201" s="155">
        <f t="shared" ca="1" si="129"/>
        <v>5620.0895969672565</v>
      </c>
      <c r="AF201" s="155">
        <f t="shared" ca="1" si="129"/>
        <v>21877.723624380909</v>
      </c>
      <c r="AG201" s="155">
        <f t="shared" ca="1" si="129"/>
        <v>22100.738610254346</v>
      </c>
      <c r="AH201" s="155">
        <f t="shared" ca="1" si="129"/>
        <v>22326.691844907255</v>
      </c>
      <c r="AI201" s="155">
        <f t="shared" ca="1" si="129"/>
        <v>22556.102402983845</v>
      </c>
      <c r="AJ201" s="155">
        <f t="shared" ca="1" si="129"/>
        <v>21660.373121716875</v>
      </c>
      <c r="AK201" s="155">
        <f t="shared" ca="1" si="129"/>
        <v>21896.861481187079</v>
      </c>
      <c r="AL201" s="155">
        <f t="shared" ca="1" si="129"/>
        <v>22136.92414017082</v>
      </c>
      <c r="AM201" s="155">
        <f t="shared" ca="1" si="129"/>
        <v>22757.650453879673</v>
      </c>
      <c r="AN201" s="155">
        <f t="shared" ca="1" si="129"/>
        <v>23006.969721283815</v>
      </c>
      <c r="AO201" s="155">
        <f t="shared" ca="1" si="129"/>
        <v>-181529.87107354394</v>
      </c>
      <c r="AP201" s="155">
        <f t="shared" ca="1" si="129"/>
        <v>-158600.13332760922</v>
      </c>
      <c r="AQ201" s="155">
        <f t="shared" ca="1" si="129"/>
        <v>-129382.18680767846</v>
      </c>
      <c r="AR201" s="155">
        <f t="shared" ca="1" si="129"/>
        <v>-99869.933268583292</v>
      </c>
      <c r="AT201" s="103">
        <f t="shared" ca="1" si="130"/>
        <v>-1262061.4767824635</v>
      </c>
    </row>
    <row r="202" spans="1:46" x14ac:dyDescent="0.2">
      <c r="A202" s="589" t="str">
        <f t="shared" si="131"/>
        <v>Объект II очереди</v>
      </c>
      <c r="B202" s="64"/>
      <c r="C202" s="21" t="s">
        <v>455</v>
      </c>
      <c r="D202" s="65"/>
      <c r="E202" s="155">
        <v>0</v>
      </c>
      <c r="F202" s="155">
        <f t="shared" ca="1" si="132"/>
        <v>0</v>
      </c>
      <c r="G202" s="155">
        <f t="shared" ca="1" si="129"/>
        <v>0</v>
      </c>
      <c r="H202" s="155">
        <f t="shared" ca="1" si="129"/>
        <v>0</v>
      </c>
      <c r="I202" s="155">
        <f t="shared" ca="1" si="129"/>
        <v>0</v>
      </c>
      <c r="J202" s="155">
        <f t="shared" ca="1" si="129"/>
        <v>0</v>
      </c>
      <c r="K202" s="155">
        <f t="shared" ca="1" si="129"/>
        <v>0</v>
      </c>
      <c r="L202" s="155">
        <f t="shared" ca="1" si="129"/>
        <v>0</v>
      </c>
      <c r="M202" s="155">
        <f t="shared" ca="1" si="129"/>
        <v>0</v>
      </c>
      <c r="N202" s="155">
        <f t="shared" ca="1" si="129"/>
        <v>0</v>
      </c>
      <c r="O202" s="155">
        <f t="shared" ca="1" si="129"/>
        <v>0</v>
      </c>
      <c r="P202" s="155">
        <f t="shared" ca="1" si="129"/>
        <v>0</v>
      </c>
      <c r="Q202" s="155">
        <f t="shared" ca="1" si="129"/>
        <v>0</v>
      </c>
      <c r="R202" s="155">
        <f t="shared" ca="1" si="129"/>
        <v>0</v>
      </c>
      <c r="S202" s="155">
        <f t="shared" ca="1" si="129"/>
        <v>0</v>
      </c>
      <c r="T202" s="155">
        <f t="shared" ca="1" si="129"/>
        <v>0</v>
      </c>
      <c r="U202" s="155">
        <f t="shared" ca="1" si="129"/>
        <v>0</v>
      </c>
      <c r="V202" s="155">
        <f t="shared" ca="1" si="129"/>
        <v>-468642.41349874024</v>
      </c>
      <c r="W202" s="155">
        <f t="shared" ca="1" si="129"/>
        <v>-417076.37766648544</v>
      </c>
      <c r="X202" s="155">
        <f t="shared" ca="1" si="129"/>
        <v>-364993.29328104272</v>
      </c>
      <c r="Y202" s="155">
        <f t="shared" ca="1" si="129"/>
        <v>-312385.03865737328</v>
      </c>
      <c r="Z202" s="155">
        <f t="shared" ca="1" si="129"/>
        <v>-259254.96735860195</v>
      </c>
      <c r="AA202" s="155">
        <f t="shared" ca="1" si="129"/>
        <v>-205595.01366726778</v>
      </c>
      <c r="AB202" s="155">
        <f t="shared" ca="1" si="129"/>
        <v>-151396.98419457005</v>
      </c>
      <c r="AC202" s="155">
        <f t="shared" ca="1" si="129"/>
        <v>-96652.55582363237</v>
      </c>
      <c r="AD202" s="155">
        <f t="shared" ca="1" si="129"/>
        <v>-41358.68231501789</v>
      </c>
      <c r="AE202" s="155">
        <f t="shared" ca="1" si="129"/>
        <v>14493.058398668145</v>
      </c>
      <c r="AF202" s="155">
        <f t="shared" ca="1" si="129"/>
        <v>56418.162139119013</v>
      </c>
      <c r="AG202" s="155">
        <f t="shared" ca="1" si="129"/>
        <v>56993.272047648949</v>
      </c>
      <c r="AH202" s="155">
        <f t="shared" ca="1" si="129"/>
        <v>57575.959097150757</v>
      </c>
      <c r="AI202" s="155">
        <f t="shared" ca="1" si="129"/>
        <v>58167.561874670384</v>
      </c>
      <c r="AJ202" s="155">
        <f t="shared" ca="1" si="129"/>
        <v>55857.659771009174</v>
      </c>
      <c r="AK202" s="155">
        <f t="shared" ca="1" si="129"/>
        <v>56467.514746676519</v>
      </c>
      <c r="AL202" s="155">
        <f t="shared" ca="1" si="129"/>
        <v>57086.587107705855</v>
      </c>
      <c r="AM202" s="155">
        <f t="shared" ca="1" si="129"/>
        <v>58687.31296072909</v>
      </c>
      <c r="AN202" s="155">
        <f t="shared" ca="1" si="129"/>
        <v>59330.25621635819</v>
      </c>
      <c r="AO202" s="155">
        <f t="shared" ca="1" si="129"/>
        <v>-361587.83697965555</v>
      </c>
      <c r="AP202" s="155">
        <f t="shared" ca="1" si="129"/>
        <v>-302456.7461875609</v>
      </c>
      <c r="AQ202" s="155">
        <f t="shared" ca="1" si="129"/>
        <v>-227109.65466947755</v>
      </c>
      <c r="AR202" s="155">
        <f t="shared" ca="1" si="129"/>
        <v>-151003.6057108955</v>
      </c>
      <c r="AT202" s="103">
        <f t="shared" ca="1" si="130"/>
        <v>-2828435.8256505849</v>
      </c>
    </row>
    <row r="203" spans="1:46" s="60" customFormat="1" x14ac:dyDescent="0.2">
      <c r="A203" s="549" t="s">
        <v>454</v>
      </c>
      <c r="B203" s="153"/>
      <c r="C203" s="396" t="s">
        <v>455</v>
      </c>
      <c r="D203" s="159"/>
      <c r="E203" s="160">
        <f>SUM(E204:E209)</f>
        <v>0</v>
      </c>
      <c r="F203" s="160">
        <f t="shared" ref="F203:AR203" si="133">SUM(F204:F209)</f>
        <v>0</v>
      </c>
      <c r="G203" s="160">
        <f t="shared" ca="1" si="133"/>
        <v>0</v>
      </c>
      <c r="H203" s="160">
        <f t="shared" ca="1" si="133"/>
        <v>0</v>
      </c>
      <c r="I203" s="160">
        <f t="shared" ca="1" si="133"/>
        <v>0</v>
      </c>
      <c r="J203" s="160">
        <f t="shared" ca="1" si="133"/>
        <v>0</v>
      </c>
      <c r="K203" s="160">
        <f t="shared" ca="1" si="133"/>
        <v>0</v>
      </c>
      <c r="L203" s="160">
        <f t="shared" ca="1" si="133"/>
        <v>0</v>
      </c>
      <c r="M203" s="160">
        <f t="shared" ca="1" si="133"/>
        <v>0</v>
      </c>
      <c r="N203" s="160">
        <f t="shared" ca="1" si="133"/>
        <v>0</v>
      </c>
      <c r="O203" s="160">
        <f t="shared" ca="1" si="133"/>
        <v>0</v>
      </c>
      <c r="P203" s="160">
        <f t="shared" ca="1" si="133"/>
        <v>0</v>
      </c>
      <c r="Q203" s="160">
        <f t="shared" ca="1" si="133"/>
        <v>0</v>
      </c>
      <c r="R203" s="160">
        <f t="shared" ca="1" si="133"/>
        <v>0</v>
      </c>
      <c r="S203" s="160">
        <f t="shared" ca="1" si="133"/>
        <v>25289.201660613824</v>
      </c>
      <c r="T203" s="160">
        <f t="shared" ca="1" si="133"/>
        <v>31061.638361770321</v>
      </c>
      <c r="U203" s="160">
        <f t="shared" ca="1" si="133"/>
        <v>31366.899020510948</v>
      </c>
      <c r="V203" s="160">
        <f t="shared" ca="1" si="133"/>
        <v>31676.877003673737</v>
      </c>
      <c r="W203" s="160">
        <f t="shared" ca="1" si="133"/>
        <v>33265.613217200429</v>
      </c>
      <c r="X203" s="160">
        <f t="shared" ca="1" si="133"/>
        <v>33764.470939167455</v>
      </c>
      <c r="Y203" s="160">
        <f t="shared" ca="1" si="133"/>
        <v>50831.03090774281</v>
      </c>
      <c r="Z203" s="160">
        <f t="shared" ca="1" si="133"/>
        <v>51343.576294140672</v>
      </c>
      <c r="AA203" s="160">
        <f t="shared" ca="1" si="133"/>
        <v>51852.848735534193</v>
      </c>
      <c r="AB203" s="160">
        <f t="shared" ca="1" si="133"/>
        <v>53660.683843714316</v>
      </c>
      <c r="AC203" s="160">
        <f t="shared" ca="1" si="133"/>
        <v>61686.636106197839</v>
      </c>
      <c r="AD203" s="160">
        <f t="shared" ca="1" si="133"/>
        <v>62308.531594511398</v>
      </c>
      <c r="AE203" s="160">
        <f t="shared" ca="1" si="133"/>
        <v>62933.894224812626</v>
      </c>
      <c r="AF203" s="160">
        <f t="shared" ca="1" si="133"/>
        <v>99549.138117460534</v>
      </c>
      <c r="AG203" s="160">
        <f t="shared" ca="1" si="133"/>
        <v>204276.58976275939</v>
      </c>
      <c r="AH203" s="160">
        <f t="shared" ca="1" si="133"/>
        <v>206358.92435855098</v>
      </c>
      <c r="AI203" s="160">
        <f t="shared" ca="1" si="133"/>
        <v>208468.69395858946</v>
      </c>
      <c r="AJ203" s="160">
        <f t="shared" ca="1" si="133"/>
        <v>210610.74526447715</v>
      </c>
      <c r="AK203" s="160">
        <f t="shared" ca="1" si="133"/>
        <v>202247.1455559613</v>
      </c>
      <c r="AL203" s="160">
        <f t="shared" ca="1" si="133"/>
        <v>142634.07510601758</v>
      </c>
      <c r="AM203" s="160">
        <f t="shared" ca="1" si="133"/>
        <v>186632.0718701602</v>
      </c>
      <c r="AN203" s="160">
        <f t="shared" ca="1" si="133"/>
        <v>212492.63888454507</v>
      </c>
      <c r="AO203" s="160">
        <f t="shared" ca="1" si="133"/>
        <v>214820.58170811698</v>
      </c>
      <c r="AP203" s="160">
        <f t="shared" ca="1" si="133"/>
        <v>114481.16425826642</v>
      </c>
      <c r="AQ203" s="160">
        <f t="shared" ca="1" si="133"/>
        <v>112855.22720261605</v>
      </c>
      <c r="AR203" s="160">
        <f t="shared" ca="1" si="133"/>
        <v>143804.43550800227</v>
      </c>
      <c r="AT203" s="137">
        <f t="shared" ref="AT203" ca="1" si="134">SUM(E203:AS203)</f>
        <v>2840273.3334651138</v>
      </c>
    </row>
    <row r="204" spans="1:46" s="40" customFormat="1" x14ac:dyDescent="0.2">
      <c r="A204" s="589" t="str">
        <f>A197</f>
        <v>Корпус А4</v>
      </c>
      <c r="B204" s="65"/>
      <c r="C204" s="21" t="s">
        <v>455</v>
      </c>
      <c r="D204" s="65"/>
      <c r="E204" s="155">
        <v>0</v>
      </c>
      <c r="F204" s="155">
        <f>MAX(E197,0)</f>
        <v>0</v>
      </c>
      <c r="G204" s="155">
        <f t="shared" ref="G204:AR209" ca="1" si="135">MAX(F197,0)</f>
        <v>0</v>
      </c>
      <c r="H204" s="155">
        <f t="shared" ca="1" si="135"/>
        <v>0</v>
      </c>
      <c r="I204" s="155">
        <f t="shared" ca="1" si="135"/>
        <v>0</v>
      </c>
      <c r="J204" s="155">
        <f t="shared" ca="1" si="135"/>
        <v>0</v>
      </c>
      <c r="K204" s="155">
        <f t="shared" ca="1" si="135"/>
        <v>0</v>
      </c>
      <c r="L204" s="155">
        <f t="shared" ca="1" si="135"/>
        <v>0</v>
      </c>
      <c r="M204" s="155">
        <f t="shared" ca="1" si="135"/>
        <v>0</v>
      </c>
      <c r="N204" s="155">
        <f t="shared" ca="1" si="135"/>
        <v>0</v>
      </c>
      <c r="O204" s="155">
        <f t="shared" ca="1" si="135"/>
        <v>0</v>
      </c>
      <c r="P204" s="155">
        <f t="shared" ca="1" si="135"/>
        <v>0</v>
      </c>
      <c r="Q204" s="155">
        <f t="shared" ca="1" si="135"/>
        <v>0</v>
      </c>
      <c r="R204" s="155">
        <f t="shared" ca="1" si="135"/>
        <v>0</v>
      </c>
      <c r="S204" s="155">
        <f t="shared" ca="1" si="135"/>
        <v>25289.201660613824</v>
      </c>
      <c r="T204" s="155">
        <f t="shared" ca="1" si="135"/>
        <v>31061.638361770321</v>
      </c>
      <c r="U204" s="155">
        <f t="shared" ca="1" si="135"/>
        <v>31366.899020510948</v>
      </c>
      <c r="V204" s="155">
        <f t="shared" ca="1" si="135"/>
        <v>31676.877003673737</v>
      </c>
      <c r="W204" s="155">
        <f t="shared" ca="1" si="135"/>
        <v>33265.613217200429</v>
      </c>
      <c r="X204" s="155">
        <f t="shared" ca="1" si="135"/>
        <v>33597.282389022439</v>
      </c>
      <c r="Y204" s="155">
        <f t="shared" ca="1" si="135"/>
        <v>33934.159675979317</v>
      </c>
      <c r="Z204" s="155">
        <f t="shared" ca="1" si="135"/>
        <v>34276.328557322267</v>
      </c>
      <c r="AA204" s="155">
        <f t="shared" ca="1" si="135"/>
        <v>34616.31246156749</v>
      </c>
      <c r="AB204" s="155">
        <f t="shared" ca="1" si="135"/>
        <v>34961.551495140215</v>
      </c>
      <c r="AC204" s="155">
        <f t="shared" ca="1" si="135"/>
        <v>35312.128840894933</v>
      </c>
      <c r="AD204" s="155">
        <f t="shared" ca="1" si="135"/>
        <v>35668.129021729779</v>
      </c>
      <c r="AE204" s="155">
        <f t="shared" ca="1" si="135"/>
        <v>36026.11394630016</v>
      </c>
      <c r="AF204" s="155">
        <f t="shared" ca="1" si="135"/>
        <v>36389.586176070428</v>
      </c>
      <c r="AG204" s="155">
        <f t="shared" ca="1" si="135"/>
        <v>36758.63181384973</v>
      </c>
      <c r="AH204" s="155">
        <f t="shared" ca="1" si="135"/>
        <v>37133.338337043795</v>
      </c>
      <c r="AI204" s="155">
        <f t="shared" ca="1" si="135"/>
        <v>37512.981662938037</v>
      </c>
      <c r="AJ204" s="155">
        <f t="shared" ca="1" si="135"/>
        <v>37898.433933170993</v>
      </c>
      <c r="AK204" s="155">
        <f t="shared" ca="1" si="135"/>
        <v>36393.442672641337</v>
      </c>
      <c r="AL204" s="155">
        <f t="shared" ca="1" si="135"/>
        <v>36790.786961438309</v>
      </c>
      <c r="AM204" s="155">
        <f t="shared" ca="1" si="135"/>
        <v>37194.136736092332</v>
      </c>
      <c r="AN204" s="155">
        <f t="shared" ca="1" si="135"/>
        <v>38237.072025637928</v>
      </c>
      <c r="AO204" s="155">
        <f t="shared" ca="1" si="135"/>
        <v>38655.974618611275</v>
      </c>
      <c r="AP204" s="155">
        <f t="shared" ca="1" si="135"/>
        <v>39081.268551968533</v>
      </c>
      <c r="AQ204" s="155">
        <f t="shared" ca="1" si="135"/>
        <v>38526.210581234438</v>
      </c>
      <c r="AR204" s="155">
        <f t="shared" ca="1" si="135"/>
        <v>49091.567153997239</v>
      </c>
      <c r="AT204" s="103">
        <f t="shared" ref="AT204:AT209" ca="1" si="136">SUM(E204:AS204)</f>
        <v>930715.66687642038</v>
      </c>
    </row>
    <row r="205" spans="1:46" s="40" customFormat="1" x14ac:dyDescent="0.2">
      <c r="A205" s="589" t="str">
        <f t="shared" ref="A205:A209" si="137">A198</f>
        <v>Корпус B2</v>
      </c>
      <c r="B205" s="65"/>
      <c r="C205" s="21" t="s">
        <v>455</v>
      </c>
      <c r="D205" s="65"/>
      <c r="E205" s="155">
        <v>0</v>
      </c>
      <c r="F205" s="155">
        <f t="shared" ref="F205:U209" si="138">MAX(E198,0)</f>
        <v>0</v>
      </c>
      <c r="G205" s="155">
        <f t="shared" ca="1" si="138"/>
        <v>0</v>
      </c>
      <c r="H205" s="155">
        <f t="shared" ca="1" si="138"/>
        <v>0</v>
      </c>
      <c r="I205" s="155">
        <f t="shared" ca="1" si="138"/>
        <v>0</v>
      </c>
      <c r="J205" s="155">
        <f t="shared" ca="1" si="138"/>
        <v>0</v>
      </c>
      <c r="K205" s="155">
        <f t="shared" ca="1" si="138"/>
        <v>0</v>
      </c>
      <c r="L205" s="155">
        <f t="shared" ca="1" si="138"/>
        <v>0</v>
      </c>
      <c r="M205" s="155">
        <f t="shared" ca="1" si="138"/>
        <v>0</v>
      </c>
      <c r="N205" s="155">
        <f t="shared" ca="1" si="138"/>
        <v>0</v>
      </c>
      <c r="O205" s="155">
        <f t="shared" ca="1" si="138"/>
        <v>0</v>
      </c>
      <c r="P205" s="155">
        <f t="shared" ca="1" si="138"/>
        <v>0</v>
      </c>
      <c r="Q205" s="155">
        <f t="shared" ca="1" si="138"/>
        <v>0</v>
      </c>
      <c r="R205" s="155">
        <f t="shared" ca="1" si="138"/>
        <v>0</v>
      </c>
      <c r="S205" s="155">
        <f t="shared" ca="1" si="138"/>
        <v>0</v>
      </c>
      <c r="T205" s="155">
        <f t="shared" ca="1" si="138"/>
        <v>0</v>
      </c>
      <c r="U205" s="155">
        <f t="shared" ca="1" si="138"/>
        <v>0</v>
      </c>
      <c r="V205" s="155">
        <f t="shared" ca="1" si="135"/>
        <v>0</v>
      </c>
      <c r="W205" s="155">
        <f t="shared" ca="1" si="135"/>
        <v>0</v>
      </c>
      <c r="X205" s="155">
        <f t="shared" ca="1" si="135"/>
        <v>167.18855014501969</v>
      </c>
      <c r="Y205" s="155">
        <f t="shared" ca="1" si="135"/>
        <v>16896.871231763496</v>
      </c>
      <c r="Z205" s="155">
        <f t="shared" ca="1" si="135"/>
        <v>17067.247736818401</v>
      </c>
      <c r="AA205" s="155">
        <f t="shared" ca="1" si="135"/>
        <v>17236.536273966707</v>
      </c>
      <c r="AB205" s="155">
        <f t="shared" ca="1" si="135"/>
        <v>17408.441503097401</v>
      </c>
      <c r="AC205" s="155">
        <f t="shared" ca="1" si="135"/>
        <v>17583.004843535269</v>
      </c>
      <c r="AD205" s="155">
        <f t="shared" ca="1" si="135"/>
        <v>17760.268381854414</v>
      </c>
      <c r="AE205" s="155">
        <f t="shared" ca="1" si="135"/>
        <v>17938.520185674974</v>
      </c>
      <c r="AF205" s="155">
        <f t="shared" ca="1" si="135"/>
        <v>18119.504289050241</v>
      </c>
      <c r="AG205" s="155">
        <f t="shared" ca="1" si="135"/>
        <v>18303.263565241035</v>
      </c>
      <c r="AH205" s="155">
        <f t="shared" ca="1" si="135"/>
        <v>18489.841571962494</v>
      </c>
      <c r="AI205" s="155">
        <f t="shared" ca="1" si="135"/>
        <v>18678.877765959489</v>
      </c>
      <c r="AJ205" s="155">
        <f t="shared" ca="1" si="135"/>
        <v>18870.806413620321</v>
      </c>
      <c r="AK205" s="155">
        <f t="shared" ca="1" si="135"/>
        <v>18121.424558377268</v>
      </c>
      <c r="AL205" s="155">
        <f t="shared" ca="1" si="135"/>
        <v>18319.27461114377</v>
      </c>
      <c r="AM205" s="155">
        <f t="shared" ca="1" si="135"/>
        <v>18520.114981695635</v>
      </c>
      <c r="AN205" s="155">
        <f t="shared" ca="1" si="135"/>
        <v>19039.424829317639</v>
      </c>
      <c r="AO205" s="155">
        <f t="shared" ca="1" si="135"/>
        <v>19248.009430784372</v>
      </c>
      <c r="AP205" s="155">
        <f t="shared" ca="1" si="135"/>
        <v>0</v>
      </c>
      <c r="AQ205" s="155">
        <f t="shared" ca="1" si="135"/>
        <v>0</v>
      </c>
      <c r="AR205" s="155">
        <f t="shared" ca="1" si="135"/>
        <v>0</v>
      </c>
      <c r="AT205" s="103">
        <f t="shared" ca="1" si="136"/>
        <v>307768.62072400801</v>
      </c>
    </row>
    <row r="206" spans="1:46" s="40" customFormat="1" x14ac:dyDescent="0.2">
      <c r="A206" s="589" t="str">
        <f t="shared" si="137"/>
        <v>БП с ЦОД</v>
      </c>
      <c r="B206" s="65"/>
      <c r="C206" s="21" t="s">
        <v>455</v>
      </c>
      <c r="D206" s="65"/>
      <c r="E206" s="155">
        <v>0</v>
      </c>
      <c r="F206" s="155">
        <f t="shared" si="138"/>
        <v>0</v>
      </c>
      <c r="G206" s="155">
        <f t="shared" ca="1" si="135"/>
        <v>0</v>
      </c>
      <c r="H206" s="155">
        <f t="shared" ca="1" si="135"/>
        <v>0</v>
      </c>
      <c r="I206" s="155">
        <f t="shared" ca="1" si="135"/>
        <v>0</v>
      </c>
      <c r="J206" s="155">
        <f t="shared" ca="1" si="135"/>
        <v>0</v>
      </c>
      <c r="K206" s="155">
        <f t="shared" ca="1" si="135"/>
        <v>0</v>
      </c>
      <c r="L206" s="155">
        <f t="shared" ca="1" si="135"/>
        <v>0</v>
      </c>
      <c r="M206" s="155">
        <f t="shared" ca="1" si="135"/>
        <v>0</v>
      </c>
      <c r="N206" s="155">
        <f t="shared" ca="1" si="135"/>
        <v>0</v>
      </c>
      <c r="O206" s="155">
        <f t="shared" ca="1" si="135"/>
        <v>0</v>
      </c>
      <c r="P206" s="155">
        <f t="shared" ca="1" si="135"/>
        <v>0</v>
      </c>
      <c r="Q206" s="155">
        <f t="shared" ca="1" si="135"/>
        <v>0</v>
      </c>
      <c r="R206" s="155">
        <f t="shared" ca="1" si="135"/>
        <v>0</v>
      </c>
      <c r="S206" s="155">
        <f t="shared" ca="1" si="135"/>
        <v>0</v>
      </c>
      <c r="T206" s="155">
        <f t="shared" ca="1" si="135"/>
        <v>0</v>
      </c>
      <c r="U206" s="155">
        <f t="shared" ca="1" si="135"/>
        <v>0</v>
      </c>
      <c r="V206" s="155">
        <f t="shared" ca="1" si="135"/>
        <v>0</v>
      </c>
      <c r="W206" s="155">
        <f t="shared" ca="1" si="135"/>
        <v>0</v>
      </c>
      <c r="X206" s="155">
        <f t="shared" ca="1" si="135"/>
        <v>0</v>
      </c>
      <c r="Y206" s="155">
        <f t="shared" ca="1" si="135"/>
        <v>0</v>
      </c>
      <c r="Z206" s="155">
        <f t="shared" ca="1" si="135"/>
        <v>0</v>
      </c>
      <c r="AA206" s="155">
        <f t="shared" ca="1" si="135"/>
        <v>0</v>
      </c>
      <c r="AB206" s="155">
        <f t="shared" ca="1" si="135"/>
        <v>0</v>
      </c>
      <c r="AC206" s="155">
        <f t="shared" ca="1" si="135"/>
        <v>0</v>
      </c>
      <c r="AD206" s="155">
        <f t="shared" ca="1" si="135"/>
        <v>0</v>
      </c>
      <c r="AE206" s="155">
        <f t="shared" ca="1" si="135"/>
        <v>0</v>
      </c>
      <c r="AF206" s="155">
        <f t="shared" ca="1" si="135"/>
        <v>15867.147512179348</v>
      </c>
      <c r="AG206" s="155">
        <f t="shared" ca="1" si="135"/>
        <v>61767.176837548192</v>
      </c>
      <c r="AH206" s="155">
        <f t="shared" ca="1" si="135"/>
        <v>62396.813005660151</v>
      </c>
      <c r="AI206" s="155">
        <f t="shared" ca="1" si="135"/>
        <v>63034.744704654149</v>
      </c>
      <c r="AJ206" s="155">
        <f t="shared" ca="1" si="135"/>
        <v>63682.437433221465</v>
      </c>
      <c r="AK206" s="155">
        <f t="shared" ca="1" si="135"/>
        <v>61153.533153028009</v>
      </c>
      <c r="AL206" s="155">
        <f t="shared" ca="1" si="135"/>
        <v>0</v>
      </c>
      <c r="AM206" s="155">
        <f t="shared" ca="1" si="135"/>
        <v>42434.251413647755</v>
      </c>
      <c r="AN206" s="155">
        <f t="shared" ca="1" si="135"/>
        <v>64251.466200321927</v>
      </c>
      <c r="AO206" s="155">
        <f t="shared" ca="1" si="135"/>
        <v>64955.367005687149</v>
      </c>
      <c r="AP206" s="155">
        <f t="shared" ca="1" si="135"/>
        <v>65670.007466807801</v>
      </c>
      <c r="AQ206" s="155">
        <f t="shared" ca="1" si="135"/>
        <v>64737.318676674273</v>
      </c>
      <c r="AR206" s="155">
        <f t="shared" ca="1" si="135"/>
        <v>82490.760945320188</v>
      </c>
      <c r="AT206" s="103">
        <f t="shared" ca="1" si="136"/>
        <v>712441.02435475029</v>
      </c>
    </row>
    <row r="207" spans="1:46" s="40" customFormat="1" x14ac:dyDescent="0.2">
      <c r="A207" s="589" t="str">
        <f t="shared" si="137"/>
        <v>Корпус B1</v>
      </c>
      <c r="B207" s="65"/>
      <c r="C207" s="21" t="s">
        <v>455</v>
      </c>
      <c r="D207" s="65"/>
      <c r="E207" s="155">
        <v>0</v>
      </c>
      <c r="F207" s="155">
        <f t="shared" si="138"/>
        <v>0</v>
      </c>
      <c r="G207" s="155">
        <f t="shared" ca="1" si="135"/>
        <v>0</v>
      </c>
      <c r="H207" s="155">
        <f t="shared" ca="1" si="135"/>
        <v>0</v>
      </c>
      <c r="I207" s="155">
        <f t="shared" ca="1" si="135"/>
        <v>0</v>
      </c>
      <c r="J207" s="155">
        <f t="shared" ca="1" si="135"/>
        <v>0</v>
      </c>
      <c r="K207" s="155">
        <f t="shared" ca="1" si="135"/>
        <v>0</v>
      </c>
      <c r="L207" s="155">
        <f t="shared" ca="1" si="135"/>
        <v>0</v>
      </c>
      <c r="M207" s="155">
        <f t="shared" ca="1" si="135"/>
        <v>0</v>
      </c>
      <c r="N207" s="155">
        <f t="shared" ca="1" si="135"/>
        <v>0</v>
      </c>
      <c r="O207" s="155">
        <f t="shared" ca="1" si="135"/>
        <v>0</v>
      </c>
      <c r="P207" s="155">
        <f t="shared" ca="1" si="135"/>
        <v>0</v>
      </c>
      <c r="Q207" s="155">
        <f t="shared" ca="1" si="135"/>
        <v>0</v>
      </c>
      <c r="R207" s="155">
        <f t="shared" ca="1" si="135"/>
        <v>0</v>
      </c>
      <c r="S207" s="155">
        <f t="shared" ca="1" si="135"/>
        <v>0</v>
      </c>
      <c r="T207" s="155">
        <f t="shared" ca="1" si="135"/>
        <v>0</v>
      </c>
      <c r="U207" s="155">
        <f t="shared" ca="1" si="135"/>
        <v>0</v>
      </c>
      <c r="V207" s="155">
        <f t="shared" ca="1" si="135"/>
        <v>0</v>
      </c>
      <c r="W207" s="155">
        <f t="shared" ca="1" si="135"/>
        <v>0</v>
      </c>
      <c r="X207" s="155">
        <f t="shared" ca="1" si="135"/>
        <v>0</v>
      </c>
      <c r="Y207" s="155">
        <f t="shared" ca="1" si="135"/>
        <v>0</v>
      </c>
      <c r="Z207" s="155">
        <f t="shared" ca="1" si="135"/>
        <v>0</v>
      </c>
      <c r="AA207" s="155">
        <f t="shared" ca="1" si="135"/>
        <v>0</v>
      </c>
      <c r="AB207" s="155">
        <f t="shared" ca="1" si="135"/>
        <v>1290.6908454766963</v>
      </c>
      <c r="AC207" s="155">
        <f t="shared" ca="1" si="135"/>
        <v>8791.5024217676364</v>
      </c>
      <c r="AD207" s="155">
        <f t="shared" ca="1" si="135"/>
        <v>8880.1341909272051</v>
      </c>
      <c r="AE207" s="155">
        <f t="shared" ca="1" si="135"/>
        <v>8969.260092837485</v>
      </c>
      <c r="AF207" s="155">
        <f t="shared" ca="1" si="135"/>
        <v>9059.7521445251223</v>
      </c>
      <c r="AG207" s="155">
        <f t="shared" ca="1" si="135"/>
        <v>9151.6317826205195</v>
      </c>
      <c r="AH207" s="155">
        <f t="shared" ca="1" si="135"/>
        <v>9244.9207859812486</v>
      </c>
      <c r="AI207" s="155">
        <f t="shared" ca="1" si="135"/>
        <v>9339.4388829797426</v>
      </c>
      <c r="AJ207" s="155">
        <f t="shared" ca="1" si="135"/>
        <v>9435.4032068101624</v>
      </c>
      <c r="AK207" s="155">
        <f t="shared" ca="1" si="135"/>
        <v>9060.7122791886359</v>
      </c>
      <c r="AL207" s="155">
        <f t="shared" ca="1" si="135"/>
        <v>9159.6373055718868</v>
      </c>
      <c r="AM207" s="155">
        <f t="shared" ca="1" si="135"/>
        <v>9260.0574908478156</v>
      </c>
      <c r="AN207" s="155">
        <f t="shared" ca="1" si="135"/>
        <v>9519.7124146588176</v>
      </c>
      <c r="AO207" s="155">
        <f t="shared" ca="1" si="135"/>
        <v>9624.0047153921842</v>
      </c>
      <c r="AP207" s="155">
        <f t="shared" ca="1" si="135"/>
        <v>9729.8882394900938</v>
      </c>
      <c r="AQ207" s="155">
        <f t="shared" ca="1" si="135"/>
        <v>9591.6979447073318</v>
      </c>
      <c r="AR207" s="155">
        <f t="shared" ca="1" si="135"/>
        <v>12222.107408684828</v>
      </c>
      <c r="AT207" s="103">
        <f t="shared" ca="1" si="136"/>
        <v>152330.5521524674</v>
      </c>
    </row>
    <row r="208" spans="1:46" s="40" customFormat="1" x14ac:dyDescent="0.2">
      <c r="A208" s="589" t="str">
        <f t="shared" si="137"/>
        <v>Корпус B3</v>
      </c>
      <c r="B208" s="65"/>
      <c r="C208" s="21" t="s">
        <v>455</v>
      </c>
      <c r="D208" s="65"/>
      <c r="E208" s="155">
        <v>0</v>
      </c>
      <c r="F208" s="155">
        <f t="shared" si="138"/>
        <v>0</v>
      </c>
      <c r="G208" s="155">
        <f t="shared" ca="1" si="135"/>
        <v>0</v>
      </c>
      <c r="H208" s="155">
        <f t="shared" ca="1" si="135"/>
        <v>0</v>
      </c>
      <c r="I208" s="155">
        <f t="shared" ca="1" si="135"/>
        <v>0</v>
      </c>
      <c r="J208" s="155">
        <f t="shared" ca="1" si="135"/>
        <v>0</v>
      </c>
      <c r="K208" s="155">
        <f t="shared" ca="1" si="135"/>
        <v>0</v>
      </c>
      <c r="L208" s="155">
        <f t="shared" ca="1" si="135"/>
        <v>0</v>
      </c>
      <c r="M208" s="155">
        <f t="shared" ca="1" si="135"/>
        <v>0</v>
      </c>
      <c r="N208" s="155">
        <f t="shared" ca="1" si="135"/>
        <v>0</v>
      </c>
      <c r="O208" s="155">
        <f t="shared" ca="1" si="135"/>
        <v>0</v>
      </c>
      <c r="P208" s="155">
        <f t="shared" ca="1" si="135"/>
        <v>0</v>
      </c>
      <c r="Q208" s="155">
        <f t="shared" ca="1" si="135"/>
        <v>0</v>
      </c>
      <c r="R208" s="155">
        <f t="shared" ca="1" si="135"/>
        <v>0</v>
      </c>
      <c r="S208" s="155">
        <f t="shared" ca="1" si="135"/>
        <v>0</v>
      </c>
      <c r="T208" s="155">
        <f t="shared" ca="1" si="135"/>
        <v>0</v>
      </c>
      <c r="U208" s="155">
        <f t="shared" ca="1" si="135"/>
        <v>0</v>
      </c>
      <c r="V208" s="155">
        <f t="shared" ca="1" si="135"/>
        <v>0</v>
      </c>
      <c r="W208" s="155">
        <f t="shared" ca="1" si="135"/>
        <v>0</v>
      </c>
      <c r="X208" s="155">
        <f t="shared" ca="1" si="135"/>
        <v>0</v>
      </c>
      <c r="Y208" s="155">
        <f t="shared" ca="1" si="135"/>
        <v>0</v>
      </c>
      <c r="Z208" s="155">
        <f t="shared" ca="1" si="135"/>
        <v>0</v>
      </c>
      <c r="AA208" s="155">
        <f t="shared" ca="1" si="135"/>
        <v>0</v>
      </c>
      <c r="AB208" s="155">
        <f t="shared" ca="1" si="135"/>
        <v>0</v>
      </c>
      <c r="AC208" s="155">
        <f t="shared" ca="1" si="135"/>
        <v>0</v>
      </c>
      <c r="AD208" s="155">
        <f t="shared" ca="1" si="135"/>
        <v>0</v>
      </c>
      <c r="AE208" s="155">
        <f t="shared" ca="1" si="135"/>
        <v>0</v>
      </c>
      <c r="AF208" s="155">
        <f t="shared" ca="1" si="135"/>
        <v>5620.0895969672565</v>
      </c>
      <c r="AG208" s="155">
        <f t="shared" ca="1" si="135"/>
        <v>21877.723624380909</v>
      </c>
      <c r="AH208" s="155">
        <f t="shared" ca="1" si="135"/>
        <v>22100.738610254346</v>
      </c>
      <c r="AI208" s="155">
        <f t="shared" ca="1" si="135"/>
        <v>22326.691844907255</v>
      </c>
      <c r="AJ208" s="155">
        <f t="shared" ca="1" si="135"/>
        <v>22556.102402983845</v>
      </c>
      <c r="AK208" s="155">
        <f t="shared" ca="1" si="135"/>
        <v>21660.373121716875</v>
      </c>
      <c r="AL208" s="155">
        <f t="shared" ca="1" si="135"/>
        <v>21896.861481187079</v>
      </c>
      <c r="AM208" s="155">
        <f t="shared" ca="1" si="135"/>
        <v>22136.92414017082</v>
      </c>
      <c r="AN208" s="155">
        <f t="shared" ca="1" si="135"/>
        <v>22757.650453879673</v>
      </c>
      <c r="AO208" s="155">
        <f t="shared" ca="1" si="135"/>
        <v>23006.969721283815</v>
      </c>
      <c r="AP208" s="155">
        <f t="shared" ca="1" si="135"/>
        <v>0</v>
      </c>
      <c r="AQ208" s="155">
        <f t="shared" ca="1" si="135"/>
        <v>0</v>
      </c>
      <c r="AR208" s="155">
        <f t="shared" ca="1" si="135"/>
        <v>0</v>
      </c>
      <c r="AT208" s="103">
        <f t="shared" ca="1" si="136"/>
        <v>205940.12499773188</v>
      </c>
    </row>
    <row r="209" spans="1:46" x14ac:dyDescent="0.2">
      <c r="A209" s="589" t="str">
        <f t="shared" si="137"/>
        <v>Объект II очереди</v>
      </c>
      <c r="B209" s="64"/>
      <c r="C209" s="21" t="s">
        <v>455</v>
      </c>
      <c r="D209" s="65"/>
      <c r="E209" s="155">
        <v>0</v>
      </c>
      <c r="F209" s="155">
        <f t="shared" si="138"/>
        <v>0</v>
      </c>
      <c r="G209" s="155">
        <f t="shared" ca="1" si="135"/>
        <v>0</v>
      </c>
      <c r="H209" s="155">
        <f t="shared" ca="1" si="135"/>
        <v>0</v>
      </c>
      <c r="I209" s="155">
        <f t="shared" ca="1" si="135"/>
        <v>0</v>
      </c>
      <c r="J209" s="155">
        <f t="shared" ca="1" si="135"/>
        <v>0</v>
      </c>
      <c r="K209" s="155">
        <f t="shared" ca="1" si="135"/>
        <v>0</v>
      </c>
      <c r="L209" s="155">
        <f t="shared" ca="1" si="135"/>
        <v>0</v>
      </c>
      <c r="M209" s="155">
        <f t="shared" ca="1" si="135"/>
        <v>0</v>
      </c>
      <c r="N209" s="155">
        <f t="shared" ca="1" si="135"/>
        <v>0</v>
      </c>
      <c r="O209" s="155">
        <f t="shared" ca="1" si="135"/>
        <v>0</v>
      </c>
      <c r="P209" s="155">
        <f t="shared" ca="1" si="135"/>
        <v>0</v>
      </c>
      <c r="Q209" s="155">
        <f t="shared" ca="1" si="135"/>
        <v>0</v>
      </c>
      <c r="R209" s="155">
        <f t="shared" ca="1" si="135"/>
        <v>0</v>
      </c>
      <c r="S209" s="155">
        <f t="shared" ca="1" si="135"/>
        <v>0</v>
      </c>
      <c r="T209" s="155">
        <f t="shared" ca="1" si="135"/>
        <v>0</v>
      </c>
      <c r="U209" s="155">
        <f t="shared" ca="1" si="135"/>
        <v>0</v>
      </c>
      <c r="V209" s="155">
        <f t="shared" ca="1" si="135"/>
        <v>0</v>
      </c>
      <c r="W209" s="155">
        <f t="shared" ca="1" si="135"/>
        <v>0</v>
      </c>
      <c r="X209" s="155">
        <f t="shared" ca="1" si="135"/>
        <v>0</v>
      </c>
      <c r="Y209" s="155">
        <f t="shared" ca="1" si="135"/>
        <v>0</v>
      </c>
      <c r="Z209" s="155">
        <f t="shared" ca="1" si="135"/>
        <v>0</v>
      </c>
      <c r="AA209" s="155">
        <f t="shared" ca="1" si="135"/>
        <v>0</v>
      </c>
      <c r="AB209" s="155">
        <f t="shared" ca="1" si="135"/>
        <v>0</v>
      </c>
      <c r="AC209" s="155">
        <f t="shared" ca="1" si="135"/>
        <v>0</v>
      </c>
      <c r="AD209" s="155">
        <f t="shared" ca="1" si="135"/>
        <v>0</v>
      </c>
      <c r="AE209" s="155">
        <f t="shared" ca="1" si="135"/>
        <v>0</v>
      </c>
      <c r="AF209" s="155">
        <f t="shared" ca="1" si="135"/>
        <v>14493.058398668145</v>
      </c>
      <c r="AG209" s="155">
        <f t="shared" ca="1" si="135"/>
        <v>56418.162139119013</v>
      </c>
      <c r="AH209" s="155">
        <f t="shared" ca="1" si="135"/>
        <v>56993.272047648949</v>
      </c>
      <c r="AI209" s="155">
        <f t="shared" ca="1" si="135"/>
        <v>57575.959097150757</v>
      </c>
      <c r="AJ209" s="155">
        <f t="shared" ca="1" si="135"/>
        <v>58167.561874670384</v>
      </c>
      <c r="AK209" s="155">
        <f t="shared" ca="1" si="135"/>
        <v>55857.659771009174</v>
      </c>
      <c r="AL209" s="155">
        <f t="shared" ca="1" si="135"/>
        <v>56467.514746676519</v>
      </c>
      <c r="AM209" s="155">
        <f t="shared" ca="1" si="135"/>
        <v>57086.587107705855</v>
      </c>
      <c r="AN209" s="155">
        <f t="shared" ca="1" si="135"/>
        <v>58687.31296072909</v>
      </c>
      <c r="AO209" s="155">
        <f t="shared" ca="1" si="135"/>
        <v>59330.25621635819</v>
      </c>
      <c r="AP209" s="155">
        <f t="shared" ca="1" si="135"/>
        <v>0</v>
      </c>
      <c r="AQ209" s="155">
        <f t="shared" ca="1" si="135"/>
        <v>0</v>
      </c>
      <c r="AR209" s="155">
        <f t="shared" ca="1" si="135"/>
        <v>0</v>
      </c>
      <c r="AT209" s="103">
        <f t="shared" ca="1" si="136"/>
        <v>531077.34435973607</v>
      </c>
    </row>
    <row r="210" spans="1:46" x14ac:dyDescent="0.2">
      <c r="A210" s="46"/>
      <c r="B210" s="46"/>
      <c r="C210" s="46"/>
      <c r="D210" s="47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73"/>
      <c r="AT210" s="91"/>
    </row>
    <row r="212" spans="1:46" ht="12" thickBot="1" x14ac:dyDescent="0.25"/>
    <row r="213" spans="1:46" s="43" customFormat="1" ht="25.5" customHeight="1" thickBot="1" x14ac:dyDescent="0.25">
      <c r="A213" s="481" t="s">
        <v>741</v>
      </c>
      <c r="B213" s="479"/>
      <c r="C213" s="485"/>
      <c r="D213" s="486"/>
      <c r="E213" s="479" t="str">
        <f>CHOOSE($D$2,Параметры!E$53,Параметры!E$54)</f>
        <v>1 кв. 2020</v>
      </c>
      <c r="F213" s="479" t="str">
        <f>CHOOSE($D$2,Параметры!F$53,Параметры!F$54)</f>
        <v>2 кв. 2020</v>
      </c>
      <c r="G213" s="479" t="str">
        <f>CHOOSE($D$2,Параметры!G$53,Параметры!G$54)</f>
        <v>3 кв. 2020</v>
      </c>
      <c r="H213" s="479" t="str">
        <f>CHOOSE($D$2,Параметры!H$53,Параметры!H$54)</f>
        <v>4 кв. 2020</v>
      </c>
      <c r="I213" s="479" t="str">
        <f>CHOOSE($D$2,Параметры!I$53,Параметры!I$54)</f>
        <v>1 кв. 2021</v>
      </c>
      <c r="J213" s="479" t="str">
        <f>CHOOSE($D$2,Параметры!J$53,Параметры!J$54)</f>
        <v>2 кв. 2021</v>
      </c>
      <c r="K213" s="479" t="str">
        <f>CHOOSE($D$2,Параметры!K$53,Параметры!K$54)</f>
        <v>3 кв. 2021</v>
      </c>
      <c r="L213" s="479" t="str">
        <f>CHOOSE($D$2,Параметры!L$53,Параметры!L$54)</f>
        <v>4 кв. 2021</v>
      </c>
      <c r="M213" s="479" t="str">
        <f>CHOOSE($D$2,Параметры!M$53,Параметры!M$54)</f>
        <v>1 кв. 2022</v>
      </c>
      <c r="N213" s="479" t="str">
        <f>CHOOSE($D$2,Параметры!N$53,Параметры!N$54)</f>
        <v>2 кв. 2022</v>
      </c>
      <c r="O213" s="479" t="str">
        <f>CHOOSE($D$2,Параметры!O$53,Параметры!O$54)</f>
        <v>3 кв. 2022</v>
      </c>
      <c r="P213" s="479" t="str">
        <f>CHOOSE($D$2,Параметры!P$53,Параметры!P$54)</f>
        <v>4 кв. 2022</v>
      </c>
      <c r="Q213" s="479" t="str">
        <f>CHOOSE($D$2,Параметры!Q$53,Параметры!Q$54)</f>
        <v>1 кв. 2023</v>
      </c>
      <c r="R213" s="479" t="str">
        <f>CHOOSE($D$2,Параметры!R$53,Параметры!R$54)</f>
        <v>2 кв. 2023</v>
      </c>
      <c r="S213" s="479" t="str">
        <f>CHOOSE($D$2,Параметры!S$53,Параметры!S$54)</f>
        <v>3 кв. 2023</v>
      </c>
      <c r="T213" s="479" t="str">
        <f>CHOOSE($D$2,Параметры!T$53,Параметры!T$54)</f>
        <v>4 кв. 2023</v>
      </c>
      <c r="U213" s="479" t="str">
        <f>CHOOSE($D$2,Параметры!U$53,Параметры!U$54)</f>
        <v>1 кв. 2024</v>
      </c>
      <c r="V213" s="479" t="str">
        <f>CHOOSE($D$2,Параметры!V$53,Параметры!V$54)</f>
        <v>2 кв. 2024</v>
      </c>
      <c r="W213" s="479" t="str">
        <f>CHOOSE($D$2,Параметры!W$53,Параметры!W$54)</f>
        <v>3 кв. 2024</v>
      </c>
      <c r="X213" s="479" t="str">
        <f>CHOOSE($D$2,Параметры!X$53,Параметры!X$54)</f>
        <v>4 кв. 2024</v>
      </c>
      <c r="Y213" s="479" t="str">
        <f>CHOOSE($D$2,Параметры!Y$53,Параметры!Y$54)</f>
        <v>1 кв. 2025</v>
      </c>
      <c r="Z213" s="479" t="str">
        <f>CHOOSE($D$2,Параметры!Z$53,Параметры!Z$54)</f>
        <v>2 кв. 2025</v>
      </c>
      <c r="AA213" s="479" t="str">
        <f>CHOOSE($D$2,Параметры!AA$53,Параметры!AA$54)</f>
        <v>3 кв. 2025</v>
      </c>
      <c r="AB213" s="479" t="str">
        <f>CHOOSE($D$2,Параметры!AB$53,Параметры!AB$54)</f>
        <v>4 кв. 2025</v>
      </c>
      <c r="AC213" s="479" t="str">
        <f>CHOOSE($D$2,Параметры!AC$53,Параметры!AC$54)</f>
        <v>1 кв. 2026</v>
      </c>
      <c r="AD213" s="479" t="str">
        <f>CHOOSE($D$2,Параметры!AD$53,Параметры!AD$54)</f>
        <v>2 кв. 2026</v>
      </c>
      <c r="AE213" s="479" t="str">
        <f>CHOOSE($D$2,Параметры!AE$53,Параметры!AE$54)</f>
        <v>3 кв. 2026</v>
      </c>
      <c r="AF213" s="479" t="str">
        <f>CHOOSE($D$2,Параметры!AF$53,Параметры!AF$54)</f>
        <v>4 кв. 2026</v>
      </c>
      <c r="AG213" s="479" t="str">
        <f>CHOOSE($D$2,Параметры!AG$53,Параметры!AG$54)</f>
        <v>1 кв. 2027</v>
      </c>
      <c r="AH213" s="479" t="str">
        <f>CHOOSE($D$2,Параметры!AH$53,Параметры!AH$54)</f>
        <v>2 кв. 2027</v>
      </c>
      <c r="AI213" s="479" t="str">
        <f>CHOOSE($D$2,Параметры!AI$53,Параметры!AI$54)</f>
        <v>3 кв. 2027</v>
      </c>
      <c r="AJ213" s="479" t="str">
        <f>CHOOSE($D$2,Параметры!AJ$53,Параметры!AJ$54)</f>
        <v>4 кв. 2027</v>
      </c>
      <c r="AK213" s="479" t="str">
        <f>CHOOSE($D$2,Параметры!AK$53,Параметры!AK$54)</f>
        <v>1 кв. 2028</v>
      </c>
      <c r="AL213" s="479" t="str">
        <f>CHOOSE($D$2,Параметры!AL$53,Параметры!AL$54)</f>
        <v>2 кв. 2028</v>
      </c>
      <c r="AM213" s="479" t="str">
        <f>CHOOSE($D$2,Параметры!AM$53,Параметры!AM$54)</f>
        <v>3 кв. 2028</v>
      </c>
      <c r="AN213" s="479" t="str">
        <f>CHOOSE($D$2,Параметры!AN$53,Параметры!AN$54)</f>
        <v>4 кв. 2028</v>
      </c>
      <c r="AO213" s="479" t="str">
        <f>CHOOSE($D$2,Параметры!AO$53,Параметры!AO$54)</f>
        <v>1 кв. 2029</v>
      </c>
      <c r="AP213" s="479" t="str">
        <f>CHOOSE($D$2,Параметры!AP$53,Параметры!AP$54)</f>
        <v>2 кв. 2029</v>
      </c>
      <c r="AQ213" s="479" t="str">
        <f>CHOOSE($D$2,Параметры!AQ$53,Параметры!AQ$54)</f>
        <v>3 кв. 2029</v>
      </c>
      <c r="AR213" s="479" t="str">
        <f>CHOOSE($D$2,Параметры!AR$53,Параметры!AR$54)</f>
        <v>4 кв. 2029</v>
      </c>
      <c r="AS213" s="485"/>
      <c r="AT213" s="485" t="s">
        <v>0</v>
      </c>
    </row>
    <row r="215" spans="1:46" x14ac:dyDescent="0.2">
      <c r="A215" s="66" t="s">
        <v>715</v>
      </c>
      <c r="B215" s="64"/>
      <c r="C215" s="35" t="s">
        <v>455</v>
      </c>
      <c r="D215" s="65"/>
      <c r="E215" s="555">
        <v>0</v>
      </c>
      <c r="F215" s="555">
        <v>0</v>
      </c>
      <c r="G215" s="555">
        <v>0</v>
      </c>
      <c r="H215" s="555">
        <v>0</v>
      </c>
      <c r="I215" s="158">
        <f ca="1">(I25)*ИД!$C$276</f>
        <v>0</v>
      </c>
      <c r="J215" s="158">
        <f ca="1">(J25)*ИД!$C$276</f>
        <v>0</v>
      </c>
      <c r="K215" s="158">
        <f ca="1">(K25)*ИД!$C$276</f>
        <v>0</v>
      </c>
      <c r="L215" s="158">
        <f ca="1">(L25)*ИД!$C$276</f>
        <v>0</v>
      </c>
      <c r="M215" s="158">
        <f ca="1">(M25)*ИД!$C$276</f>
        <v>441083.50970635784</v>
      </c>
      <c r="N215" s="158">
        <f ca="1">(N25)*ИД!$C$276</f>
        <v>0</v>
      </c>
      <c r="O215" s="158">
        <f ca="1">(O25)*ИД!$C$276</f>
        <v>0</v>
      </c>
      <c r="P215" s="158">
        <f ca="1">(P25)*ИД!$C$276</f>
        <v>0</v>
      </c>
      <c r="Q215" s="158">
        <f ca="1">(Q25)*ИД!$C$276</f>
        <v>230069.28030202462</v>
      </c>
      <c r="R215" s="158">
        <f ca="1">(R25)*ИД!$C$276</f>
        <v>0</v>
      </c>
      <c r="S215" s="158">
        <f ca="1">(S25)*ИД!$C$276</f>
        <v>0</v>
      </c>
      <c r="T215" s="158">
        <f ca="1">(T25)*ИД!$C$276</f>
        <v>0</v>
      </c>
      <c r="U215" s="158">
        <f ca="1">(U25)*ИД!$C$276</f>
        <v>3675724.8593679713</v>
      </c>
      <c r="V215" s="158">
        <f ca="1">(V25)*ИД!$C$276</f>
        <v>0</v>
      </c>
      <c r="W215" s="158">
        <f ca="1">(W25)*ИД!$C$276</f>
        <v>0</v>
      </c>
      <c r="X215" s="158">
        <f ca="1">(X25)*ИД!$C$276</f>
        <v>0</v>
      </c>
      <c r="Y215" s="158">
        <f ca="1">(Y25)*ИД!$C$276</f>
        <v>0</v>
      </c>
      <c r="Z215" s="158">
        <f ca="1">(Z25)*ИД!$C$276</f>
        <v>0</v>
      </c>
      <c r="AA215" s="158">
        <f ca="1">(AA25)*ИД!$C$276</f>
        <v>0</v>
      </c>
      <c r="AB215" s="158">
        <f ca="1">(AB25)*ИД!$C$276</f>
        <v>0</v>
      </c>
      <c r="AC215" s="158">
        <f ca="1">(AC25)*ИД!$C$276</f>
        <v>0</v>
      </c>
      <c r="AD215" s="158">
        <f ca="1">(AD25)*ИД!$C$276</f>
        <v>0</v>
      </c>
      <c r="AE215" s="158">
        <f ca="1">(AE25)*ИД!$C$276</f>
        <v>0</v>
      </c>
      <c r="AF215" s="158">
        <f ca="1">(AF25)*ИД!$C$276</f>
        <v>0</v>
      </c>
      <c r="AG215" s="158">
        <f ca="1">(AG25)*ИД!$C$276</f>
        <v>0</v>
      </c>
      <c r="AH215" s="158">
        <f ca="1">(AH25)*ИД!$C$276</f>
        <v>0</v>
      </c>
      <c r="AI215" s="158">
        <f ca="1">(AI25)*ИД!$C$276</f>
        <v>0</v>
      </c>
      <c r="AJ215" s="158">
        <f ca="1">(AJ25)*ИД!$C$276</f>
        <v>0</v>
      </c>
      <c r="AK215" s="158">
        <f ca="1">(AK25)*ИД!$C$276</f>
        <v>0</v>
      </c>
      <c r="AL215" s="158">
        <f ca="1">(AL25)*ИД!$C$276</f>
        <v>0</v>
      </c>
      <c r="AM215" s="158">
        <f ca="1">(AM25)*ИД!$C$276</f>
        <v>0</v>
      </c>
      <c r="AN215" s="158">
        <f ca="1">(AN25)*ИД!$C$276</f>
        <v>0</v>
      </c>
      <c r="AO215" s="158">
        <f ca="1">(AO25)*ИД!$C$276</f>
        <v>0</v>
      </c>
      <c r="AP215" s="158">
        <f ca="1">(AP25)*ИД!$C$276</f>
        <v>0</v>
      </c>
      <c r="AQ215" s="158">
        <f ca="1">(AQ25)*ИД!$C$276</f>
        <v>0</v>
      </c>
      <c r="AR215" s="158">
        <f ca="1">(AR25)*ИД!$C$276</f>
        <v>0</v>
      </c>
      <c r="AT215" s="84">
        <f t="shared" ref="AT215:AT216" ca="1" si="139">SUM(E215:AS215)</f>
        <v>4346877.6493763532</v>
      </c>
    </row>
    <row r="216" spans="1:46" x14ac:dyDescent="0.2">
      <c r="A216" s="66" t="s">
        <v>716</v>
      </c>
      <c r="B216" s="64"/>
      <c r="C216" s="35" t="s">
        <v>455</v>
      </c>
      <c r="D216" s="65"/>
      <c r="E216" s="158">
        <f ca="1">IFERROR(OFFSET(E215,0,-$B$78)/1.2*ИД!$C$278/(1+ИД!$C$278),0)</f>
        <v>0</v>
      </c>
      <c r="F216" s="158">
        <f ca="1">IFERROR(OFFSET(F215,0,-$B$78)/1.2*ИД!$C$278/(1+ИД!$C$278),0)</f>
        <v>0</v>
      </c>
      <c r="G216" s="158">
        <f ca="1">IFERROR(OFFSET(G215,0,-$B$78)/1.2*ИД!$C$278/(1+ИД!$C$278),0)</f>
        <v>0</v>
      </c>
      <c r="H216" s="158">
        <f ca="1">IFERROR(OFFSET(H215,0,-$B$78)/1.2*ИД!$C$278/(1+ИД!$C$278),0)</f>
        <v>0</v>
      </c>
      <c r="I216" s="158">
        <f ca="1">IFERROR(OFFSET(I215,0,-$B$78)/1.2*ИД!$C$278/(1+ИД!$C$278),0)</f>
        <v>0</v>
      </c>
      <c r="J216" s="158">
        <f ca="1">IFERROR(OFFSET(J215,0,-$B$78)/1.2*ИД!$C$278/(1+ИД!$C$278),0)</f>
        <v>0</v>
      </c>
      <c r="K216" s="158">
        <f ca="1">IFERROR(OFFSET(K215,0,-$B$78)/1.2*ИД!$C$278/(1+ИД!$C$278),0)</f>
        <v>0</v>
      </c>
      <c r="L216" s="158">
        <f ca="1">IFERROR(OFFSET(L215,0,-$B$78)/1.2*ИД!$C$278/(1+ИД!$C$278),0)</f>
        <v>0</v>
      </c>
      <c r="M216" s="158">
        <f ca="1">IFERROR(OFFSET(M215,0,-$B$78)/1.2*ИД!$C$278/(1+ИД!$C$278),0)</f>
        <v>0</v>
      </c>
      <c r="N216" s="158">
        <f ca="1">IFERROR(OFFSET(N215,0,-$B$78)/1.2*ИД!$C$278/(1+ИД!$C$278),0)</f>
        <v>17503.313877236422</v>
      </c>
      <c r="O216" s="158">
        <f ca="1">IFERROR(OFFSET(O215,0,-$B$78)/1.2*ИД!$C$278/(1+ИД!$C$278),0)</f>
        <v>0</v>
      </c>
      <c r="P216" s="158">
        <f ca="1">IFERROR(OFFSET(P215,0,-$B$78)/1.2*ИД!$C$278/(1+ИД!$C$278),0)</f>
        <v>0</v>
      </c>
      <c r="Q216" s="158">
        <f ca="1">IFERROR(OFFSET(Q215,0,-$B$78)/1.2*ИД!$C$278/(1+ИД!$C$278),0)</f>
        <v>0</v>
      </c>
      <c r="R216" s="158">
        <f ca="1">IFERROR(OFFSET(R215,0,-$B$78)/1.2*ИД!$C$278/(1+ИД!$C$278),0)</f>
        <v>9129.7333453184365</v>
      </c>
      <c r="S216" s="158">
        <f ca="1">IFERROR(OFFSET(S215,0,-$B$78)/1.2*ИД!$C$278/(1+ИД!$C$278),0)</f>
        <v>0</v>
      </c>
      <c r="T216" s="158">
        <f ca="1">IFERROR(OFFSET(T215,0,-$B$78)/1.2*ИД!$C$278/(1+ИД!$C$278),0)</f>
        <v>0</v>
      </c>
      <c r="U216" s="158">
        <f ca="1">IFERROR(OFFSET(U215,0,-$B$78)/1.2*ИД!$C$278/(1+ИД!$C$278),0)</f>
        <v>0</v>
      </c>
      <c r="V216" s="158">
        <f ca="1">IFERROR(OFFSET(V215,0,-$B$78)/1.2*ИД!$C$278/(1+ИД!$C$278),0)</f>
        <v>145862.0975939671</v>
      </c>
      <c r="W216" s="158">
        <f ca="1">IFERROR(OFFSET(W215,0,-$B$78)/1.2*ИД!$C$278/(1+ИД!$C$278),0)</f>
        <v>0</v>
      </c>
      <c r="X216" s="158">
        <f ca="1">IFERROR(OFFSET(X215,0,-$B$78)/1.2*ИД!$C$278/(1+ИД!$C$278),0)</f>
        <v>0</v>
      </c>
      <c r="Y216" s="158">
        <f ca="1">IFERROR(OFFSET(Y215,0,-$B$78)/1.2*ИД!$C$278/(1+ИД!$C$278),0)</f>
        <v>0</v>
      </c>
      <c r="Z216" s="158">
        <f ca="1">IFERROR(OFFSET(Z215,0,-$B$78)/1.2*ИД!$C$278/(1+ИД!$C$278),0)</f>
        <v>0</v>
      </c>
      <c r="AA216" s="158">
        <f ca="1">IFERROR(OFFSET(AA215,0,-$B$78)/1.2*ИД!$C$278/(1+ИД!$C$278),0)</f>
        <v>0</v>
      </c>
      <c r="AB216" s="158">
        <f ca="1">IFERROR(OFFSET(AB215,0,-$B$78)/1.2*ИД!$C$278/(1+ИД!$C$278),0)</f>
        <v>0</v>
      </c>
      <c r="AC216" s="158">
        <f ca="1">IFERROR(OFFSET(AC215,0,-$B$78)/1.2*ИД!$C$278/(1+ИД!$C$278),0)</f>
        <v>0</v>
      </c>
      <c r="AD216" s="158">
        <f ca="1">IFERROR(OFFSET(AD215,0,-$B$78)/1.2*ИД!$C$278/(1+ИД!$C$278),0)</f>
        <v>0</v>
      </c>
      <c r="AE216" s="158">
        <f ca="1">IFERROR(OFFSET(AE215,0,-$B$78)/1.2*ИД!$C$278/(1+ИД!$C$278),0)</f>
        <v>0</v>
      </c>
      <c r="AF216" s="158">
        <f ca="1">IFERROR(OFFSET(AF215,0,-$B$78)/1.2*ИД!$C$278/(1+ИД!$C$278),0)</f>
        <v>0</v>
      </c>
      <c r="AG216" s="158">
        <f ca="1">IFERROR(OFFSET(AG215,0,-$B$78)/1.2*ИД!$C$278/(1+ИД!$C$278),0)</f>
        <v>0</v>
      </c>
      <c r="AH216" s="158">
        <f ca="1">IFERROR(OFFSET(AH215,0,-$B$78)/1.2*ИД!$C$278/(1+ИД!$C$278),0)</f>
        <v>0</v>
      </c>
      <c r="AI216" s="158">
        <f ca="1">IFERROR(OFFSET(AI215,0,-$B$78)/1.2*ИД!$C$278/(1+ИД!$C$278),0)</f>
        <v>0</v>
      </c>
      <c r="AJ216" s="158">
        <f ca="1">IFERROR(OFFSET(AJ215,0,-$B$78)/1.2*ИД!$C$278/(1+ИД!$C$278),0)</f>
        <v>0</v>
      </c>
      <c r="AK216" s="158">
        <f ca="1">IFERROR(OFFSET(AK215,0,-$B$78)/1.2*ИД!$C$278/(1+ИД!$C$278),0)</f>
        <v>0</v>
      </c>
      <c r="AL216" s="158">
        <f ca="1">IFERROR(OFFSET(AL215,0,-$B$78)/1.2*ИД!$C$278/(1+ИД!$C$278),0)</f>
        <v>0</v>
      </c>
      <c r="AM216" s="158">
        <f ca="1">IFERROR(OFFSET(AM215,0,-$B$78)/1.2*ИД!$C$278/(1+ИД!$C$278),0)</f>
        <v>0</v>
      </c>
      <c r="AN216" s="158">
        <f ca="1">IFERROR(OFFSET(AN215,0,-$B$78)/1.2*ИД!$C$278/(1+ИД!$C$278),0)</f>
        <v>0</v>
      </c>
      <c r="AO216" s="158">
        <f ca="1">IFERROR(OFFSET(AO215,0,-$B$78)/1.2*ИД!$C$278/(1+ИД!$C$278),0)</f>
        <v>0</v>
      </c>
      <c r="AP216" s="158">
        <f ca="1">IFERROR(OFFSET(AP215,0,-$B$78)/1.2*ИД!$C$278/(1+ИД!$C$278),0)</f>
        <v>0</v>
      </c>
      <c r="AQ216" s="158">
        <f ca="1">IFERROR(OFFSET(AQ215,0,-$B$78)/1.2*ИД!$C$278/(1+ИД!$C$278),0)</f>
        <v>0</v>
      </c>
      <c r="AR216" s="158">
        <f ca="1">IFERROR(OFFSET(AR215,0,-$B$78)/1.2*ИД!$C$278/(1+ИД!$C$278),0)</f>
        <v>0</v>
      </c>
      <c r="AT216" s="84">
        <f t="shared" ca="1" si="139"/>
        <v>172495.14481652196</v>
      </c>
    </row>
    <row r="217" spans="1:46" x14ac:dyDescent="0.2">
      <c r="A217" s="49"/>
      <c r="B217" s="64"/>
      <c r="C217" s="35"/>
      <c r="D217" s="65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T217" s="84"/>
    </row>
    <row r="218" spans="1:46" x14ac:dyDescent="0.2">
      <c r="A218" s="46"/>
      <c r="B218" s="46"/>
      <c r="C218" s="46"/>
      <c r="D218" s="47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73"/>
      <c r="AT218" s="91"/>
    </row>
    <row r="220" spans="1:46" ht="12" thickBot="1" x14ac:dyDescent="0.25"/>
    <row r="221" spans="1:46" s="43" customFormat="1" ht="25.5" customHeight="1" thickBot="1" x14ac:dyDescent="0.25">
      <c r="A221" s="481" t="s">
        <v>699</v>
      </c>
      <c r="B221" s="479"/>
      <c r="C221" s="485"/>
      <c r="D221" s="486"/>
      <c r="E221" s="479" t="str">
        <f>CHOOSE($D$2,Параметры!E$53,Параметры!E$54)</f>
        <v>1 кв. 2020</v>
      </c>
      <c r="F221" s="479" t="str">
        <f>CHOOSE($D$2,Параметры!F$53,Параметры!F$54)</f>
        <v>2 кв. 2020</v>
      </c>
      <c r="G221" s="479" t="str">
        <f>CHOOSE($D$2,Параметры!G$53,Параметры!G$54)</f>
        <v>3 кв. 2020</v>
      </c>
      <c r="H221" s="479" t="str">
        <f>CHOOSE($D$2,Параметры!H$53,Параметры!H$54)</f>
        <v>4 кв. 2020</v>
      </c>
      <c r="I221" s="479" t="str">
        <f>CHOOSE($D$2,Параметры!I$53,Параметры!I$54)</f>
        <v>1 кв. 2021</v>
      </c>
      <c r="J221" s="479" t="str">
        <f>CHOOSE($D$2,Параметры!J$53,Параметры!J$54)</f>
        <v>2 кв. 2021</v>
      </c>
      <c r="K221" s="479" t="str">
        <f>CHOOSE($D$2,Параметры!K$53,Параметры!K$54)</f>
        <v>3 кв. 2021</v>
      </c>
      <c r="L221" s="479" t="str">
        <f>CHOOSE($D$2,Параметры!L$53,Параметры!L$54)</f>
        <v>4 кв. 2021</v>
      </c>
      <c r="M221" s="479" t="str">
        <f>CHOOSE($D$2,Параметры!M$53,Параметры!M$54)</f>
        <v>1 кв. 2022</v>
      </c>
      <c r="N221" s="479" t="str">
        <f>CHOOSE($D$2,Параметры!N$53,Параметры!N$54)</f>
        <v>2 кв. 2022</v>
      </c>
      <c r="O221" s="479" t="str">
        <f>CHOOSE($D$2,Параметры!O$53,Параметры!O$54)</f>
        <v>3 кв. 2022</v>
      </c>
      <c r="P221" s="479" t="str">
        <f>CHOOSE($D$2,Параметры!P$53,Параметры!P$54)</f>
        <v>4 кв. 2022</v>
      </c>
      <c r="Q221" s="479" t="str">
        <f>CHOOSE($D$2,Параметры!Q$53,Параметры!Q$54)</f>
        <v>1 кв. 2023</v>
      </c>
      <c r="R221" s="479" t="str">
        <f>CHOOSE($D$2,Параметры!R$53,Параметры!R$54)</f>
        <v>2 кв. 2023</v>
      </c>
      <c r="S221" s="479" t="str">
        <f>CHOOSE($D$2,Параметры!S$53,Параметры!S$54)</f>
        <v>3 кв. 2023</v>
      </c>
      <c r="T221" s="479" t="str">
        <f>CHOOSE($D$2,Параметры!T$53,Параметры!T$54)</f>
        <v>4 кв. 2023</v>
      </c>
      <c r="U221" s="479" t="str">
        <f>CHOOSE($D$2,Параметры!U$53,Параметры!U$54)</f>
        <v>1 кв. 2024</v>
      </c>
      <c r="V221" s="479" t="str">
        <f>CHOOSE($D$2,Параметры!V$53,Параметры!V$54)</f>
        <v>2 кв. 2024</v>
      </c>
      <c r="W221" s="479" t="str">
        <f>CHOOSE($D$2,Параметры!W$53,Параметры!W$54)</f>
        <v>3 кв. 2024</v>
      </c>
      <c r="X221" s="479" t="str">
        <f>CHOOSE($D$2,Параметры!X$53,Параметры!X$54)</f>
        <v>4 кв. 2024</v>
      </c>
      <c r="Y221" s="479" t="str">
        <f>CHOOSE($D$2,Параметры!Y$53,Параметры!Y$54)</f>
        <v>1 кв. 2025</v>
      </c>
      <c r="Z221" s="479" t="str">
        <f>CHOOSE($D$2,Параметры!Z$53,Параметры!Z$54)</f>
        <v>2 кв. 2025</v>
      </c>
      <c r="AA221" s="479" t="str">
        <f>CHOOSE($D$2,Параметры!AA$53,Параметры!AA$54)</f>
        <v>3 кв. 2025</v>
      </c>
      <c r="AB221" s="479" t="str">
        <f>CHOOSE($D$2,Параметры!AB$53,Параметры!AB$54)</f>
        <v>4 кв. 2025</v>
      </c>
      <c r="AC221" s="479" t="str">
        <f>CHOOSE($D$2,Параметры!AC$53,Параметры!AC$54)</f>
        <v>1 кв. 2026</v>
      </c>
      <c r="AD221" s="479" t="str">
        <f>CHOOSE($D$2,Параметры!AD$53,Параметры!AD$54)</f>
        <v>2 кв. 2026</v>
      </c>
      <c r="AE221" s="479" t="str">
        <f>CHOOSE($D$2,Параметры!AE$53,Параметры!AE$54)</f>
        <v>3 кв. 2026</v>
      </c>
      <c r="AF221" s="479" t="str">
        <f>CHOOSE($D$2,Параметры!AF$53,Параметры!AF$54)</f>
        <v>4 кв. 2026</v>
      </c>
      <c r="AG221" s="479" t="str">
        <f>CHOOSE($D$2,Параметры!AG$53,Параметры!AG$54)</f>
        <v>1 кв. 2027</v>
      </c>
      <c r="AH221" s="479" t="str">
        <f>CHOOSE($D$2,Параметры!AH$53,Параметры!AH$54)</f>
        <v>2 кв. 2027</v>
      </c>
      <c r="AI221" s="479" t="str">
        <f>CHOOSE($D$2,Параметры!AI$53,Параметры!AI$54)</f>
        <v>3 кв. 2027</v>
      </c>
      <c r="AJ221" s="479" t="str">
        <f>CHOOSE($D$2,Параметры!AJ$53,Параметры!AJ$54)</f>
        <v>4 кв. 2027</v>
      </c>
      <c r="AK221" s="479" t="str">
        <f>CHOOSE($D$2,Параметры!AK$53,Параметры!AK$54)</f>
        <v>1 кв. 2028</v>
      </c>
      <c r="AL221" s="479" t="str">
        <f>CHOOSE($D$2,Параметры!AL$53,Параметры!AL$54)</f>
        <v>2 кв. 2028</v>
      </c>
      <c r="AM221" s="479" t="str">
        <f>CHOOSE($D$2,Параметры!AM$53,Параметры!AM$54)</f>
        <v>3 кв. 2028</v>
      </c>
      <c r="AN221" s="479" t="str">
        <f>CHOOSE($D$2,Параметры!AN$53,Параметры!AN$54)</f>
        <v>4 кв. 2028</v>
      </c>
      <c r="AO221" s="479" t="str">
        <f>CHOOSE($D$2,Параметры!AO$53,Параметры!AO$54)</f>
        <v>1 кв. 2029</v>
      </c>
      <c r="AP221" s="479" t="str">
        <f>CHOOSE($D$2,Параметры!AP$53,Параметры!AP$54)</f>
        <v>2 кв. 2029</v>
      </c>
      <c r="AQ221" s="479" t="str">
        <f>CHOOSE($D$2,Параметры!AQ$53,Параметры!AQ$54)</f>
        <v>3 кв. 2029</v>
      </c>
      <c r="AR221" s="479" t="str">
        <f>CHOOSE($D$2,Параметры!AR$53,Параметры!AR$54)</f>
        <v>4 кв. 2029</v>
      </c>
      <c r="AS221" s="485"/>
      <c r="AT221" s="485" t="s">
        <v>0</v>
      </c>
    </row>
    <row r="223" spans="1:46" ht="19.5" x14ac:dyDescent="0.2">
      <c r="A223" s="52" t="s">
        <v>367</v>
      </c>
      <c r="B223" s="436" t="s">
        <v>1097</v>
      </c>
      <c r="C223" s="20"/>
    </row>
    <row r="224" spans="1:46" x14ac:dyDescent="0.2">
      <c r="A224" s="66" t="s">
        <v>202</v>
      </c>
      <c r="B224" s="443">
        <f ca="1">IFERROR(AVERAGEIF(Параметры!$E$46:OFFSET(Параметры!$E$46,0,Параметры!$B$24-1),"&gt;=" &amp; Деятельность_УК!$B$9,E224:OFFSET(E224,0,Параметры!$B$24-1))*Параметры!$B$13/Параметры!$B$12,0)</f>
        <v>24310.349598994519</v>
      </c>
      <c r="C224" s="12" t="str">
        <f>Параметры!$C$126</f>
        <v>тыс. руб.</v>
      </c>
      <c r="E224" s="82">
        <f t="shared" ref="E224:AR224" ca="1" si="140">E216</f>
        <v>0</v>
      </c>
      <c r="F224" s="82">
        <f t="shared" ca="1" si="140"/>
        <v>0</v>
      </c>
      <c r="G224" s="82">
        <f t="shared" ca="1" si="140"/>
        <v>0</v>
      </c>
      <c r="H224" s="82">
        <f t="shared" ca="1" si="140"/>
        <v>0</v>
      </c>
      <c r="I224" s="82">
        <f t="shared" ca="1" si="140"/>
        <v>0</v>
      </c>
      <c r="J224" s="82">
        <f t="shared" ca="1" si="140"/>
        <v>0</v>
      </c>
      <c r="K224" s="82">
        <f t="shared" ca="1" si="140"/>
        <v>0</v>
      </c>
      <c r="L224" s="82">
        <f t="shared" ca="1" si="140"/>
        <v>0</v>
      </c>
      <c r="M224" s="82">
        <f t="shared" ca="1" si="140"/>
        <v>0</v>
      </c>
      <c r="N224" s="82">
        <f t="shared" ca="1" si="140"/>
        <v>17503.313877236422</v>
      </c>
      <c r="O224" s="82">
        <f t="shared" ca="1" si="140"/>
        <v>0</v>
      </c>
      <c r="P224" s="82">
        <f t="shared" ca="1" si="140"/>
        <v>0</v>
      </c>
      <c r="Q224" s="82">
        <f t="shared" ca="1" si="140"/>
        <v>0</v>
      </c>
      <c r="R224" s="82">
        <f t="shared" ca="1" si="140"/>
        <v>9129.7333453184365</v>
      </c>
      <c r="S224" s="82">
        <f t="shared" ca="1" si="140"/>
        <v>0</v>
      </c>
      <c r="T224" s="82">
        <f t="shared" ca="1" si="140"/>
        <v>0</v>
      </c>
      <c r="U224" s="82">
        <f t="shared" ca="1" si="140"/>
        <v>0</v>
      </c>
      <c r="V224" s="82">
        <f t="shared" ca="1" si="140"/>
        <v>145862.0975939671</v>
      </c>
      <c r="W224" s="82">
        <f t="shared" ca="1" si="140"/>
        <v>0</v>
      </c>
      <c r="X224" s="82">
        <f t="shared" ca="1" si="140"/>
        <v>0</v>
      </c>
      <c r="Y224" s="82">
        <f t="shared" ca="1" si="140"/>
        <v>0</v>
      </c>
      <c r="Z224" s="82">
        <f t="shared" ca="1" si="140"/>
        <v>0</v>
      </c>
      <c r="AA224" s="82">
        <f t="shared" ca="1" si="140"/>
        <v>0</v>
      </c>
      <c r="AB224" s="82">
        <f t="shared" ca="1" si="140"/>
        <v>0</v>
      </c>
      <c r="AC224" s="82">
        <f t="shared" ca="1" si="140"/>
        <v>0</v>
      </c>
      <c r="AD224" s="82">
        <f t="shared" ca="1" si="140"/>
        <v>0</v>
      </c>
      <c r="AE224" s="82">
        <f t="shared" ca="1" si="140"/>
        <v>0</v>
      </c>
      <c r="AF224" s="82">
        <f t="shared" ca="1" si="140"/>
        <v>0</v>
      </c>
      <c r="AG224" s="82">
        <f t="shared" ca="1" si="140"/>
        <v>0</v>
      </c>
      <c r="AH224" s="82">
        <f t="shared" ca="1" si="140"/>
        <v>0</v>
      </c>
      <c r="AI224" s="82">
        <f t="shared" ca="1" si="140"/>
        <v>0</v>
      </c>
      <c r="AJ224" s="82">
        <f t="shared" ca="1" si="140"/>
        <v>0</v>
      </c>
      <c r="AK224" s="82">
        <f t="shared" ca="1" si="140"/>
        <v>0</v>
      </c>
      <c r="AL224" s="82">
        <f t="shared" ca="1" si="140"/>
        <v>0</v>
      </c>
      <c r="AM224" s="82">
        <f t="shared" ca="1" si="140"/>
        <v>0</v>
      </c>
      <c r="AN224" s="82">
        <f t="shared" ca="1" si="140"/>
        <v>0</v>
      </c>
      <c r="AO224" s="82">
        <f t="shared" ca="1" si="140"/>
        <v>0</v>
      </c>
      <c r="AP224" s="82">
        <f t="shared" ca="1" si="140"/>
        <v>0</v>
      </c>
      <c r="AQ224" s="82">
        <f t="shared" ca="1" si="140"/>
        <v>0</v>
      </c>
      <c r="AR224" s="82">
        <f t="shared" ca="1" si="140"/>
        <v>0</v>
      </c>
      <c r="AT224" s="84">
        <f t="shared" ref="AT224:AT242" ca="1" si="141">SUM(E224:AS224)</f>
        <v>172495.14481652196</v>
      </c>
    </row>
    <row r="225" spans="1:46" x14ac:dyDescent="0.2">
      <c r="A225" s="63" t="s">
        <v>36</v>
      </c>
      <c r="B225" s="443">
        <f ca="1">IFERROR(AVERAGEIF(Параметры!$E$46:OFFSET(Параметры!$E$46,0,Параметры!$B$24-1),"&gt;=" &amp; Деятельность_УК!$B$9,E225:OFFSET(E225,0,Параметры!$B$24-1))*Параметры!$B$13/Параметры!$B$12,0)</f>
        <v>463987.08224045491</v>
      </c>
      <c r="C225" s="12" t="str">
        <f>Параметры!$C$126</f>
        <v>тыс. руб.</v>
      </c>
      <c r="E225" s="82">
        <f>E203/Параметры!E$126</f>
        <v>0</v>
      </c>
      <c r="F225" s="82">
        <f>F203/Параметры!F$126</f>
        <v>0</v>
      </c>
      <c r="G225" s="82">
        <f ca="1">G203/Параметры!G$126</f>
        <v>0</v>
      </c>
      <c r="H225" s="82">
        <f ca="1">H203/Параметры!H$126</f>
        <v>0</v>
      </c>
      <c r="I225" s="82">
        <f ca="1">I203/Параметры!I$126</f>
        <v>0</v>
      </c>
      <c r="J225" s="82">
        <f ca="1">J203/Параметры!J$126</f>
        <v>0</v>
      </c>
      <c r="K225" s="82">
        <f ca="1">K203/Параметры!K$126</f>
        <v>0</v>
      </c>
      <c r="L225" s="82">
        <f ca="1">L203/Параметры!L$126</f>
        <v>0</v>
      </c>
      <c r="M225" s="82">
        <f ca="1">M203/Параметры!M$126</f>
        <v>0</v>
      </c>
      <c r="N225" s="82">
        <f ca="1">N203/Параметры!N$126</f>
        <v>0</v>
      </c>
      <c r="O225" s="82">
        <f ca="1">O203/Параметры!O$126</f>
        <v>0</v>
      </c>
      <c r="P225" s="82">
        <f ca="1">P203/Параметры!P$126</f>
        <v>0</v>
      </c>
      <c r="Q225" s="82">
        <f ca="1">Q203/Параметры!Q$126</f>
        <v>0</v>
      </c>
      <c r="R225" s="82">
        <f ca="1">R203/Параметры!R$126</f>
        <v>0</v>
      </c>
      <c r="S225" s="82">
        <f ca="1">S203/Параметры!S$126</f>
        <v>25289.201660613824</v>
      </c>
      <c r="T225" s="82">
        <f ca="1">T203/Параметры!T$126</f>
        <v>31061.638361770321</v>
      </c>
      <c r="U225" s="82">
        <f ca="1">U203/Параметры!U$126</f>
        <v>31366.899020510948</v>
      </c>
      <c r="V225" s="82">
        <f ca="1">V203/Параметры!V$126</f>
        <v>31676.877003673737</v>
      </c>
      <c r="W225" s="82">
        <f ca="1">W203/Параметры!W$126</f>
        <v>33265.613217200429</v>
      </c>
      <c r="X225" s="82">
        <f ca="1">X203/Параметры!X$126</f>
        <v>33764.470939167455</v>
      </c>
      <c r="Y225" s="82">
        <f ca="1">Y203/Параметры!Y$126</f>
        <v>50831.03090774281</v>
      </c>
      <c r="Z225" s="82">
        <f ca="1">Z203/Параметры!Z$126</f>
        <v>51343.576294140672</v>
      </c>
      <c r="AA225" s="82">
        <f ca="1">AA203/Параметры!AA$126</f>
        <v>51852.848735534193</v>
      </c>
      <c r="AB225" s="82">
        <f ca="1">AB203/Параметры!AB$126</f>
        <v>53660.683843714316</v>
      </c>
      <c r="AC225" s="82">
        <f ca="1">AC203/Параметры!AC$126</f>
        <v>61686.636106197839</v>
      </c>
      <c r="AD225" s="82">
        <f ca="1">AD203/Параметры!AD$126</f>
        <v>62308.531594511398</v>
      </c>
      <c r="AE225" s="82">
        <f ca="1">AE203/Параметры!AE$126</f>
        <v>62933.894224812626</v>
      </c>
      <c r="AF225" s="82">
        <f ca="1">AF203/Параметры!AF$126</f>
        <v>99549.138117460534</v>
      </c>
      <c r="AG225" s="82">
        <f ca="1">AG203/Параметры!AG$126</f>
        <v>204276.58976275939</v>
      </c>
      <c r="AH225" s="82">
        <f ca="1">AH203/Параметры!AH$126</f>
        <v>206358.92435855098</v>
      </c>
      <c r="AI225" s="82">
        <f ca="1">AI203/Параметры!AI$126</f>
        <v>208468.69395858946</v>
      </c>
      <c r="AJ225" s="82">
        <f ca="1">AJ203/Параметры!AJ$126</f>
        <v>210610.74526447715</v>
      </c>
      <c r="AK225" s="82">
        <f ca="1">AK203/Параметры!AK$126</f>
        <v>202247.1455559613</v>
      </c>
      <c r="AL225" s="82">
        <f ca="1">AL203/Параметры!AL$126</f>
        <v>142634.07510601758</v>
      </c>
      <c r="AM225" s="82">
        <f ca="1">AM203/Параметры!AM$126</f>
        <v>186632.0718701602</v>
      </c>
      <c r="AN225" s="82">
        <f ca="1">AN203/Параметры!AN$126</f>
        <v>212492.63888454507</v>
      </c>
      <c r="AO225" s="82">
        <f ca="1">AO203/Параметры!AO$126</f>
        <v>214820.58170811698</v>
      </c>
      <c r="AP225" s="82">
        <f ca="1">AP203/Параметры!AP$126</f>
        <v>114481.16425826642</v>
      </c>
      <c r="AQ225" s="82">
        <f ca="1">AQ203/Параметры!AQ$126</f>
        <v>112855.22720261605</v>
      </c>
      <c r="AR225" s="82">
        <f ca="1">AR203/Параметры!AR$126</f>
        <v>143804.43550800227</v>
      </c>
      <c r="AT225" s="84">
        <f t="shared" ca="1" si="141"/>
        <v>2840273.3334651138</v>
      </c>
    </row>
    <row r="226" spans="1:46" x14ac:dyDescent="0.2">
      <c r="A226" s="63" t="s">
        <v>37</v>
      </c>
      <c r="B226" s="443">
        <f ca="1">IFERROR(AVERAGEIF(Параметры!$E$46:OFFSET(Параметры!$E$46,0,Параметры!$B$24-1),"&gt;=" &amp; Деятельность_УК!$B$9,E226:OFFSET(E226,0,Параметры!$B$24-1))*Параметры!$B$13/Параметры!$B$12,0)</f>
        <v>207063.56585966205</v>
      </c>
      <c r="C226" s="12" t="str">
        <f>Параметры!$C$126</f>
        <v>тыс. руб.</v>
      </c>
      <c r="E226" s="82">
        <f ca="1">SUM(E87:E88)/Параметры!E$126</f>
        <v>0</v>
      </c>
      <c r="F226" s="82">
        <f ca="1">SUM(F87:F88)/Параметры!F$126</f>
        <v>0</v>
      </c>
      <c r="G226" s="82">
        <f ca="1">SUM(G87:G88)/Параметры!G$126</f>
        <v>0</v>
      </c>
      <c r="H226" s="82">
        <f ca="1">SUM(H87:H88)/Параметры!H$126</f>
        <v>0</v>
      </c>
      <c r="I226" s="82">
        <f ca="1">SUM(I87:I88)/Параметры!I$126</f>
        <v>6666.8792407390174</v>
      </c>
      <c r="J226" s="82">
        <f ca="1">SUM(J87:J88)/Параметры!J$126</f>
        <v>6666.8792407390174</v>
      </c>
      <c r="K226" s="82">
        <f ca="1">SUM(K87:K88)/Параметры!K$126</f>
        <v>6729.6116722784545</v>
      </c>
      <c r="L226" s="82">
        <f ca="1">SUM(L87:L88)/Параметры!L$126</f>
        <v>6792.9343886910319</v>
      </c>
      <c r="M226" s="82">
        <f ca="1">SUM(M87:M88)/Параметры!M$126</f>
        <v>6856.8529443004481</v>
      </c>
      <c r="N226" s="82">
        <f ca="1">SUM(N87:N88)/Параметры!N$126</f>
        <v>6921.3729456941801</v>
      </c>
      <c r="O226" s="82">
        <f ca="1">SUM(O87:O88)/Параметры!O$126</f>
        <v>10631.006364903071</v>
      </c>
      <c r="P226" s="82">
        <f ca="1">SUM(P87:P88)/Параметры!P$126</f>
        <v>10749.533226888117</v>
      </c>
      <c r="Q226" s="82">
        <f ca="1">SUM(Q87:Q88)/Параметры!Q$126</f>
        <v>10869.381564614006</v>
      </c>
      <c r="R226" s="82">
        <f ca="1">SUM(R87:R88)/Параметры!R$126</f>
        <v>10990.566111434047</v>
      </c>
      <c r="S226" s="82">
        <f ca="1">SUM(S87:S88)/Параметры!S$126</f>
        <v>13096.405101708544</v>
      </c>
      <c r="T226" s="82">
        <f ca="1">SUM(T87:T88)/Параметры!T$126</f>
        <v>13245.13702651423</v>
      </c>
      <c r="U226" s="82">
        <f ca="1">SUM(U87:U88)/Параметры!U$126</f>
        <v>13395.558054954461</v>
      </c>
      <c r="V226" s="82">
        <f ca="1">SUM(V87:V88)/Параметры!V$126</f>
        <v>13547.687369669984</v>
      </c>
      <c r="W226" s="82">
        <f ca="1">SUM(W87:W88)/Параметры!W$126</f>
        <v>46827.020834403404</v>
      </c>
      <c r="X226" s="82">
        <f ca="1">SUM(X87:X88)/Параметры!X$126</f>
        <v>47372.009823146713</v>
      </c>
      <c r="Y226" s="82">
        <f ca="1">SUM(Y87:Y88)/Параметры!Y$126</f>
        <v>47923.341581354354</v>
      </c>
      <c r="Z226" s="82">
        <f ca="1">SUM(Z87:Z88)/Параметры!Z$126</f>
        <v>48481.089928360772</v>
      </c>
      <c r="AA226" s="82">
        <f ca="1">SUM(AA87:AA88)/Параметры!AA$126</f>
        <v>49015.532647622611</v>
      </c>
      <c r="AB226" s="82">
        <f ca="1">SUM(AB87:AB88)/Параметры!AB$126</f>
        <v>49555.86692214018</v>
      </c>
      <c r="AC226" s="82">
        <f ca="1">SUM(AC87:AC88)/Параметры!AC$126</f>
        <v>50102.157698861207</v>
      </c>
      <c r="AD226" s="82">
        <f ca="1">SUM(AD87:AD88)/Параметры!AD$126</f>
        <v>50654.470640691317</v>
      </c>
      <c r="AE226" s="82">
        <f ca="1">SUM(AE87:AE88)/Параметры!AE$126</f>
        <v>51207.500088550594</v>
      </c>
      <c r="AF226" s="82">
        <f ca="1">SUM(AF87:AF88)/Параметры!AF$126</f>
        <v>51766.567336555257</v>
      </c>
      <c r="AG226" s="82">
        <f ca="1">SUM(AG87:AG88)/Параметры!AG$126</f>
        <v>52331.738303492719</v>
      </c>
      <c r="AH226" s="82">
        <f ca="1">SUM(AH87:AH88)/Параметры!AH$126</f>
        <v>52903.079627830797</v>
      </c>
      <c r="AI226" s="82">
        <f ca="1">SUM(AI87:AI88)/Параметры!AI$126</f>
        <v>53483.250286550487</v>
      </c>
      <c r="AJ226" s="82">
        <f ca="1">SUM(AJ87:AJ88)/Параметры!AJ$126</f>
        <v>54069.783485893713</v>
      </c>
      <c r="AK226" s="82">
        <f ca="1">SUM(AK87:AK88)/Параметры!AK$126</f>
        <v>54662.749001748918</v>
      </c>
      <c r="AL226" s="82">
        <f ca="1">SUM(AL87:AL88)/Параметры!AL$126</f>
        <v>55262.217375213746</v>
      </c>
      <c r="AM226" s="82">
        <f ca="1">SUM(AM87:AM88)/Параметры!AM$126</f>
        <v>55885.931662769755</v>
      </c>
      <c r="AN226" s="82">
        <f ca="1">SUM(AN87:AN88)/Параметры!AN$126</f>
        <v>59081.470982766856</v>
      </c>
      <c r="AO226" s="82">
        <f ca="1">SUM(AO87:AO88)/Параметры!AO$126</f>
        <v>59748.291087569698</v>
      </c>
      <c r="AP226" s="82">
        <f ca="1">SUM(AP87:AP88)/Параметры!AP$126</f>
        <v>60422.637224557759</v>
      </c>
      <c r="AQ226" s="82">
        <f ca="1">SUM(AQ87:AQ88)/Параметры!AQ$126</f>
        <v>61105.271773292421</v>
      </c>
      <c r="AR226" s="82">
        <f ca="1">SUM(AR87:AR88)/Параметры!AR$126</f>
        <v>103576.17141997472</v>
      </c>
      <c r="AT226" s="84">
        <f t="shared" ca="1" si="141"/>
        <v>1352597.9549864768</v>
      </c>
    </row>
    <row r="227" spans="1:46" x14ac:dyDescent="0.2">
      <c r="A227" s="63" t="s">
        <v>38</v>
      </c>
      <c r="B227" s="443">
        <f ca="1">IFERROR(AVERAGEIF(Параметры!$E$46:OFFSET(Параметры!$E$46,0,Параметры!$B$24-1),"&gt;=" &amp; Деятельность_УК!$B$9,E227:OFFSET(E227,0,Параметры!$B$24-1))*Параметры!$B$13/Параметры!$B$12,0)</f>
        <v>7578.4247411189353</v>
      </c>
      <c r="C227" s="12" t="str">
        <f>Параметры!$C$126</f>
        <v>тыс. руб.</v>
      </c>
      <c r="E227" s="82">
        <f ca="1">E146/Параметры!E$126</f>
        <v>0</v>
      </c>
      <c r="F227" s="82">
        <f ca="1">F146/Параметры!F$126</f>
        <v>0</v>
      </c>
      <c r="G227" s="82">
        <f ca="1">G146/Параметры!G$126</f>
        <v>0</v>
      </c>
      <c r="H227" s="82">
        <f ca="1">H146/Параметры!H$126</f>
        <v>0</v>
      </c>
      <c r="I227" s="82">
        <f ca="1">I146/Параметры!I$126</f>
        <v>0</v>
      </c>
      <c r="J227" s="82">
        <f ca="1">J146/Параметры!J$126</f>
        <v>0</v>
      </c>
      <c r="K227" s="82">
        <f ca="1">K146/Параметры!K$126</f>
        <v>0</v>
      </c>
      <c r="L227" s="82">
        <f ca="1">L146/Параметры!L$126</f>
        <v>0</v>
      </c>
      <c r="M227" s="82">
        <f ca="1">M146/Параметры!M$126</f>
        <v>0</v>
      </c>
      <c r="N227" s="82">
        <f ca="1">N146/Параметры!N$126</f>
        <v>0</v>
      </c>
      <c r="O227" s="82">
        <f ca="1">O146/Параметры!O$126</f>
        <v>0</v>
      </c>
      <c r="P227" s="82">
        <f ca="1">P146/Параметры!P$126</f>
        <v>0</v>
      </c>
      <c r="Q227" s="82">
        <f ca="1">Q146/Параметры!Q$126</f>
        <v>0</v>
      </c>
      <c r="R227" s="82">
        <f ca="1">R146/Параметры!R$126</f>
        <v>0</v>
      </c>
      <c r="S227" s="82">
        <f ca="1">S146/Параметры!S$126</f>
        <v>0</v>
      </c>
      <c r="T227" s="82">
        <f ca="1">T146/Параметры!T$126</f>
        <v>0</v>
      </c>
      <c r="U227" s="82">
        <f ca="1">U146/Параметры!U$126</f>
        <v>0</v>
      </c>
      <c r="V227" s="82">
        <f ca="1">V146/Параметры!V$126</f>
        <v>0</v>
      </c>
      <c r="W227" s="82">
        <f ca="1">W146/Параметры!W$126</f>
        <v>0</v>
      </c>
      <c r="X227" s="82">
        <f ca="1">X146/Параметры!X$126</f>
        <v>0</v>
      </c>
      <c r="Y227" s="82">
        <f ca="1">Y146/Параметры!Y$126</f>
        <v>0</v>
      </c>
      <c r="Z227" s="82">
        <f ca="1">Z146/Параметры!Z$126</f>
        <v>0</v>
      </c>
      <c r="AA227" s="82">
        <f ca="1">AA146/Параметры!AA$126</f>
        <v>0</v>
      </c>
      <c r="AB227" s="82">
        <f ca="1">AB146/Параметры!AB$126</f>
        <v>0</v>
      </c>
      <c r="AC227" s="82">
        <f ca="1">AC146/Параметры!AC$126</f>
        <v>0</v>
      </c>
      <c r="AD227" s="82">
        <f ca="1">AD146/Параметры!AD$126</f>
        <v>0</v>
      </c>
      <c r="AE227" s="82">
        <f ca="1">AE146/Параметры!AE$126</f>
        <v>0</v>
      </c>
      <c r="AF227" s="82">
        <f ca="1">AF146/Параметры!AF$126</f>
        <v>0</v>
      </c>
      <c r="AG227" s="82">
        <f ca="1">AG146/Параметры!AG$126</f>
        <v>0</v>
      </c>
      <c r="AH227" s="82">
        <f ca="1">AH146/Параметры!AH$126</f>
        <v>0</v>
      </c>
      <c r="AI227" s="82">
        <f ca="1">AI146/Параметры!AI$126</f>
        <v>0</v>
      </c>
      <c r="AJ227" s="82">
        <f ca="1">AJ146/Параметры!AJ$126</f>
        <v>0</v>
      </c>
      <c r="AK227" s="82">
        <f ca="1">AK146/Параметры!AK$126</f>
        <v>0</v>
      </c>
      <c r="AL227" s="82">
        <f ca="1">AL146/Параметры!AL$126</f>
        <v>0</v>
      </c>
      <c r="AM227" s="82">
        <f ca="1">AM146/Параметры!AM$126</f>
        <v>0</v>
      </c>
      <c r="AN227" s="82">
        <f ca="1">AN146/Параметры!AN$126</f>
        <v>2223.7148528470511</v>
      </c>
      <c r="AO227" s="82">
        <f ca="1">AO146/Параметры!AO$126</f>
        <v>2195.5665635705068</v>
      </c>
      <c r="AP227" s="82">
        <f ca="1">AP146/Параметры!AP$126</f>
        <v>2167.4182742939615</v>
      </c>
      <c r="AQ227" s="82">
        <f ca="1">AQ146/Параметры!AQ$126</f>
        <v>2139.2699850174163</v>
      </c>
      <c r="AR227" s="82">
        <f ca="1">AR146/Параметры!AR$126</f>
        <v>36744.578770984677</v>
      </c>
      <c r="AT227" s="84">
        <f t="shared" ca="1" si="141"/>
        <v>45470.548446713612</v>
      </c>
    </row>
    <row r="228" spans="1:46" x14ac:dyDescent="0.2">
      <c r="A228" s="63" t="s">
        <v>274</v>
      </c>
      <c r="B228" s="443">
        <f ca="1">IFERROR(AVERAGEIF(Параметры!$E$46:OFFSET(Параметры!$E$46,0,Параметры!$B$24-1),"&gt;=" &amp; Деятельность_УК!$B$9,E228:OFFSET(E228,0,Параметры!$B$24-1))*Параметры!$B$13/Параметры!$B$12,0)</f>
        <v>448524.36053871439</v>
      </c>
      <c r="C228" s="12" t="str">
        <f>Параметры!$C$126</f>
        <v>тыс. руб.</v>
      </c>
      <c r="E228" s="82">
        <f ca="1">E166/Параметры!E$126</f>
        <v>0</v>
      </c>
      <c r="F228" s="82">
        <f ca="1">F166/Параметры!F$126</f>
        <v>0</v>
      </c>
      <c r="G228" s="82">
        <f ca="1">G166/Параметры!G$126</f>
        <v>0</v>
      </c>
      <c r="H228" s="82">
        <f ca="1">H166/Параметры!H$126</f>
        <v>9429.9346800000003</v>
      </c>
      <c r="I228" s="82">
        <f ca="1">I166/Параметры!I$126</f>
        <v>14144.902020000001</v>
      </c>
      <c r="J228" s="82">
        <f ca="1">J166/Параметры!J$126</f>
        <v>14295.97089315427</v>
      </c>
      <c r="K228" s="82">
        <f ca="1">K166/Параметры!K$126</f>
        <v>14524.994347373471</v>
      </c>
      <c r="L228" s="82">
        <f ca="1">L166/Параметры!L$126</f>
        <v>14757.686789377727</v>
      </c>
      <c r="M228" s="82">
        <f ca="1">M166/Параметры!M$126</f>
        <v>14994.106996864775</v>
      </c>
      <c r="N228" s="82">
        <f ca="1">N166/Параметры!N$126</f>
        <v>20314.614761989837</v>
      </c>
      <c r="O228" s="82">
        <f ca="1">O166/Параметры!O$126</f>
        <v>23193.047372991266</v>
      </c>
      <c r="P228" s="82">
        <f ca="1">P166/Параметры!P$126</f>
        <v>23584.079116516248</v>
      </c>
      <c r="Q228" s="82">
        <f ca="1">Q166/Параметры!Q$126</f>
        <v>23981.703604064263</v>
      </c>
      <c r="R228" s="82">
        <f ca="1">R166/Параметры!R$126</f>
        <v>27093.375025026002</v>
      </c>
      <c r="S228" s="82">
        <f ca="1">S166/Параметры!S$126</f>
        <v>28899.787378404028</v>
      </c>
      <c r="T228" s="82">
        <f ca="1">T166/Параметры!T$126</f>
        <v>29380.891707853742</v>
      </c>
      <c r="U228" s="82">
        <f ca="1">U166/Параметры!U$126</f>
        <v>29870.005140373476</v>
      </c>
      <c r="V228" s="82">
        <f ca="1">V166/Параметры!V$126</f>
        <v>74804.161056935031</v>
      </c>
      <c r="W228" s="82">
        <f ca="1">W166/Параметры!W$126</f>
        <v>98288.291051488617</v>
      </c>
      <c r="X228" s="82">
        <f ca="1">X166/Параметры!X$126</f>
        <v>99955.460135793954</v>
      </c>
      <c r="Y228" s="82">
        <f ca="1">Y166/Параметры!Y$126</f>
        <v>101650.90779454523</v>
      </c>
      <c r="Z228" s="82">
        <f ca="1">Z166/Параметры!Z$126</f>
        <v>103360.91252089362</v>
      </c>
      <c r="AA228" s="82">
        <f ca="1">AA166/Параметры!AA$126</f>
        <v>105092.58389548468</v>
      </c>
      <c r="AB228" s="82">
        <f ca="1">AB166/Параметры!AB$126</f>
        <v>106853.2670664739</v>
      </c>
      <c r="AC228" s="82">
        <f ca="1">AC166/Параметры!AC$126</f>
        <v>108643.44808701338</v>
      </c>
      <c r="AD228" s="82">
        <f ca="1">AD166/Параметры!AD$126</f>
        <v>110451.6826630779</v>
      </c>
      <c r="AE228" s="82">
        <f ca="1">AE166/Параметры!AE$126</f>
        <v>112284.04444644481</v>
      </c>
      <c r="AF228" s="82">
        <f ca="1">AF166/Параметры!AF$126</f>
        <v>114146.80458703171</v>
      </c>
      <c r="AG228" s="82">
        <f ca="1">AG166/Параметры!AG$126</f>
        <v>116040.46738487922</v>
      </c>
      <c r="AH228" s="82">
        <f ca="1">AH166/Параметры!AH$126</f>
        <v>117960.39779686063</v>
      </c>
      <c r="AI228" s="82">
        <f ca="1">AI166/Параметры!AI$126</f>
        <v>119909.52039150342</v>
      </c>
      <c r="AJ228" s="82">
        <f ca="1">AJ166/Параметры!AJ$126</f>
        <v>121890.8493787992</v>
      </c>
      <c r="AK228" s="82">
        <f ca="1">AK166/Параметры!AK$126</f>
        <v>123904.91692215859</v>
      </c>
      <c r="AL228" s="82">
        <f ca="1">AL166/Параметры!AL$126</f>
        <v>125940.8731144919</v>
      </c>
      <c r="AM228" s="82">
        <f ca="1">AM166/Параметры!AM$126</f>
        <v>128004.58841043789</v>
      </c>
      <c r="AN228" s="82">
        <f ca="1">AN166/Параметры!AN$126</f>
        <v>130102.12053421271</v>
      </c>
      <c r="AO228" s="82">
        <f ca="1">AO166/Параметры!AO$126</f>
        <v>132234.0236212858</v>
      </c>
      <c r="AP228" s="82">
        <f ca="1">AP166/Параметры!AP$126</f>
        <v>134389.24096183057</v>
      </c>
      <c r="AQ228" s="82">
        <f ca="1">AQ166/Параметры!AQ$126</f>
        <v>136573.77566976284</v>
      </c>
      <c r="AR228" s="82">
        <f ca="1">AR166/Параметры!AR$126</f>
        <v>138793.82060050758</v>
      </c>
      <c r="AT228" s="84">
        <f t="shared" ca="1" si="141"/>
        <v>2949741.2579259025</v>
      </c>
    </row>
    <row r="229" spans="1:46" x14ac:dyDescent="0.2">
      <c r="A229" s="66" t="s">
        <v>323</v>
      </c>
      <c r="B229" s="443">
        <f ca="1">IFERROR(AVERAGEIF(Параметры!$E$46:OFFSET(Параметры!$E$46,0,Параметры!$B$24-1),"&gt;=" &amp; Деятельность_УК!$B$9,E229:OFFSET(E229,0,Параметры!$B$24-1))*Параметры!$B$13/Параметры!$B$12,0)</f>
        <v>193145.68623221433</v>
      </c>
      <c r="C229" s="36" t="str">
        <f>Параметры!$C$126</f>
        <v>тыс. руб.</v>
      </c>
      <c r="D229" s="65"/>
      <c r="E229" s="158">
        <f ca="1">E168/Параметры!E$126</f>
        <v>0</v>
      </c>
      <c r="F229" s="158">
        <f ca="1">F168/Параметры!F$126</f>
        <v>0</v>
      </c>
      <c r="G229" s="158">
        <f ca="1">G168/Параметры!G$126</f>
        <v>0</v>
      </c>
      <c r="H229" s="158">
        <f ca="1">H168/Параметры!H$126</f>
        <v>6009.2721000000001</v>
      </c>
      <c r="I229" s="158">
        <f ca="1">I168/Параметры!I$126</f>
        <v>6009.2721000000001</v>
      </c>
      <c r="J229" s="158">
        <f ca="1">J168/Параметры!J$126</f>
        <v>6105.5414799512491</v>
      </c>
      <c r="K229" s="158">
        <f ca="1">K168/Параметры!K$126</f>
        <v>6203.3531088408026</v>
      </c>
      <c r="L229" s="158">
        <f ca="1">L168/Параметры!L$126</f>
        <v>6302.7316937124633</v>
      </c>
      <c r="M229" s="158">
        <f ca="1">M168/Параметры!M$126</f>
        <v>6403.7023374203418</v>
      </c>
      <c r="N229" s="158">
        <f ca="1">N168/Параметры!N$126</f>
        <v>9743.7366698127626</v>
      </c>
      <c r="O229" s="158">
        <f ca="1">O168/Параметры!O$126</f>
        <v>9908.0147949409929</v>
      </c>
      <c r="P229" s="158">
        <f ca="1">P168/Параметры!P$126</f>
        <v>10075.062627760446</v>
      </c>
      <c r="Q229" s="158">
        <f ca="1">Q168/Параметры!Q$126</f>
        <v>10244.92686518034</v>
      </c>
      <c r="R229" s="158">
        <f ca="1">R168/Параметры!R$126</f>
        <v>12142.92261276954</v>
      </c>
      <c r="S229" s="158">
        <f ca="1">S168/Параметры!S$126</f>
        <v>12345.0698661276</v>
      </c>
      <c r="T229" s="158">
        <f ca="1">T168/Параметры!T$126</f>
        <v>12550.582331744958</v>
      </c>
      <c r="U229" s="158">
        <f ca="1">U168/Параметры!U$126</f>
        <v>12759.516031424346</v>
      </c>
      <c r="V229" s="158">
        <f ca="1">V168/Параметры!V$126</f>
        <v>41289.560304883678</v>
      </c>
      <c r="W229" s="158">
        <f ca="1">W168/Параметры!W$126</f>
        <v>41989.915125467567</v>
      </c>
      <c r="X229" s="158">
        <f ca="1">X168/Параметры!X$126</f>
        <v>42702.149386546669</v>
      </c>
      <c r="Y229" s="158">
        <f ca="1">Y168/Параметры!Y$126</f>
        <v>43426.464587564304</v>
      </c>
      <c r="Z229" s="158">
        <f ca="1">Z168/Параметры!Z$126</f>
        <v>44154.015881297099</v>
      </c>
      <c r="AA229" s="158">
        <f ca="1">AA168/Параметры!AA$126</f>
        <v>44893.756306474046</v>
      </c>
      <c r="AB229" s="158">
        <f ca="1">AB168/Параметры!AB$126</f>
        <v>45645.890075398296</v>
      </c>
      <c r="AC229" s="158">
        <f ca="1">AC168/Параметры!AC$126</f>
        <v>46410.624821672136</v>
      </c>
      <c r="AD229" s="158">
        <f ca="1">AD168/Параметры!AD$126</f>
        <v>47180.563796027294</v>
      </c>
      <c r="AE229" s="158">
        <f ca="1">AE168/Параметры!AE$126</f>
        <v>47963.275837465881</v>
      </c>
      <c r="AF229" s="158">
        <f ca="1">AF168/Параметры!AF$126</f>
        <v>48758.97284751277</v>
      </c>
      <c r="AG229" s="158">
        <f ca="1">AG168/Параметры!AG$126</f>
        <v>49567.870243078418</v>
      </c>
      <c r="AH229" s="158">
        <f ca="1">AH168/Параметры!AH$126</f>
        <v>50386.906611754326</v>
      </c>
      <c r="AI229" s="158">
        <f ca="1">AI168/Параметры!AI$126</f>
        <v>51219.476355375016</v>
      </c>
      <c r="AJ229" s="158">
        <f ca="1">AJ168/Параметры!AJ$126</f>
        <v>52065.803093115901</v>
      </c>
      <c r="AK229" s="158">
        <f ca="1">AK168/Параметры!AK$126</f>
        <v>52926.114139131343</v>
      </c>
      <c r="AL229" s="158">
        <f ca="1">AL168/Параметры!AL$126</f>
        <v>53793.381679865444</v>
      </c>
      <c r="AM229" s="158">
        <f ca="1">AM168/Параметры!AM$126</f>
        <v>54674.860598091436</v>
      </c>
      <c r="AN229" s="158">
        <f ca="1">AN168/Параметры!AN$126</f>
        <v>55570.783766874149</v>
      </c>
      <c r="AO229" s="158">
        <f ca="1">AO168/Параметры!AO$126</f>
        <v>56481.387875225446</v>
      </c>
      <c r="AP229" s="158">
        <f ca="1">AP168/Параметры!AP$126</f>
        <v>57399.508636102852</v>
      </c>
      <c r="AQ229" s="158">
        <f ca="1">AQ168/Параметры!AQ$126</f>
        <v>58332.553706797436</v>
      </c>
      <c r="AR229" s="158">
        <f ca="1">AR168/Параметры!AR$126</f>
        <v>59280.765686140432</v>
      </c>
      <c r="AT229" s="84">
        <f t="shared" ca="1" si="141"/>
        <v>1272918.3059815478</v>
      </c>
    </row>
    <row r="230" spans="1:46" x14ac:dyDescent="0.2">
      <c r="A230" s="50" t="s">
        <v>476</v>
      </c>
      <c r="B230" s="443">
        <f ca="1">IFERROR(AVERAGEIF(Параметры!$E$46:OFFSET(Параметры!$E$46,0,Параметры!$B$24-1),"&gt;=" &amp; Деятельность_УК!$B$9,E230:OFFSET(E230,0,Параметры!$B$24-1))*Параметры!$B$13/Параметры!$B$12,0)</f>
        <v>1344609.4692111595</v>
      </c>
      <c r="C230" s="39" t="str">
        <f>Параметры!$C$126</f>
        <v>тыс. руб.</v>
      </c>
      <c r="D230" s="159"/>
      <c r="E230" s="160">
        <f t="shared" ref="E230:AR230" ca="1" si="142">SUM(E224:E229)</f>
        <v>0</v>
      </c>
      <c r="F230" s="160">
        <f t="shared" ca="1" si="142"/>
        <v>0</v>
      </c>
      <c r="G230" s="160">
        <f t="shared" ca="1" si="142"/>
        <v>0</v>
      </c>
      <c r="H230" s="160">
        <f t="shared" ca="1" si="142"/>
        <v>15439.20678</v>
      </c>
      <c r="I230" s="160">
        <f t="shared" ca="1" si="142"/>
        <v>26821.053360739017</v>
      </c>
      <c r="J230" s="160">
        <f t="shared" ca="1" si="142"/>
        <v>27068.391613844535</v>
      </c>
      <c r="K230" s="160">
        <f t="shared" ca="1" si="142"/>
        <v>27457.959128492726</v>
      </c>
      <c r="L230" s="160">
        <f t="shared" ca="1" si="142"/>
        <v>27853.352871781222</v>
      </c>
      <c r="M230" s="160">
        <f t="shared" ca="1" si="142"/>
        <v>28254.662278585565</v>
      </c>
      <c r="N230" s="160">
        <f t="shared" ca="1" si="142"/>
        <v>54483.038254733197</v>
      </c>
      <c r="O230" s="160">
        <f t="shared" ca="1" si="142"/>
        <v>43732.068532835336</v>
      </c>
      <c r="P230" s="160">
        <f t="shared" ca="1" si="142"/>
        <v>44408.674971164815</v>
      </c>
      <c r="Q230" s="160">
        <f t="shared" ca="1" si="142"/>
        <v>45096.012033858613</v>
      </c>
      <c r="R230" s="160">
        <f t="shared" ca="1" si="142"/>
        <v>59356.597094548022</v>
      </c>
      <c r="S230" s="160">
        <f t="shared" ca="1" si="142"/>
        <v>79630.464006853988</v>
      </c>
      <c r="T230" s="160">
        <f t="shared" ca="1" si="142"/>
        <v>86238.249427883246</v>
      </c>
      <c r="U230" s="160">
        <f t="shared" ca="1" si="142"/>
        <v>87391.978247263236</v>
      </c>
      <c r="V230" s="160">
        <f t="shared" ca="1" si="142"/>
        <v>307180.38332912955</v>
      </c>
      <c r="W230" s="160">
        <f t="shared" ca="1" si="142"/>
        <v>220370.84022856003</v>
      </c>
      <c r="X230" s="160">
        <f t="shared" ca="1" si="142"/>
        <v>223794.09028465478</v>
      </c>
      <c r="Y230" s="160">
        <f t="shared" ca="1" si="142"/>
        <v>243831.7448712067</v>
      </c>
      <c r="Z230" s="160">
        <f t="shared" ca="1" si="142"/>
        <v>247339.59462469214</v>
      </c>
      <c r="AA230" s="160">
        <f t="shared" ca="1" si="142"/>
        <v>250854.72158511553</v>
      </c>
      <c r="AB230" s="160">
        <f t="shared" ca="1" si="142"/>
        <v>255715.70790772667</v>
      </c>
      <c r="AC230" s="160">
        <f t="shared" ca="1" si="142"/>
        <v>266842.86671374459</v>
      </c>
      <c r="AD230" s="160">
        <f t="shared" ca="1" si="142"/>
        <v>270595.24869430787</v>
      </c>
      <c r="AE230" s="160">
        <f t="shared" ca="1" si="142"/>
        <v>274388.71459727391</v>
      </c>
      <c r="AF230" s="160">
        <f t="shared" ca="1" si="142"/>
        <v>314221.48288856022</v>
      </c>
      <c r="AG230" s="160">
        <f t="shared" ca="1" si="142"/>
        <v>422216.66569420975</v>
      </c>
      <c r="AH230" s="160">
        <f t="shared" ca="1" si="142"/>
        <v>427609.30839499674</v>
      </c>
      <c r="AI230" s="160">
        <f t="shared" ca="1" si="142"/>
        <v>433080.94099201838</v>
      </c>
      <c r="AJ230" s="160">
        <f t="shared" ca="1" si="142"/>
        <v>438637.18122228596</v>
      </c>
      <c r="AK230" s="160">
        <f t="shared" ca="1" si="142"/>
        <v>433740.92561900016</v>
      </c>
      <c r="AL230" s="160">
        <f t="shared" ca="1" si="142"/>
        <v>377630.54727558861</v>
      </c>
      <c r="AM230" s="160">
        <f t="shared" ca="1" si="142"/>
        <v>425197.45254145929</v>
      </c>
      <c r="AN230" s="160">
        <f t="shared" ca="1" si="142"/>
        <v>459470.72902124579</v>
      </c>
      <c r="AO230" s="160">
        <f t="shared" ca="1" si="142"/>
        <v>465479.85085576848</v>
      </c>
      <c r="AP230" s="160">
        <f t="shared" ca="1" si="142"/>
        <v>368859.96935505158</v>
      </c>
      <c r="AQ230" s="160">
        <f t="shared" ca="1" si="142"/>
        <v>371006.09833748615</v>
      </c>
      <c r="AR230" s="160">
        <f t="shared" ca="1" si="142"/>
        <v>482199.77198560972</v>
      </c>
      <c r="AT230" s="137">
        <f t="shared" ca="1" si="141"/>
        <v>8633496.5456222761</v>
      </c>
    </row>
    <row r="231" spans="1:46" x14ac:dyDescent="0.2">
      <c r="A231" s="49"/>
      <c r="C231" s="36"/>
      <c r="D231" s="65"/>
    </row>
    <row r="232" spans="1:46" x14ac:dyDescent="0.2">
      <c r="A232" s="50" t="s">
        <v>320</v>
      </c>
      <c r="B232" s="443">
        <f ca="1">IFERROR(AVERAGEIF(Параметры!$E$46:OFFSET(Параметры!$E$46,0,Параметры!$B$24-1),"&gt;=" &amp; Деятельность_УК!$B$9,E232:OFFSET(E232,0,Параметры!$B$24-1))*Параметры!$B$13/Параметры!$B$12,0)</f>
        <v>510412.66857261176</v>
      </c>
      <c r="C232" s="39" t="str">
        <f>Параметры!$C$126</f>
        <v>тыс. руб.</v>
      </c>
      <c r="D232" s="159"/>
      <c r="E232" s="160">
        <f t="shared" ref="E232:AR232" ca="1" si="143">SUM(E233:E235)</f>
        <v>0</v>
      </c>
      <c r="F232" s="160">
        <f t="shared" ca="1" si="143"/>
        <v>0</v>
      </c>
      <c r="G232" s="160">
        <f t="shared" ca="1" si="143"/>
        <v>0</v>
      </c>
      <c r="H232" s="160">
        <f t="shared" ca="1" si="143"/>
        <v>0</v>
      </c>
      <c r="I232" s="160">
        <f t="shared" ca="1" si="143"/>
        <v>1000.0318861108526</v>
      </c>
      <c r="J232" s="160">
        <f t="shared" ca="1" si="143"/>
        <v>1000.0318861108526</v>
      </c>
      <c r="K232" s="160">
        <f t="shared" ca="1" si="143"/>
        <v>1009.441750841768</v>
      </c>
      <c r="L232" s="160">
        <f t="shared" ca="1" si="143"/>
        <v>1018.9401583036547</v>
      </c>
      <c r="M232" s="160">
        <f t="shared" ca="1" si="143"/>
        <v>1028.5279416450671</v>
      </c>
      <c r="N232" s="160">
        <f t="shared" ca="1" si="143"/>
        <v>18541.51981909055</v>
      </c>
      <c r="O232" s="160">
        <f t="shared" ca="1" si="143"/>
        <v>1594.6509547354606</v>
      </c>
      <c r="P232" s="160">
        <f t="shared" ca="1" si="143"/>
        <v>1612.4299840332176</v>
      </c>
      <c r="Q232" s="160">
        <f t="shared" ca="1" si="143"/>
        <v>1630.4072346921009</v>
      </c>
      <c r="R232" s="160">
        <f t="shared" ca="1" si="143"/>
        <v>10778.318262033543</v>
      </c>
      <c r="S232" s="160">
        <f t="shared" ca="1" si="143"/>
        <v>27253.662425870105</v>
      </c>
      <c r="T232" s="160">
        <f t="shared" ca="1" si="143"/>
        <v>33048.408915747459</v>
      </c>
      <c r="U232" s="160">
        <f t="shared" ca="1" si="143"/>
        <v>33376.232728754119</v>
      </c>
      <c r="V232" s="160">
        <f t="shared" ca="1" si="143"/>
        <v>179571.12770309133</v>
      </c>
      <c r="W232" s="160">
        <f t="shared" ca="1" si="143"/>
        <v>40289.666342360943</v>
      </c>
      <c r="X232" s="160">
        <f t="shared" ca="1" si="143"/>
        <v>40870.272412639461</v>
      </c>
      <c r="Y232" s="160">
        <f t="shared" ca="1" si="143"/>
        <v>58019.532144945959</v>
      </c>
      <c r="Z232" s="160">
        <f t="shared" ca="1" si="143"/>
        <v>56191.685286976746</v>
      </c>
      <c r="AA232" s="160">
        <f t="shared" ca="1" si="143"/>
        <v>56754.402000296453</v>
      </c>
      <c r="AB232" s="160">
        <f t="shared" ca="1" si="143"/>
        <v>58616.270535928335</v>
      </c>
      <c r="AC232" s="160">
        <f t="shared" ca="1" si="143"/>
        <v>66696.851876083965</v>
      </c>
      <c r="AD232" s="160">
        <f t="shared" ca="1" si="143"/>
        <v>67373.978658580527</v>
      </c>
      <c r="AE232" s="160">
        <f t="shared" ca="1" si="143"/>
        <v>68054.644233667685</v>
      </c>
      <c r="AF232" s="160">
        <f t="shared" ca="1" si="143"/>
        <v>104725.79485111606</v>
      </c>
      <c r="AG232" s="160">
        <f t="shared" ca="1" si="143"/>
        <v>209509.76359310866</v>
      </c>
      <c r="AH232" s="160">
        <f t="shared" ca="1" si="143"/>
        <v>211649.23232133407</v>
      </c>
      <c r="AI232" s="160">
        <f t="shared" ca="1" si="143"/>
        <v>213817.01898724452</v>
      </c>
      <c r="AJ232" s="160">
        <f t="shared" ca="1" si="143"/>
        <v>216017.72361306654</v>
      </c>
      <c r="AK232" s="160">
        <f t="shared" ca="1" si="143"/>
        <v>207713.4204561362</v>
      </c>
      <c r="AL232" s="160">
        <f t="shared" ca="1" si="143"/>
        <v>148160.29684353896</v>
      </c>
      <c r="AM232" s="160">
        <f t="shared" ca="1" si="143"/>
        <v>192220.66503643719</v>
      </c>
      <c r="AN232" s="160">
        <f t="shared" ca="1" si="143"/>
        <v>218400.78598282175</v>
      </c>
      <c r="AO232" s="160">
        <f t="shared" ca="1" si="143"/>
        <v>220795.41081687395</v>
      </c>
      <c r="AP232" s="160">
        <f t="shared" ca="1" si="143"/>
        <v>120523.42798072219</v>
      </c>
      <c r="AQ232" s="160">
        <f t="shared" ca="1" si="143"/>
        <v>118965.7543799453</v>
      </c>
      <c r="AR232" s="160">
        <f t="shared" ca="1" si="143"/>
        <v>154162.05264999974</v>
      </c>
      <c r="AT232" s="137">
        <f t="shared" ca="1" si="141"/>
        <v>3161992.3826548848</v>
      </c>
    </row>
    <row r="233" spans="1:46" x14ac:dyDescent="0.2">
      <c r="A233" s="405" t="s">
        <v>202</v>
      </c>
      <c r="B233" s="443">
        <f ca="1">IFERROR(AVERAGEIF(Параметры!$E$46:OFFSET(Параметры!$E$46,0,Параметры!$B$24-1),"&gt;=" &amp; Деятельность_УК!$B$9,E233:OFFSET(E233,0,Параметры!$B$24-1))*Параметры!$B$13/Параметры!$B$12,0)</f>
        <v>24310.349598994519</v>
      </c>
      <c r="C233" s="406" t="str">
        <f>Параметры!$C$126</f>
        <v>тыс. руб.</v>
      </c>
      <c r="D233" s="397"/>
      <c r="E233" s="407">
        <f t="shared" ref="E233:AR233" ca="1" si="144">E224</f>
        <v>0</v>
      </c>
      <c r="F233" s="407">
        <f t="shared" ca="1" si="144"/>
        <v>0</v>
      </c>
      <c r="G233" s="407">
        <f t="shared" ca="1" si="144"/>
        <v>0</v>
      </c>
      <c r="H233" s="407">
        <f t="shared" ca="1" si="144"/>
        <v>0</v>
      </c>
      <c r="I233" s="407">
        <f t="shared" ca="1" si="144"/>
        <v>0</v>
      </c>
      <c r="J233" s="407">
        <f t="shared" ca="1" si="144"/>
        <v>0</v>
      </c>
      <c r="K233" s="407">
        <f t="shared" ca="1" si="144"/>
        <v>0</v>
      </c>
      <c r="L233" s="407">
        <f t="shared" ca="1" si="144"/>
        <v>0</v>
      </c>
      <c r="M233" s="407">
        <f t="shared" ca="1" si="144"/>
        <v>0</v>
      </c>
      <c r="N233" s="407">
        <f t="shared" ca="1" si="144"/>
        <v>17503.313877236422</v>
      </c>
      <c r="O233" s="407">
        <f t="shared" ca="1" si="144"/>
        <v>0</v>
      </c>
      <c r="P233" s="407">
        <f t="shared" ca="1" si="144"/>
        <v>0</v>
      </c>
      <c r="Q233" s="407">
        <f t="shared" ca="1" si="144"/>
        <v>0</v>
      </c>
      <c r="R233" s="407">
        <f t="shared" ca="1" si="144"/>
        <v>9129.7333453184365</v>
      </c>
      <c r="S233" s="407">
        <f t="shared" ca="1" si="144"/>
        <v>0</v>
      </c>
      <c r="T233" s="407">
        <f t="shared" ca="1" si="144"/>
        <v>0</v>
      </c>
      <c r="U233" s="407">
        <f t="shared" ca="1" si="144"/>
        <v>0</v>
      </c>
      <c r="V233" s="407">
        <f t="shared" ca="1" si="144"/>
        <v>145862.0975939671</v>
      </c>
      <c r="W233" s="407">
        <f t="shared" ca="1" si="144"/>
        <v>0</v>
      </c>
      <c r="X233" s="407">
        <f t="shared" ca="1" si="144"/>
        <v>0</v>
      </c>
      <c r="Y233" s="407">
        <f t="shared" ca="1" si="144"/>
        <v>0</v>
      </c>
      <c r="Z233" s="407">
        <f t="shared" ca="1" si="144"/>
        <v>0</v>
      </c>
      <c r="AA233" s="407">
        <f t="shared" ca="1" si="144"/>
        <v>0</v>
      </c>
      <c r="AB233" s="407">
        <f t="shared" ca="1" si="144"/>
        <v>0</v>
      </c>
      <c r="AC233" s="407">
        <f t="shared" ca="1" si="144"/>
        <v>0</v>
      </c>
      <c r="AD233" s="407">
        <f t="shared" ca="1" si="144"/>
        <v>0</v>
      </c>
      <c r="AE233" s="407">
        <f t="shared" ca="1" si="144"/>
        <v>0</v>
      </c>
      <c r="AF233" s="407">
        <f t="shared" ca="1" si="144"/>
        <v>0</v>
      </c>
      <c r="AG233" s="407">
        <f t="shared" ca="1" si="144"/>
        <v>0</v>
      </c>
      <c r="AH233" s="407">
        <f t="shared" ca="1" si="144"/>
        <v>0</v>
      </c>
      <c r="AI233" s="407">
        <f t="shared" ca="1" si="144"/>
        <v>0</v>
      </c>
      <c r="AJ233" s="407">
        <f t="shared" ca="1" si="144"/>
        <v>0</v>
      </c>
      <c r="AK233" s="407">
        <f t="shared" ca="1" si="144"/>
        <v>0</v>
      </c>
      <c r="AL233" s="407">
        <f t="shared" ca="1" si="144"/>
        <v>0</v>
      </c>
      <c r="AM233" s="407">
        <f t="shared" ca="1" si="144"/>
        <v>0</v>
      </c>
      <c r="AN233" s="407">
        <f t="shared" ca="1" si="144"/>
        <v>0</v>
      </c>
      <c r="AO233" s="407">
        <f t="shared" ca="1" si="144"/>
        <v>0</v>
      </c>
      <c r="AP233" s="407">
        <f t="shared" ca="1" si="144"/>
        <v>0</v>
      </c>
      <c r="AQ233" s="407">
        <f t="shared" ca="1" si="144"/>
        <v>0</v>
      </c>
      <c r="AR233" s="407">
        <f t="shared" ca="1" si="144"/>
        <v>0</v>
      </c>
      <c r="AT233" s="84">
        <f t="shared" ca="1" si="141"/>
        <v>172495.14481652196</v>
      </c>
    </row>
    <row r="234" spans="1:46" x14ac:dyDescent="0.2">
      <c r="A234" s="405" t="s">
        <v>36</v>
      </c>
      <c r="B234" s="443">
        <f ca="1">IFERROR(AVERAGEIF(Параметры!$E$46:OFFSET(Параметры!$E$46,0,Параметры!$B$24-1),"&gt;=" &amp; Деятельность_УК!$B$9,E234:OFFSET(E234,0,Параметры!$B$24-1))*Параметры!$B$13/Параметры!$B$12,0)</f>
        <v>463987.08224045491</v>
      </c>
      <c r="C234" s="406" t="str">
        <f>Параметры!$C$126</f>
        <v>тыс. руб.</v>
      </c>
      <c r="D234" s="397"/>
      <c r="E234" s="407">
        <f t="shared" ref="E234:AR234" si="145">E225</f>
        <v>0</v>
      </c>
      <c r="F234" s="407">
        <f t="shared" si="145"/>
        <v>0</v>
      </c>
      <c r="G234" s="407">
        <f t="shared" ca="1" si="145"/>
        <v>0</v>
      </c>
      <c r="H234" s="407">
        <f t="shared" ca="1" si="145"/>
        <v>0</v>
      </c>
      <c r="I234" s="407">
        <f t="shared" ca="1" si="145"/>
        <v>0</v>
      </c>
      <c r="J234" s="407">
        <f t="shared" ca="1" si="145"/>
        <v>0</v>
      </c>
      <c r="K234" s="407">
        <f t="shared" ca="1" si="145"/>
        <v>0</v>
      </c>
      <c r="L234" s="407">
        <f t="shared" ca="1" si="145"/>
        <v>0</v>
      </c>
      <c r="M234" s="407">
        <f t="shared" ca="1" si="145"/>
        <v>0</v>
      </c>
      <c r="N234" s="407">
        <f t="shared" ca="1" si="145"/>
        <v>0</v>
      </c>
      <c r="O234" s="407">
        <f t="shared" ca="1" si="145"/>
        <v>0</v>
      </c>
      <c r="P234" s="407">
        <f t="shared" ca="1" si="145"/>
        <v>0</v>
      </c>
      <c r="Q234" s="407">
        <f t="shared" ca="1" si="145"/>
        <v>0</v>
      </c>
      <c r="R234" s="407">
        <f t="shared" ca="1" si="145"/>
        <v>0</v>
      </c>
      <c r="S234" s="407">
        <f t="shared" ca="1" si="145"/>
        <v>25289.201660613824</v>
      </c>
      <c r="T234" s="407">
        <f t="shared" ca="1" si="145"/>
        <v>31061.638361770321</v>
      </c>
      <c r="U234" s="407">
        <f t="shared" ca="1" si="145"/>
        <v>31366.899020510948</v>
      </c>
      <c r="V234" s="407">
        <f t="shared" ca="1" si="145"/>
        <v>31676.877003673737</v>
      </c>
      <c r="W234" s="407">
        <f t="shared" ca="1" si="145"/>
        <v>33265.613217200429</v>
      </c>
      <c r="X234" s="407">
        <f t="shared" ca="1" si="145"/>
        <v>33764.470939167455</v>
      </c>
      <c r="Y234" s="407">
        <f t="shared" ca="1" si="145"/>
        <v>50831.03090774281</v>
      </c>
      <c r="Z234" s="407">
        <f t="shared" ca="1" si="145"/>
        <v>51343.576294140672</v>
      </c>
      <c r="AA234" s="407">
        <f t="shared" ca="1" si="145"/>
        <v>51852.848735534193</v>
      </c>
      <c r="AB234" s="407">
        <f t="shared" ca="1" si="145"/>
        <v>53660.683843714316</v>
      </c>
      <c r="AC234" s="407">
        <f t="shared" ca="1" si="145"/>
        <v>61686.636106197839</v>
      </c>
      <c r="AD234" s="407">
        <f t="shared" ca="1" si="145"/>
        <v>62308.531594511398</v>
      </c>
      <c r="AE234" s="407">
        <f t="shared" ca="1" si="145"/>
        <v>62933.894224812626</v>
      </c>
      <c r="AF234" s="407">
        <f t="shared" ca="1" si="145"/>
        <v>99549.138117460534</v>
      </c>
      <c r="AG234" s="407">
        <f t="shared" ca="1" si="145"/>
        <v>204276.58976275939</v>
      </c>
      <c r="AH234" s="407">
        <f t="shared" ca="1" si="145"/>
        <v>206358.92435855098</v>
      </c>
      <c r="AI234" s="407">
        <f t="shared" ca="1" si="145"/>
        <v>208468.69395858946</v>
      </c>
      <c r="AJ234" s="407">
        <f t="shared" ca="1" si="145"/>
        <v>210610.74526447715</v>
      </c>
      <c r="AK234" s="407">
        <f t="shared" ca="1" si="145"/>
        <v>202247.1455559613</v>
      </c>
      <c r="AL234" s="407">
        <f t="shared" ca="1" si="145"/>
        <v>142634.07510601758</v>
      </c>
      <c r="AM234" s="407">
        <f t="shared" ca="1" si="145"/>
        <v>186632.0718701602</v>
      </c>
      <c r="AN234" s="407">
        <f t="shared" ca="1" si="145"/>
        <v>212492.63888454507</v>
      </c>
      <c r="AO234" s="407">
        <f t="shared" ca="1" si="145"/>
        <v>214820.58170811698</v>
      </c>
      <c r="AP234" s="407">
        <f t="shared" ca="1" si="145"/>
        <v>114481.16425826642</v>
      </c>
      <c r="AQ234" s="407">
        <f t="shared" ca="1" si="145"/>
        <v>112855.22720261605</v>
      </c>
      <c r="AR234" s="407">
        <f t="shared" ca="1" si="145"/>
        <v>143804.43550800227</v>
      </c>
      <c r="AT234" s="84">
        <f t="shared" ca="1" si="141"/>
        <v>2840273.3334651138</v>
      </c>
    </row>
    <row r="235" spans="1:46" x14ac:dyDescent="0.2">
      <c r="A235" s="405" t="s">
        <v>37</v>
      </c>
      <c r="B235" s="443">
        <f ca="1">IFERROR(AVERAGEIF(Параметры!$E$46:OFFSET(Параметры!$E$46,0,Параметры!$B$24-1),"&gt;=" &amp; Деятельность_УК!$B$9,E235:OFFSET(E235,0,Параметры!$B$24-1))*Параметры!$B$13/Параметры!$B$12,0)</f>
        <v>22115.236733162281</v>
      </c>
      <c r="C235" s="406" t="str">
        <f>Параметры!$C$126</f>
        <v>тыс. руб.</v>
      </c>
      <c r="D235" s="397"/>
      <c r="E235" s="407">
        <f t="shared" ref="E235:AR235" ca="1" si="146">E87</f>
        <v>0</v>
      </c>
      <c r="F235" s="407">
        <f t="shared" ca="1" si="146"/>
        <v>0</v>
      </c>
      <c r="G235" s="407">
        <f t="shared" ca="1" si="146"/>
        <v>0</v>
      </c>
      <c r="H235" s="407">
        <f t="shared" ca="1" si="146"/>
        <v>0</v>
      </c>
      <c r="I235" s="407">
        <f t="shared" ca="1" si="146"/>
        <v>1000.0318861108526</v>
      </c>
      <c r="J235" s="407">
        <f t="shared" ca="1" si="146"/>
        <v>1000.0318861108526</v>
      </c>
      <c r="K235" s="407">
        <f t="shared" ca="1" si="146"/>
        <v>1009.441750841768</v>
      </c>
      <c r="L235" s="407">
        <f t="shared" ca="1" si="146"/>
        <v>1018.9401583036547</v>
      </c>
      <c r="M235" s="407">
        <f t="shared" ca="1" si="146"/>
        <v>1028.5279416450671</v>
      </c>
      <c r="N235" s="407">
        <f t="shared" ca="1" si="146"/>
        <v>1038.2059418541269</v>
      </c>
      <c r="O235" s="407">
        <f t="shared" ca="1" si="146"/>
        <v>1594.6509547354606</v>
      </c>
      <c r="P235" s="407">
        <f t="shared" ca="1" si="146"/>
        <v>1612.4299840332176</v>
      </c>
      <c r="Q235" s="407">
        <f t="shared" ca="1" si="146"/>
        <v>1630.4072346921009</v>
      </c>
      <c r="R235" s="407">
        <f t="shared" ca="1" si="146"/>
        <v>1648.5849167151071</v>
      </c>
      <c r="S235" s="407">
        <f t="shared" ca="1" si="146"/>
        <v>1964.4607652562813</v>
      </c>
      <c r="T235" s="407">
        <f t="shared" ca="1" si="146"/>
        <v>1986.7705539771346</v>
      </c>
      <c r="U235" s="407">
        <f t="shared" ca="1" si="146"/>
        <v>2009.333708243169</v>
      </c>
      <c r="V235" s="407">
        <f t="shared" ca="1" si="146"/>
        <v>2032.1531054504976</v>
      </c>
      <c r="W235" s="407">
        <f t="shared" ca="1" si="146"/>
        <v>7024.0531251605098</v>
      </c>
      <c r="X235" s="407">
        <f t="shared" ca="1" si="146"/>
        <v>7105.8014734720064</v>
      </c>
      <c r="Y235" s="407">
        <f t="shared" ca="1" si="146"/>
        <v>7188.5012372031524</v>
      </c>
      <c r="Z235" s="407">
        <f t="shared" ca="1" si="146"/>
        <v>4848.108992836078</v>
      </c>
      <c r="AA235" s="407">
        <f t="shared" ca="1" si="146"/>
        <v>4901.5532647622604</v>
      </c>
      <c r="AB235" s="407">
        <f t="shared" ca="1" si="146"/>
        <v>4955.5866922140185</v>
      </c>
      <c r="AC235" s="407">
        <f t="shared" ca="1" si="146"/>
        <v>5010.2157698861211</v>
      </c>
      <c r="AD235" s="407">
        <f t="shared" ca="1" si="146"/>
        <v>5065.4470640691325</v>
      </c>
      <c r="AE235" s="407">
        <f t="shared" ca="1" si="146"/>
        <v>5120.7500088550596</v>
      </c>
      <c r="AF235" s="407">
        <f t="shared" ca="1" si="146"/>
        <v>5176.6567336555254</v>
      </c>
      <c r="AG235" s="407">
        <f t="shared" ca="1" si="146"/>
        <v>5233.1738303492721</v>
      </c>
      <c r="AH235" s="407">
        <f t="shared" ca="1" si="146"/>
        <v>5290.3079627830803</v>
      </c>
      <c r="AI235" s="407">
        <f t="shared" ca="1" si="146"/>
        <v>5348.3250286550492</v>
      </c>
      <c r="AJ235" s="407">
        <f t="shared" ca="1" si="146"/>
        <v>5406.9783485893713</v>
      </c>
      <c r="AK235" s="407">
        <f t="shared" ca="1" si="146"/>
        <v>5466.2749001748925</v>
      </c>
      <c r="AL235" s="407">
        <f t="shared" ca="1" si="146"/>
        <v>5526.221737521375</v>
      </c>
      <c r="AM235" s="407">
        <f t="shared" ca="1" si="146"/>
        <v>5588.5931662769763</v>
      </c>
      <c r="AN235" s="407">
        <f t="shared" ca="1" si="146"/>
        <v>5908.1470982766868</v>
      </c>
      <c r="AO235" s="407">
        <f t="shared" ca="1" si="146"/>
        <v>5974.8291087569705</v>
      </c>
      <c r="AP235" s="407">
        <f t="shared" ca="1" si="146"/>
        <v>6042.2637224557757</v>
      </c>
      <c r="AQ235" s="407">
        <f t="shared" ca="1" si="146"/>
        <v>6110.5271773292425</v>
      </c>
      <c r="AR235" s="407">
        <f t="shared" ca="1" si="146"/>
        <v>10357.617141997471</v>
      </c>
      <c r="AT235" s="84">
        <f t="shared" ca="1" si="141"/>
        <v>149223.9043732493</v>
      </c>
    </row>
    <row r="236" spans="1:46" x14ac:dyDescent="0.2">
      <c r="A236" s="50" t="s">
        <v>321</v>
      </c>
      <c r="B236" s="443">
        <f ca="1">IFERROR(AVERAGEIF(Параметры!$E$46:OFFSET(Параметры!$E$46,0,Параметры!$B$24-1),"&gt;=" &amp; Деятельность_УК!$B$9,E236:OFFSET(E236,0,Параметры!$B$24-1))*Параметры!$B$13/Параметры!$B$12,0)</f>
        <v>356700.58716500091</v>
      </c>
      <c r="C236" s="39" t="str">
        <f>Параметры!$C$126</f>
        <v>тыс. руб.</v>
      </c>
      <c r="D236" s="159"/>
      <c r="E236" s="160">
        <f t="shared" ref="E236:AR236" ca="1" si="147">SUM(E237:E239)</f>
        <v>0</v>
      </c>
      <c r="F236" s="160">
        <f t="shared" ca="1" si="147"/>
        <v>0</v>
      </c>
      <c r="G236" s="160">
        <f t="shared" ca="1" si="147"/>
        <v>0</v>
      </c>
      <c r="H236" s="160">
        <f t="shared" ca="1" si="147"/>
        <v>5107.8812850000004</v>
      </c>
      <c r="I236" s="160">
        <f t="shared" ca="1" si="147"/>
        <v>10774.728639628165</v>
      </c>
      <c r="J236" s="160">
        <f t="shared" ca="1" si="147"/>
        <v>10856.557612586726</v>
      </c>
      <c r="K236" s="160">
        <f t="shared" ca="1" si="147"/>
        <v>10993.020063951368</v>
      </c>
      <c r="L236" s="160">
        <f t="shared" ca="1" si="147"/>
        <v>11131.31617004297</v>
      </c>
      <c r="M236" s="160">
        <f t="shared" ca="1" si="147"/>
        <v>11271.471989462671</v>
      </c>
      <c r="N236" s="160">
        <f t="shared" ca="1" si="147"/>
        <v>14165.343173180901</v>
      </c>
      <c r="O236" s="160">
        <f t="shared" ca="1" si="147"/>
        <v>17458.167985867454</v>
      </c>
      <c r="P236" s="160">
        <f t="shared" ca="1" si="147"/>
        <v>17700.90647645128</v>
      </c>
      <c r="Q236" s="160">
        <f t="shared" ca="1" si="147"/>
        <v>17947.162165325193</v>
      </c>
      <c r="R236" s="160">
        <f t="shared" ca="1" si="147"/>
        <v>19663.46541557305</v>
      </c>
      <c r="S236" s="160">
        <f t="shared" ca="1" si="147"/>
        <v>21625.253722660724</v>
      </c>
      <c r="T236" s="160">
        <f t="shared" ca="1" si="147"/>
        <v>21926.361454520309</v>
      </c>
      <c r="U236" s="160">
        <f t="shared" ca="1" si="147"/>
        <v>22231.812973421984</v>
      </c>
      <c r="V236" s="160">
        <f t="shared" ca="1" si="147"/>
        <v>46611.660523370614</v>
      </c>
      <c r="W236" s="160">
        <f t="shared" ca="1" si="147"/>
        <v>75494.395565890329</v>
      </c>
      <c r="X236" s="160">
        <f t="shared" ca="1" si="147"/>
        <v>76563.035328239377</v>
      </c>
      <c r="Y236" s="160">
        <f t="shared" ca="1" si="147"/>
        <v>77647.335243580863</v>
      </c>
      <c r="Z236" s="160">
        <f t="shared" ca="1" si="147"/>
        <v>81163.894434627233</v>
      </c>
      <c r="AA236" s="160">
        <f t="shared" ca="1" si="147"/>
        <v>82273.672243363282</v>
      </c>
      <c r="AB236" s="160">
        <f t="shared" ca="1" si="147"/>
        <v>83399.286794014712</v>
      </c>
      <c r="AC236" s="160">
        <f t="shared" ca="1" si="147"/>
        <v>84540.973027396394</v>
      </c>
      <c r="AD236" s="160">
        <f t="shared" ca="1" si="147"/>
        <v>85692.502803245385</v>
      </c>
      <c r="AE236" s="160">
        <f t="shared" ca="1" si="147"/>
        <v>86855.534541541536</v>
      </c>
      <c r="AF236" s="160">
        <f t="shared" ca="1" si="147"/>
        <v>88035.037523285588</v>
      </c>
      <c r="AG236" s="160">
        <f t="shared" ca="1" si="147"/>
        <v>89231.254179760101</v>
      </c>
      <c r="AH236" s="160">
        <f t="shared" ca="1" si="147"/>
        <v>90441.642285038892</v>
      </c>
      <c r="AI236" s="160">
        <f t="shared" ca="1" si="147"/>
        <v>91671.480159964209</v>
      </c>
      <c r="AJ236" s="160">
        <f t="shared" ca="1" si="147"/>
        <v>92918.737766452861</v>
      </c>
      <c r="AK236" s="160">
        <f t="shared" ca="1" si="147"/>
        <v>94183.671119835664</v>
      </c>
      <c r="AL236" s="160">
        <f t="shared" ca="1" si="147"/>
        <v>95460.370065577998</v>
      </c>
      <c r="AM236" s="160">
        <f t="shared" ca="1" si="147"/>
        <v>96770.970004870498</v>
      </c>
      <c r="AN236" s="160">
        <f t="shared" ca="1" si="147"/>
        <v>102632.20493918024</v>
      </c>
      <c r="AO236" s="160">
        <f t="shared" ca="1" si="147"/>
        <v>103978.20823632486</v>
      </c>
      <c r="AP236" s="160">
        <f t="shared" ca="1" si="147"/>
        <v>105337.37411708337</v>
      </c>
      <c r="AQ236" s="160">
        <f t="shared" ca="1" si="147"/>
        <v>106716.68523175843</v>
      </c>
      <c r="AR236" s="160">
        <f t="shared" ca="1" si="147"/>
        <v>180351.78388218128</v>
      </c>
      <c r="AT236" s="137">
        <f t="shared" ca="1" si="141"/>
        <v>2330825.1591442563</v>
      </c>
    </row>
    <row r="237" spans="1:46" x14ac:dyDescent="0.2">
      <c r="A237" s="405" t="s">
        <v>37</v>
      </c>
      <c r="B237" s="443">
        <f ca="1">IFERROR(AVERAGEIF(Параметры!$E$46:OFFSET(Параметры!$E$46,0,Параметры!$B$24-1),"&gt;=" &amp; Деятельность_УК!$B$9,E237:OFFSET(E237,0,Параметры!$B$24-1))*Параметры!$B$13/Параметры!$B$12,0)</f>
        <v>184948.32912649983</v>
      </c>
      <c r="C237" s="406" t="str">
        <f>Параметры!$C$126</f>
        <v>тыс. руб.</v>
      </c>
      <c r="D237" s="397"/>
      <c r="E237" s="407">
        <f t="shared" ref="E237:AR237" ca="1" si="148">E88</f>
        <v>0</v>
      </c>
      <c r="F237" s="407">
        <f t="shared" ca="1" si="148"/>
        <v>0</v>
      </c>
      <c r="G237" s="407">
        <f t="shared" ca="1" si="148"/>
        <v>0</v>
      </c>
      <c r="H237" s="407">
        <f t="shared" ca="1" si="148"/>
        <v>0</v>
      </c>
      <c r="I237" s="407">
        <f t="shared" ca="1" si="148"/>
        <v>5666.8473546281648</v>
      </c>
      <c r="J237" s="407">
        <f t="shared" ca="1" si="148"/>
        <v>5666.8473546281648</v>
      </c>
      <c r="K237" s="407">
        <f t="shared" ca="1" si="148"/>
        <v>5720.1699214366863</v>
      </c>
      <c r="L237" s="407">
        <f t="shared" ca="1" si="148"/>
        <v>5773.9942303873768</v>
      </c>
      <c r="M237" s="407">
        <f t="shared" ca="1" si="148"/>
        <v>5828.3250026553806</v>
      </c>
      <c r="N237" s="407">
        <f t="shared" ca="1" si="148"/>
        <v>5883.1670038400534</v>
      </c>
      <c r="O237" s="407">
        <f t="shared" ca="1" si="148"/>
        <v>9036.3554101676109</v>
      </c>
      <c r="P237" s="407">
        <f t="shared" ca="1" si="148"/>
        <v>9137.1032428549006</v>
      </c>
      <c r="Q237" s="407">
        <f t="shared" ca="1" si="148"/>
        <v>9238.9743299219062</v>
      </c>
      <c r="R237" s="407">
        <f t="shared" ca="1" si="148"/>
        <v>9341.981194718941</v>
      </c>
      <c r="S237" s="407">
        <f t="shared" ca="1" si="148"/>
        <v>11131.944336452263</v>
      </c>
      <c r="T237" s="407">
        <f t="shared" ca="1" si="148"/>
        <v>11258.366472537096</v>
      </c>
      <c r="U237" s="407">
        <f t="shared" ca="1" si="148"/>
        <v>11386.224346711291</v>
      </c>
      <c r="V237" s="407">
        <f t="shared" ca="1" si="148"/>
        <v>11515.534264219486</v>
      </c>
      <c r="W237" s="407">
        <f t="shared" ca="1" si="148"/>
        <v>39802.96770924289</v>
      </c>
      <c r="X237" s="407">
        <f t="shared" ca="1" si="148"/>
        <v>40266.208349674707</v>
      </c>
      <c r="Y237" s="407">
        <f t="shared" ca="1" si="148"/>
        <v>40734.840344151198</v>
      </c>
      <c r="Z237" s="407">
        <f t="shared" ca="1" si="148"/>
        <v>43632.980935524698</v>
      </c>
      <c r="AA237" s="407">
        <f t="shared" ca="1" si="148"/>
        <v>44113.979382860351</v>
      </c>
      <c r="AB237" s="407">
        <f t="shared" ca="1" si="148"/>
        <v>44600.28022992616</v>
      </c>
      <c r="AC237" s="407">
        <f t="shared" ca="1" si="148"/>
        <v>45091.941928975088</v>
      </c>
      <c r="AD237" s="407">
        <f t="shared" ca="1" si="148"/>
        <v>45589.023576622189</v>
      </c>
      <c r="AE237" s="407">
        <f t="shared" ca="1" si="148"/>
        <v>46086.750079695536</v>
      </c>
      <c r="AF237" s="407">
        <f t="shared" ca="1" si="148"/>
        <v>46589.910602899734</v>
      </c>
      <c r="AG237" s="407">
        <f t="shared" ca="1" si="148"/>
        <v>47098.564473143444</v>
      </c>
      <c r="AH237" s="407">
        <f t="shared" ca="1" si="148"/>
        <v>47612.771665047716</v>
      </c>
      <c r="AI237" s="407">
        <f t="shared" ca="1" si="148"/>
        <v>48134.92525789544</v>
      </c>
      <c r="AJ237" s="407">
        <f t="shared" ca="1" si="148"/>
        <v>48662.805137304342</v>
      </c>
      <c r="AK237" s="407">
        <f t="shared" ca="1" si="148"/>
        <v>49196.474101574029</v>
      </c>
      <c r="AL237" s="407">
        <f t="shared" ca="1" si="148"/>
        <v>49735.995637692373</v>
      </c>
      <c r="AM237" s="407">
        <f t="shared" ca="1" si="148"/>
        <v>50297.338496492783</v>
      </c>
      <c r="AN237" s="407">
        <f t="shared" ca="1" si="148"/>
        <v>53173.323884490172</v>
      </c>
      <c r="AO237" s="407">
        <f t="shared" ca="1" si="148"/>
        <v>53773.461978812731</v>
      </c>
      <c r="AP237" s="407">
        <f t="shared" ca="1" si="148"/>
        <v>54380.373502101982</v>
      </c>
      <c r="AQ237" s="407">
        <f t="shared" ca="1" si="148"/>
        <v>54994.74459596318</v>
      </c>
      <c r="AR237" s="407">
        <f t="shared" ca="1" si="148"/>
        <v>93218.554277977251</v>
      </c>
      <c r="AT237" s="84">
        <f t="shared" ca="1" si="141"/>
        <v>1203374.0506132275</v>
      </c>
    </row>
    <row r="238" spans="1:46" x14ac:dyDescent="0.2">
      <c r="A238" s="405" t="s">
        <v>38</v>
      </c>
      <c r="B238" s="443">
        <f ca="1">IFERROR(AVERAGEIF(Параметры!$E$46:OFFSET(Параметры!$E$46,0,Параметры!$B$24-1),"&gt;=" &amp; Деятельность_УК!$B$9,E238:OFFSET(E238,0,Параметры!$B$24-1))*Параметры!$B$13/Параметры!$B$12,0)</f>
        <v>7578.4247411189353</v>
      </c>
      <c r="C238" s="406" t="str">
        <f>Параметры!$C$126</f>
        <v>тыс. руб.</v>
      </c>
      <c r="D238" s="397"/>
      <c r="E238" s="407">
        <f ca="1">E227</f>
        <v>0</v>
      </c>
      <c r="F238" s="407">
        <f t="shared" ref="F238:AR238" ca="1" si="149">F227</f>
        <v>0</v>
      </c>
      <c r="G238" s="407">
        <f t="shared" ca="1" si="149"/>
        <v>0</v>
      </c>
      <c r="H238" s="407">
        <f t="shared" ca="1" si="149"/>
        <v>0</v>
      </c>
      <c r="I238" s="407">
        <f t="shared" ca="1" si="149"/>
        <v>0</v>
      </c>
      <c r="J238" s="407">
        <f t="shared" ca="1" si="149"/>
        <v>0</v>
      </c>
      <c r="K238" s="407">
        <f t="shared" ca="1" si="149"/>
        <v>0</v>
      </c>
      <c r="L238" s="407">
        <f t="shared" ca="1" si="149"/>
        <v>0</v>
      </c>
      <c r="M238" s="407">
        <f t="shared" ca="1" si="149"/>
        <v>0</v>
      </c>
      <c r="N238" s="407">
        <f t="shared" ca="1" si="149"/>
        <v>0</v>
      </c>
      <c r="O238" s="407">
        <f t="shared" ca="1" si="149"/>
        <v>0</v>
      </c>
      <c r="P238" s="407">
        <f t="shared" ca="1" si="149"/>
        <v>0</v>
      </c>
      <c r="Q238" s="407">
        <f t="shared" ca="1" si="149"/>
        <v>0</v>
      </c>
      <c r="R238" s="407">
        <f t="shared" ca="1" si="149"/>
        <v>0</v>
      </c>
      <c r="S238" s="407">
        <f t="shared" ca="1" si="149"/>
        <v>0</v>
      </c>
      <c r="T238" s="407">
        <f t="shared" ca="1" si="149"/>
        <v>0</v>
      </c>
      <c r="U238" s="407">
        <f t="shared" ca="1" si="149"/>
        <v>0</v>
      </c>
      <c r="V238" s="407">
        <f t="shared" ca="1" si="149"/>
        <v>0</v>
      </c>
      <c r="W238" s="407">
        <f t="shared" ca="1" si="149"/>
        <v>0</v>
      </c>
      <c r="X238" s="407">
        <f t="shared" ca="1" si="149"/>
        <v>0</v>
      </c>
      <c r="Y238" s="407">
        <f t="shared" ca="1" si="149"/>
        <v>0</v>
      </c>
      <c r="Z238" s="407">
        <f t="shared" ca="1" si="149"/>
        <v>0</v>
      </c>
      <c r="AA238" s="407">
        <f t="shared" ca="1" si="149"/>
        <v>0</v>
      </c>
      <c r="AB238" s="407">
        <f t="shared" ca="1" si="149"/>
        <v>0</v>
      </c>
      <c r="AC238" s="407">
        <f t="shared" ca="1" si="149"/>
        <v>0</v>
      </c>
      <c r="AD238" s="407">
        <f t="shared" ca="1" si="149"/>
        <v>0</v>
      </c>
      <c r="AE238" s="407">
        <f t="shared" ca="1" si="149"/>
        <v>0</v>
      </c>
      <c r="AF238" s="407">
        <f t="shared" ca="1" si="149"/>
        <v>0</v>
      </c>
      <c r="AG238" s="407">
        <f t="shared" ca="1" si="149"/>
        <v>0</v>
      </c>
      <c r="AH238" s="407">
        <f t="shared" ca="1" si="149"/>
        <v>0</v>
      </c>
      <c r="AI238" s="407">
        <f t="shared" ca="1" si="149"/>
        <v>0</v>
      </c>
      <c r="AJ238" s="407">
        <f t="shared" ca="1" si="149"/>
        <v>0</v>
      </c>
      <c r="AK238" s="407">
        <f t="shared" ca="1" si="149"/>
        <v>0</v>
      </c>
      <c r="AL238" s="407">
        <f t="shared" ca="1" si="149"/>
        <v>0</v>
      </c>
      <c r="AM238" s="407">
        <f t="shared" ca="1" si="149"/>
        <v>0</v>
      </c>
      <c r="AN238" s="407">
        <f t="shared" ca="1" si="149"/>
        <v>2223.7148528470511</v>
      </c>
      <c r="AO238" s="407">
        <f t="shared" ca="1" si="149"/>
        <v>2195.5665635705068</v>
      </c>
      <c r="AP238" s="407">
        <f t="shared" ca="1" si="149"/>
        <v>2167.4182742939615</v>
      </c>
      <c r="AQ238" s="407">
        <f t="shared" ca="1" si="149"/>
        <v>2139.2699850174163</v>
      </c>
      <c r="AR238" s="407">
        <f t="shared" ca="1" si="149"/>
        <v>36744.578770984677</v>
      </c>
      <c r="AT238" s="84">
        <f t="shared" ca="1" si="141"/>
        <v>45470.548446713612</v>
      </c>
    </row>
    <row r="239" spans="1:46" x14ac:dyDescent="0.2">
      <c r="A239" s="405" t="s">
        <v>323</v>
      </c>
      <c r="B239" s="443">
        <f ca="1">IFERROR(AVERAGEIF(Параметры!$E$46:OFFSET(Параметры!$E$46,0,Параметры!$B$24-1),"&gt;=" &amp; Деятельность_УК!$B$9,E239:OFFSET(E239,0,Параметры!$B$24-1))*Параметры!$B$13/Параметры!$B$12,0)</f>
        <v>164173.83329738223</v>
      </c>
      <c r="C239" s="406" t="str">
        <f>Параметры!$C$126</f>
        <v>тыс. руб.</v>
      </c>
      <c r="D239" s="397"/>
      <c r="E239" s="407">
        <f ca="1">E229*Параметры!E$192</f>
        <v>0</v>
      </c>
      <c r="F239" s="407">
        <f ca="1">F229*Параметры!F$192</f>
        <v>0</v>
      </c>
      <c r="G239" s="407">
        <f ca="1">G229*Параметры!G$192</f>
        <v>0</v>
      </c>
      <c r="H239" s="407">
        <f ca="1">H229*Параметры!H$192</f>
        <v>5107.8812850000004</v>
      </c>
      <c r="I239" s="407">
        <f ca="1">I229*Параметры!I$192</f>
        <v>5107.8812850000004</v>
      </c>
      <c r="J239" s="407">
        <f ca="1">J229*Параметры!J$192</f>
        <v>5189.7102579585617</v>
      </c>
      <c r="K239" s="407">
        <f ca="1">K229*Параметры!K$192</f>
        <v>5272.8501425146824</v>
      </c>
      <c r="L239" s="407">
        <f ca="1">L229*Параметры!L$192</f>
        <v>5357.3219396555933</v>
      </c>
      <c r="M239" s="407">
        <f ca="1">M229*Параметры!M$192</f>
        <v>5443.14698680729</v>
      </c>
      <c r="N239" s="407">
        <f ca="1">N229*Параметры!N$192</f>
        <v>8282.176169340848</v>
      </c>
      <c r="O239" s="407">
        <f ca="1">O229*Параметры!O$192</f>
        <v>8421.8125756998434</v>
      </c>
      <c r="P239" s="407">
        <f ca="1">P229*Параметры!P$192</f>
        <v>8563.803233596378</v>
      </c>
      <c r="Q239" s="407">
        <f ca="1">Q229*Параметры!Q$192</f>
        <v>8708.1878354032888</v>
      </c>
      <c r="R239" s="407">
        <f ca="1">R229*Параметры!R$192</f>
        <v>10321.484220854109</v>
      </c>
      <c r="S239" s="407">
        <f ca="1">S229*Параметры!S$192</f>
        <v>10493.309386208461</v>
      </c>
      <c r="T239" s="407">
        <f ca="1">T229*Параметры!T$192</f>
        <v>10667.994981983215</v>
      </c>
      <c r="U239" s="407">
        <f ca="1">U229*Параметры!U$192</f>
        <v>10845.588626710694</v>
      </c>
      <c r="V239" s="407">
        <f ca="1">V229*Параметры!V$192</f>
        <v>35096.126259151126</v>
      </c>
      <c r="W239" s="407">
        <f ca="1">W229*Параметры!W$192</f>
        <v>35691.427856647431</v>
      </c>
      <c r="X239" s="407">
        <f ca="1">X229*Параметры!X$192</f>
        <v>36296.82697856467</v>
      </c>
      <c r="Y239" s="407">
        <f ca="1">Y229*Параметры!Y$192</f>
        <v>36912.494899429657</v>
      </c>
      <c r="Z239" s="407">
        <f ca="1">Z229*Параметры!Z$192</f>
        <v>37530.913499102535</v>
      </c>
      <c r="AA239" s="407">
        <f ca="1">AA229*Параметры!AA$192</f>
        <v>38159.692860502939</v>
      </c>
      <c r="AB239" s="407">
        <f ca="1">AB229*Параметры!AB$192</f>
        <v>38799.006564088551</v>
      </c>
      <c r="AC239" s="407">
        <f ca="1">AC229*Параметры!AC$192</f>
        <v>39449.031098421314</v>
      </c>
      <c r="AD239" s="407">
        <f ca="1">AD229*Параметры!AD$192</f>
        <v>40103.479226623196</v>
      </c>
      <c r="AE239" s="407">
        <f ca="1">AE229*Параметры!AE$192</f>
        <v>40768.784461846</v>
      </c>
      <c r="AF239" s="407">
        <f ca="1">AF229*Параметры!AF$192</f>
        <v>41445.126920385854</v>
      </c>
      <c r="AG239" s="407">
        <f ca="1">AG229*Параметры!AG$192</f>
        <v>42132.689706616657</v>
      </c>
      <c r="AH239" s="407">
        <f ca="1">AH229*Параметры!AH$192</f>
        <v>42828.870619991176</v>
      </c>
      <c r="AI239" s="407">
        <f ca="1">AI229*Параметры!AI$192</f>
        <v>43536.554902068761</v>
      </c>
      <c r="AJ239" s="407">
        <f ca="1">AJ229*Параметры!AJ$192</f>
        <v>44255.932629148512</v>
      </c>
      <c r="AK239" s="407">
        <f ca="1">AK229*Параметры!AK$192</f>
        <v>44987.197018261642</v>
      </c>
      <c r="AL239" s="407">
        <f ca="1">AL229*Параметры!AL$192</f>
        <v>45724.374427885625</v>
      </c>
      <c r="AM239" s="407">
        <f ca="1">AM229*Параметры!AM$192</f>
        <v>46473.631508377723</v>
      </c>
      <c r="AN239" s="407">
        <f ca="1">AN229*Параметры!AN$192</f>
        <v>47235.166201843022</v>
      </c>
      <c r="AO239" s="407">
        <f ca="1">AO229*Параметры!AO$192</f>
        <v>48009.179693941631</v>
      </c>
      <c r="AP239" s="407">
        <f ca="1">AP229*Параметры!AP$192</f>
        <v>48789.582340687426</v>
      </c>
      <c r="AQ239" s="407">
        <f ca="1">AQ229*Параметры!AQ$192</f>
        <v>49582.670650777822</v>
      </c>
      <c r="AR239" s="407">
        <f ca="1">AR229*Параметры!AR$192</f>
        <v>50388.650833219363</v>
      </c>
      <c r="AT239" s="84">
        <f t="shared" ca="1" si="141"/>
        <v>1081980.5600843157</v>
      </c>
    </row>
    <row r="240" spans="1:46" x14ac:dyDescent="0.2">
      <c r="A240" s="50" t="s">
        <v>665</v>
      </c>
      <c r="B240" s="443">
        <f ca="1">IFERROR(AVERAGEIF(Параметры!$E$46:OFFSET(Параметры!$E$46,0,Параметры!$B$24-1),"&gt;=" &amp; Деятельность_УК!$B$9,E240:OFFSET(E240,0,Параметры!$B$24-1))*Параметры!$B$13/Параметры!$B$12,0)</f>
        <v>28971.852934832157</v>
      </c>
      <c r="C240" s="39" t="str">
        <f>Параметры!$C$126</f>
        <v>тыс. руб.</v>
      </c>
      <c r="D240" s="159"/>
      <c r="E240" s="160">
        <f t="shared" ref="E240:AR240" ca="1" si="150">SUM(E241:E241)</f>
        <v>0</v>
      </c>
      <c r="F240" s="160">
        <f t="shared" ca="1" si="150"/>
        <v>0</v>
      </c>
      <c r="G240" s="160">
        <f t="shared" ca="1" si="150"/>
        <v>0</v>
      </c>
      <c r="H240" s="160">
        <f t="shared" ca="1" si="150"/>
        <v>901.39081499999998</v>
      </c>
      <c r="I240" s="160">
        <f t="shared" ca="1" si="150"/>
        <v>901.39081499999998</v>
      </c>
      <c r="J240" s="160">
        <f t="shared" ca="1" si="150"/>
        <v>915.83122199268735</v>
      </c>
      <c r="K240" s="160">
        <f t="shared" ca="1" si="150"/>
        <v>930.50296632612037</v>
      </c>
      <c r="L240" s="160">
        <f t="shared" ca="1" si="150"/>
        <v>945.40975405686947</v>
      </c>
      <c r="M240" s="160">
        <f t="shared" ca="1" si="150"/>
        <v>960.55535061305125</v>
      </c>
      <c r="N240" s="160">
        <f t="shared" ca="1" si="150"/>
        <v>1461.5605004719143</v>
      </c>
      <c r="O240" s="160">
        <f t="shared" ca="1" si="150"/>
        <v>1486.2022192411489</v>
      </c>
      <c r="P240" s="160">
        <f t="shared" ca="1" si="150"/>
        <v>1511.2593941640669</v>
      </c>
      <c r="Q240" s="160">
        <f t="shared" ca="1" si="150"/>
        <v>1536.739029777051</v>
      </c>
      <c r="R240" s="160">
        <f t="shared" ca="1" si="150"/>
        <v>1821.4383919154309</v>
      </c>
      <c r="S240" s="160">
        <f t="shared" ca="1" si="150"/>
        <v>1851.7604799191399</v>
      </c>
      <c r="T240" s="160">
        <f t="shared" ca="1" si="150"/>
        <v>1882.5873497617436</v>
      </c>
      <c r="U240" s="160">
        <f t="shared" ca="1" si="150"/>
        <v>1913.9274047136519</v>
      </c>
      <c r="V240" s="160">
        <f t="shared" ca="1" si="150"/>
        <v>6193.4340457325516</v>
      </c>
      <c r="W240" s="160">
        <f t="shared" ca="1" si="150"/>
        <v>6298.4872688201349</v>
      </c>
      <c r="X240" s="160">
        <f t="shared" ca="1" si="150"/>
        <v>6405.3224079820002</v>
      </c>
      <c r="Y240" s="160">
        <f t="shared" ca="1" si="150"/>
        <v>6513.9696881346454</v>
      </c>
      <c r="Z240" s="160">
        <f t="shared" ca="1" si="150"/>
        <v>6623.1023821945646</v>
      </c>
      <c r="AA240" s="160">
        <f t="shared" ca="1" si="150"/>
        <v>6734.0634459711064</v>
      </c>
      <c r="AB240" s="160">
        <f t="shared" ca="1" si="150"/>
        <v>6846.8835113097439</v>
      </c>
      <c r="AC240" s="160">
        <f t="shared" ca="1" si="150"/>
        <v>6961.5937232508204</v>
      </c>
      <c r="AD240" s="160">
        <f t="shared" ca="1" si="150"/>
        <v>7077.0845694040936</v>
      </c>
      <c r="AE240" s="160">
        <f t="shared" ca="1" si="150"/>
        <v>7194.4913756198821</v>
      </c>
      <c r="AF240" s="160">
        <f t="shared" ca="1" si="150"/>
        <v>7313.8459271269157</v>
      </c>
      <c r="AG240" s="160">
        <f t="shared" ca="1" si="150"/>
        <v>7435.1805364617621</v>
      </c>
      <c r="AH240" s="160">
        <f t="shared" ca="1" si="150"/>
        <v>7558.0359917631486</v>
      </c>
      <c r="AI240" s="160">
        <f t="shared" ca="1" si="150"/>
        <v>7682.9214533062523</v>
      </c>
      <c r="AJ240" s="160">
        <f t="shared" ca="1" si="150"/>
        <v>7809.8704639673851</v>
      </c>
      <c r="AK240" s="160">
        <f t="shared" ca="1" si="150"/>
        <v>7938.9171208697007</v>
      </c>
      <c r="AL240" s="160">
        <f t="shared" ca="1" si="150"/>
        <v>8069.0072519798159</v>
      </c>
      <c r="AM240" s="160">
        <f t="shared" ca="1" si="150"/>
        <v>8201.2290897137154</v>
      </c>
      <c r="AN240" s="160">
        <f t="shared" ca="1" si="150"/>
        <v>8335.6175650311216</v>
      </c>
      <c r="AO240" s="160">
        <f t="shared" ca="1" si="150"/>
        <v>8472.2081812838169</v>
      </c>
      <c r="AP240" s="160">
        <f t="shared" ca="1" si="150"/>
        <v>8609.9262954154274</v>
      </c>
      <c r="AQ240" s="160">
        <f t="shared" ca="1" si="150"/>
        <v>8749.8830560196147</v>
      </c>
      <c r="AR240" s="160">
        <f t="shared" ca="1" si="150"/>
        <v>8892.1148529210641</v>
      </c>
      <c r="AT240" s="137">
        <f t="shared" ca="1" si="141"/>
        <v>190937.74589723215</v>
      </c>
    </row>
    <row r="241" spans="1:46" x14ac:dyDescent="0.2">
      <c r="A241" s="405" t="s">
        <v>323</v>
      </c>
      <c r="B241" s="443">
        <f ca="1">IFERROR(AVERAGEIF(Параметры!$E$46:OFFSET(Параметры!$E$46,0,Параметры!$B$24-1),"&gt;=" &amp; Деятельность_УК!$B$9,E241:OFFSET(E241,0,Параметры!$B$24-1))*Параметры!$B$13/Параметры!$B$12,0)</f>
        <v>28971.852934832157</v>
      </c>
      <c r="C241" s="406" t="str">
        <f>Параметры!$C$126</f>
        <v>тыс. руб.</v>
      </c>
      <c r="D241" s="65"/>
      <c r="E241" s="407">
        <f ca="1">E229*Параметры!E$193</f>
        <v>0</v>
      </c>
      <c r="F241" s="407">
        <f ca="1">F229*Параметры!F$193</f>
        <v>0</v>
      </c>
      <c r="G241" s="407">
        <f ca="1">G229*Параметры!G$193</f>
        <v>0</v>
      </c>
      <c r="H241" s="407">
        <f ca="1">H229*Параметры!H$193</f>
        <v>901.39081499999998</v>
      </c>
      <c r="I241" s="407">
        <f ca="1">I229*Параметры!I$193</f>
        <v>901.39081499999998</v>
      </c>
      <c r="J241" s="407">
        <f ca="1">J229*Параметры!J$193</f>
        <v>915.83122199268735</v>
      </c>
      <c r="K241" s="407">
        <f ca="1">K229*Параметры!K$193</f>
        <v>930.50296632612037</v>
      </c>
      <c r="L241" s="407">
        <f ca="1">L229*Параметры!L$193</f>
        <v>945.40975405686947</v>
      </c>
      <c r="M241" s="407">
        <f ca="1">M229*Параметры!M$193</f>
        <v>960.55535061305125</v>
      </c>
      <c r="N241" s="407">
        <f ca="1">N229*Параметры!N$193</f>
        <v>1461.5605004719143</v>
      </c>
      <c r="O241" s="407">
        <f ca="1">O229*Параметры!O$193</f>
        <v>1486.2022192411489</v>
      </c>
      <c r="P241" s="407">
        <f ca="1">P229*Параметры!P$193</f>
        <v>1511.2593941640669</v>
      </c>
      <c r="Q241" s="407">
        <f ca="1">Q229*Параметры!Q$193</f>
        <v>1536.739029777051</v>
      </c>
      <c r="R241" s="407">
        <f ca="1">R229*Параметры!R$193</f>
        <v>1821.4383919154309</v>
      </c>
      <c r="S241" s="407">
        <f ca="1">S229*Параметры!S$193</f>
        <v>1851.7604799191399</v>
      </c>
      <c r="T241" s="407">
        <f ca="1">T229*Параметры!T$193</f>
        <v>1882.5873497617436</v>
      </c>
      <c r="U241" s="407">
        <f ca="1">U229*Параметры!U$193</f>
        <v>1913.9274047136519</v>
      </c>
      <c r="V241" s="407">
        <f ca="1">V229*Параметры!V$193</f>
        <v>6193.4340457325516</v>
      </c>
      <c r="W241" s="407">
        <f ca="1">W229*Параметры!W$193</f>
        <v>6298.4872688201349</v>
      </c>
      <c r="X241" s="407">
        <f ca="1">X229*Параметры!X$193</f>
        <v>6405.3224079820002</v>
      </c>
      <c r="Y241" s="407">
        <f ca="1">Y229*Параметры!Y$193</f>
        <v>6513.9696881346454</v>
      </c>
      <c r="Z241" s="407">
        <f ca="1">Z229*Параметры!Z$193</f>
        <v>6623.1023821945646</v>
      </c>
      <c r="AA241" s="407">
        <f ca="1">AA229*Параметры!AA$193</f>
        <v>6734.0634459711064</v>
      </c>
      <c r="AB241" s="407">
        <f ca="1">AB229*Параметры!AB$193</f>
        <v>6846.8835113097439</v>
      </c>
      <c r="AC241" s="407">
        <f ca="1">AC229*Параметры!AC$193</f>
        <v>6961.5937232508204</v>
      </c>
      <c r="AD241" s="407">
        <f ca="1">AD229*Параметры!AD$193</f>
        <v>7077.0845694040936</v>
      </c>
      <c r="AE241" s="407">
        <f ca="1">AE229*Параметры!AE$193</f>
        <v>7194.4913756198821</v>
      </c>
      <c r="AF241" s="407">
        <f ca="1">AF229*Параметры!AF$193</f>
        <v>7313.8459271269157</v>
      </c>
      <c r="AG241" s="407">
        <f ca="1">AG229*Параметры!AG$193</f>
        <v>7435.1805364617621</v>
      </c>
      <c r="AH241" s="407">
        <f ca="1">AH229*Параметры!AH$193</f>
        <v>7558.0359917631486</v>
      </c>
      <c r="AI241" s="407">
        <f ca="1">AI229*Параметры!AI$193</f>
        <v>7682.9214533062523</v>
      </c>
      <c r="AJ241" s="407">
        <f ca="1">AJ229*Параметры!AJ$193</f>
        <v>7809.8704639673851</v>
      </c>
      <c r="AK241" s="407">
        <f ca="1">AK229*Параметры!AK$193</f>
        <v>7938.9171208697007</v>
      </c>
      <c r="AL241" s="407">
        <f ca="1">AL229*Параметры!AL$193</f>
        <v>8069.0072519798159</v>
      </c>
      <c r="AM241" s="407">
        <f ca="1">AM229*Параметры!AM$193</f>
        <v>8201.2290897137154</v>
      </c>
      <c r="AN241" s="407">
        <f ca="1">AN229*Параметры!AN$193</f>
        <v>8335.6175650311216</v>
      </c>
      <c r="AO241" s="407">
        <f ca="1">AO229*Параметры!AO$193</f>
        <v>8472.2081812838169</v>
      </c>
      <c r="AP241" s="407">
        <f ca="1">AP229*Параметры!AP$193</f>
        <v>8609.9262954154274</v>
      </c>
      <c r="AQ241" s="407">
        <f ca="1">AQ229*Параметры!AQ$193</f>
        <v>8749.8830560196147</v>
      </c>
      <c r="AR241" s="407">
        <f ca="1">AR229*Параметры!AR$193</f>
        <v>8892.1148529210641</v>
      </c>
      <c r="AT241" s="84">
        <f t="shared" ca="1" si="141"/>
        <v>190937.74589723215</v>
      </c>
    </row>
    <row r="242" spans="1:46" x14ac:dyDescent="0.2">
      <c r="A242" s="50" t="s">
        <v>359</v>
      </c>
      <c r="B242" s="443">
        <f ca="1">IFERROR(AVERAGEIF(Параметры!$E$46:OFFSET(Параметры!$E$46,0,Параметры!$B$24-1),"&gt;=" &amp; Деятельность_УК!$B$9,E242:OFFSET(E242,0,Параметры!$B$24-1))*Параметры!$B$13/Параметры!$B$12,0)</f>
        <v>448524.36053871439</v>
      </c>
      <c r="C242" s="406" t="str">
        <f>Параметры!$C$126</f>
        <v>тыс. руб.</v>
      </c>
      <c r="D242" s="65"/>
      <c r="E242" s="85">
        <f ca="1">E228</f>
        <v>0</v>
      </c>
      <c r="F242" s="85">
        <f t="shared" ref="F242:AR242" ca="1" si="151">F228</f>
        <v>0</v>
      </c>
      <c r="G242" s="85">
        <f t="shared" ca="1" si="151"/>
        <v>0</v>
      </c>
      <c r="H242" s="85">
        <f t="shared" ca="1" si="151"/>
        <v>9429.9346800000003</v>
      </c>
      <c r="I242" s="85">
        <f t="shared" ca="1" si="151"/>
        <v>14144.902020000001</v>
      </c>
      <c r="J242" s="85">
        <f t="shared" ca="1" si="151"/>
        <v>14295.97089315427</v>
      </c>
      <c r="K242" s="85">
        <f t="shared" ca="1" si="151"/>
        <v>14524.994347373471</v>
      </c>
      <c r="L242" s="85">
        <f t="shared" ca="1" si="151"/>
        <v>14757.686789377727</v>
      </c>
      <c r="M242" s="85">
        <f t="shared" ca="1" si="151"/>
        <v>14994.106996864775</v>
      </c>
      <c r="N242" s="85">
        <f t="shared" ca="1" si="151"/>
        <v>20314.614761989837</v>
      </c>
      <c r="O242" s="85">
        <f t="shared" ca="1" si="151"/>
        <v>23193.047372991266</v>
      </c>
      <c r="P242" s="85">
        <f t="shared" ca="1" si="151"/>
        <v>23584.079116516248</v>
      </c>
      <c r="Q242" s="85">
        <f t="shared" ca="1" si="151"/>
        <v>23981.703604064263</v>
      </c>
      <c r="R242" s="85">
        <f t="shared" ca="1" si="151"/>
        <v>27093.375025026002</v>
      </c>
      <c r="S242" s="85">
        <f t="shared" ca="1" si="151"/>
        <v>28899.787378404028</v>
      </c>
      <c r="T242" s="85">
        <f t="shared" ca="1" si="151"/>
        <v>29380.891707853742</v>
      </c>
      <c r="U242" s="85">
        <f t="shared" ca="1" si="151"/>
        <v>29870.005140373476</v>
      </c>
      <c r="V242" s="85">
        <f t="shared" ca="1" si="151"/>
        <v>74804.161056935031</v>
      </c>
      <c r="W242" s="85">
        <f t="shared" ca="1" si="151"/>
        <v>98288.291051488617</v>
      </c>
      <c r="X242" s="85">
        <f t="shared" ca="1" si="151"/>
        <v>99955.460135793954</v>
      </c>
      <c r="Y242" s="85">
        <f t="shared" ca="1" si="151"/>
        <v>101650.90779454523</v>
      </c>
      <c r="Z242" s="85">
        <f t="shared" ca="1" si="151"/>
        <v>103360.91252089362</v>
      </c>
      <c r="AA242" s="85">
        <f t="shared" ca="1" si="151"/>
        <v>105092.58389548468</v>
      </c>
      <c r="AB242" s="85">
        <f t="shared" ca="1" si="151"/>
        <v>106853.2670664739</v>
      </c>
      <c r="AC242" s="85">
        <f t="shared" ca="1" si="151"/>
        <v>108643.44808701338</v>
      </c>
      <c r="AD242" s="85">
        <f t="shared" ca="1" si="151"/>
        <v>110451.6826630779</v>
      </c>
      <c r="AE242" s="85">
        <f t="shared" ca="1" si="151"/>
        <v>112284.04444644481</v>
      </c>
      <c r="AF242" s="85">
        <f t="shared" ca="1" si="151"/>
        <v>114146.80458703171</v>
      </c>
      <c r="AG242" s="85">
        <f t="shared" ca="1" si="151"/>
        <v>116040.46738487922</v>
      </c>
      <c r="AH242" s="85">
        <f t="shared" ca="1" si="151"/>
        <v>117960.39779686063</v>
      </c>
      <c r="AI242" s="85">
        <f t="shared" ca="1" si="151"/>
        <v>119909.52039150342</v>
      </c>
      <c r="AJ242" s="85">
        <f t="shared" ca="1" si="151"/>
        <v>121890.8493787992</v>
      </c>
      <c r="AK242" s="85">
        <f t="shared" ca="1" si="151"/>
        <v>123904.91692215859</v>
      </c>
      <c r="AL242" s="85">
        <f t="shared" ca="1" si="151"/>
        <v>125940.8731144919</v>
      </c>
      <c r="AM242" s="85">
        <f t="shared" ca="1" si="151"/>
        <v>128004.58841043789</v>
      </c>
      <c r="AN242" s="85">
        <f t="shared" ca="1" si="151"/>
        <v>130102.12053421271</v>
      </c>
      <c r="AO242" s="85">
        <f t="shared" ca="1" si="151"/>
        <v>132234.0236212858</v>
      </c>
      <c r="AP242" s="85">
        <f t="shared" ca="1" si="151"/>
        <v>134389.24096183057</v>
      </c>
      <c r="AQ242" s="85">
        <f t="shared" ca="1" si="151"/>
        <v>136573.77566976284</v>
      </c>
      <c r="AR242" s="85">
        <f t="shared" ca="1" si="151"/>
        <v>138793.82060050758</v>
      </c>
      <c r="AT242" s="137">
        <f t="shared" ca="1" si="141"/>
        <v>2949741.2579259025</v>
      </c>
    </row>
    <row r="244" spans="1:46" x14ac:dyDescent="0.2">
      <c r="A244" s="46"/>
      <c r="B244" s="46"/>
      <c r="C244" s="46"/>
      <c r="D244" s="47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73"/>
      <c r="AT244" s="91"/>
    </row>
  </sheetData>
  <sheetProtection formatCells="0"/>
  <mergeCells count="1">
    <mergeCell ref="A1:C2"/>
  </mergeCells>
  <conditionalFormatting sqref="E6:AB6">
    <cfRule type="expression" dxfId="246" priority="126">
      <formula>E$2&lt;=$D$1</formula>
    </cfRule>
  </conditionalFormatting>
  <conditionalFormatting sqref="AC6">
    <cfRule type="expression" dxfId="245" priority="124">
      <formula>AC$2&lt;=$D$1</formula>
    </cfRule>
  </conditionalFormatting>
  <conditionalFormatting sqref="AD6">
    <cfRule type="expression" dxfId="244" priority="123">
      <formula>AD$2&lt;=$D$1</formula>
    </cfRule>
  </conditionalFormatting>
  <conditionalFormatting sqref="AE6">
    <cfRule type="expression" dxfId="243" priority="122">
      <formula>AE$2&lt;=$D$1</formula>
    </cfRule>
  </conditionalFormatting>
  <conditionalFormatting sqref="AF6">
    <cfRule type="expression" dxfId="242" priority="121">
      <formula>AF$2&lt;=$D$1</formula>
    </cfRule>
  </conditionalFormatting>
  <conditionalFormatting sqref="AG6">
    <cfRule type="expression" dxfId="241" priority="120">
      <formula>AG$2&lt;=$D$1</formula>
    </cfRule>
  </conditionalFormatting>
  <conditionalFormatting sqref="AH6">
    <cfRule type="expression" dxfId="240" priority="119">
      <formula>AH$2&lt;=$D$1</formula>
    </cfRule>
  </conditionalFormatting>
  <conditionalFormatting sqref="AI6">
    <cfRule type="expression" dxfId="239" priority="118">
      <formula>AI$2&lt;=$D$1</formula>
    </cfRule>
  </conditionalFormatting>
  <conditionalFormatting sqref="AJ6">
    <cfRule type="expression" dxfId="238" priority="117">
      <formula>AJ$2&lt;=$D$1</formula>
    </cfRule>
  </conditionalFormatting>
  <conditionalFormatting sqref="AK6">
    <cfRule type="expression" dxfId="237" priority="116">
      <formula>AK$2&lt;=$D$1</formula>
    </cfRule>
  </conditionalFormatting>
  <conditionalFormatting sqref="AL6">
    <cfRule type="expression" dxfId="236" priority="115">
      <formula>AL$2&lt;=$D$1</formula>
    </cfRule>
  </conditionalFormatting>
  <conditionalFormatting sqref="AM6">
    <cfRule type="expression" dxfId="235" priority="114">
      <formula>AM$2&lt;=$D$1</formula>
    </cfRule>
  </conditionalFormatting>
  <conditionalFormatting sqref="AN6">
    <cfRule type="expression" dxfId="234" priority="113">
      <formula>AN$2&lt;=$D$1</formula>
    </cfRule>
  </conditionalFormatting>
  <conditionalFormatting sqref="AO6">
    <cfRule type="expression" dxfId="233" priority="112">
      <formula>AO$2&lt;=$D$1</formula>
    </cfRule>
  </conditionalFormatting>
  <conditionalFormatting sqref="AP6">
    <cfRule type="expression" dxfId="232" priority="111">
      <formula>AP$2&lt;=$D$1</formula>
    </cfRule>
  </conditionalFormatting>
  <conditionalFormatting sqref="AQ6">
    <cfRule type="expression" dxfId="231" priority="110">
      <formula>AQ$2&lt;=$D$1</formula>
    </cfRule>
  </conditionalFormatting>
  <conditionalFormatting sqref="AR6">
    <cfRule type="expression" dxfId="230" priority="109">
      <formula>AR$2&lt;=$D$1</formula>
    </cfRule>
  </conditionalFormatting>
  <conditionalFormatting sqref="E71:AB71">
    <cfRule type="expression" dxfId="229" priority="108">
      <formula>E$2&lt;=$D$1</formula>
    </cfRule>
  </conditionalFormatting>
  <conditionalFormatting sqref="AC71">
    <cfRule type="expression" dxfId="228" priority="106">
      <formula>AC$2&lt;=$D$1</formula>
    </cfRule>
  </conditionalFormatting>
  <conditionalFormatting sqref="AD71">
    <cfRule type="expression" dxfId="227" priority="105">
      <formula>AD$2&lt;=$D$1</formula>
    </cfRule>
  </conditionalFormatting>
  <conditionalFormatting sqref="AE71">
    <cfRule type="expression" dxfId="226" priority="104">
      <formula>AE$2&lt;=$D$1</formula>
    </cfRule>
  </conditionalFormatting>
  <conditionalFormatting sqref="AF71">
    <cfRule type="expression" dxfId="225" priority="103">
      <formula>AF$2&lt;=$D$1</formula>
    </cfRule>
  </conditionalFormatting>
  <conditionalFormatting sqref="AG71">
    <cfRule type="expression" dxfId="224" priority="102">
      <formula>AG$2&lt;=$D$1</formula>
    </cfRule>
  </conditionalFormatting>
  <conditionalFormatting sqref="AH71">
    <cfRule type="expression" dxfId="223" priority="101">
      <formula>AH$2&lt;=$D$1</formula>
    </cfRule>
  </conditionalFormatting>
  <conditionalFormatting sqref="AI71">
    <cfRule type="expression" dxfId="222" priority="100">
      <formula>AI$2&lt;=$D$1</formula>
    </cfRule>
  </conditionalFormatting>
  <conditionalFormatting sqref="AJ71">
    <cfRule type="expression" dxfId="221" priority="99">
      <formula>AJ$2&lt;=$D$1</formula>
    </cfRule>
  </conditionalFormatting>
  <conditionalFormatting sqref="AK71">
    <cfRule type="expression" dxfId="220" priority="98">
      <formula>AK$2&lt;=$D$1</formula>
    </cfRule>
  </conditionalFormatting>
  <conditionalFormatting sqref="AL71">
    <cfRule type="expression" dxfId="219" priority="97">
      <formula>AL$2&lt;=$D$1</formula>
    </cfRule>
  </conditionalFormatting>
  <conditionalFormatting sqref="AM71">
    <cfRule type="expression" dxfId="218" priority="96">
      <formula>AM$2&lt;=$D$1</formula>
    </cfRule>
  </conditionalFormatting>
  <conditionalFormatting sqref="AN71">
    <cfRule type="expression" dxfId="217" priority="95">
      <formula>AN$2&lt;=$D$1</formula>
    </cfRule>
  </conditionalFormatting>
  <conditionalFormatting sqref="AO71">
    <cfRule type="expression" dxfId="216" priority="94">
      <formula>AO$2&lt;=$D$1</formula>
    </cfRule>
  </conditionalFormatting>
  <conditionalFormatting sqref="AP71">
    <cfRule type="expression" dxfId="215" priority="93">
      <formula>AP$2&lt;=$D$1</formula>
    </cfRule>
  </conditionalFormatting>
  <conditionalFormatting sqref="AQ71">
    <cfRule type="expression" dxfId="214" priority="92">
      <formula>AQ$2&lt;=$D$1</formula>
    </cfRule>
  </conditionalFormatting>
  <conditionalFormatting sqref="AR71">
    <cfRule type="expression" dxfId="213" priority="91">
      <formula>AR$2&lt;=$D$1</formula>
    </cfRule>
  </conditionalFormatting>
  <conditionalFormatting sqref="E141:AB141">
    <cfRule type="expression" dxfId="212" priority="90">
      <formula>E$2&lt;=$D$1</formula>
    </cfRule>
  </conditionalFormatting>
  <conditionalFormatting sqref="AC141">
    <cfRule type="expression" dxfId="211" priority="88">
      <formula>AC$2&lt;=$D$1</formula>
    </cfRule>
  </conditionalFormatting>
  <conditionalFormatting sqref="AD141">
    <cfRule type="expression" dxfId="210" priority="87">
      <formula>AD$2&lt;=$D$1</formula>
    </cfRule>
  </conditionalFormatting>
  <conditionalFormatting sqref="AE141">
    <cfRule type="expression" dxfId="209" priority="86">
      <formula>AE$2&lt;=$D$1</formula>
    </cfRule>
  </conditionalFormatting>
  <conditionalFormatting sqref="AF141">
    <cfRule type="expression" dxfId="208" priority="85">
      <formula>AF$2&lt;=$D$1</formula>
    </cfRule>
  </conditionalFormatting>
  <conditionalFormatting sqref="AG141">
    <cfRule type="expression" dxfId="207" priority="84">
      <formula>AG$2&lt;=$D$1</formula>
    </cfRule>
  </conditionalFormatting>
  <conditionalFormatting sqref="AH141">
    <cfRule type="expression" dxfId="206" priority="83">
      <formula>AH$2&lt;=$D$1</formula>
    </cfRule>
  </conditionalFormatting>
  <conditionalFormatting sqref="AI141">
    <cfRule type="expression" dxfId="205" priority="82">
      <formula>AI$2&lt;=$D$1</formula>
    </cfRule>
  </conditionalFormatting>
  <conditionalFormatting sqref="AJ141">
    <cfRule type="expression" dxfId="204" priority="81">
      <formula>AJ$2&lt;=$D$1</formula>
    </cfRule>
  </conditionalFormatting>
  <conditionalFormatting sqref="AK141">
    <cfRule type="expression" dxfId="203" priority="80">
      <formula>AK$2&lt;=$D$1</formula>
    </cfRule>
  </conditionalFormatting>
  <conditionalFormatting sqref="AL141">
    <cfRule type="expression" dxfId="202" priority="79">
      <formula>AL$2&lt;=$D$1</formula>
    </cfRule>
  </conditionalFormatting>
  <conditionalFormatting sqref="AM141">
    <cfRule type="expression" dxfId="201" priority="78">
      <formula>AM$2&lt;=$D$1</formula>
    </cfRule>
  </conditionalFormatting>
  <conditionalFormatting sqref="AN141">
    <cfRule type="expression" dxfId="200" priority="77">
      <formula>AN$2&lt;=$D$1</formula>
    </cfRule>
  </conditionalFormatting>
  <conditionalFormatting sqref="AO141">
    <cfRule type="expression" dxfId="199" priority="76">
      <formula>AO$2&lt;=$D$1</formula>
    </cfRule>
  </conditionalFormatting>
  <conditionalFormatting sqref="AP141">
    <cfRule type="expression" dxfId="198" priority="75">
      <formula>AP$2&lt;=$D$1</formula>
    </cfRule>
  </conditionalFormatting>
  <conditionalFormatting sqref="AQ141">
    <cfRule type="expression" dxfId="197" priority="74">
      <formula>AQ$2&lt;=$D$1</formula>
    </cfRule>
  </conditionalFormatting>
  <conditionalFormatting sqref="AR141">
    <cfRule type="expression" dxfId="196" priority="73">
      <formula>AR$2&lt;=$D$1</formula>
    </cfRule>
  </conditionalFormatting>
  <conditionalFormatting sqref="E151:AB151">
    <cfRule type="expression" dxfId="195" priority="72">
      <formula>E$2&lt;=$D$1</formula>
    </cfRule>
  </conditionalFormatting>
  <conditionalFormatting sqref="AC151">
    <cfRule type="expression" dxfId="194" priority="70">
      <formula>AC$2&lt;=$D$1</formula>
    </cfRule>
  </conditionalFormatting>
  <conditionalFormatting sqref="AD151">
    <cfRule type="expression" dxfId="193" priority="69">
      <formula>AD$2&lt;=$D$1</formula>
    </cfRule>
  </conditionalFormatting>
  <conditionalFormatting sqref="AE151">
    <cfRule type="expression" dxfId="192" priority="68">
      <formula>AE$2&lt;=$D$1</formula>
    </cfRule>
  </conditionalFormatting>
  <conditionalFormatting sqref="AF151">
    <cfRule type="expression" dxfId="191" priority="67">
      <formula>AF$2&lt;=$D$1</formula>
    </cfRule>
  </conditionalFormatting>
  <conditionalFormatting sqref="AG151">
    <cfRule type="expression" dxfId="190" priority="66">
      <formula>AG$2&lt;=$D$1</formula>
    </cfRule>
  </conditionalFormatting>
  <conditionalFormatting sqref="AH151">
    <cfRule type="expression" dxfId="189" priority="65">
      <formula>AH$2&lt;=$D$1</formula>
    </cfRule>
  </conditionalFormatting>
  <conditionalFormatting sqref="AI151">
    <cfRule type="expression" dxfId="188" priority="64">
      <formula>AI$2&lt;=$D$1</formula>
    </cfRule>
  </conditionalFormatting>
  <conditionalFormatting sqref="AJ151">
    <cfRule type="expression" dxfId="187" priority="63">
      <formula>AJ$2&lt;=$D$1</formula>
    </cfRule>
  </conditionalFormatting>
  <conditionalFormatting sqref="AK151">
    <cfRule type="expression" dxfId="186" priority="62">
      <formula>AK$2&lt;=$D$1</formula>
    </cfRule>
  </conditionalFormatting>
  <conditionalFormatting sqref="AL151">
    <cfRule type="expression" dxfId="185" priority="61">
      <formula>AL$2&lt;=$D$1</formula>
    </cfRule>
  </conditionalFormatting>
  <conditionalFormatting sqref="AM151">
    <cfRule type="expression" dxfId="184" priority="60">
      <formula>AM$2&lt;=$D$1</formula>
    </cfRule>
  </conditionalFormatting>
  <conditionalFormatting sqref="AN151">
    <cfRule type="expression" dxfId="183" priority="59">
      <formula>AN$2&lt;=$D$1</formula>
    </cfRule>
  </conditionalFormatting>
  <conditionalFormatting sqref="AO151">
    <cfRule type="expression" dxfId="182" priority="58">
      <formula>AO$2&lt;=$D$1</formula>
    </cfRule>
  </conditionalFormatting>
  <conditionalFormatting sqref="AP151">
    <cfRule type="expression" dxfId="181" priority="57">
      <formula>AP$2&lt;=$D$1</formula>
    </cfRule>
  </conditionalFormatting>
  <conditionalFormatting sqref="AQ151">
    <cfRule type="expression" dxfId="180" priority="56">
      <formula>AQ$2&lt;=$D$1</formula>
    </cfRule>
  </conditionalFormatting>
  <conditionalFormatting sqref="AR151">
    <cfRule type="expression" dxfId="179" priority="55">
      <formula>AR$2&lt;=$D$1</formula>
    </cfRule>
  </conditionalFormatting>
  <conditionalFormatting sqref="E173:AB173">
    <cfRule type="expression" dxfId="178" priority="54">
      <formula>E$2&lt;=$D$1</formula>
    </cfRule>
  </conditionalFormatting>
  <conditionalFormatting sqref="AC173">
    <cfRule type="expression" dxfId="177" priority="52">
      <formula>AC$2&lt;=$D$1</formula>
    </cfRule>
  </conditionalFormatting>
  <conditionalFormatting sqref="AD173">
    <cfRule type="expression" dxfId="176" priority="51">
      <formula>AD$2&lt;=$D$1</formula>
    </cfRule>
  </conditionalFormatting>
  <conditionalFormatting sqref="AE173">
    <cfRule type="expression" dxfId="175" priority="50">
      <formula>AE$2&lt;=$D$1</formula>
    </cfRule>
  </conditionalFormatting>
  <conditionalFormatting sqref="AF173">
    <cfRule type="expression" dxfId="174" priority="49">
      <formula>AF$2&lt;=$D$1</formula>
    </cfRule>
  </conditionalFormatting>
  <conditionalFormatting sqref="AG173">
    <cfRule type="expression" dxfId="173" priority="48">
      <formula>AG$2&lt;=$D$1</formula>
    </cfRule>
  </conditionalFormatting>
  <conditionalFormatting sqref="AH173">
    <cfRule type="expression" dxfId="172" priority="47">
      <formula>AH$2&lt;=$D$1</formula>
    </cfRule>
  </conditionalFormatting>
  <conditionalFormatting sqref="AI173">
    <cfRule type="expression" dxfId="171" priority="46">
      <formula>AI$2&lt;=$D$1</formula>
    </cfRule>
  </conditionalFormatting>
  <conditionalFormatting sqref="AJ173">
    <cfRule type="expression" dxfId="170" priority="45">
      <formula>AJ$2&lt;=$D$1</formula>
    </cfRule>
  </conditionalFormatting>
  <conditionalFormatting sqref="AK173">
    <cfRule type="expression" dxfId="169" priority="44">
      <formula>AK$2&lt;=$D$1</formula>
    </cfRule>
  </conditionalFormatting>
  <conditionalFormatting sqref="AL173">
    <cfRule type="expression" dxfId="168" priority="43">
      <formula>AL$2&lt;=$D$1</formula>
    </cfRule>
  </conditionalFormatting>
  <conditionalFormatting sqref="AM173">
    <cfRule type="expression" dxfId="167" priority="42">
      <formula>AM$2&lt;=$D$1</formula>
    </cfRule>
  </conditionalFormatting>
  <conditionalFormatting sqref="AN173">
    <cfRule type="expression" dxfId="166" priority="41">
      <formula>AN$2&lt;=$D$1</formula>
    </cfRule>
  </conditionalFormatting>
  <conditionalFormatting sqref="AO173">
    <cfRule type="expression" dxfId="165" priority="40">
      <formula>AO$2&lt;=$D$1</formula>
    </cfRule>
  </conditionalFormatting>
  <conditionalFormatting sqref="AP173">
    <cfRule type="expression" dxfId="164" priority="39">
      <formula>AP$2&lt;=$D$1</formula>
    </cfRule>
  </conditionalFormatting>
  <conditionalFormatting sqref="AQ173">
    <cfRule type="expression" dxfId="163" priority="38">
      <formula>AQ$2&lt;=$D$1</formula>
    </cfRule>
  </conditionalFormatting>
  <conditionalFormatting sqref="AR173">
    <cfRule type="expression" dxfId="162" priority="37">
      <formula>AR$2&lt;=$D$1</formula>
    </cfRule>
  </conditionalFormatting>
  <conditionalFormatting sqref="E221:AB221">
    <cfRule type="expression" dxfId="161" priority="36">
      <formula>E$2&lt;=$D$1</formula>
    </cfRule>
  </conditionalFormatting>
  <conditionalFormatting sqref="AC221">
    <cfRule type="expression" dxfId="160" priority="34">
      <formula>AC$2&lt;=$D$1</formula>
    </cfRule>
  </conditionalFormatting>
  <conditionalFormatting sqref="AD221">
    <cfRule type="expression" dxfId="159" priority="33">
      <formula>AD$2&lt;=$D$1</formula>
    </cfRule>
  </conditionalFormatting>
  <conditionalFormatting sqref="AE221">
    <cfRule type="expression" dxfId="158" priority="32">
      <formula>AE$2&lt;=$D$1</formula>
    </cfRule>
  </conditionalFormatting>
  <conditionalFormatting sqref="AF221">
    <cfRule type="expression" dxfId="157" priority="31">
      <formula>AF$2&lt;=$D$1</formula>
    </cfRule>
  </conditionalFormatting>
  <conditionalFormatting sqref="AG221">
    <cfRule type="expression" dxfId="156" priority="30">
      <formula>AG$2&lt;=$D$1</formula>
    </cfRule>
  </conditionalFormatting>
  <conditionalFormatting sqref="AH221">
    <cfRule type="expression" dxfId="155" priority="29">
      <formula>AH$2&lt;=$D$1</formula>
    </cfRule>
  </conditionalFormatting>
  <conditionalFormatting sqref="AI221">
    <cfRule type="expression" dxfId="154" priority="28">
      <formula>AI$2&lt;=$D$1</formula>
    </cfRule>
  </conditionalFormatting>
  <conditionalFormatting sqref="AJ221">
    <cfRule type="expression" dxfId="153" priority="27">
      <formula>AJ$2&lt;=$D$1</formula>
    </cfRule>
  </conditionalFormatting>
  <conditionalFormatting sqref="AK221">
    <cfRule type="expression" dxfId="152" priority="26">
      <formula>AK$2&lt;=$D$1</formula>
    </cfRule>
  </conditionalFormatting>
  <conditionalFormatting sqref="AL221">
    <cfRule type="expression" dxfId="151" priority="25">
      <formula>AL$2&lt;=$D$1</formula>
    </cfRule>
  </conditionalFormatting>
  <conditionalFormatting sqref="AM221">
    <cfRule type="expression" dxfId="150" priority="24">
      <formula>AM$2&lt;=$D$1</formula>
    </cfRule>
  </conditionalFormatting>
  <conditionalFormatting sqref="AN221">
    <cfRule type="expression" dxfId="149" priority="23">
      <formula>AN$2&lt;=$D$1</formula>
    </cfRule>
  </conditionalFormatting>
  <conditionalFormatting sqref="AO221">
    <cfRule type="expression" dxfId="148" priority="22">
      <formula>AO$2&lt;=$D$1</formula>
    </cfRule>
  </conditionalFormatting>
  <conditionalFormatting sqref="AP221">
    <cfRule type="expression" dxfId="147" priority="21">
      <formula>AP$2&lt;=$D$1</formula>
    </cfRule>
  </conditionalFormatting>
  <conditionalFormatting sqref="AQ221">
    <cfRule type="expression" dxfId="146" priority="20">
      <formula>AQ$2&lt;=$D$1</formula>
    </cfRule>
  </conditionalFormatting>
  <conditionalFormatting sqref="AR221">
    <cfRule type="expression" dxfId="145" priority="19">
      <formula>AR$2&lt;=$D$1</formula>
    </cfRule>
  </conditionalFormatting>
  <conditionalFormatting sqref="E213:AB213">
    <cfRule type="expression" dxfId="144" priority="18">
      <formula>E$2&lt;=$D$1</formula>
    </cfRule>
  </conditionalFormatting>
  <conditionalFormatting sqref="AC213">
    <cfRule type="expression" dxfId="143" priority="16">
      <formula>AC$2&lt;=$D$1</formula>
    </cfRule>
  </conditionalFormatting>
  <conditionalFormatting sqref="AD213">
    <cfRule type="expression" dxfId="142" priority="15">
      <formula>AD$2&lt;=$D$1</formula>
    </cfRule>
  </conditionalFormatting>
  <conditionalFormatting sqref="AE213">
    <cfRule type="expression" dxfId="141" priority="14">
      <formula>AE$2&lt;=$D$1</formula>
    </cfRule>
  </conditionalFormatting>
  <conditionalFormatting sqref="AF213">
    <cfRule type="expression" dxfId="140" priority="13">
      <formula>AF$2&lt;=$D$1</formula>
    </cfRule>
  </conditionalFormatting>
  <conditionalFormatting sqref="AG213">
    <cfRule type="expression" dxfId="139" priority="12">
      <formula>AG$2&lt;=$D$1</formula>
    </cfRule>
  </conditionalFormatting>
  <conditionalFormatting sqref="AH213">
    <cfRule type="expression" dxfId="138" priority="11">
      <formula>AH$2&lt;=$D$1</formula>
    </cfRule>
  </conditionalFormatting>
  <conditionalFormatting sqref="AI213">
    <cfRule type="expression" dxfId="137" priority="10">
      <formula>AI$2&lt;=$D$1</formula>
    </cfRule>
  </conditionalFormatting>
  <conditionalFormatting sqref="AJ213">
    <cfRule type="expression" dxfId="136" priority="9">
      <formula>AJ$2&lt;=$D$1</formula>
    </cfRule>
  </conditionalFormatting>
  <conditionalFormatting sqref="AK213">
    <cfRule type="expression" dxfId="135" priority="8">
      <formula>AK$2&lt;=$D$1</formula>
    </cfRule>
  </conditionalFormatting>
  <conditionalFormatting sqref="AL213">
    <cfRule type="expression" dxfId="134" priority="7">
      <formula>AL$2&lt;=$D$1</formula>
    </cfRule>
  </conditionalFormatting>
  <conditionalFormatting sqref="AM213">
    <cfRule type="expression" dxfId="133" priority="6">
      <formula>AM$2&lt;=$D$1</formula>
    </cfRule>
  </conditionalFormatting>
  <conditionalFormatting sqref="AN213">
    <cfRule type="expression" dxfId="132" priority="5">
      <formula>AN$2&lt;=$D$1</formula>
    </cfRule>
  </conditionalFormatting>
  <conditionalFormatting sqref="AO213">
    <cfRule type="expression" dxfId="131" priority="4">
      <formula>AO$2&lt;=$D$1</formula>
    </cfRule>
  </conditionalFormatting>
  <conditionalFormatting sqref="AP213">
    <cfRule type="expression" dxfId="130" priority="3">
      <formula>AP$2&lt;=$D$1</formula>
    </cfRule>
  </conditionalFormatting>
  <conditionalFormatting sqref="AQ213">
    <cfRule type="expression" dxfId="129" priority="2">
      <formula>AQ$2&lt;=$D$1</formula>
    </cfRule>
  </conditionalFormatting>
  <conditionalFormatting sqref="AR213">
    <cfRule type="expression" dxfId="128" priority="1">
      <formula>AR$2&lt;=$D$1</formula>
    </cfRule>
  </conditionalFormatting>
  <conditionalFormatting sqref="B6">
    <cfRule type="cellIs" dxfId="127" priority="125" operator="equal">
      <formula>#REF!</formula>
    </cfRule>
  </conditionalFormatting>
  <conditionalFormatting sqref="B71">
    <cfRule type="cellIs" dxfId="126" priority="107" operator="equal">
      <formula>#REF!</formula>
    </cfRule>
  </conditionalFormatting>
  <conditionalFormatting sqref="B141">
    <cfRule type="cellIs" dxfId="125" priority="89" operator="equal">
      <formula>#REF!</formula>
    </cfRule>
  </conditionalFormatting>
  <conditionalFormatting sqref="B151">
    <cfRule type="cellIs" dxfId="124" priority="71" operator="equal">
      <formula>#REF!</formula>
    </cfRule>
  </conditionalFormatting>
  <conditionalFormatting sqref="B173">
    <cfRule type="cellIs" dxfId="123" priority="53" operator="equal">
      <formula>#REF!</formula>
    </cfRule>
  </conditionalFormatting>
  <conditionalFormatting sqref="B221">
    <cfRule type="cellIs" dxfId="122" priority="35" operator="equal">
      <formula>#REF!</formula>
    </cfRule>
  </conditionalFormatting>
  <conditionalFormatting sqref="B213">
    <cfRule type="cellIs" dxfId="121" priority="17" operator="equal">
      <formula>#REF!</formula>
    </cfRule>
  </conditionalFormatting>
  <dataValidations disablePrompts="1" count="1">
    <dataValidation type="list" showInputMessage="1" showErrorMessage="1" sqref="B6 B71 B141 B151 B173 B221 B213" xr:uid="{00000000-0002-0000-06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24">
    <outlinePr summaryBelow="0" summaryRight="0"/>
  </sheetPr>
  <dimension ref="A1:AT144"/>
  <sheetViews>
    <sheetView workbookViewId="0">
      <selection sqref="A1:C2"/>
    </sheetView>
  </sheetViews>
  <sheetFormatPr defaultRowHeight="11.25" outlineLevelRow="1" x14ac:dyDescent="0.2"/>
  <cols>
    <col min="1" max="1" width="50.7109375" style="29" customWidth="1"/>
    <col min="2" max="2" width="10.85546875" style="3" customWidth="1"/>
    <col min="3" max="3" width="9" style="12" customWidth="1"/>
    <col min="4" max="4" width="10.7109375" style="29" customWidth="1"/>
    <col min="5" max="44" width="8.7109375" style="29" customWidth="1"/>
    <col min="45" max="45" width="1.7109375" style="29" customWidth="1"/>
    <col min="46" max="46" width="8.7109375" style="29" customWidth="1"/>
    <col min="47" max="16384" width="9.140625" style="29"/>
  </cols>
  <sheetData>
    <row r="1" spans="1:46" s="1" customFormat="1" x14ac:dyDescent="0.2">
      <c r="A1" s="1028" t="str">
        <f xml:space="preserve"> Параметры!$A$4</f>
        <v xml:space="preserve">Проект создания ИП «Бугры» на территории Ленинградской области
</v>
      </c>
      <c r="B1" s="1028"/>
      <c r="C1" s="1028"/>
      <c r="D1" s="102"/>
      <c r="E1" s="16" t="str">
        <f>Параметры!E$53</f>
        <v>1 кв. 2020</v>
      </c>
      <c r="F1" s="16" t="str">
        <f>Параметры!F$53</f>
        <v>2 кв. 2020</v>
      </c>
      <c r="G1" s="16" t="str">
        <f>Параметры!G$53</f>
        <v>3 кв. 2020</v>
      </c>
      <c r="H1" s="16" t="str">
        <f>Параметры!H$53</f>
        <v>4 кв. 2020</v>
      </c>
      <c r="I1" s="16" t="str">
        <f>Параметры!I$53</f>
        <v>1 кв. 2021</v>
      </c>
      <c r="J1" s="16" t="str">
        <f>Параметры!J$53</f>
        <v>2 кв. 2021</v>
      </c>
      <c r="K1" s="16" t="str">
        <f>Параметры!K$53</f>
        <v>3 кв. 2021</v>
      </c>
      <c r="L1" s="16" t="str">
        <f>Параметры!L$53</f>
        <v>4 кв. 2021</v>
      </c>
      <c r="M1" s="16" t="str">
        <f>Параметры!M$53</f>
        <v>1 кв. 2022</v>
      </c>
      <c r="N1" s="16" t="str">
        <f>Параметры!N$53</f>
        <v>2 кв. 2022</v>
      </c>
      <c r="O1" s="16" t="str">
        <f>Параметры!O$53</f>
        <v>3 кв. 2022</v>
      </c>
      <c r="P1" s="16" t="str">
        <f>Параметры!P$53</f>
        <v>4 кв. 2022</v>
      </c>
      <c r="Q1" s="16" t="str">
        <f>Параметры!Q$53</f>
        <v>1 кв. 2023</v>
      </c>
      <c r="R1" s="16" t="str">
        <f>Параметры!R$53</f>
        <v>2 кв. 2023</v>
      </c>
      <c r="S1" s="16" t="str">
        <f>Параметры!S$53</f>
        <v>3 кв. 2023</v>
      </c>
      <c r="T1" s="16" t="str">
        <f>Параметры!T$53</f>
        <v>4 кв. 2023</v>
      </c>
      <c r="U1" s="16" t="str">
        <f>Параметры!U$53</f>
        <v>1 кв. 2024</v>
      </c>
      <c r="V1" s="16" t="str">
        <f>Параметры!V$53</f>
        <v>2 кв. 2024</v>
      </c>
      <c r="W1" s="16" t="str">
        <f>Параметры!W$53</f>
        <v>3 кв. 2024</v>
      </c>
      <c r="X1" s="16" t="str">
        <f>Параметры!X$53</f>
        <v>4 кв. 2024</v>
      </c>
      <c r="Y1" s="16" t="str">
        <f>Параметры!Y$53</f>
        <v>1 кв. 2025</v>
      </c>
      <c r="Z1" s="16" t="str">
        <f>Параметры!Z$53</f>
        <v>2 кв. 2025</v>
      </c>
      <c r="AA1" s="16" t="str">
        <f>Параметры!AA$53</f>
        <v>3 кв. 2025</v>
      </c>
      <c r="AB1" s="16" t="str">
        <f>Параметры!AB$53</f>
        <v>4 кв. 2025</v>
      </c>
      <c r="AC1" s="16" t="str">
        <f>Параметры!AC$53</f>
        <v>1 кв. 2026</v>
      </c>
      <c r="AD1" s="16" t="str">
        <f>Параметры!AD$53</f>
        <v>2 кв. 2026</v>
      </c>
      <c r="AE1" s="16" t="str">
        <f>Параметры!AE$53</f>
        <v>3 кв. 2026</v>
      </c>
      <c r="AF1" s="16" t="str">
        <f>Параметры!AF$53</f>
        <v>4 кв. 2026</v>
      </c>
      <c r="AG1" s="16" t="str">
        <f>Параметры!AG$53</f>
        <v>1 кв. 2027</v>
      </c>
      <c r="AH1" s="16" t="str">
        <f>Параметры!AH$53</f>
        <v>2 кв. 2027</v>
      </c>
      <c r="AI1" s="16" t="str">
        <f>Параметры!AI$53</f>
        <v>3 кв. 2027</v>
      </c>
      <c r="AJ1" s="16" t="str">
        <f>Параметры!AJ$53</f>
        <v>4 кв. 2027</v>
      </c>
      <c r="AK1" s="16" t="str">
        <f>Параметры!AK$53</f>
        <v>1 кв. 2028</v>
      </c>
      <c r="AL1" s="16" t="str">
        <f>Параметры!AL$53</f>
        <v>2 кв. 2028</v>
      </c>
      <c r="AM1" s="16" t="str">
        <f>Параметры!AM$53</f>
        <v>3 кв. 2028</v>
      </c>
      <c r="AN1" s="16" t="str">
        <f>Параметры!AN$53</f>
        <v>4 кв. 2028</v>
      </c>
      <c r="AO1" s="16" t="str">
        <f>Параметры!AO$53</f>
        <v>1 кв. 2029</v>
      </c>
      <c r="AP1" s="16" t="str">
        <f>Параметры!AP$53</f>
        <v>2 кв. 2029</v>
      </c>
      <c r="AQ1" s="16" t="str">
        <f>Параметры!AQ$53</f>
        <v>3 кв. 2029</v>
      </c>
      <c r="AR1" s="16" t="str">
        <f>Параметры!AR$53</f>
        <v>4 кв. 2029</v>
      </c>
      <c r="AS1" s="15"/>
      <c r="AT1" s="17" t="s">
        <v>0</v>
      </c>
    </row>
    <row r="2" spans="1:46" s="1" customFormat="1" x14ac:dyDescent="0.2">
      <c r="A2" s="1028"/>
      <c r="B2" s="1028"/>
      <c r="C2" s="1028"/>
      <c r="D2" s="102">
        <f>Резиденты!$D$2</f>
        <v>1</v>
      </c>
      <c r="E2" s="16">
        <f>Параметры!E36</f>
        <v>1</v>
      </c>
      <c r="F2" s="16">
        <f>Параметры!F36</f>
        <v>2</v>
      </c>
      <c r="G2" s="16">
        <f>Параметры!G36</f>
        <v>3</v>
      </c>
      <c r="H2" s="16">
        <f>Параметры!H36</f>
        <v>4</v>
      </c>
      <c r="I2" s="16">
        <f>Параметры!I36</f>
        <v>5</v>
      </c>
      <c r="J2" s="16">
        <f>Параметры!J36</f>
        <v>6</v>
      </c>
      <c r="K2" s="16">
        <f>Параметры!K36</f>
        <v>7</v>
      </c>
      <c r="L2" s="16">
        <f>Параметры!L36</f>
        <v>8</v>
      </c>
      <c r="M2" s="16">
        <f>Параметры!M36</f>
        <v>9</v>
      </c>
      <c r="N2" s="16">
        <f>Параметры!N36</f>
        <v>10</v>
      </c>
      <c r="O2" s="16">
        <f>Параметры!O36</f>
        <v>11</v>
      </c>
      <c r="P2" s="16">
        <f>Параметры!P36</f>
        <v>12</v>
      </c>
      <c r="Q2" s="16">
        <f>Параметры!Q36</f>
        <v>13</v>
      </c>
      <c r="R2" s="16">
        <f>Параметры!R36</f>
        <v>14</v>
      </c>
      <c r="S2" s="16">
        <f>Параметры!S36</f>
        <v>15</v>
      </c>
      <c r="T2" s="16">
        <f>Параметры!T36</f>
        <v>16</v>
      </c>
      <c r="U2" s="16">
        <f>Параметры!U36</f>
        <v>17</v>
      </c>
      <c r="V2" s="16">
        <f>Параметры!V36</f>
        <v>18</v>
      </c>
      <c r="W2" s="16">
        <f>Параметры!W36</f>
        <v>19</v>
      </c>
      <c r="X2" s="16">
        <f>Параметры!X36</f>
        <v>20</v>
      </c>
      <c r="Y2" s="16">
        <f>Параметры!Y36</f>
        <v>21</v>
      </c>
      <c r="Z2" s="16">
        <f>Параметры!Z36</f>
        <v>22</v>
      </c>
      <c r="AA2" s="16">
        <f>Параметры!AA36</f>
        <v>23</v>
      </c>
      <c r="AB2" s="16">
        <f>Параметры!AB36</f>
        <v>24</v>
      </c>
      <c r="AC2" s="16">
        <f>Параметры!AC36</f>
        <v>25</v>
      </c>
      <c r="AD2" s="16">
        <f>Параметры!AD36</f>
        <v>26</v>
      </c>
      <c r="AE2" s="16">
        <f>Параметры!AE36</f>
        <v>27</v>
      </c>
      <c r="AF2" s="16">
        <f>Параметры!AF36</f>
        <v>28</v>
      </c>
      <c r="AG2" s="16">
        <f>Параметры!AG36</f>
        <v>29</v>
      </c>
      <c r="AH2" s="16">
        <f>Параметры!AH36</f>
        <v>30</v>
      </c>
      <c r="AI2" s="16">
        <f>Параметры!AI36</f>
        <v>31</v>
      </c>
      <c r="AJ2" s="16">
        <f>Параметры!AJ36</f>
        <v>32</v>
      </c>
      <c r="AK2" s="16">
        <f>Параметры!AK36</f>
        <v>33</v>
      </c>
      <c r="AL2" s="16">
        <f>Параметры!AL36</f>
        <v>34</v>
      </c>
      <c r="AM2" s="16">
        <f>Параметры!AM36</f>
        <v>35</v>
      </c>
      <c r="AN2" s="16">
        <f>Параметры!AN36</f>
        <v>36</v>
      </c>
      <c r="AO2" s="16">
        <f>Параметры!AO36</f>
        <v>37</v>
      </c>
      <c r="AP2" s="16">
        <f>Параметры!AP36</f>
        <v>38</v>
      </c>
      <c r="AQ2" s="16">
        <f>Параметры!AQ36</f>
        <v>39</v>
      </c>
      <c r="AR2" s="16">
        <f>Параметры!AR36</f>
        <v>40</v>
      </c>
      <c r="AS2" s="15"/>
      <c r="AT2" s="15"/>
    </row>
    <row r="3" spans="1:46" x14ac:dyDescent="0.2">
      <c r="D3" s="40"/>
    </row>
    <row r="4" spans="1:46" ht="33.75" x14ac:dyDescent="0.2">
      <c r="A4" s="252" t="s">
        <v>731</v>
      </c>
      <c r="B4" s="528">
        <v>0</v>
      </c>
      <c r="D4" s="40"/>
      <c r="G4" s="82"/>
    </row>
    <row r="5" spans="1:46" ht="12" thickBot="1" x14ac:dyDescent="0.25">
      <c r="D5" s="40"/>
    </row>
    <row r="6" spans="1:46" s="43" customFormat="1" ht="25.5" customHeight="1" thickBot="1" x14ac:dyDescent="0.25">
      <c r="A6" s="481" t="s">
        <v>727</v>
      </c>
      <c r="B6" s="479"/>
      <c r="C6" s="485"/>
      <c r="D6" s="486"/>
      <c r="E6" s="479" t="str">
        <f>CHOOSE($D$2,Параметры!E$53,Параметры!E$54)</f>
        <v>1 кв. 2020</v>
      </c>
      <c r="F6" s="479" t="str">
        <f>CHOOSE($D$2,Параметры!F$53,Параметры!F$54)</f>
        <v>2 кв. 2020</v>
      </c>
      <c r="G6" s="479" t="str">
        <f>CHOOSE($D$2,Параметры!G$53,Параметры!G$54)</f>
        <v>3 кв. 2020</v>
      </c>
      <c r="H6" s="479" t="str">
        <f>CHOOSE($D$2,Параметры!H$53,Параметры!H$54)</f>
        <v>4 кв. 2020</v>
      </c>
      <c r="I6" s="479" t="str">
        <f>CHOOSE($D$2,Параметры!I$53,Параметры!I$54)</f>
        <v>1 кв. 2021</v>
      </c>
      <c r="J6" s="479" t="str">
        <f>CHOOSE($D$2,Параметры!J$53,Параметры!J$54)</f>
        <v>2 кв. 2021</v>
      </c>
      <c r="K6" s="479" t="str">
        <f>CHOOSE($D$2,Параметры!K$53,Параметры!K$54)</f>
        <v>3 кв. 2021</v>
      </c>
      <c r="L6" s="479" t="str">
        <f>CHOOSE($D$2,Параметры!L$53,Параметры!L$54)</f>
        <v>4 кв. 2021</v>
      </c>
      <c r="M6" s="479" t="str">
        <f>CHOOSE($D$2,Параметры!M$53,Параметры!M$54)</f>
        <v>1 кв. 2022</v>
      </c>
      <c r="N6" s="479" t="str">
        <f>CHOOSE($D$2,Параметры!N$53,Параметры!N$54)</f>
        <v>2 кв. 2022</v>
      </c>
      <c r="O6" s="479" t="str">
        <f>CHOOSE($D$2,Параметры!O$53,Параметры!O$54)</f>
        <v>3 кв. 2022</v>
      </c>
      <c r="P6" s="479" t="str">
        <f>CHOOSE($D$2,Параметры!P$53,Параметры!P$54)</f>
        <v>4 кв. 2022</v>
      </c>
      <c r="Q6" s="479" t="str">
        <f>CHOOSE($D$2,Параметры!Q$53,Параметры!Q$54)</f>
        <v>1 кв. 2023</v>
      </c>
      <c r="R6" s="479" t="str">
        <f>CHOOSE($D$2,Параметры!R$53,Параметры!R$54)</f>
        <v>2 кв. 2023</v>
      </c>
      <c r="S6" s="479" t="str">
        <f>CHOOSE($D$2,Параметры!S$53,Параметры!S$54)</f>
        <v>3 кв. 2023</v>
      </c>
      <c r="T6" s="479" t="str">
        <f>CHOOSE($D$2,Параметры!T$53,Параметры!T$54)</f>
        <v>4 кв. 2023</v>
      </c>
      <c r="U6" s="479" t="str">
        <f>CHOOSE($D$2,Параметры!U$53,Параметры!U$54)</f>
        <v>1 кв. 2024</v>
      </c>
      <c r="V6" s="479" t="str">
        <f>CHOOSE($D$2,Параметры!V$53,Параметры!V$54)</f>
        <v>2 кв. 2024</v>
      </c>
      <c r="W6" s="479" t="str">
        <f>CHOOSE($D$2,Параметры!W$53,Параметры!W$54)</f>
        <v>3 кв. 2024</v>
      </c>
      <c r="X6" s="479" t="str">
        <f>CHOOSE($D$2,Параметры!X$53,Параметры!X$54)</f>
        <v>4 кв. 2024</v>
      </c>
      <c r="Y6" s="479" t="str">
        <f>CHOOSE($D$2,Параметры!Y$53,Параметры!Y$54)</f>
        <v>1 кв. 2025</v>
      </c>
      <c r="Z6" s="479" t="str">
        <f>CHOOSE($D$2,Параметры!Z$53,Параметры!Z$54)</f>
        <v>2 кв. 2025</v>
      </c>
      <c r="AA6" s="479" t="str">
        <f>CHOOSE($D$2,Параметры!AA$53,Параметры!AA$54)</f>
        <v>3 кв. 2025</v>
      </c>
      <c r="AB6" s="479" t="str">
        <f>CHOOSE($D$2,Параметры!AB$53,Параметры!AB$54)</f>
        <v>4 кв. 2025</v>
      </c>
      <c r="AC6" s="479" t="str">
        <f>CHOOSE($D$2,Параметры!AC$53,Параметры!AC$54)</f>
        <v>1 кв. 2026</v>
      </c>
      <c r="AD6" s="479" t="str">
        <f>CHOOSE($D$2,Параметры!AD$53,Параметры!AD$54)</f>
        <v>2 кв. 2026</v>
      </c>
      <c r="AE6" s="479" t="str">
        <f>CHOOSE($D$2,Параметры!AE$53,Параметры!AE$54)</f>
        <v>3 кв. 2026</v>
      </c>
      <c r="AF6" s="479" t="str">
        <f>CHOOSE($D$2,Параметры!AF$53,Параметры!AF$54)</f>
        <v>4 кв. 2026</v>
      </c>
      <c r="AG6" s="479" t="str">
        <f>CHOOSE($D$2,Параметры!AG$53,Параметры!AG$54)</f>
        <v>1 кв. 2027</v>
      </c>
      <c r="AH6" s="479" t="str">
        <f>CHOOSE($D$2,Параметры!AH$53,Параметры!AH$54)</f>
        <v>2 кв. 2027</v>
      </c>
      <c r="AI6" s="479" t="str">
        <f>CHOOSE($D$2,Параметры!AI$53,Параметры!AI$54)</f>
        <v>3 кв. 2027</v>
      </c>
      <c r="AJ6" s="479" t="str">
        <f>CHOOSE($D$2,Параметры!AJ$53,Параметры!AJ$54)</f>
        <v>4 кв. 2027</v>
      </c>
      <c r="AK6" s="479" t="str">
        <f>CHOOSE($D$2,Параметры!AK$53,Параметры!AK$54)</f>
        <v>1 кв. 2028</v>
      </c>
      <c r="AL6" s="479" t="str">
        <f>CHOOSE($D$2,Параметры!AL$53,Параметры!AL$54)</f>
        <v>2 кв. 2028</v>
      </c>
      <c r="AM6" s="479" t="str">
        <f>CHOOSE($D$2,Параметры!AM$53,Параметры!AM$54)</f>
        <v>3 кв. 2028</v>
      </c>
      <c r="AN6" s="479" t="str">
        <f>CHOOSE($D$2,Параметры!AN$53,Параметры!AN$54)</f>
        <v>4 кв. 2028</v>
      </c>
      <c r="AO6" s="479" t="str">
        <f>CHOOSE($D$2,Параметры!AO$53,Параметры!AO$54)</f>
        <v>1 кв. 2029</v>
      </c>
      <c r="AP6" s="479" t="str">
        <f>CHOOSE($D$2,Параметры!AP$53,Параметры!AP$54)</f>
        <v>2 кв. 2029</v>
      </c>
      <c r="AQ6" s="479" t="str">
        <f>CHOOSE($D$2,Параметры!AQ$53,Параметры!AQ$54)</f>
        <v>3 кв. 2029</v>
      </c>
      <c r="AR6" s="479" t="str">
        <f>CHOOSE($D$2,Параметры!AR$53,Параметры!AR$54)</f>
        <v>4 кв. 2029</v>
      </c>
      <c r="AS6" s="485"/>
      <c r="AT6" s="485" t="s">
        <v>0</v>
      </c>
    </row>
    <row r="7" spans="1:46" x14ac:dyDescent="0.2">
      <c r="A7" s="44"/>
      <c r="D7" s="40"/>
    </row>
    <row r="8" spans="1:46" x14ac:dyDescent="0.2">
      <c r="A8" s="44" t="s">
        <v>809</v>
      </c>
      <c r="B8" s="177">
        <f ca="1">Параметры!$B$239*Графики!$D$325</f>
        <v>0.10128364613285909</v>
      </c>
      <c r="C8" s="12" t="s">
        <v>1</v>
      </c>
      <c r="D8" s="40"/>
    </row>
    <row r="9" spans="1:46" outlineLevel="1" x14ac:dyDescent="0.2">
      <c r="A9" s="63" t="s">
        <v>363</v>
      </c>
      <c r="C9" s="12" t="s">
        <v>1</v>
      </c>
      <c r="D9" s="40"/>
      <c r="E9" s="67">
        <f ca="1">((1+$B8)/IF(Параметры!$B$62,1,1+CHOOSE(Параметры!$B$126,Параметры!E$65,Параметры!E$113,Параметры!E$122)))^(Параметры!E$40/12)-1</f>
        <v>2.4412331059534331E-2</v>
      </c>
      <c r="F9" s="67">
        <f ca="1">((1+$B8)/IF(Параметры!$B$62,1,1+CHOOSE(Параметры!$B$126,Параметры!F$65,Параметры!F$113,Параметры!F$122)))^(Параметры!F$40/12)-1</f>
        <v>2.4412331059534331E-2</v>
      </c>
      <c r="G9" s="67">
        <f ca="1">((1+$B8)/IF(Параметры!$B$62,1,1+CHOOSE(Параметры!$B$126,Параметры!G$65,Параметры!G$113,Параметры!G$122)))^(Параметры!G$40/12)-1</f>
        <v>2.4412331059534331E-2</v>
      </c>
      <c r="H9" s="67">
        <f ca="1">((1+$B8)/IF(Параметры!$B$62,1,1+CHOOSE(Параметры!$B$126,Параметры!H$65,Параметры!H$113,Параметры!H$122)))^(Параметры!H$40/12)-1</f>
        <v>2.4412331059534331E-2</v>
      </c>
      <c r="I9" s="67">
        <f ca="1">((1+$B8)/IF(Параметры!$B$62,1,1+CHOOSE(Параметры!$B$126,Параметры!I$65,Параметры!I$113,Параметры!I$122)))^(Параметры!I$40/12)-1</f>
        <v>2.4412331059534331E-2</v>
      </c>
      <c r="J9" s="67">
        <f ca="1">((1+$B8)/IF(Параметры!$B$62,1,1+CHOOSE(Параметры!$B$126,Параметры!J$65,Параметры!J$113,Параметры!J$122)))^(Параметры!J$40/12)-1</f>
        <v>2.4412331059534331E-2</v>
      </c>
      <c r="K9" s="67">
        <f ca="1">((1+$B8)/IF(Параметры!$B$62,1,1+CHOOSE(Параметры!$B$126,Параметры!K$65,Параметры!K$113,Параметры!K$122)))^(Параметры!K$40/12)-1</f>
        <v>2.4412331059534331E-2</v>
      </c>
      <c r="L9" s="67">
        <f ca="1">((1+$B8)/IF(Параметры!$B$62,1,1+CHOOSE(Параметры!$B$126,Параметры!L$65,Параметры!L$113,Параметры!L$122)))^(Параметры!L$40/12)-1</f>
        <v>2.4412331059534331E-2</v>
      </c>
      <c r="M9" s="67">
        <f ca="1">((1+$B8)/IF(Параметры!$B$62,1,1+CHOOSE(Параметры!$B$126,Параметры!M$65,Параметры!M$113,Параметры!M$122)))^(Параметры!M$40/12)-1</f>
        <v>2.4412331059534331E-2</v>
      </c>
      <c r="N9" s="67">
        <f ca="1">((1+$B8)/IF(Параметры!$B$62,1,1+CHOOSE(Параметры!$B$126,Параметры!N$65,Параметры!N$113,Параметры!N$122)))^(Параметры!N$40/12)-1</f>
        <v>2.4412331059534331E-2</v>
      </c>
      <c r="O9" s="67">
        <f ca="1">((1+$B8)/IF(Параметры!$B$62,1,1+CHOOSE(Параметры!$B$126,Параметры!O$65,Параметры!O$113,Параметры!O$122)))^(Параметры!O$40/12)-1</f>
        <v>2.4412331059534331E-2</v>
      </c>
      <c r="P9" s="67">
        <f ca="1">((1+$B8)/IF(Параметры!$B$62,1,1+CHOOSE(Параметры!$B$126,Параметры!P$65,Параметры!P$113,Параметры!P$122)))^(Параметры!P$40/12)-1</f>
        <v>2.4412331059534331E-2</v>
      </c>
      <c r="Q9" s="67">
        <f ca="1">((1+$B8)/IF(Параметры!$B$62,1,1+CHOOSE(Параметры!$B$126,Параметры!Q$65,Параметры!Q$113,Параметры!Q$122)))^(Параметры!Q$40/12)-1</f>
        <v>2.4412331059534331E-2</v>
      </c>
      <c r="R9" s="67">
        <f ca="1">((1+$B8)/IF(Параметры!$B$62,1,1+CHOOSE(Параметры!$B$126,Параметры!R$65,Параметры!R$113,Параметры!R$122)))^(Параметры!R$40/12)-1</f>
        <v>2.4412331059534331E-2</v>
      </c>
      <c r="S9" s="67">
        <f ca="1">((1+$B8)/IF(Параметры!$B$62,1,1+CHOOSE(Параметры!$B$126,Параметры!S$65,Параметры!S$113,Параметры!S$122)))^(Параметры!S$40/12)-1</f>
        <v>2.4412331059534331E-2</v>
      </c>
      <c r="T9" s="67">
        <f ca="1">((1+$B8)/IF(Параметры!$B$62,1,1+CHOOSE(Параметры!$B$126,Параметры!T$65,Параметры!T$113,Параметры!T$122)))^(Параметры!T$40/12)-1</f>
        <v>2.4412331059534331E-2</v>
      </c>
      <c r="U9" s="67">
        <f ca="1">((1+$B8)/IF(Параметры!$B$62,1,1+CHOOSE(Параметры!$B$126,Параметры!U$65,Параметры!U$113,Параметры!U$122)))^(Параметры!U$40/12)-1</f>
        <v>2.4412331059534331E-2</v>
      </c>
      <c r="V9" s="67">
        <f ca="1">((1+$B8)/IF(Параметры!$B$62,1,1+CHOOSE(Параметры!$B$126,Параметры!V$65,Параметры!V$113,Параметры!V$122)))^(Параметры!V$40/12)-1</f>
        <v>2.4412331059534331E-2</v>
      </c>
      <c r="W9" s="67">
        <f ca="1">((1+$B8)/IF(Параметры!$B$62,1,1+CHOOSE(Параметры!$B$126,Параметры!W$65,Параметры!W$113,Параметры!W$122)))^(Параметры!W$40/12)-1</f>
        <v>2.4412331059534331E-2</v>
      </c>
      <c r="X9" s="67">
        <f ca="1">((1+$B8)/IF(Параметры!$B$62,1,1+CHOOSE(Параметры!$B$126,Параметры!X$65,Параметры!X$113,Параметры!X$122)))^(Параметры!X$40/12)-1</f>
        <v>2.4412331059534331E-2</v>
      </c>
      <c r="Y9" s="67">
        <f ca="1">((1+$B8)/IF(Параметры!$B$62,1,1+CHOOSE(Параметры!$B$126,Параметры!Y$65,Параметры!Y$113,Параметры!Y$122)))^(Параметры!Y$40/12)-1</f>
        <v>2.4412331059534331E-2</v>
      </c>
      <c r="Z9" s="67">
        <f ca="1">((1+$B8)/IF(Параметры!$B$62,1,1+CHOOSE(Параметры!$B$126,Параметры!Z$65,Параметры!Z$113,Параметры!Z$122)))^(Параметры!Z$40/12)-1</f>
        <v>2.4412331059534331E-2</v>
      </c>
      <c r="AA9" s="67">
        <f ca="1">((1+$B8)/IF(Параметры!$B$62,1,1+CHOOSE(Параметры!$B$126,Параметры!AA$65,Параметры!AA$113,Параметры!AA$122)))^(Параметры!AA$40/12)-1</f>
        <v>2.4412331059534331E-2</v>
      </c>
      <c r="AB9" s="67">
        <f ca="1">((1+$B8)/IF(Параметры!$B$62,1,1+CHOOSE(Параметры!$B$126,Параметры!AB$65,Параметры!AB$113,Параметры!AB$122)))^(Параметры!AB$40/12)-1</f>
        <v>2.4412331059534331E-2</v>
      </c>
      <c r="AC9" s="67">
        <f ca="1">((1+$B8)/IF(Параметры!$B$62,1,1+CHOOSE(Параметры!$B$126,Параметры!AC$65,Параметры!AC$113,Параметры!AC$122)))^(Параметры!AC$40/12)-1</f>
        <v>2.4412331059534331E-2</v>
      </c>
      <c r="AD9" s="67">
        <f ca="1">((1+$B8)/IF(Параметры!$B$62,1,1+CHOOSE(Параметры!$B$126,Параметры!AD$65,Параметры!AD$113,Параметры!AD$122)))^(Параметры!AD$40/12)-1</f>
        <v>2.4412331059534331E-2</v>
      </c>
      <c r="AE9" s="67">
        <f ca="1">((1+$B8)/IF(Параметры!$B$62,1,1+CHOOSE(Параметры!$B$126,Параметры!AE$65,Параметры!AE$113,Параметры!AE$122)))^(Параметры!AE$40/12)-1</f>
        <v>2.4412331059534331E-2</v>
      </c>
      <c r="AF9" s="67">
        <f ca="1">((1+$B8)/IF(Параметры!$B$62,1,1+CHOOSE(Параметры!$B$126,Параметры!AF$65,Параметры!AF$113,Параметры!AF$122)))^(Параметры!AF$40/12)-1</f>
        <v>2.4412331059534331E-2</v>
      </c>
      <c r="AG9" s="67">
        <f ca="1">((1+$B8)/IF(Параметры!$B$62,1,1+CHOOSE(Параметры!$B$126,Параметры!AG$65,Параметры!AG$113,Параметры!AG$122)))^(Параметры!AG$40/12)-1</f>
        <v>2.4412331059534331E-2</v>
      </c>
      <c r="AH9" s="67">
        <f ca="1">((1+$B8)/IF(Параметры!$B$62,1,1+CHOOSE(Параметры!$B$126,Параметры!AH$65,Параметры!AH$113,Параметры!AH$122)))^(Параметры!AH$40/12)-1</f>
        <v>2.4412331059534331E-2</v>
      </c>
      <c r="AI9" s="67">
        <f ca="1">((1+$B8)/IF(Параметры!$B$62,1,1+CHOOSE(Параметры!$B$126,Параметры!AI$65,Параметры!AI$113,Параметры!AI$122)))^(Параметры!AI$40/12)-1</f>
        <v>2.4412331059534331E-2</v>
      </c>
      <c r="AJ9" s="67">
        <f ca="1">((1+$B8)/IF(Параметры!$B$62,1,1+CHOOSE(Параметры!$B$126,Параметры!AJ$65,Параметры!AJ$113,Параметры!AJ$122)))^(Параметры!AJ$40/12)-1</f>
        <v>2.4412331059534331E-2</v>
      </c>
      <c r="AK9" s="67">
        <f ca="1">((1+$B8)/IF(Параметры!$B$62,1,1+CHOOSE(Параметры!$B$126,Параметры!AK$65,Параметры!AK$113,Параметры!AK$122)))^(Параметры!AK$40/12)-1</f>
        <v>2.4412331059534331E-2</v>
      </c>
      <c r="AL9" s="67">
        <f ca="1">((1+$B8)/IF(Параметры!$B$62,1,1+CHOOSE(Параметры!$B$126,Параметры!AL$65,Параметры!AL$113,Параметры!AL$122)))^(Параметры!AL$40/12)-1</f>
        <v>2.4412331059534331E-2</v>
      </c>
      <c r="AM9" s="67">
        <f ca="1">((1+$B8)/IF(Параметры!$B$62,1,1+CHOOSE(Параметры!$B$126,Параметры!AM$65,Параметры!AM$113,Параметры!AM$122)))^(Параметры!AM$40/12)-1</f>
        <v>2.4412331059534331E-2</v>
      </c>
      <c r="AN9" s="67">
        <f ca="1">((1+$B8)/IF(Параметры!$B$62,1,1+CHOOSE(Параметры!$B$126,Параметры!AN$65,Параметры!AN$113,Параметры!AN$122)))^(Параметры!AN$40/12)-1</f>
        <v>2.4412331059534331E-2</v>
      </c>
      <c r="AO9" s="67">
        <f ca="1">((1+$B8)/IF(Параметры!$B$62,1,1+CHOOSE(Параметры!$B$126,Параметры!AO$65,Параметры!AO$113,Параметры!AO$122)))^(Параметры!AO$40/12)-1</f>
        <v>2.4412331059534331E-2</v>
      </c>
      <c r="AP9" s="67">
        <f ca="1">((1+$B8)/IF(Параметры!$B$62,1,1+CHOOSE(Параметры!$B$126,Параметры!AP$65,Параметры!AP$113,Параметры!AP$122)))^(Параметры!AP$40/12)-1</f>
        <v>2.4412331059534331E-2</v>
      </c>
      <c r="AQ9" s="67">
        <f ca="1">((1+$B8)/IF(Параметры!$B$62,1,1+CHOOSE(Параметры!$B$126,Параметры!AQ$65,Параметры!AQ$113,Параметры!AQ$122)))^(Параметры!AQ$40/12)-1</f>
        <v>2.4412331059534331E-2</v>
      </c>
      <c r="AR9" s="67">
        <f ca="1">((1+$B8)/IF(Параметры!$B$62,1,1+CHOOSE(Параметры!$B$126,Параметры!AR$65,Параметры!AR$113,Параметры!AR$122)))^(Параметры!AR$40/12)-1</f>
        <v>2.4412331059534331E-2</v>
      </c>
    </row>
    <row r="10" spans="1:46" outlineLevel="1" x14ac:dyDescent="0.2">
      <c r="A10" s="63" t="s">
        <v>419</v>
      </c>
      <c r="C10" s="12" t="s">
        <v>133</v>
      </c>
      <c r="D10" s="40"/>
      <c r="E10" s="68">
        <v>1</v>
      </c>
      <c r="F10" s="68">
        <v>1</v>
      </c>
      <c r="G10" s="68">
        <v>1</v>
      </c>
      <c r="H10" s="68">
        <v>1</v>
      </c>
      <c r="I10" s="68">
        <f t="shared" ref="I10:AR10" ca="1" si="0">IF(I$2=1,1,H10*(1+H9))</f>
        <v>1.0244123310595343</v>
      </c>
      <c r="J10" s="68">
        <f t="shared" ca="1" si="0"/>
        <v>1.0494206240268289</v>
      </c>
      <c r="K10" s="68">
        <f t="shared" ca="1" si="0"/>
        <v>1.0750394277212749</v>
      </c>
      <c r="L10" s="68">
        <f t="shared" ca="1" si="0"/>
        <v>1.101283646132859</v>
      </c>
      <c r="M10" s="68">
        <f t="shared" ca="1" si="0"/>
        <v>1.1281685470927054</v>
      </c>
      <c r="N10" s="68">
        <f t="shared" ca="1" si="0"/>
        <v>1.1557097711552864</v>
      </c>
      <c r="O10" s="68">
        <f t="shared" ca="1" si="0"/>
        <v>1.1839233406974679</v>
      </c>
      <c r="P10" s="68">
        <f t="shared" ca="1" si="0"/>
        <v>1.2128256692396844</v>
      </c>
      <c r="Q10" s="68">
        <f t="shared" ca="1" si="0"/>
        <v>1.2424335709946648</v>
      </c>
      <c r="R10" s="68">
        <f t="shared" ca="1" si="0"/>
        <v>1.2727642706492659</v>
      </c>
      <c r="S10" s="68">
        <f t="shared" ca="1" si="0"/>
        <v>1.3038354133851024</v>
      </c>
      <c r="T10" s="68">
        <f t="shared" ca="1" si="0"/>
        <v>1.3356650751438044</v>
      </c>
      <c r="U10" s="68">
        <f t="shared" ca="1" si="0"/>
        <v>1.3682717731428728</v>
      </c>
      <c r="V10" s="68">
        <f t="shared" ca="1" si="0"/>
        <v>1.4016744766482527</v>
      </c>
      <c r="W10" s="68">
        <f t="shared" ca="1" si="0"/>
        <v>1.4358926180098894</v>
      </c>
      <c r="X10" s="68">
        <f t="shared" ca="1" si="0"/>
        <v>1.4709461039666882</v>
      </c>
      <c r="Y10" s="68">
        <f t="shared" ca="1" si="0"/>
        <v>1.5068553272274552</v>
      </c>
      <c r="Z10" s="68">
        <f t="shared" ca="1" si="0"/>
        <v>1.5436411783345547</v>
      </c>
      <c r="AA10" s="68">
        <f t="shared" ca="1" si="0"/>
        <v>1.5813250578171876</v>
      </c>
      <c r="AB10" s="68">
        <f t="shared" ca="1" si="0"/>
        <v>1.6199288886413581</v>
      </c>
      <c r="AC10" s="68">
        <f t="shared" ca="1" si="0"/>
        <v>1.6594751289637744</v>
      </c>
      <c r="AD10" s="68">
        <f t="shared" ca="1" si="0"/>
        <v>1.6999867851971016</v>
      </c>
      <c r="AE10" s="68">
        <f t="shared" ca="1" si="0"/>
        <v>1.7414874253941668</v>
      </c>
      <c r="AF10" s="68">
        <f t="shared" ca="1" si="0"/>
        <v>1.7840011929589052</v>
      </c>
      <c r="AG10" s="68">
        <f t="shared" ca="1" si="0"/>
        <v>1.8275528206920222</v>
      </c>
      <c r="AH10" s="68">
        <f t="shared" ca="1" si="0"/>
        <v>1.8721676451795417</v>
      </c>
      <c r="AI10" s="68">
        <f t="shared" ca="1" si="0"/>
        <v>1.9178716215326135</v>
      </c>
      <c r="AJ10" s="68">
        <f t="shared" ca="1" si="0"/>
        <v>1.9646913384871536</v>
      </c>
      <c r="AK10" s="68">
        <f t="shared" ca="1" si="0"/>
        <v>2.0126540338721015</v>
      </c>
      <c r="AL10" s="68">
        <f t="shared" ca="1" si="0"/>
        <v>2.0617876104552946</v>
      </c>
      <c r="AM10" s="68">
        <f t="shared" ca="1" si="0"/>
        <v>2.1121206521761753</v>
      </c>
      <c r="AN10" s="68">
        <f t="shared" ca="1" si="0"/>
        <v>2.1636824407747794</v>
      </c>
      <c r="AO10" s="68">
        <f t="shared" ca="1" si="0"/>
        <v>2.2165029728266745</v>
      </c>
      <c r="AP10" s="68">
        <f t="shared" ca="1" si="0"/>
        <v>2.2706129771937613</v>
      </c>
      <c r="AQ10" s="68">
        <f t="shared" ca="1" si="0"/>
        <v>2.3260439329010905</v>
      </c>
      <c r="AR10" s="68">
        <f t="shared" ca="1" si="0"/>
        <v>2.3828280874500933</v>
      </c>
    </row>
    <row r="11" spans="1:46" s="60" customFormat="1" ht="19.5" x14ac:dyDescent="0.2">
      <c r="A11" s="52" t="s">
        <v>728</v>
      </c>
      <c r="B11" s="438" t="s">
        <v>1097</v>
      </c>
      <c r="C11" s="34" t="str">
        <f>Параметры!$C$126</f>
        <v>тыс. руб.</v>
      </c>
      <c r="D11" s="169"/>
      <c r="E11" s="85">
        <f t="shared" ref="E11:AR11" ca="1" si="1">E12+E19</f>
        <v>0</v>
      </c>
      <c r="F11" s="85">
        <f t="shared" ca="1" si="1"/>
        <v>0</v>
      </c>
      <c r="G11" s="85">
        <f t="shared" ca="1" si="1"/>
        <v>0</v>
      </c>
      <c r="H11" s="85">
        <f t="shared" ca="1" si="1"/>
        <v>15439.20678</v>
      </c>
      <c r="I11" s="85">
        <f t="shared" ca="1" si="1"/>
        <v>26821.053360739017</v>
      </c>
      <c r="J11" s="85">
        <f t="shared" ca="1" si="1"/>
        <v>26068.359727733681</v>
      </c>
      <c r="K11" s="85">
        <f t="shared" ca="1" si="1"/>
        <v>26457.927242381873</v>
      </c>
      <c r="L11" s="85">
        <f t="shared" ca="1" si="1"/>
        <v>26843.911120939454</v>
      </c>
      <c r="M11" s="85">
        <f t="shared" ca="1" si="1"/>
        <v>27235.722120281909</v>
      </c>
      <c r="N11" s="85">
        <f t="shared" ca="1" si="1"/>
        <v>53454.510313088133</v>
      </c>
      <c r="O11" s="85">
        <f t="shared" ca="1" si="1"/>
        <v>33942.205652362994</v>
      </c>
      <c r="P11" s="85">
        <f t="shared" ca="1" si="1"/>
        <v>42814.024016429357</v>
      </c>
      <c r="Q11" s="85">
        <f t="shared" ca="1" si="1"/>
        <v>43483.582049825396</v>
      </c>
      <c r="R11" s="85">
        <f t="shared" ca="1" si="1"/>
        <v>57726.18985985592</v>
      </c>
      <c r="S11" s="85">
        <f t="shared" ca="1" si="1"/>
        <v>73417.012417479666</v>
      </c>
      <c r="T11" s="85">
        <f t="shared" ca="1" si="1"/>
        <v>58984.587002013141</v>
      </c>
      <c r="U11" s="85">
        <f t="shared" ca="1" si="1"/>
        <v>54343.569331515777</v>
      </c>
      <c r="V11" s="85">
        <f t="shared" ca="1" si="1"/>
        <v>273804.15060037543</v>
      </c>
      <c r="W11" s="85">
        <f t="shared" ca="1" si="1"/>
        <v>113730.76132245225</v>
      </c>
      <c r="X11" s="85">
        <f t="shared" ca="1" si="1"/>
        <v>183504.42394229386</v>
      </c>
      <c r="Y11" s="85">
        <f t="shared" ca="1" si="1"/>
        <v>202961.47245856724</v>
      </c>
      <c r="Z11" s="85">
        <f t="shared" ca="1" si="1"/>
        <v>189320.06247974618</v>
      </c>
      <c r="AA11" s="85">
        <f t="shared" ca="1" si="1"/>
        <v>209000.35172786098</v>
      </c>
      <c r="AB11" s="85">
        <f t="shared" ca="1" si="1"/>
        <v>255715.70790772667</v>
      </c>
      <c r="AC11" s="85">
        <f t="shared" ca="1" si="1"/>
        <v>266842.86671374459</v>
      </c>
      <c r="AD11" s="85">
        <f t="shared" ca="1" si="1"/>
        <v>270595.24869430787</v>
      </c>
      <c r="AE11" s="85">
        <f t="shared" ca="1" si="1"/>
        <v>274388.71459727391</v>
      </c>
      <c r="AF11" s="85">
        <f t="shared" ca="1" si="1"/>
        <v>314221.48288856022</v>
      </c>
      <c r="AG11" s="85">
        <f t="shared" ca="1" si="1"/>
        <v>422216.66569420975</v>
      </c>
      <c r="AH11" s="85">
        <f t="shared" ca="1" si="1"/>
        <v>427609.30839499674</v>
      </c>
      <c r="AI11" s="85">
        <f t="shared" ca="1" si="1"/>
        <v>433080.94099201838</v>
      </c>
      <c r="AJ11" s="85">
        <f t="shared" ca="1" si="1"/>
        <v>438637.18122228596</v>
      </c>
      <c r="AK11" s="85">
        <f t="shared" ca="1" si="1"/>
        <v>433740.92561900016</v>
      </c>
      <c r="AL11" s="85">
        <f t="shared" ca="1" si="1"/>
        <v>377630.54727558861</v>
      </c>
      <c r="AM11" s="85">
        <f t="shared" ca="1" si="1"/>
        <v>425197.45254145929</v>
      </c>
      <c r="AN11" s="85">
        <f t="shared" ca="1" si="1"/>
        <v>459470.72902124579</v>
      </c>
      <c r="AO11" s="85">
        <f t="shared" ca="1" si="1"/>
        <v>465479.85085576848</v>
      </c>
      <c r="AP11" s="85">
        <f t="shared" ca="1" si="1"/>
        <v>368859.96935505158</v>
      </c>
      <c r="AQ11" s="85">
        <f t="shared" ca="1" si="1"/>
        <v>371006.09833748615</v>
      </c>
      <c r="AR11" s="85">
        <f t="shared" ca="1" si="1"/>
        <v>482199.77198560972</v>
      </c>
      <c r="AT11" s="143">
        <f ca="1">SUM(E11:AS11)</f>
        <v>8226246.545622278</v>
      </c>
    </row>
    <row r="12" spans="1:46" outlineLevel="1" x14ac:dyDescent="0.2">
      <c r="A12" s="63" t="s">
        <v>729</v>
      </c>
      <c r="B12" s="102">
        <f ca="1">IFERROR(AVERAGEIF(Параметры!$E$46:OFFSET(Параметры!$E$46,0,Параметры!$B$24-1),"&gt;=" &amp; Деятельность_УК!$B$9,E12:OFFSET(E12,0,Параметры!$B$24-1))*Параметры!$B$13/Параметры!$B$12,0)</f>
        <v>1344609.4692111595</v>
      </c>
      <c r="C12" s="12" t="str">
        <f>Параметры!$C$126</f>
        <v>тыс. руб.</v>
      </c>
      <c r="D12" s="40"/>
      <c r="E12" s="82">
        <f ca="1">Результаты_УК!E220*$B$4+Резиденты!E230</f>
        <v>0</v>
      </c>
      <c r="F12" s="82">
        <f ca="1">Результаты_УК!F220*$B$4+Резиденты!F230</f>
        <v>0</v>
      </c>
      <c r="G12" s="82">
        <f ca="1">Результаты_УК!G220*$B$4+Резиденты!G230</f>
        <v>0</v>
      </c>
      <c r="H12" s="82">
        <f ca="1">Результаты_УК!H220*$B$4+Резиденты!H230</f>
        <v>15439.20678</v>
      </c>
      <c r="I12" s="82">
        <f ca="1">Результаты_УК!I220*$B$4+Резиденты!I230</f>
        <v>26821.053360739017</v>
      </c>
      <c r="J12" s="82">
        <f ca="1">Результаты_УК!J220*$B$4+Резиденты!J230</f>
        <v>27068.391613844535</v>
      </c>
      <c r="K12" s="82">
        <f ca="1">Результаты_УК!K220*$B$4+Резиденты!K230</f>
        <v>27457.959128492726</v>
      </c>
      <c r="L12" s="82">
        <f ca="1">Результаты_УК!L220*$B$4+Резиденты!L230</f>
        <v>27853.352871781222</v>
      </c>
      <c r="M12" s="82">
        <f ca="1">Результаты_УК!M220*$B$4+Резиденты!M230</f>
        <v>28254.662278585565</v>
      </c>
      <c r="N12" s="82">
        <f ca="1">Результаты_УК!N220*$B$4+Резиденты!N230</f>
        <v>54483.038254733197</v>
      </c>
      <c r="O12" s="82">
        <f ca="1">Результаты_УК!O220*$B$4+Резиденты!O230</f>
        <v>43732.068532835336</v>
      </c>
      <c r="P12" s="82">
        <f ca="1">Результаты_УК!P220*$B$4+Резиденты!P230</f>
        <v>44408.674971164815</v>
      </c>
      <c r="Q12" s="82">
        <f ca="1">Результаты_УК!Q220*$B$4+Резиденты!Q230</f>
        <v>45096.012033858613</v>
      </c>
      <c r="R12" s="82">
        <f ca="1">Результаты_УК!R220*$B$4+Резиденты!R230</f>
        <v>59356.597094548022</v>
      </c>
      <c r="S12" s="82">
        <f ca="1">Результаты_УК!S220*$B$4+Резиденты!S230</f>
        <v>79630.464006853988</v>
      </c>
      <c r="T12" s="82">
        <f ca="1">Результаты_УК!T220*$B$4+Резиденты!T230</f>
        <v>86238.249427883246</v>
      </c>
      <c r="U12" s="82">
        <f ca="1">Результаты_УК!U220*$B$4+Резиденты!U230</f>
        <v>87391.978247263236</v>
      </c>
      <c r="V12" s="82">
        <f ca="1">Результаты_УК!V220*$B$4+Резиденты!V230</f>
        <v>307180.38332912955</v>
      </c>
      <c r="W12" s="82">
        <f ca="1">Результаты_УК!W220*$B$4+Резиденты!W230</f>
        <v>220370.84022856003</v>
      </c>
      <c r="X12" s="82">
        <f ca="1">Результаты_УК!X220*$B$4+Резиденты!X230</f>
        <v>223794.09028465478</v>
      </c>
      <c r="Y12" s="82">
        <f ca="1">Результаты_УК!Y220*$B$4+Резиденты!Y230</f>
        <v>243831.7448712067</v>
      </c>
      <c r="Z12" s="82">
        <f ca="1">Результаты_УК!Z220*$B$4+Резиденты!Z230</f>
        <v>247339.59462469214</v>
      </c>
      <c r="AA12" s="82">
        <f ca="1">Результаты_УК!AA220*$B$4+Резиденты!AA230</f>
        <v>250854.72158511553</v>
      </c>
      <c r="AB12" s="82">
        <f ca="1">Результаты_УК!AB220*$B$4+Резиденты!AB230</f>
        <v>255715.70790772667</v>
      </c>
      <c r="AC12" s="82">
        <f ca="1">Результаты_УК!AC220*$B$4+Резиденты!AC230</f>
        <v>266842.86671374459</v>
      </c>
      <c r="AD12" s="82">
        <f ca="1">Результаты_УК!AD220*$B$4+Резиденты!AD230</f>
        <v>270595.24869430787</v>
      </c>
      <c r="AE12" s="82">
        <f ca="1">Результаты_УК!AE220*$B$4+Резиденты!AE230</f>
        <v>274388.71459727391</v>
      </c>
      <c r="AF12" s="82">
        <f ca="1">Результаты_УК!AF220*$B$4+Резиденты!AF230</f>
        <v>314221.48288856022</v>
      </c>
      <c r="AG12" s="82">
        <f ca="1">Результаты_УК!AG220*$B$4+Резиденты!AG230</f>
        <v>422216.66569420975</v>
      </c>
      <c r="AH12" s="82">
        <f ca="1">Результаты_УК!AH220*$B$4+Резиденты!AH230</f>
        <v>427609.30839499674</v>
      </c>
      <c r="AI12" s="82">
        <f ca="1">Результаты_УК!AI220*$B$4+Резиденты!AI230</f>
        <v>433080.94099201838</v>
      </c>
      <c r="AJ12" s="82">
        <f ca="1">Результаты_УК!AJ220*$B$4+Резиденты!AJ230</f>
        <v>438637.18122228596</v>
      </c>
      <c r="AK12" s="82">
        <f ca="1">Результаты_УК!AK220*$B$4+Резиденты!AK230</f>
        <v>433740.92561900016</v>
      </c>
      <c r="AL12" s="82">
        <f ca="1">Результаты_УК!AL220*$B$4+Резиденты!AL230</f>
        <v>377630.54727558861</v>
      </c>
      <c r="AM12" s="82">
        <f ca="1">Результаты_УК!AM220*$B$4+Резиденты!AM230</f>
        <v>425197.45254145929</v>
      </c>
      <c r="AN12" s="82">
        <f ca="1">Результаты_УК!AN220*$B$4+Резиденты!AN230</f>
        <v>459470.72902124579</v>
      </c>
      <c r="AO12" s="82">
        <f ca="1">Результаты_УК!AO220*$B$4+Резиденты!AO230</f>
        <v>465479.85085576848</v>
      </c>
      <c r="AP12" s="82">
        <f ca="1">Результаты_УК!AP220*$B$4+Резиденты!AP230</f>
        <v>368859.96935505158</v>
      </c>
      <c r="AQ12" s="82">
        <f ca="1">Результаты_УК!AQ220*$B$4+Резиденты!AQ230</f>
        <v>371006.09833748615</v>
      </c>
      <c r="AR12" s="82">
        <f ca="1">Результаты_УК!AR220*$B$4+Резиденты!AR230</f>
        <v>482199.77198560972</v>
      </c>
      <c r="AT12" s="30">
        <f ca="1">SUM(E12:AS12)</f>
        <v>8633496.5456222761</v>
      </c>
    </row>
    <row r="13" spans="1:46" s="40" customFormat="1" outlineLevel="1" x14ac:dyDescent="0.2">
      <c r="A13" s="595" t="s">
        <v>202</v>
      </c>
      <c r="B13" s="102">
        <f ca="1">IFERROR(AVERAGEIF(Параметры!$E$46:OFFSET(Параметры!$E$46,0,Параметры!$B$24-1),"&gt;=" &amp; Деятельность_УК!$B$9,E13:OFFSET(E13,0,Параметры!$B$24-1))*Параметры!$B$13/Параметры!$B$12,0)</f>
        <v>24310.349598994519</v>
      </c>
      <c r="C13" s="322" t="str">
        <f>Параметры!$C$126</f>
        <v>тыс. руб.</v>
      </c>
      <c r="E13" s="121">
        <f ca="1">0*$B$4+Резиденты!E224</f>
        <v>0</v>
      </c>
      <c r="F13" s="121">
        <f ca="1">0*$B$4+Резиденты!F224</f>
        <v>0</v>
      </c>
      <c r="G13" s="121">
        <f ca="1">0*$B$4+Резиденты!G224</f>
        <v>0</v>
      </c>
      <c r="H13" s="121">
        <f ca="1">0*$B$4+Резиденты!H224</f>
        <v>0</v>
      </c>
      <c r="I13" s="121">
        <f ca="1">0*$B$4+Резиденты!I224</f>
        <v>0</v>
      </c>
      <c r="J13" s="121">
        <f ca="1">0*$B$4+Резиденты!J224</f>
        <v>0</v>
      </c>
      <c r="K13" s="121">
        <f ca="1">0*$B$4+Резиденты!K224</f>
        <v>0</v>
      </c>
      <c r="L13" s="121">
        <f ca="1">0*$B$4+Резиденты!L224</f>
        <v>0</v>
      </c>
      <c r="M13" s="121">
        <f ca="1">0*$B$4+Резиденты!M224</f>
        <v>0</v>
      </c>
      <c r="N13" s="121">
        <f ca="1">0*$B$4+Резиденты!N224</f>
        <v>17503.313877236422</v>
      </c>
      <c r="O13" s="121">
        <f ca="1">0*$B$4+Резиденты!O224</f>
        <v>0</v>
      </c>
      <c r="P13" s="121">
        <f ca="1">0*$B$4+Резиденты!P224</f>
        <v>0</v>
      </c>
      <c r="Q13" s="121">
        <f ca="1">0*$B$4+Резиденты!Q224</f>
        <v>0</v>
      </c>
      <c r="R13" s="121">
        <f ca="1">0*$B$4+Резиденты!R224</f>
        <v>9129.7333453184365</v>
      </c>
      <c r="S13" s="121">
        <f ca="1">0*$B$4+Резиденты!S224</f>
        <v>0</v>
      </c>
      <c r="T13" s="121">
        <f ca="1">0*$B$4+Резиденты!T224</f>
        <v>0</v>
      </c>
      <c r="U13" s="121">
        <f ca="1">0*$B$4+Резиденты!U224</f>
        <v>0</v>
      </c>
      <c r="V13" s="121">
        <f ca="1">0*$B$4+Резиденты!V224</f>
        <v>145862.0975939671</v>
      </c>
      <c r="W13" s="121">
        <f ca="1">0*$B$4+Резиденты!W224</f>
        <v>0</v>
      </c>
      <c r="X13" s="121">
        <f ca="1">0*$B$4+Резиденты!X224</f>
        <v>0</v>
      </c>
      <c r="Y13" s="121">
        <f ca="1">0*$B$4+Резиденты!Y224</f>
        <v>0</v>
      </c>
      <c r="Z13" s="121">
        <f ca="1">0*$B$4+Резиденты!Z224</f>
        <v>0</v>
      </c>
      <c r="AA13" s="121">
        <f ca="1">0*$B$4+Резиденты!AA224</f>
        <v>0</v>
      </c>
      <c r="AB13" s="121">
        <f ca="1">0*$B$4+Резиденты!AB224</f>
        <v>0</v>
      </c>
      <c r="AC13" s="121">
        <f ca="1">0*$B$4+Резиденты!AC224</f>
        <v>0</v>
      </c>
      <c r="AD13" s="121">
        <f ca="1">0*$B$4+Резиденты!AD224</f>
        <v>0</v>
      </c>
      <c r="AE13" s="121">
        <f ca="1">0*$B$4+Резиденты!AE224</f>
        <v>0</v>
      </c>
      <c r="AF13" s="121">
        <f ca="1">0*$B$4+Резиденты!AF224</f>
        <v>0</v>
      </c>
      <c r="AG13" s="121">
        <f ca="1">0*$B$4+Резиденты!AG224</f>
        <v>0</v>
      </c>
      <c r="AH13" s="121">
        <f ca="1">0*$B$4+Резиденты!AH224</f>
        <v>0</v>
      </c>
      <c r="AI13" s="121">
        <f ca="1">0*$B$4+Резиденты!AI224</f>
        <v>0</v>
      </c>
      <c r="AJ13" s="121">
        <f ca="1">0*$B$4+Резиденты!AJ224</f>
        <v>0</v>
      </c>
      <c r="AK13" s="121">
        <f ca="1">0*$B$4+Резиденты!AK224</f>
        <v>0</v>
      </c>
      <c r="AL13" s="121">
        <f ca="1">0*$B$4+Резиденты!AL224</f>
        <v>0</v>
      </c>
      <c r="AM13" s="121">
        <f ca="1">0*$B$4+Резиденты!AM224</f>
        <v>0</v>
      </c>
      <c r="AN13" s="121">
        <f ca="1">0*$B$4+Резиденты!AN224</f>
        <v>0</v>
      </c>
      <c r="AO13" s="121">
        <f ca="1">0*$B$4+Резиденты!AO224</f>
        <v>0</v>
      </c>
      <c r="AP13" s="121">
        <f ca="1">0*$B$4+Резиденты!AP224</f>
        <v>0</v>
      </c>
      <c r="AQ13" s="121">
        <f ca="1">0*$B$4+Резиденты!AQ224</f>
        <v>0</v>
      </c>
      <c r="AR13" s="121">
        <f ca="1">0*$B$4+Резиденты!AR224</f>
        <v>0</v>
      </c>
      <c r="AT13" s="125">
        <f t="shared" ref="AT13:AT18" ca="1" si="2">SUM(E13:AS13)</f>
        <v>172495.14481652196</v>
      </c>
    </row>
    <row r="14" spans="1:46" s="40" customFormat="1" outlineLevel="1" x14ac:dyDescent="0.2">
      <c r="A14" s="596" t="s">
        <v>36</v>
      </c>
      <c r="B14" s="102">
        <f ca="1">IFERROR(AVERAGEIF(Параметры!$E$46:OFFSET(Параметры!$E$46,0,Параметры!$B$24-1),"&gt;=" &amp; Деятельность_УК!$B$9,E14:OFFSET(E14,0,Параметры!$B$24-1))*Параметры!$B$13/Параметры!$B$12,0)</f>
        <v>463987.08224045491</v>
      </c>
      <c r="C14" s="322" t="str">
        <f>Параметры!$C$126</f>
        <v>тыс. руб.</v>
      </c>
      <c r="E14" s="121">
        <f ca="1">Результаты_УК!E214*$B$4+Резиденты!E225</f>
        <v>0</v>
      </c>
      <c r="F14" s="121">
        <f ca="1">Результаты_УК!F214*$B$4+Резиденты!F225</f>
        <v>0</v>
      </c>
      <c r="G14" s="121">
        <f ca="1">Результаты_УК!G214*$B$4+Резиденты!G225</f>
        <v>0</v>
      </c>
      <c r="H14" s="121">
        <f ca="1">Результаты_УК!H214*$B$4+Резиденты!H225</f>
        <v>0</v>
      </c>
      <c r="I14" s="121">
        <f ca="1">Результаты_УК!I214*$B$4+Резиденты!I225</f>
        <v>0</v>
      </c>
      <c r="J14" s="121">
        <f ca="1">Результаты_УК!J214*$B$4+Резиденты!J225</f>
        <v>0</v>
      </c>
      <c r="K14" s="121">
        <f ca="1">Результаты_УК!K214*$B$4+Резиденты!K225</f>
        <v>0</v>
      </c>
      <c r="L14" s="121">
        <f ca="1">Результаты_УК!L214*$B$4+Резиденты!L225</f>
        <v>0</v>
      </c>
      <c r="M14" s="121">
        <f ca="1">Результаты_УК!M214*$B$4+Резиденты!M225</f>
        <v>0</v>
      </c>
      <c r="N14" s="121">
        <f ca="1">Результаты_УК!N214*$B$4+Резиденты!N225</f>
        <v>0</v>
      </c>
      <c r="O14" s="121">
        <f ca="1">Результаты_УК!O214*$B$4+Резиденты!O225</f>
        <v>0</v>
      </c>
      <c r="P14" s="121">
        <f ca="1">Результаты_УК!P214*$B$4+Резиденты!P225</f>
        <v>0</v>
      </c>
      <c r="Q14" s="121">
        <f ca="1">Результаты_УК!Q214*$B$4+Резиденты!Q225</f>
        <v>0</v>
      </c>
      <c r="R14" s="121">
        <f ca="1">Результаты_УК!R214*$B$4+Резиденты!R225</f>
        <v>0</v>
      </c>
      <c r="S14" s="121">
        <f ca="1">Результаты_УК!S214*$B$4+Резиденты!S225</f>
        <v>25289.201660613824</v>
      </c>
      <c r="T14" s="121">
        <f ca="1">Результаты_УК!T214*$B$4+Резиденты!T225</f>
        <v>31061.638361770321</v>
      </c>
      <c r="U14" s="121">
        <f ca="1">Результаты_УК!U214*$B$4+Резиденты!U225</f>
        <v>31366.899020510948</v>
      </c>
      <c r="V14" s="121">
        <f ca="1">Результаты_УК!V214*$B$4+Резиденты!V225</f>
        <v>31676.877003673737</v>
      </c>
      <c r="W14" s="121">
        <f ca="1">Результаты_УК!W214*$B$4+Резиденты!W225</f>
        <v>33265.613217200429</v>
      </c>
      <c r="X14" s="121">
        <f ca="1">Результаты_УК!X214*$B$4+Резиденты!X225</f>
        <v>33764.470939167455</v>
      </c>
      <c r="Y14" s="121">
        <f ca="1">Результаты_УК!Y214*$B$4+Резиденты!Y225</f>
        <v>50831.03090774281</v>
      </c>
      <c r="Z14" s="121">
        <f ca="1">Результаты_УК!Z214*$B$4+Резиденты!Z225</f>
        <v>51343.576294140672</v>
      </c>
      <c r="AA14" s="121">
        <f ca="1">Результаты_УК!AA214*$B$4+Резиденты!AA225</f>
        <v>51852.848735534193</v>
      </c>
      <c r="AB14" s="121">
        <f ca="1">Результаты_УК!AB214*$B$4+Резиденты!AB225</f>
        <v>53660.683843714316</v>
      </c>
      <c r="AC14" s="121">
        <f ca="1">Результаты_УК!AC214*$B$4+Резиденты!AC225</f>
        <v>61686.636106197839</v>
      </c>
      <c r="AD14" s="121">
        <f ca="1">Результаты_УК!AD214*$B$4+Резиденты!AD225</f>
        <v>62308.531594511398</v>
      </c>
      <c r="AE14" s="121">
        <f ca="1">Результаты_УК!AE214*$B$4+Резиденты!AE225</f>
        <v>62933.894224812626</v>
      </c>
      <c r="AF14" s="121">
        <f ca="1">Результаты_УК!AF214*$B$4+Резиденты!AF225</f>
        <v>99549.138117460534</v>
      </c>
      <c r="AG14" s="121">
        <f ca="1">Результаты_УК!AG214*$B$4+Резиденты!AG225</f>
        <v>204276.58976275939</v>
      </c>
      <c r="AH14" s="121">
        <f ca="1">Результаты_УК!AH214*$B$4+Резиденты!AH225</f>
        <v>206358.92435855098</v>
      </c>
      <c r="AI14" s="121">
        <f ca="1">Результаты_УК!AI214*$B$4+Резиденты!AI225</f>
        <v>208468.69395858946</v>
      </c>
      <c r="AJ14" s="121">
        <f ca="1">Результаты_УК!AJ214*$B$4+Резиденты!AJ225</f>
        <v>210610.74526447715</v>
      </c>
      <c r="AK14" s="121">
        <f ca="1">Результаты_УК!AK214*$B$4+Резиденты!AK225</f>
        <v>202247.1455559613</v>
      </c>
      <c r="AL14" s="121">
        <f ca="1">Результаты_УК!AL214*$B$4+Резиденты!AL225</f>
        <v>142634.07510601758</v>
      </c>
      <c r="AM14" s="121">
        <f ca="1">Результаты_УК!AM214*$B$4+Резиденты!AM225</f>
        <v>186632.0718701602</v>
      </c>
      <c r="AN14" s="121">
        <f ca="1">Результаты_УК!AN214*$B$4+Резиденты!AN225</f>
        <v>212492.63888454507</v>
      </c>
      <c r="AO14" s="121">
        <f ca="1">Результаты_УК!AO214*$B$4+Резиденты!AO225</f>
        <v>214820.58170811698</v>
      </c>
      <c r="AP14" s="121">
        <f ca="1">Результаты_УК!AP214*$B$4+Резиденты!AP225</f>
        <v>114481.16425826642</v>
      </c>
      <c r="AQ14" s="121">
        <f ca="1">Результаты_УК!AQ214*$B$4+Резиденты!AQ225</f>
        <v>112855.22720261605</v>
      </c>
      <c r="AR14" s="121">
        <f ca="1">Результаты_УК!AR214*$B$4+Резиденты!AR225</f>
        <v>143804.43550800227</v>
      </c>
      <c r="AT14" s="125">
        <f t="shared" ca="1" si="2"/>
        <v>2840273.3334651138</v>
      </c>
    </row>
    <row r="15" spans="1:46" s="40" customFormat="1" outlineLevel="1" x14ac:dyDescent="0.2">
      <c r="A15" s="596" t="s">
        <v>37</v>
      </c>
      <c r="B15" s="102">
        <f ca="1">IFERROR(AVERAGEIF(Параметры!$E$46:OFFSET(Параметры!$E$46,0,Параметры!$B$24-1),"&gt;=" &amp; Деятельность_УК!$B$9,E15:OFFSET(E15,0,Параметры!$B$24-1))*Параметры!$B$13/Параметры!$B$12,0)</f>
        <v>207063.56585966205</v>
      </c>
      <c r="C15" s="322" t="str">
        <f>Параметры!$C$126</f>
        <v>тыс. руб.</v>
      </c>
      <c r="E15" s="121">
        <f ca="1">Результаты_УК!E215*$B$4+Резиденты!E226</f>
        <v>0</v>
      </c>
      <c r="F15" s="121">
        <f ca="1">Результаты_УК!F215*$B$4+Резиденты!F226</f>
        <v>0</v>
      </c>
      <c r="G15" s="121">
        <f ca="1">Результаты_УК!G215*$B$4+Резиденты!G226</f>
        <v>0</v>
      </c>
      <c r="H15" s="121">
        <f ca="1">Результаты_УК!H215*$B$4+Резиденты!H226</f>
        <v>0</v>
      </c>
      <c r="I15" s="121">
        <f ca="1">Результаты_УК!I215*$B$4+Резиденты!I226</f>
        <v>6666.8792407390174</v>
      </c>
      <c r="J15" s="121">
        <f ca="1">Результаты_УК!J215*$B$4+Резиденты!J226</f>
        <v>6666.8792407390174</v>
      </c>
      <c r="K15" s="121">
        <f ca="1">Результаты_УК!K215*$B$4+Резиденты!K226</f>
        <v>6729.6116722784545</v>
      </c>
      <c r="L15" s="121">
        <f ca="1">Результаты_УК!L215*$B$4+Резиденты!L226</f>
        <v>6792.9343886910319</v>
      </c>
      <c r="M15" s="121">
        <f ca="1">Результаты_УК!M215*$B$4+Резиденты!M226</f>
        <v>6856.8529443004481</v>
      </c>
      <c r="N15" s="121">
        <f ca="1">Результаты_УК!N215*$B$4+Резиденты!N226</f>
        <v>6921.3729456941801</v>
      </c>
      <c r="O15" s="121">
        <f ca="1">Результаты_УК!O215*$B$4+Резиденты!O226</f>
        <v>10631.006364903071</v>
      </c>
      <c r="P15" s="121">
        <f ca="1">Результаты_УК!P215*$B$4+Резиденты!P226</f>
        <v>10749.533226888117</v>
      </c>
      <c r="Q15" s="121">
        <f ca="1">Результаты_УК!Q215*$B$4+Резиденты!Q226</f>
        <v>10869.381564614006</v>
      </c>
      <c r="R15" s="121">
        <f ca="1">Результаты_УК!R215*$B$4+Резиденты!R226</f>
        <v>10990.566111434047</v>
      </c>
      <c r="S15" s="121">
        <f ca="1">Результаты_УК!S215*$B$4+Резиденты!S226</f>
        <v>13096.405101708544</v>
      </c>
      <c r="T15" s="121">
        <f ca="1">Результаты_УК!T215*$B$4+Резиденты!T226</f>
        <v>13245.13702651423</v>
      </c>
      <c r="U15" s="121">
        <f ca="1">Результаты_УК!U215*$B$4+Резиденты!U226</f>
        <v>13395.558054954461</v>
      </c>
      <c r="V15" s="121">
        <f ca="1">Результаты_УК!V215*$B$4+Резиденты!V226</f>
        <v>13547.687369669984</v>
      </c>
      <c r="W15" s="121">
        <f ca="1">Результаты_УК!W215*$B$4+Резиденты!W226</f>
        <v>46827.020834403404</v>
      </c>
      <c r="X15" s="121">
        <f ca="1">Результаты_УК!X215*$B$4+Резиденты!X226</f>
        <v>47372.009823146713</v>
      </c>
      <c r="Y15" s="121">
        <f ca="1">Результаты_УК!Y215*$B$4+Резиденты!Y226</f>
        <v>47923.341581354354</v>
      </c>
      <c r="Z15" s="121">
        <f ca="1">Результаты_УК!Z215*$B$4+Резиденты!Z226</f>
        <v>48481.089928360772</v>
      </c>
      <c r="AA15" s="121">
        <f ca="1">Результаты_УК!AA215*$B$4+Резиденты!AA226</f>
        <v>49015.532647622611</v>
      </c>
      <c r="AB15" s="121">
        <f ca="1">Результаты_УК!AB215*$B$4+Резиденты!AB226</f>
        <v>49555.86692214018</v>
      </c>
      <c r="AC15" s="121">
        <f ca="1">Результаты_УК!AC215*$B$4+Резиденты!AC226</f>
        <v>50102.157698861207</v>
      </c>
      <c r="AD15" s="121">
        <f ca="1">Результаты_УК!AD215*$B$4+Резиденты!AD226</f>
        <v>50654.470640691317</v>
      </c>
      <c r="AE15" s="121">
        <f ca="1">Результаты_УК!AE215*$B$4+Резиденты!AE226</f>
        <v>51207.500088550594</v>
      </c>
      <c r="AF15" s="121">
        <f ca="1">Результаты_УК!AF215*$B$4+Резиденты!AF226</f>
        <v>51766.567336555257</v>
      </c>
      <c r="AG15" s="121">
        <f ca="1">Результаты_УК!AG215*$B$4+Резиденты!AG226</f>
        <v>52331.738303492719</v>
      </c>
      <c r="AH15" s="121">
        <f ca="1">Результаты_УК!AH215*$B$4+Резиденты!AH226</f>
        <v>52903.079627830797</v>
      </c>
      <c r="AI15" s="121">
        <f ca="1">Результаты_УК!AI215*$B$4+Резиденты!AI226</f>
        <v>53483.250286550487</v>
      </c>
      <c r="AJ15" s="121">
        <f ca="1">Результаты_УК!AJ215*$B$4+Резиденты!AJ226</f>
        <v>54069.783485893713</v>
      </c>
      <c r="AK15" s="121">
        <f ca="1">Результаты_УК!AK215*$B$4+Резиденты!AK226</f>
        <v>54662.749001748918</v>
      </c>
      <c r="AL15" s="121">
        <f ca="1">Результаты_УК!AL215*$B$4+Резиденты!AL226</f>
        <v>55262.217375213746</v>
      </c>
      <c r="AM15" s="121">
        <f ca="1">Результаты_УК!AM215*$B$4+Резиденты!AM226</f>
        <v>55885.931662769755</v>
      </c>
      <c r="AN15" s="121">
        <f ca="1">Результаты_УК!AN215*$B$4+Резиденты!AN226</f>
        <v>59081.470982766856</v>
      </c>
      <c r="AO15" s="121">
        <f ca="1">Результаты_УК!AO215*$B$4+Резиденты!AO226</f>
        <v>59748.291087569698</v>
      </c>
      <c r="AP15" s="121">
        <f ca="1">Результаты_УК!AP215*$B$4+Резиденты!AP226</f>
        <v>60422.637224557759</v>
      </c>
      <c r="AQ15" s="121">
        <f ca="1">Результаты_УК!AQ215*$B$4+Резиденты!AQ226</f>
        <v>61105.271773292421</v>
      </c>
      <c r="AR15" s="121">
        <f ca="1">Результаты_УК!AR215*$B$4+Резиденты!AR226</f>
        <v>103576.17141997472</v>
      </c>
      <c r="AT15" s="125">
        <f t="shared" ca="1" si="2"/>
        <v>1352597.9549864768</v>
      </c>
    </row>
    <row r="16" spans="1:46" s="40" customFormat="1" outlineLevel="1" x14ac:dyDescent="0.2">
      <c r="A16" s="596" t="s">
        <v>38</v>
      </c>
      <c r="B16" s="102">
        <f ca="1">IFERROR(AVERAGEIF(Параметры!$E$46:OFFSET(Параметры!$E$46,0,Параметры!$B$24-1),"&gt;=" &amp; Деятельность_УК!$B$9,E16:OFFSET(E16,0,Параметры!$B$24-1))*Параметры!$B$13/Параметры!$B$12,0)</f>
        <v>7578.4247411189353</v>
      </c>
      <c r="C16" s="322" t="str">
        <f>Параметры!$C$126</f>
        <v>тыс. руб.</v>
      </c>
      <c r="E16" s="121">
        <f ca="1">Результаты_УК!E216*$B$4+Резиденты!E227</f>
        <v>0</v>
      </c>
      <c r="F16" s="121">
        <f ca="1">Результаты_УК!F216*$B$4+Резиденты!F227</f>
        <v>0</v>
      </c>
      <c r="G16" s="121">
        <f ca="1">Результаты_УК!G216*$B$4+Резиденты!G227</f>
        <v>0</v>
      </c>
      <c r="H16" s="121">
        <f ca="1">Результаты_УК!H216*$B$4+Резиденты!H227</f>
        <v>0</v>
      </c>
      <c r="I16" s="121">
        <f ca="1">Результаты_УК!I216*$B$4+Резиденты!I227</f>
        <v>0</v>
      </c>
      <c r="J16" s="121">
        <f ca="1">Результаты_УК!J216*$B$4+Резиденты!J227</f>
        <v>0</v>
      </c>
      <c r="K16" s="121">
        <f ca="1">Результаты_УК!K216*$B$4+Резиденты!K227</f>
        <v>0</v>
      </c>
      <c r="L16" s="121">
        <f ca="1">Результаты_УК!L216*$B$4+Резиденты!L227</f>
        <v>0</v>
      </c>
      <c r="M16" s="121">
        <f ca="1">Результаты_УК!M216*$B$4+Резиденты!M227</f>
        <v>0</v>
      </c>
      <c r="N16" s="121">
        <f ca="1">Результаты_УК!N216*$B$4+Резиденты!N227</f>
        <v>0</v>
      </c>
      <c r="O16" s="121">
        <f ca="1">Результаты_УК!O216*$B$4+Резиденты!O227</f>
        <v>0</v>
      </c>
      <c r="P16" s="121">
        <f ca="1">Результаты_УК!P216*$B$4+Резиденты!P227</f>
        <v>0</v>
      </c>
      <c r="Q16" s="121">
        <f ca="1">Результаты_УК!Q216*$B$4+Резиденты!Q227</f>
        <v>0</v>
      </c>
      <c r="R16" s="121">
        <f ca="1">Результаты_УК!R216*$B$4+Резиденты!R227</f>
        <v>0</v>
      </c>
      <c r="S16" s="121">
        <f ca="1">Результаты_УК!S216*$B$4+Резиденты!S227</f>
        <v>0</v>
      </c>
      <c r="T16" s="121">
        <f ca="1">Результаты_УК!T216*$B$4+Резиденты!T227</f>
        <v>0</v>
      </c>
      <c r="U16" s="121">
        <f ca="1">Результаты_УК!U216*$B$4+Резиденты!U227</f>
        <v>0</v>
      </c>
      <c r="V16" s="121">
        <f ca="1">Результаты_УК!V216*$B$4+Резиденты!V227</f>
        <v>0</v>
      </c>
      <c r="W16" s="121">
        <f ca="1">Результаты_УК!W216*$B$4+Резиденты!W227</f>
        <v>0</v>
      </c>
      <c r="X16" s="121">
        <f ca="1">Результаты_УК!X216*$B$4+Резиденты!X227</f>
        <v>0</v>
      </c>
      <c r="Y16" s="121">
        <f ca="1">Результаты_УК!Y216*$B$4+Резиденты!Y227</f>
        <v>0</v>
      </c>
      <c r="Z16" s="121">
        <f ca="1">Результаты_УК!Z216*$B$4+Резиденты!Z227</f>
        <v>0</v>
      </c>
      <c r="AA16" s="121">
        <f ca="1">Результаты_УК!AA216*$B$4+Резиденты!AA227</f>
        <v>0</v>
      </c>
      <c r="AB16" s="121">
        <f ca="1">Результаты_УК!AB216*$B$4+Резиденты!AB227</f>
        <v>0</v>
      </c>
      <c r="AC16" s="121">
        <f ca="1">Результаты_УК!AC216*$B$4+Резиденты!AC227</f>
        <v>0</v>
      </c>
      <c r="AD16" s="121">
        <f ca="1">Результаты_УК!AD216*$B$4+Резиденты!AD227</f>
        <v>0</v>
      </c>
      <c r="AE16" s="121">
        <f ca="1">Результаты_УК!AE216*$B$4+Резиденты!AE227</f>
        <v>0</v>
      </c>
      <c r="AF16" s="121">
        <f ca="1">Результаты_УК!AF216*$B$4+Резиденты!AF227</f>
        <v>0</v>
      </c>
      <c r="AG16" s="121">
        <f ca="1">Результаты_УК!AG216*$B$4+Резиденты!AG227</f>
        <v>0</v>
      </c>
      <c r="AH16" s="121">
        <f ca="1">Результаты_УК!AH216*$B$4+Резиденты!AH227</f>
        <v>0</v>
      </c>
      <c r="AI16" s="121">
        <f ca="1">Результаты_УК!AI216*$B$4+Резиденты!AI227</f>
        <v>0</v>
      </c>
      <c r="AJ16" s="121">
        <f ca="1">Результаты_УК!AJ216*$B$4+Резиденты!AJ227</f>
        <v>0</v>
      </c>
      <c r="AK16" s="121">
        <f ca="1">Результаты_УК!AK216*$B$4+Резиденты!AK227</f>
        <v>0</v>
      </c>
      <c r="AL16" s="121">
        <f ca="1">Результаты_УК!AL216*$B$4+Резиденты!AL227</f>
        <v>0</v>
      </c>
      <c r="AM16" s="121">
        <f ca="1">Результаты_УК!AM216*$B$4+Резиденты!AM227</f>
        <v>0</v>
      </c>
      <c r="AN16" s="121">
        <f ca="1">Результаты_УК!AN216*$B$4+Резиденты!AN227</f>
        <v>2223.7148528470511</v>
      </c>
      <c r="AO16" s="121">
        <f ca="1">Результаты_УК!AO216*$B$4+Резиденты!AO227</f>
        <v>2195.5665635705068</v>
      </c>
      <c r="AP16" s="121">
        <f ca="1">Результаты_УК!AP216*$B$4+Резиденты!AP227</f>
        <v>2167.4182742939615</v>
      </c>
      <c r="AQ16" s="121">
        <f ca="1">Результаты_УК!AQ216*$B$4+Резиденты!AQ227</f>
        <v>2139.2699850174163</v>
      </c>
      <c r="AR16" s="121">
        <f ca="1">Результаты_УК!AR216*$B$4+Резиденты!AR227</f>
        <v>36744.578770984677</v>
      </c>
      <c r="AT16" s="125">
        <f t="shared" ca="1" si="2"/>
        <v>45470.548446713612</v>
      </c>
    </row>
    <row r="17" spans="1:46" s="40" customFormat="1" outlineLevel="1" x14ac:dyDescent="0.2">
      <c r="A17" s="596" t="s">
        <v>274</v>
      </c>
      <c r="B17" s="102">
        <f ca="1">IFERROR(AVERAGEIF(Параметры!$E$46:OFFSET(Параметры!$E$46,0,Параметры!$B$24-1),"&gt;=" &amp; Деятельность_УК!$B$9,E17:OFFSET(E17,0,Параметры!$B$24-1))*Параметры!$B$13/Параметры!$B$12,0)</f>
        <v>448524.36053871439</v>
      </c>
      <c r="C17" s="322" t="str">
        <f>Параметры!$C$126</f>
        <v>тыс. руб.</v>
      </c>
      <c r="E17" s="121">
        <f ca="1">Результаты_УК!E217*$B$4+Резиденты!E228</f>
        <v>0</v>
      </c>
      <c r="F17" s="121">
        <f ca="1">Результаты_УК!F217*$B$4+Резиденты!F228</f>
        <v>0</v>
      </c>
      <c r="G17" s="121">
        <f ca="1">Результаты_УК!G217*$B$4+Резиденты!G228</f>
        <v>0</v>
      </c>
      <c r="H17" s="121">
        <f ca="1">Результаты_УК!H217*$B$4+Резиденты!H228</f>
        <v>9429.9346800000003</v>
      </c>
      <c r="I17" s="121">
        <f ca="1">Результаты_УК!I217*$B$4+Резиденты!I228</f>
        <v>14144.902020000001</v>
      </c>
      <c r="J17" s="121">
        <f ca="1">Результаты_УК!J217*$B$4+Резиденты!J228</f>
        <v>14295.97089315427</v>
      </c>
      <c r="K17" s="121">
        <f ca="1">Результаты_УК!K217*$B$4+Резиденты!K228</f>
        <v>14524.994347373471</v>
      </c>
      <c r="L17" s="121">
        <f ca="1">Результаты_УК!L217*$B$4+Резиденты!L228</f>
        <v>14757.686789377727</v>
      </c>
      <c r="M17" s="121">
        <f ca="1">Результаты_УК!M217*$B$4+Резиденты!M228</f>
        <v>14994.106996864775</v>
      </c>
      <c r="N17" s="121">
        <f ca="1">Результаты_УК!N217*$B$4+Резиденты!N228</f>
        <v>20314.614761989837</v>
      </c>
      <c r="O17" s="121">
        <f ca="1">Результаты_УК!O217*$B$4+Резиденты!O228</f>
        <v>23193.047372991266</v>
      </c>
      <c r="P17" s="121">
        <f ca="1">Результаты_УК!P217*$B$4+Резиденты!P228</f>
        <v>23584.079116516248</v>
      </c>
      <c r="Q17" s="121">
        <f ca="1">Результаты_УК!Q217*$B$4+Резиденты!Q228</f>
        <v>23981.703604064263</v>
      </c>
      <c r="R17" s="121">
        <f ca="1">Результаты_УК!R217*$B$4+Резиденты!R228</f>
        <v>27093.375025026002</v>
      </c>
      <c r="S17" s="121">
        <f ca="1">Результаты_УК!S217*$B$4+Резиденты!S228</f>
        <v>28899.787378404028</v>
      </c>
      <c r="T17" s="121">
        <f ca="1">Результаты_УК!T217*$B$4+Резиденты!T228</f>
        <v>29380.891707853742</v>
      </c>
      <c r="U17" s="121">
        <f ca="1">Результаты_УК!U217*$B$4+Резиденты!U228</f>
        <v>29870.005140373476</v>
      </c>
      <c r="V17" s="121">
        <f ca="1">Результаты_УК!V217*$B$4+Резиденты!V228</f>
        <v>74804.161056935031</v>
      </c>
      <c r="W17" s="121">
        <f ca="1">Результаты_УК!W217*$B$4+Резиденты!W228</f>
        <v>98288.291051488617</v>
      </c>
      <c r="X17" s="121">
        <f ca="1">Результаты_УК!X217*$B$4+Резиденты!X228</f>
        <v>99955.460135793954</v>
      </c>
      <c r="Y17" s="121">
        <f ca="1">Результаты_УК!Y217*$B$4+Резиденты!Y228</f>
        <v>101650.90779454523</v>
      </c>
      <c r="Z17" s="121">
        <f ca="1">Результаты_УК!Z217*$B$4+Резиденты!Z228</f>
        <v>103360.91252089362</v>
      </c>
      <c r="AA17" s="121">
        <f ca="1">Результаты_УК!AA217*$B$4+Резиденты!AA228</f>
        <v>105092.58389548468</v>
      </c>
      <c r="AB17" s="121">
        <f ca="1">Результаты_УК!AB217*$B$4+Резиденты!AB228</f>
        <v>106853.2670664739</v>
      </c>
      <c r="AC17" s="121">
        <f ca="1">Результаты_УК!AC217*$B$4+Резиденты!AC228</f>
        <v>108643.44808701338</v>
      </c>
      <c r="AD17" s="121">
        <f ca="1">Результаты_УК!AD217*$B$4+Резиденты!AD228</f>
        <v>110451.6826630779</v>
      </c>
      <c r="AE17" s="121">
        <f ca="1">Результаты_УК!AE217*$B$4+Резиденты!AE228</f>
        <v>112284.04444644481</v>
      </c>
      <c r="AF17" s="121">
        <f ca="1">Результаты_УК!AF217*$B$4+Резиденты!AF228</f>
        <v>114146.80458703171</v>
      </c>
      <c r="AG17" s="121">
        <f ca="1">Результаты_УК!AG217*$B$4+Резиденты!AG228</f>
        <v>116040.46738487922</v>
      </c>
      <c r="AH17" s="121">
        <f ca="1">Результаты_УК!AH217*$B$4+Резиденты!AH228</f>
        <v>117960.39779686063</v>
      </c>
      <c r="AI17" s="121">
        <f ca="1">Результаты_УК!AI217*$B$4+Резиденты!AI228</f>
        <v>119909.52039150342</v>
      </c>
      <c r="AJ17" s="121">
        <f ca="1">Результаты_УК!AJ217*$B$4+Резиденты!AJ228</f>
        <v>121890.8493787992</v>
      </c>
      <c r="AK17" s="121">
        <f ca="1">Результаты_УК!AK217*$B$4+Резиденты!AK228</f>
        <v>123904.91692215859</v>
      </c>
      <c r="AL17" s="121">
        <f ca="1">Результаты_УК!AL217*$B$4+Резиденты!AL228</f>
        <v>125940.8731144919</v>
      </c>
      <c r="AM17" s="121">
        <f ca="1">Результаты_УК!AM217*$B$4+Резиденты!AM228</f>
        <v>128004.58841043789</v>
      </c>
      <c r="AN17" s="121">
        <f ca="1">Результаты_УК!AN217*$B$4+Резиденты!AN228</f>
        <v>130102.12053421271</v>
      </c>
      <c r="AO17" s="121">
        <f ca="1">Результаты_УК!AO217*$B$4+Резиденты!AO228</f>
        <v>132234.0236212858</v>
      </c>
      <c r="AP17" s="121">
        <f ca="1">Результаты_УК!AP217*$B$4+Резиденты!AP228</f>
        <v>134389.24096183057</v>
      </c>
      <c r="AQ17" s="121">
        <f ca="1">Результаты_УК!AQ217*$B$4+Резиденты!AQ228</f>
        <v>136573.77566976284</v>
      </c>
      <c r="AR17" s="121">
        <f ca="1">Результаты_УК!AR217*$B$4+Резиденты!AR228</f>
        <v>138793.82060050758</v>
      </c>
      <c r="AT17" s="125">
        <f t="shared" ca="1" si="2"/>
        <v>2949741.2579259025</v>
      </c>
    </row>
    <row r="18" spans="1:46" s="40" customFormat="1" outlineLevel="1" x14ac:dyDescent="0.2">
      <c r="A18" s="595" t="s">
        <v>323</v>
      </c>
      <c r="B18" s="102">
        <f ca="1">IFERROR(AVERAGEIF(Параметры!$E$46:OFFSET(Параметры!$E$46,0,Параметры!$B$24-1),"&gt;=" &amp; Деятельность_УК!$B$9,E18:OFFSET(E18,0,Параметры!$B$24-1))*Параметры!$B$13/Параметры!$B$12,0)</f>
        <v>193145.68623221433</v>
      </c>
      <c r="C18" s="597" t="str">
        <f>Параметры!$C$126</f>
        <v>тыс. руб.</v>
      </c>
      <c r="D18" s="65"/>
      <c r="E18" s="121">
        <f ca="1">Результаты_УК!E219*$B$4+Резиденты!E229</f>
        <v>0</v>
      </c>
      <c r="F18" s="121">
        <f ca="1">Результаты_УК!F219*$B$4+Резиденты!F229</f>
        <v>0</v>
      </c>
      <c r="G18" s="121">
        <f ca="1">Результаты_УК!G219*$B$4+Резиденты!G229</f>
        <v>0</v>
      </c>
      <c r="H18" s="121">
        <f ca="1">Результаты_УК!H219*$B$4+Резиденты!H229</f>
        <v>6009.2721000000001</v>
      </c>
      <c r="I18" s="121">
        <f ca="1">Результаты_УК!I219*$B$4+Резиденты!I229</f>
        <v>6009.2721000000001</v>
      </c>
      <c r="J18" s="121">
        <f ca="1">Результаты_УК!J219*$B$4+Резиденты!J229</f>
        <v>6105.5414799512491</v>
      </c>
      <c r="K18" s="121">
        <f ca="1">Результаты_УК!K219*$B$4+Резиденты!K229</f>
        <v>6203.3531088408026</v>
      </c>
      <c r="L18" s="121">
        <f ca="1">Результаты_УК!L219*$B$4+Резиденты!L229</f>
        <v>6302.7316937124633</v>
      </c>
      <c r="M18" s="121">
        <f ca="1">Результаты_УК!M219*$B$4+Резиденты!M229</f>
        <v>6403.7023374203418</v>
      </c>
      <c r="N18" s="121">
        <f ca="1">Результаты_УК!N219*$B$4+Резиденты!N229</f>
        <v>9743.7366698127626</v>
      </c>
      <c r="O18" s="121">
        <f ca="1">Результаты_УК!O219*$B$4+Резиденты!O229</f>
        <v>9908.0147949409929</v>
      </c>
      <c r="P18" s="121">
        <f ca="1">Результаты_УК!P219*$B$4+Резиденты!P229</f>
        <v>10075.062627760446</v>
      </c>
      <c r="Q18" s="121">
        <f ca="1">Результаты_УК!Q219*$B$4+Резиденты!Q229</f>
        <v>10244.92686518034</v>
      </c>
      <c r="R18" s="121">
        <f ca="1">Результаты_УК!R219*$B$4+Резиденты!R229</f>
        <v>12142.92261276954</v>
      </c>
      <c r="S18" s="121">
        <f ca="1">Результаты_УК!S219*$B$4+Резиденты!S229</f>
        <v>12345.0698661276</v>
      </c>
      <c r="T18" s="121">
        <f ca="1">Результаты_УК!T219*$B$4+Резиденты!T229</f>
        <v>12550.582331744958</v>
      </c>
      <c r="U18" s="121">
        <f ca="1">Результаты_УК!U219*$B$4+Резиденты!U229</f>
        <v>12759.516031424346</v>
      </c>
      <c r="V18" s="121">
        <f ca="1">Результаты_УК!V219*$B$4+Резиденты!V229</f>
        <v>41289.560304883678</v>
      </c>
      <c r="W18" s="121">
        <f ca="1">Результаты_УК!W219*$B$4+Резиденты!W229</f>
        <v>41989.915125467567</v>
      </c>
      <c r="X18" s="121">
        <f ca="1">Результаты_УК!X219*$B$4+Резиденты!X229</f>
        <v>42702.149386546669</v>
      </c>
      <c r="Y18" s="121">
        <f ca="1">Результаты_УК!Y219*$B$4+Резиденты!Y229</f>
        <v>43426.464587564304</v>
      </c>
      <c r="Z18" s="121">
        <f ca="1">Результаты_УК!Z219*$B$4+Резиденты!Z229</f>
        <v>44154.015881297099</v>
      </c>
      <c r="AA18" s="121">
        <f ca="1">Результаты_УК!AA219*$B$4+Резиденты!AA229</f>
        <v>44893.756306474046</v>
      </c>
      <c r="AB18" s="121">
        <f ca="1">Результаты_УК!AB219*$B$4+Резиденты!AB229</f>
        <v>45645.890075398296</v>
      </c>
      <c r="AC18" s="121">
        <f ca="1">Результаты_УК!AC219*$B$4+Резиденты!AC229</f>
        <v>46410.624821672136</v>
      </c>
      <c r="AD18" s="121">
        <f ca="1">Результаты_УК!AD219*$B$4+Резиденты!AD229</f>
        <v>47180.563796027294</v>
      </c>
      <c r="AE18" s="121">
        <f ca="1">Результаты_УК!AE219*$B$4+Резиденты!AE229</f>
        <v>47963.275837465881</v>
      </c>
      <c r="AF18" s="121">
        <f ca="1">Результаты_УК!AF219*$B$4+Резиденты!AF229</f>
        <v>48758.97284751277</v>
      </c>
      <c r="AG18" s="121">
        <f ca="1">Результаты_УК!AG219*$B$4+Резиденты!AG229</f>
        <v>49567.870243078418</v>
      </c>
      <c r="AH18" s="121">
        <f ca="1">Результаты_УК!AH219*$B$4+Резиденты!AH229</f>
        <v>50386.906611754326</v>
      </c>
      <c r="AI18" s="121">
        <f ca="1">Результаты_УК!AI219*$B$4+Резиденты!AI229</f>
        <v>51219.476355375016</v>
      </c>
      <c r="AJ18" s="121">
        <f ca="1">Результаты_УК!AJ219*$B$4+Резиденты!AJ229</f>
        <v>52065.803093115901</v>
      </c>
      <c r="AK18" s="121">
        <f ca="1">Результаты_УК!AK219*$B$4+Резиденты!AK229</f>
        <v>52926.114139131343</v>
      </c>
      <c r="AL18" s="121">
        <f ca="1">Результаты_УК!AL219*$B$4+Резиденты!AL229</f>
        <v>53793.381679865444</v>
      </c>
      <c r="AM18" s="121">
        <f ca="1">Результаты_УК!AM219*$B$4+Резиденты!AM229</f>
        <v>54674.860598091436</v>
      </c>
      <c r="AN18" s="121">
        <f ca="1">Результаты_УК!AN219*$B$4+Резиденты!AN229</f>
        <v>55570.783766874149</v>
      </c>
      <c r="AO18" s="121">
        <f ca="1">Результаты_УК!AO219*$B$4+Резиденты!AO229</f>
        <v>56481.387875225446</v>
      </c>
      <c r="AP18" s="121">
        <f ca="1">Результаты_УК!AP219*$B$4+Резиденты!AP229</f>
        <v>57399.508636102852</v>
      </c>
      <c r="AQ18" s="121">
        <f ca="1">Результаты_УК!AQ219*$B$4+Резиденты!AQ229</f>
        <v>58332.553706797436</v>
      </c>
      <c r="AR18" s="121">
        <f ca="1">Результаты_УК!AR219*$B$4+Резиденты!AR229</f>
        <v>59280.765686140432</v>
      </c>
      <c r="AT18" s="125">
        <f t="shared" ca="1" si="2"/>
        <v>1272918.3059815478</v>
      </c>
    </row>
    <row r="19" spans="1:46" outlineLevel="1" x14ac:dyDescent="0.2">
      <c r="A19" s="63" t="str">
        <f>"Финансирование проекта " &amp; IF(ИД!$C$196,"(ППРФ 1119) ","") &amp; IF(ИД!$C$204,"(ППРФ 831)","")</f>
        <v xml:space="preserve">Финансирование проекта (ППРФ 1119) </v>
      </c>
      <c r="B19" s="102">
        <f ca="1">IFERROR(AVERAGEIF(Параметры!$E$46:OFFSET(Параметры!$E$46,0,Параметры!$B$24-1),"&gt;=" &amp; Деятельность_УК!$B$9,E19:OFFSET(E19,0,Параметры!$B$24-1))*Параметры!$B$13/Параметры!$B$12,0)</f>
        <v>-59016.426884635039</v>
      </c>
      <c r="C19" s="12" t="str">
        <f>Параметры!$C$126</f>
        <v>тыс. руб.</v>
      </c>
      <c r="D19" s="40"/>
      <c r="E19" s="82">
        <f>-Деятельность_УК!E540*Графики!$D$323</f>
        <v>0</v>
      </c>
      <c r="F19" s="82">
        <f ca="1">-Деятельность_УК!F540*Графики!$D$323</f>
        <v>0</v>
      </c>
      <c r="G19" s="82">
        <f ca="1">-Деятельность_УК!G540*Графики!$D$323</f>
        <v>0</v>
      </c>
      <c r="H19" s="82">
        <f ca="1">-Деятельность_УК!H540*Графики!$D$323</f>
        <v>0</v>
      </c>
      <c r="I19" s="82">
        <f ca="1">-Деятельность_УК!I540*Графики!$D$323</f>
        <v>0</v>
      </c>
      <c r="J19" s="82">
        <f ca="1">-Деятельность_УК!J540*Графики!$D$323</f>
        <v>-1000.0318861108526</v>
      </c>
      <c r="K19" s="82">
        <f ca="1">-Деятельность_УК!K540*Графики!$D$323</f>
        <v>-1000.0318861108526</v>
      </c>
      <c r="L19" s="82">
        <f ca="1">-Деятельность_УК!L540*Графики!$D$323</f>
        <v>-1009.441750841768</v>
      </c>
      <c r="M19" s="82">
        <f ca="1">-Деятельность_УК!M540*Графики!$D$323</f>
        <v>-1018.9401583036547</v>
      </c>
      <c r="N19" s="82">
        <f ca="1">-Деятельность_УК!N540*Графики!$D$323</f>
        <v>-1028.5279416450671</v>
      </c>
      <c r="O19" s="82">
        <f ca="1">-Деятельность_УК!O540*Графики!$D$323</f>
        <v>-9789.8628804723394</v>
      </c>
      <c r="P19" s="82">
        <f ca="1">-Деятельность_УК!P540*Графики!$D$323</f>
        <v>-1594.6509547354606</v>
      </c>
      <c r="Q19" s="82">
        <f ca="1">-Деятельность_УК!Q540*Графики!$D$323</f>
        <v>-1612.4299840332176</v>
      </c>
      <c r="R19" s="82">
        <f ca="1">-Деятельность_УК!R540*Графики!$D$323</f>
        <v>-1630.4072346921009</v>
      </c>
      <c r="S19" s="82">
        <f ca="1">-Деятельность_УК!S540*Графики!$D$323</f>
        <v>-6213.4515893743246</v>
      </c>
      <c r="T19" s="82">
        <f ca="1">-Деятельность_УК!T540*Графики!$D$323</f>
        <v>-27253.662425870105</v>
      </c>
      <c r="U19" s="82">
        <f ca="1">-Деятельность_УК!U540*Графики!$D$323</f>
        <v>-33048.408915747459</v>
      </c>
      <c r="V19" s="82">
        <f ca="1">-Деятельность_УК!V540*Графики!$D$323</f>
        <v>-33376.232728754119</v>
      </c>
      <c r="W19" s="82">
        <f ca="1">-Деятельность_УК!W540*Графики!$D$323</f>
        <v>-106640.07890610778</v>
      </c>
      <c r="X19" s="82">
        <f ca="1">-Деятельность_УК!X540*Графики!$D$323</f>
        <v>-40289.666342360943</v>
      </c>
      <c r="Y19" s="82">
        <f ca="1">-Деятельность_УК!Y540*Графики!$D$323</f>
        <v>-40870.272412639461</v>
      </c>
      <c r="Z19" s="82">
        <f ca="1">-Деятельность_УК!Z540*Графики!$D$323</f>
        <v>-58019.532144945959</v>
      </c>
      <c r="AA19" s="82">
        <f ca="1">-Деятельность_УК!AA540*Графики!$D$323</f>
        <v>-41854.369857254555</v>
      </c>
      <c r="AB19" s="82">
        <f ca="1">-Деятельность_УК!AB540*Графики!$D$323</f>
        <v>0</v>
      </c>
      <c r="AC19" s="82">
        <f ca="1">-Деятельность_УК!AC540*Графики!$D$323</f>
        <v>0</v>
      </c>
      <c r="AD19" s="82">
        <f ca="1">-Деятельность_УК!AD540*Графики!$D$323</f>
        <v>0</v>
      </c>
      <c r="AE19" s="82">
        <f ca="1">-Деятельность_УК!AE540*Графики!$D$323</f>
        <v>0</v>
      </c>
      <c r="AF19" s="82">
        <f ca="1">-Деятельность_УК!AF540*Графики!$D$323</f>
        <v>0</v>
      </c>
      <c r="AG19" s="82">
        <f ca="1">-Деятельность_УК!AG540*Графики!$D$323</f>
        <v>0</v>
      </c>
      <c r="AH19" s="82">
        <f ca="1">-Деятельность_УК!AH540*Графики!$D$323</f>
        <v>0</v>
      </c>
      <c r="AI19" s="82">
        <f ca="1">-Деятельность_УК!AI540*Графики!$D$323</f>
        <v>0</v>
      </c>
      <c r="AJ19" s="82">
        <f ca="1">-Деятельность_УК!AJ540*Графики!$D$323</f>
        <v>0</v>
      </c>
      <c r="AK19" s="82">
        <f ca="1">-Деятельность_УК!AK540*Графики!$D$323</f>
        <v>0</v>
      </c>
      <c r="AL19" s="82">
        <f ca="1">-Деятельность_УК!AL540*Графики!$D$323</f>
        <v>0</v>
      </c>
      <c r="AM19" s="82">
        <f ca="1">-Деятельность_УК!AM540*Графики!$D$323</f>
        <v>0</v>
      </c>
      <c r="AN19" s="82">
        <f ca="1">-Деятельность_УК!AN540*Графики!$D$323</f>
        <v>0</v>
      </c>
      <c r="AO19" s="82">
        <f ca="1">-Деятельность_УК!AO540*Графики!$D$323</f>
        <v>0</v>
      </c>
      <c r="AP19" s="82">
        <f ca="1">-Деятельность_УК!AP540*Графики!$D$323</f>
        <v>0</v>
      </c>
      <c r="AQ19" s="82">
        <f ca="1">-Деятельность_УК!AQ540*Графики!$D$323</f>
        <v>0</v>
      </c>
      <c r="AR19" s="82">
        <f ca="1">-Деятельность_УК!AR540*Графики!$D$323</f>
        <v>0</v>
      </c>
      <c r="AT19" s="30">
        <f ca="1">SUM(E19:AS19)</f>
        <v>-407250</v>
      </c>
    </row>
    <row r="20" spans="1:46" outlineLevel="1" x14ac:dyDescent="0.2">
      <c r="A20" s="44" t="s">
        <v>330</v>
      </c>
      <c r="D20" s="40"/>
      <c r="E20" s="82">
        <f ca="1">E11</f>
        <v>0</v>
      </c>
      <c r="F20" s="82">
        <f t="shared" ref="F20:AR20" ca="1" si="3">E20+F11</f>
        <v>0</v>
      </c>
      <c r="G20" s="82">
        <f t="shared" ca="1" si="3"/>
        <v>0</v>
      </c>
      <c r="H20" s="82">
        <f t="shared" ca="1" si="3"/>
        <v>15439.20678</v>
      </c>
      <c r="I20" s="82">
        <f t="shared" ca="1" si="3"/>
        <v>42260.260140739018</v>
      </c>
      <c r="J20" s="82">
        <f t="shared" ca="1" si="3"/>
        <v>68328.619868472699</v>
      </c>
      <c r="K20" s="82">
        <f t="shared" ca="1" si="3"/>
        <v>94786.547110854575</v>
      </c>
      <c r="L20" s="82">
        <f t="shared" ca="1" si="3"/>
        <v>121630.45823179404</v>
      </c>
      <c r="M20" s="82">
        <f t="shared" ca="1" si="3"/>
        <v>148866.18035207596</v>
      </c>
      <c r="N20" s="82">
        <f t="shared" ca="1" si="3"/>
        <v>202320.69066516409</v>
      </c>
      <c r="O20" s="82">
        <f t="shared" ca="1" si="3"/>
        <v>236262.89631752708</v>
      </c>
      <c r="P20" s="82">
        <f t="shared" ca="1" si="3"/>
        <v>279076.92033395643</v>
      </c>
      <c r="Q20" s="82">
        <f t="shared" ca="1" si="3"/>
        <v>322560.50238378183</v>
      </c>
      <c r="R20" s="82">
        <f t="shared" ca="1" si="3"/>
        <v>380286.69224363775</v>
      </c>
      <c r="S20" s="82">
        <f t="shared" ca="1" si="3"/>
        <v>453703.7046611174</v>
      </c>
      <c r="T20" s="82">
        <f t="shared" ca="1" si="3"/>
        <v>512688.29166313051</v>
      </c>
      <c r="U20" s="82">
        <f t="shared" ca="1" si="3"/>
        <v>567031.86099464633</v>
      </c>
      <c r="V20" s="82">
        <f t="shared" ca="1" si="3"/>
        <v>840836.0115950217</v>
      </c>
      <c r="W20" s="82">
        <f t="shared" ca="1" si="3"/>
        <v>954566.77291747392</v>
      </c>
      <c r="X20" s="82">
        <f t="shared" ca="1" si="3"/>
        <v>1138071.1968597677</v>
      </c>
      <c r="Y20" s="82">
        <f t="shared" ca="1" si="3"/>
        <v>1341032.6693183349</v>
      </c>
      <c r="Z20" s="82">
        <f t="shared" ca="1" si="3"/>
        <v>1530352.7317980812</v>
      </c>
      <c r="AA20" s="82">
        <f t="shared" ca="1" si="3"/>
        <v>1739353.0835259422</v>
      </c>
      <c r="AB20" s="82">
        <f t="shared" ca="1" si="3"/>
        <v>1995068.7914336689</v>
      </c>
      <c r="AC20" s="82">
        <f t="shared" ca="1" si="3"/>
        <v>2261911.6581474133</v>
      </c>
      <c r="AD20" s="82">
        <f t="shared" ca="1" si="3"/>
        <v>2532506.9068417214</v>
      </c>
      <c r="AE20" s="82">
        <f t="shared" ca="1" si="3"/>
        <v>2806895.6214389955</v>
      </c>
      <c r="AF20" s="82">
        <f t="shared" ca="1" si="3"/>
        <v>3121117.1043275557</v>
      </c>
      <c r="AG20" s="82">
        <f t="shared" ca="1" si="3"/>
        <v>3543333.7700217655</v>
      </c>
      <c r="AH20" s="82">
        <f t="shared" ca="1" si="3"/>
        <v>3970943.0784167624</v>
      </c>
      <c r="AI20" s="82">
        <f t="shared" ca="1" si="3"/>
        <v>4404024.0194087811</v>
      </c>
      <c r="AJ20" s="82">
        <f t="shared" ca="1" si="3"/>
        <v>4842661.2006310672</v>
      </c>
      <c r="AK20" s="82">
        <f t="shared" ca="1" si="3"/>
        <v>5276402.1262500677</v>
      </c>
      <c r="AL20" s="82">
        <f t="shared" ca="1" si="3"/>
        <v>5654032.6735256566</v>
      </c>
      <c r="AM20" s="82">
        <f t="shared" ca="1" si="3"/>
        <v>6079230.1260671159</v>
      </c>
      <c r="AN20" s="82">
        <f t="shared" ca="1" si="3"/>
        <v>6538700.8550883615</v>
      </c>
      <c r="AO20" s="82">
        <f t="shared" ca="1" si="3"/>
        <v>7004180.7059441302</v>
      </c>
      <c r="AP20" s="82">
        <f t="shared" ca="1" si="3"/>
        <v>7373040.6752991816</v>
      </c>
      <c r="AQ20" s="82">
        <f t="shared" ca="1" si="3"/>
        <v>7744046.773636668</v>
      </c>
      <c r="AR20" s="82">
        <f t="shared" ca="1" si="3"/>
        <v>8226246.545622278</v>
      </c>
      <c r="AT20" s="30"/>
    </row>
    <row r="21" spans="1:46" x14ac:dyDescent="0.2">
      <c r="A21" s="44"/>
      <c r="D21" s="40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T21" s="30"/>
    </row>
    <row r="22" spans="1:46" x14ac:dyDescent="0.2">
      <c r="A22" s="44" t="s">
        <v>136</v>
      </c>
      <c r="C22" s="12" t="str">
        <f>Параметры!$C$126</f>
        <v>тыс. руб.</v>
      </c>
      <c r="D22" s="40"/>
      <c r="E22" s="82">
        <f t="shared" ref="E22:AR22" ca="1" si="4">E11/E10</f>
        <v>0</v>
      </c>
      <c r="F22" s="82">
        <f t="shared" ca="1" si="4"/>
        <v>0</v>
      </c>
      <c r="G22" s="82">
        <f t="shared" ca="1" si="4"/>
        <v>0</v>
      </c>
      <c r="H22" s="82">
        <f t="shared" ca="1" si="4"/>
        <v>15439.20678</v>
      </c>
      <c r="I22" s="82">
        <f t="shared" ca="1" si="4"/>
        <v>26181.892337237296</v>
      </c>
      <c r="J22" s="82">
        <f t="shared" ca="1" si="4"/>
        <v>24840.716039774754</v>
      </c>
      <c r="K22" s="82">
        <f t="shared" ca="1" si="4"/>
        <v>24611.122680834</v>
      </c>
      <c r="L22" s="82">
        <f t="shared" ca="1" si="4"/>
        <v>24375.11100360152</v>
      </c>
      <c r="M22" s="82">
        <f t="shared" ca="1" si="4"/>
        <v>24141.536466752656</v>
      </c>
      <c r="N22" s="82">
        <f t="shared" ca="1" si="4"/>
        <v>46252.538178035138</v>
      </c>
      <c r="O22" s="82">
        <f t="shared" ca="1" si="4"/>
        <v>28669.259643421767</v>
      </c>
      <c r="P22" s="82">
        <f t="shared" ca="1" si="4"/>
        <v>35301.053648764952</v>
      </c>
      <c r="Q22" s="82">
        <f t="shared" ca="1" si="4"/>
        <v>34998.717891221662</v>
      </c>
      <c r="R22" s="82">
        <f t="shared" ca="1" si="4"/>
        <v>45354.973572921306</v>
      </c>
      <c r="S22" s="82">
        <f t="shared" ca="1" si="4"/>
        <v>56308.496965019251</v>
      </c>
      <c r="T22" s="82">
        <f t="shared" ca="1" si="4"/>
        <v>44161.210845213245</v>
      </c>
      <c r="U22" s="82">
        <f t="shared" ca="1" si="4"/>
        <v>39716.941033352225</v>
      </c>
      <c r="V22" s="82">
        <f t="shared" ca="1" si="4"/>
        <v>195340.75504828215</v>
      </c>
      <c r="W22" s="82">
        <f t="shared" ca="1" si="4"/>
        <v>79205.617395039037</v>
      </c>
      <c r="X22" s="82">
        <f t="shared" ca="1" si="4"/>
        <v>124752.64963647477</v>
      </c>
      <c r="Y22" s="82">
        <f t="shared" ca="1" si="4"/>
        <v>134692.07613448004</v>
      </c>
      <c r="Z22" s="82">
        <f t="shared" ca="1" si="4"/>
        <v>122645.12319113236</v>
      </c>
      <c r="AA22" s="82">
        <f t="shared" ca="1" si="4"/>
        <v>132167.8618160637</v>
      </c>
      <c r="AB22" s="82">
        <f t="shared" ca="1" si="4"/>
        <v>157856.13164920878</v>
      </c>
      <c r="AC22" s="82">
        <f t="shared" ca="1" si="4"/>
        <v>160799.5576772333</v>
      </c>
      <c r="AD22" s="82">
        <f t="shared" ca="1" si="4"/>
        <v>159174.91303494707</v>
      </c>
      <c r="AE22" s="82">
        <f t="shared" ca="1" si="4"/>
        <v>157559.97464935412</v>
      </c>
      <c r="AF22" s="82">
        <f t="shared" ca="1" si="4"/>
        <v>176133.00043112604</v>
      </c>
      <c r="AG22" s="82">
        <f t="shared" ca="1" si="4"/>
        <v>231028.43371407068</v>
      </c>
      <c r="AH22" s="82">
        <f t="shared" ca="1" si="4"/>
        <v>228403.32140981359</v>
      </c>
      <c r="AI22" s="82">
        <f t="shared" ca="1" si="4"/>
        <v>225813.31103170183</v>
      </c>
      <c r="AJ22" s="82">
        <f t="shared" ca="1" si="4"/>
        <v>223260.09823000705</v>
      </c>
      <c r="AK22" s="82">
        <f t="shared" ca="1" si="4"/>
        <v>215506.94670784296</v>
      </c>
      <c r="AL22" s="82">
        <f t="shared" ca="1" si="4"/>
        <v>183156.86124052238</v>
      </c>
      <c r="AM22" s="82">
        <f t="shared" ca="1" si="4"/>
        <v>201313.05098663128</v>
      </c>
      <c r="AN22" s="82">
        <f t="shared" ca="1" si="4"/>
        <v>212355.89861177446</v>
      </c>
      <c r="AO22" s="82">
        <f t="shared" ca="1" si="4"/>
        <v>210006.41847195392</v>
      </c>
      <c r="AP22" s="82">
        <f t="shared" ca="1" si="4"/>
        <v>162449.51167808601</v>
      </c>
      <c r="AQ22" s="82">
        <f t="shared" ca="1" si="4"/>
        <v>159500.89896830093</v>
      </c>
      <c r="AR22" s="82">
        <f t="shared" ca="1" si="4"/>
        <v>202364.48215683922</v>
      </c>
      <c r="AT22" s="30">
        <f ca="1">SUM(E22:AS22)</f>
        <v>4525839.6709570363</v>
      </c>
    </row>
    <row r="23" spans="1:46" x14ac:dyDescent="0.2">
      <c r="A23" s="44" t="s">
        <v>137</v>
      </c>
      <c r="C23" s="12" t="str">
        <f>Параметры!$C$126</f>
        <v>тыс. руб.</v>
      </c>
      <c r="D23" s="40"/>
      <c r="E23" s="82">
        <f t="shared" ref="E23:AR23" ca="1" si="5">E22+IF(E$2&gt;1,D23)</f>
        <v>0</v>
      </c>
      <c r="F23" s="82">
        <f t="shared" ca="1" si="5"/>
        <v>0</v>
      </c>
      <c r="G23" s="82">
        <f t="shared" ca="1" si="5"/>
        <v>0</v>
      </c>
      <c r="H23" s="82">
        <f t="shared" ca="1" si="5"/>
        <v>15439.20678</v>
      </c>
      <c r="I23" s="82">
        <f t="shared" ca="1" si="5"/>
        <v>41621.099117237296</v>
      </c>
      <c r="J23" s="82">
        <f t="shared" ca="1" si="5"/>
        <v>66461.815157012054</v>
      </c>
      <c r="K23" s="82">
        <f t="shared" ca="1" si="5"/>
        <v>91072.937837846053</v>
      </c>
      <c r="L23" s="82">
        <f t="shared" ca="1" si="5"/>
        <v>115448.04884144757</v>
      </c>
      <c r="M23" s="82">
        <f t="shared" ca="1" si="5"/>
        <v>139589.58530820021</v>
      </c>
      <c r="N23" s="82">
        <f t="shared" ca="1" si="5"/>
        <v>185842.12348623536</v>
      </c>
      <c r="O23" s="82">
        <f t="shared" ca="1" si="5"/>
        <v>214511.38312965713</v>
      </c>
      <c r="P23" s="82">
        <f t="shared" ca="1" si="5"/>
        <v>249812.4367784221</v>
      </c>
      <c r="Q23" s="82">
        <f t="shared" ca="1" si="5"/>
        <v>284811.15466964373</v>
      </c>
      <c r="R23" s="82">
        <f t="shared" ca="1" si="5"/>
        <v>330166.12824256503</v>
      </c>
      <c r="S23" s="82">
        <f t="shared" ca="1" si="5"/>
        <v>386474.62520758429</v>
      </c>
      <c r="T23" s="82">
        <f t="shared" ca="1" si="5"/>
        <v>430635.83605279756</v>
      </c>
      <c r="U23" s="82">
        <f t="shared" ca="1" si="5"/>
        <v>470352.77708614978</v>
      </c>
      <c r="V23" s="82">
        <f t="shared" ca="1" si="5"/>
        <v>665693.53213443188</v>
      </c>
      <c r="W23" s="82">
        <f t="shared" ca="1" si="5"/>
        <v>744899.14952947095</v>
      </c>
      <c r="X23" s="82">
        <f t="shared" ca="1" si="5"/>
        <v>869651.79916594573</v>
      </c>
      <c r="Y23" s="82">
        <f t="shared" ca="1" si="5"/>
        <v>1004343.8753004258</v>
      </c>
      <c r="Z23" s="82">
        <f t="shared" ca="1" si="5"/>
        <v>1126988.9984915582</v>
      </c>
      <c r="AA23" s="82">
        <f t="shared" ca="1" si="5"/>
        <v>1259156.860307622</v>
      </c>
      <c r="AB23" s="82">
        <f t="shared" ca="1" si="5"/>
        <v>1417012.9919568307</v>
      </c>
      <c r="AC23" s="82">
        <f t="shared" ca="1" si="5"/>
        <v>1577812.5496340641</v>
      </c>
      <c r="AD23" s="82">
        <f t="shared" ca="1" si="5"/>
        <v>1736987.4626690112</v>
      </c>
      <c r="AE23" s="82">
        <f t="shared" ca="1" si="5"/>
        <v>1894547.4373183653</v>
      </c>
      <c r="AF23" s="82">
        <f t="shared" ca="1" si="5"/>
        <v>2070680.4377494913</v>
      </c>
      <c r="AG23" s="82">
        <f t="shared" ca="1" si="5"/>
        <v>2301708.8714635619</v>
      </c>
      <c r="AH23" s="82">
        <f t="shared" ca="1" si="5"/>
        <v>2530112.1928733755</v>
      </c>
      <c r="AI23" s="82">
        <f t="shared" ca="1" si="5"/>
        <v>2755925.5039050775</v>
      </c>
      <c r="AJ23" s="82">
        <f t="shared" ca="1" si="5"/>
        <v>2979185.6021350846</v>
      </c>
      <c r="AK23" s="82">
        <f t="shared" ca="1" si="5"/>
        <v>3194692.5488429274</v>
      </c>
      <c r="AL23" s="82">
        <f t="shared" ca="1" si="5"/>
        <v>3377849.4100834499</v>
      </c>
      <c r="AM23" s="82">
        <f t="shared" ca="1" si="5"/>
        <v>3579162.4610700812</v>
      </c>
      <c r="AN23" s="82">
        <f t="shared" ca="1" si="5"/>
        <v>3791518.3596818559</v>
      </c>
      <c r="AO23" s="82">
        <f t="shared" ca="1" si="5"/>
        <v>4001524.7781538097</v>
      </c>
      <c r="AP23" s="82">
        <f t="shared" ca="1" si="5"/>
        <v>4163974.2898318958</v>
      </c>
      <c r="AQ23" s="82">
        <f t="shared" ca="1" si="5"/>
        <v>4323475.1888001971</v>
      </c>
      <c r="AR23" s="82">
        <f t="shared" ca="1" si="5"/>
        <v>4525839.6709570363</v>
      </c>
      <c r="AT23" s="30"/>
    </row>
    <row r="24" spans="1:46" x14ac:dyDescent="0.2">
      <c r="A24" s="44"/>
      <c r="B24" s="5"/>
      <c r="D24" s="40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</row>
    <row r="25" spans="1:46" x14ac:dyDescent="0.2">
      <c r="A25" s="52" t="s">
        <v>138</v>
      </c>
      <c r="B25" s="179">
        <f ca="1">AT22</f>
        <v>4525839.6709570363</v>
      </c>
      <c r="C25" s="12" t="str">
        <f>Параметры!$C$126</f>
        <v>тыс. руб.</v>
      </c>
      <c r="D25" s="40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</row>
    <row r="26" spans="1:46" x14ac:dyDescent="0.2">
      <c r="A26" s="44"/>
      <c r="D26" s="40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</row>
    <row r="27" spans="1:46" x14ac:dyDescent="0.2">
      <c r="A27" s="52" t="s">
        <v>139</v>
      </c>
      <c r="B27" s="177" t="str">
        <f ca="1">IFERROR(IF(POWER(1+IRR(E11:AS11,B8),360/Параметры!B$12)-1&gt;999%,"-",POWER(1+IRR(E11:AS11,B8),360/Параметры!B$12)-1),"-")</f>
        <v>-</v>
      </c>
      <c r="C27" s="12" t="s">
        <v>1</v>
      </c>
      <c r="D27" s="40"/>
      <c r="E27" s="104"/>
    </row>
    <row r="28" spans="1:46" x14ac:dyDescent="0.2">
      <c r="A28" s="49" t="s">
        <v>140</v>
      </c>
      <c r="B28" s="180" t="str">
        <f ca="1">IFERROR(POWER(1+MIRR(E11:AS11,B8,Параметры!B$249),360/Параметры!B$12)-1,"-")</f>
        <v>-</v>
      </c>
      <c r="C28" s="12" t="s">
        <v>1</v>
      </c>
      <c r="D28" s="40"/>
    </row>
    <row r="29" spans="1:46" x14ac:dyDescent="0.2">
      <c r="A29" s="49"/>
      <c r="B29" s="180"/>
      <c r="D29" s="40"/>
    </row>
    <row r="30" spans="1:46" x14ac:dyDescent="0.2">
      <c r="A30" s="50" t="s">
        <v>732</v>
      </c>
      <c r="B30" s="211">
        <f ca="1">IF(AT32&lt;0,AT31/-AT32," - ")</f>
        <v>21.199500418962003</v>
      </c>
      <c r="C30" s="12" t="s">
        <v>133</v>
      </c>
      <c r="D30" s="121"/>
      <c r="E30" s="558">
        <f ca="1">ABS(IFERROR(SUM($E31:E31)/SUM($E32:E32),0))</f>
        <v>0</v>
      </c>
      <c r="F30" s="558">
        <f ca="1">ABS(IFERROR(SUM($E31:F31)/SUM($E32:F32),0))</f>
        <v>0</v>
      </c>
      <c r="G30" s="558">
        <f ca="1">ABS(IFERROR(SUM($E31:G31)/SUM($E32:G32),0))</f>
        <v>0</v>
      </c>
      <c r="H30" s="558">
        <f ca="1">ABS(IFERROR(SUM($E31:H31)/SUM($E32:H32),0))</f>
        <v>0</v>
      </c>
      <c r="I30" s="558">
        <f ca="1">ABS(IFERROR(SUM($E31:I31)/SUM($E32:I32),0))</f>
        <v>0</v>
      </c>
      <c r="J30" s="558">
        <f ca="1">ABS(IFERROR(SUM($E31:J31)/SUM($E32:J32),0))</f>
        <v>69.326441203994307</v>
      </c>
      <c r="K30" s="558">
        <f ca="1">ABS(IFERROR(SUM($E31:K31)/SUM($E32:K32),0))</f>
        <v>48.391762416437381</v>
      </c>
      <c r="L30" s="558">
        <f ca="1">ABS(IFERROR(SUM($E31:L31)/SUM($E32:L32),0))</f>
        <v>41.415429478256094</v>
      </c>
      <c r="M30" s="558">
        <f ca="1">ABS(IFERROR(SUM($E31:M31)/SUM($E32:M32),0))</f>
        <v>37.953751428405866</v>
      </c>
      <c r="N30" s="558">
        <f ca="1">ABS(IFERROR(SUM($E31:N31)/SUM($E32:N32),0))</f>
        <v>41.00825508452057</v>
      </c>
      <c r="O30" s="558">
        <f ca="1">ABS(IFERROR(SUM($E31:O31)/SUM($E32:O32),0))</f>
        <v>16.91334936988607</v>
      </c>
      <c r="P30" s="558">
        <f ca="1">ABS(IFERROR(SUM($E31:P31)/SUM($E32:P32),0))</f>
        <v>17.973946003555213</v>
      </c>
      <c r="Q30" s="558">
        <f ca="1">ABS(IFERROR(SUM($E31:Q31)/SUM($E32:Q32),0))</f>
        <v>18.866510324726779</v>
      </c>
      <c r="R30" s="558">
        <f ca="1">ABS(IFERROR(SUM($E31:R31)/SUM($E32:R32),0))</f>
        <v>20.319265379169313</v>
      </c>
      <c r="S30" s="558">
        <f ca="1">ABS(IFERROR(SUM($E31:S31)/SUM($E32:S32),0))</f>
        <v>18.519021710414741</v>
      </c>
      <c r="T30" s="558">
        <f ca="1">ABS(IFERROR(SUM($E31:T31)/SUM($E32:T32),0))</f>
        <v>10.645802715373472</v>
      </c>
      <c r="U30" s="558">
        <f ca="1">ABS(IFERROR(SUM($E31:U31)/SUM($E32:U32),0))</f>
        <v>7.5781074645709063</v>
      </c>
      <c r="V30" s="558">
        <f ca="1">ABS(IFERROR(SUM($E31:V31)/SUM($E32:V32),0))</f>
        <v>8.0318077765007274</v>
      </c>
      <c r="W30" s="558">
        <f ca="1">ABS(IFERROR(SUM($E31:W31)/SUM($E32:W32),0))</f>
        <v>5.2197108116088744</v>
      </c>
      <c r="X30" s="558">
        <f ca="1">ABS(IFERROR(SUM($E31:X31)/SUM($E32:X32),0))</f>
        <v>5.2703426627201644</v>
      </c>
      <c r="Y30" s="558">
        <f ca="1">ABS(IFERROR(SUM($E31:Y31)/SUM($E32:Y32),0))</f>
        <v>5.3628397850503502</v>
      </c>
      <c r="Z30" s="558">
        <f ca="1">ABS(IFERROR(SUM($E31:Z31)/SUM($E32:Z32),0))</f>
        <v>5.1882075360349376</v>
      </c>
      <c r="AA30" s="558">
        <f ca="1">ABS(IFERROR(SUM($E31:AA31)/SUM($E32:AA32),0))</f>
        <v>5.2709713530409879</v>
      </c>
      <c r="AB30" s="558">
        <f ca="1">ABS(IFERROR(SUM($E31:AB31)/SUM($E32:AB32),0))</f>
        <v>5.8988797825258903</v>
      </c>
      <c r="AC30" s="558">
        <f ca="1">ABS(IFERROR(SUM($E31:AC31)/SUM($E32:AC32),0))</f>
        <v>6.5541108855676198</v>
      </c>
      <c r="AD30" s="558">
        <f ca="1">ABS(IFERROR(SUM($E31:AD31)/SUM($E32:AD32),0))</f>
        <v>7.2185559406794875</v>
      </c>
      <c r="AE30" s="558">
        <f ca="1">ABS(IFERROR(SUM($E31:AE31)/SUM($E32:AE32),0))</f>
        <v>7.8923158291933593</v>
      </c>
      <c r="AF30" s="558">
        <f ca="1">ABS(IFERROR(SUM($E31:AF31)/SUM($E32:AF32),0))</f>
        <v>8.6638848479497987</v>
      </c>
      <c r="AG30" s="558">
        <f ca="1">ABS(IFERROR(SUM($E31:AG31)/SUM($E32:AG32),0))</f>
        <v>9.70063540827935</v>
      </c>
      <c r="AH30" s="558">
        <f ca="1">ABS(IFERROR(SUM($E31:AH31)/SUM($E32:AH32),0))</f>
        <v>10.750627571311878</v>
      </c>
      <c r="AI30" s="558">
        <f ca="1">ABS(IFERROR(SUM($E31:AI31)/SUM($E32:AI32),0))</f>
        <v>11.814055296276932</v>
      </c>
      <c r="AJ30" s="558">
        <f ca="1">ABS(IFERROR(SUM($E31:AJ31)/SUM($E32:AJ32),0))</f>
        <v>12.891126336724533</v>
      </c>
      <c r="AK30" s="558">
        <f ca="1">ABS(IFERROR(SUM($E31:AK31)/SUM($E32:AK32),0))</f>
        <v>13.956174650092246</v>
      </c>
      <c r="AL30" s="558">
        <f ca="1">ABS(IFERROR(SUM($E31:AL31)/SUM($E32:AL32),0))</f>
        <v>14.883444256662138</v>
      </c>
      <c r="AM30" s="558">
        <f ca="1">ABS(IFERROR(SUM($E31:AM31)/SUM($E32:AM32),0))</f>
        <v>15.927514121711761</v>
      </c>
      <c r="AN30" s="558">
        <f ca="1">ABS(IFERROR(SUM($E31:AN31)/SUM($E32:AN32),0))</f>
        <v>17.055741817282655</v>
      </c>
      <c r="AO30" s="558">
        <f ca="1">ABS(IFERROR(SUM($E31:AO31)/SUM($E32:AO32),0))</f>
        <v>18.198724876474227</v>
      </c>
      <c r="AP30" s="558">
        <f ca="1">ABS(IFERROR(SUM($E31:AP31)/SUM($E32:AP32),0))</f>
        <v>19.104458380108486</v>
      </c>
      <c r="AQ30" s="558">
        <f ca="1">ABS(IFERROR(SUM($E31:AQ31)/SUM($E32:AQ32),0))</f>
        <v>20.015461690943319</v>
      </c>
      <c r="AR30" s="558">
        <f ca="1">ABS(IFERROR(SUM($E31:AR31)/SUM($E32:AR32),0))</f>
        <v>21.199500418962003</v>
      </c>
    </row>
    <row r="31" spans="1:46" s="82" customFormat="1" outlineLevel="1" x14ac:dyDescent="0.2">
      <c r="A31" s="212" t="s">
        <v>922</v>
      </c>
      <c r="B31" s="213"/>
      <c r="C31" s="214" t="str">
        <f>Параметры!$C$126</f>
        <v>тыс. руб.</v>
      </c>
      <c r="D31" s="121"/>
      <c r="E31" s="82">
        <f t="shared" ref="E31:AR31" ca="1" si="6">MAX(0,E12)</f>
        <v>0</v>
      </c>
      <c r="F31" s="82">
        <f t="shared" ca="1" si="6"/>
        <v>0</v>
      </c>
      <c r="G31" s="82">
        <f t="shared" ca="1" si="6"/>
        <v>0</v>
      </c>
      <c r="H31" s="82">
        <f t="shared" ca="1" si="6"/>
        <v>15439.20678</v>
      </c>
      <c r="I31" s="82">
        <f t="shared" ca="1" si="6"/>
        <v>26821.053360739017</v>
      </c>
      <c r="J31" s="82">
        <f t="shared" ca="1" si="6"/>
        <v>27068.391613844535</v>
      </c>
      <c r="K31" s="82">
        <f t="shared" ca="1" si="6"/>
        <v>27457.959128492726</v>
      </c>
      <c r="L31" s="82">
        <f t="shared" ca="1" si="6"/>
        <v>27853.352871781222</v>
      </c>
      <c r="M31" s="82">
        <f t="shared" ca="1" si="6"/>
        <v>28254.662278585565</v>
      </c>
      <c r="N31" s="82">
        <f t="shared" ca="1" si="6"/>
        <v>54483.038254733197</v>
      </c>
      <c r="O31" s="82">
        <f t="shared" ca="1" si="6"/>
        <v>43732.068532835336</v>
      </c>
      <c r="P31" s="82">
        <f t="shared" ca="1" si="6"/>
        <v>44408.674971164815</v>
      </c>
      <c r="Q31" s="82">
        <f t="shared" ca="1" si="6"/>
        <v>45096.012033858613</v>
      </c>
      <c r="R31" s="82">
        <f t="shared" ca="1" si="6"/>
        <v>59356.597094548022</v>
      </c>
      <c r="S31" s="82">
        <f t="shared" ca="1" si="6"/>
        <v>79630.464006853988</v>
      </c>
      <c r="T31" s="82">
        <f t="shared" ca="1" si="6"/>
        <v>86238.249427883246</v>
      </c>
      <c r="U31" s="82">
        <f t="shared" ca="1" si="6"/>
        <v>87391.978247263236</v>
      </c>
      <c r="V31" s="82">
        <f t="shared" ca="1" si="6"/>
        <v>307180.38332912955</v>
      </c>
      <c r="W31" s="82">
        <f t="shared" ca="1" si="6"/>
        <v>220370.84022856003</v>
      </c>
      <c r="X31" s="82">
        <f t="shared" ca="1" si="6"/>
        <v>223794.09028465478</v>
      </c>
      <c r="Y31" s="82">
        <f t="shared" ca="1" si="6"/>
        <v>243831.7448712067</v>
      </c>
      <c r="Z31" s="82">
        <f t="shared" ca="1" si="6"/>
        <v>247339.59462469214</v>
      </c>
      <c r="AA31" s="82">
        <f t="shared" ca="1" si="6"/>
        <v>250854.72158511553</v>
      </c>
      <c r="AB31" s="82">
        <f t="shared" ca="1" si="6"/>
        <v>255715.70790772667</v>
      </c>
      <c r="AC31" s="82">
        <f t="shared" ca="1" si="6"/>
        <v>266842.86671374459</v>
      </c>
      <c r="AD31" s="82">
        <f t="shared" ca="1" si="6"/>
        <v>270595.24869430787</v>
      </c>
      <c r="AE31" s="82">
        <f t="shared" ca="1" si="6"/>
        <v>274388.71459727391</v>
      </c>
      <c r="AF31" s="82">
        <f t="shared" ca="1" si="6"/>
        <v>314221.48288856022</v>
      </c>
      <c r="AG31" s="82">
        <f t="shared" ca="1" si="6"/>
        <v>422216.66569420975</v>
      </c>
      <c r="AH31" s="82">
        <f t="shared" ca="1" si="6"/>
        <v>427609.30839499674</v>
      </c>
      <c r="AI31" s="82">
        <f t="shared" ca="1" si="6"/>
        <v>433080.94099201838</v>
      </c>
      <c r="AJ31" s="82">
        <f t="shared" ca="1" si="6"/>
        <v>438637.18122228596</v>
      </c>
      <c r="AK31" s="82">
        <f t="shared" ca="1" si="6"/>
        <v>433740.92561900016</v>
      </c>
      <c r="AL31" s="82">
        <f t="shared" ca="1" si="6"/>
        <v>377630.54727558861</v>
      </c>
      <c r="AM31" s="82">
        <f t="shared" ca="1" si="6"/>
        <v>425197.45254145929</v>
      </c>
      <c r="AN31" s="82">
        <f t="shared" ca="1" si="6"/>
        <v>459470.72902124579</v>
      </c>
      <c r="AO31" s="82">
        <f t="shared" ca="1" si="6"/>
        <v>465479.85085576848</v>
      </c>
      <c r="AP31" s="82">
        <f t="shared" ca="1" si="6"/>
        <v>368859.96935505158</v>
      </c>
      <c r="AQ31" s="82">
        <f t="shared" ca="1" si="6"/>
        <v>371006.09833748615</v>
      </c>
      <c r="AR31" s="82">
        <f t="shared" ca="1" si="6"/>
        <v>482199.77198560972</v>
      </c>
      <c r="AT31" s="30">
        <f ca="1">SUM(E31:AS31)</f>
        <v>8633496.5456222761</v>
      </c>
    </row>
    <row r="32" spans="1:46" s="82" customFormat="1" outlineLevel="1" x14ac:dyDescent="0.2">
      <c r="A32" s="212" t="s">
        <v>923</v>
      </c>
      <c r="B32" s="213"/>
      <c r="C32" s="214" t="str">
        <f>Параметры!$C$126</f>
        <v>тыс. руб.</v>
      </c>
      <c r="D32" s="121"/>
      <c r="E32" s="82">
        <f>MIN(0,E19)</f>
        <v>0</v>
      </c>
      <c r="F32" s="82">
        <f t="shared" ref="F32:AR32" ca="1" si="7">MIN(0,F19)</f>
        <v>0</v>
      </c>
      <c r="G32" s="82">
        <f t="shared" ca="1" si="7"/>
        <v>0</v>
      </c>
      <c r="H32" s="82">
        <f t="shared" ca="1" si="7"/>
        <v>0</v>
      </c>
      <c r="I32" s="82">
        <f t="shared" ca="1" si="7"/>
        <v>0</v>
      </c>
      <c r="J32" s="82">
        <f t="shared" ca="1" si="7"/>
        <v>-1000.0318861108526</v>
      </c>
      <c r="K32" s="82">
        <f t="shared" ca="1" si="7"/>
        <v>-1000.0318861108526</v>
      </c>
      <c r="L32" s="82">
        <f t="shared" ca="1" si="7"/>
        <v>-1009.441750841768</v>
      </c>
      <c r="M32" s="82">
        <f t="shared" ca="1" si="7"/>
        <v>-1018.9401583036547</v>
      </c>
      <c r="N32" s="82">
        <f t="shared" ca="1" si="7"/>
        <v>-1028.5279416450671</v>
      </c>
      <c r="O32" s="82">
        <f t="shared" ca="1" si="7"/>
        <v>-9789.8628804723394</v>
      </c>
      <c r="P32" s="82">
        <f t="shared" ca="1" si="7"/>
        <v>-1594.6509547354606</v>
      </c>
      <c r="Q32" s="82">
        <f t="shared" ca="1" si="7"/>
        <v>-1612.4299840332176</v>
      </c>
      <c r="R32" s="82">
        <f t="shared" ca="1" si="7"/>
        <v>-1630.4072346921009</v>
      </c>
      <c r="S32" s="82">
        <f t="shared" ca="1" si="7"/>
        <v>-6213.4515893743246</v>
      </c>
      <c r="T32" s="82">
        <f t="shared" ca="1" si="7"/>
        <v>-27253.662425870105</v>
      </c>
      <c r="U32" s="82">
        <f t="shared" ca="1" si="7"/>
        <v>-33048.408915747459</v>
      </c>
      <c r="V32" s="82">
        <f t="shared" ca="1" si="7"/>
        <v>-33376.232728754119</v>
      </c>
      <c r="W32" s="82">
        <f t="shared" ca="1" si="7"/>
        <v>-106640.07890610778</v>
      </c>
      <c r="X32" s="82">
        <f t="shared" ca="1" si="7"/>
        <v>-40289.666342360943</v>
      </c>
      <c r="Y32" s="82">
        <f t="shared" ca="1" si="7"/>
        <v>-40870.272412639461</v>
      </c>
      <c r="Z32" s="82">
        <f t="shared" ca="1" si="7"/>
        <v>-58019.532144945959</v>
      </c>
      <c r="AA32" s="82">
        <f t="shared" ca="1" si="7"/>
        <v>-41854.369857254555</v>
      </c>
      <c r="AB32" s="82">
        <f t="shared" ca="1" si="7"/>
        <v>0</v>
      </c>
      <c r="AC32" s="82">
        <f t="shared" ca="1" si="7"/>
        <v>0</v>
      </c>
      <c r="AD32" s="82">
        <f t="shared" ca="1" si="7"/>
        <v>0</v>
      </c>
      <c r="AE32" s="82">
        <f t="shared" ca="1" si="7"/>
        <v>0</v>
      </c>
      <c r="AF32" s="82">
        <f t="shared" ca="1" si="7"/>
        <v>0</v>
      </c>
      <c r="AG32" s="82">
        <f t="shared" ca="1" si="7"/>
        <v>0</v>
      </c>
      <c r="AH32" s="82">
        <f t="shared" ca="1" si="7"/>
        <v>0</v>
      </c>
      <c r="AI32" s="82">
        <f t="shared" ca="1" si="7"/>
        <v>0</v>
      </c>
      <c r="AJ32" s="82">
        <f t="shared" ca="1" si="7"/>
        <v>0</v>
      </c>
      <c r="AK32" s="82">
        <f t="shared" ca="1" si="7"/>
        <v>0</v>
      </c>
      <c r="AL32" s="82">
        <f t="shared" ca="1" si="7"/>
        <v>0</v>
      </c>
      <c r="AM32" s="82">
        <f t="shared" ca="1" si="7"/>
        <v>0</v>
      </c>
      <c r="AN32" s="82">
        <f t="shared" ca="1" si="7"/>
        <v>0</v>
      </c>
      <c r="AO32" s="82">
        <f t="shared" ca="1" si="7"/>
        <v>0</v>
      </c>
      <c r="AP32" s="82">
        <f t="shared" ca="1" si="7"/>
        <v>0</v>
      </c>
      <c r="AQ32" s="82">
        <f t="shared" ca="1" si="7"/>
        <v>0</v>
      </c>
      <c r="AR32" s="82">
        <f t="shared" ca="1" si="7"/>
        <v>0</v>
      </c>
      <c r="AT32" s="30">
        <f ca="1">SUM(E32:AS32)</f>
        <v>-407250</v>
      </c>
    </row>
    <row r="33" spans="1:46" x14ac:dyDescent="0.2">
      <c r="A33" s="44"/>
      <c r="D33" s="40"/>
    </row>
    <row r="34" spans="1:46" x14ac:dyDescent="0.2">
      <c r="A34" s="52" t="s">
        <v>417</v>
      </c>
      <c r="B34" s="181" t="str">
        <f ca="1">IF(B35&gt;0, AT36/12, "-")</f>
        <v>-</v>
      </c>
      <c r="C34" s="12" t="str">
        <f>C38</f>
        <v>лет</v>
      </c>
      <c r="D34" s="40"/>
    </row>
    <row r="35" spans="1:46" outlineLevel="1" x14ac:dyDescent="0.2">
      <c r="A35" s="49" t="s">
        <v>472</v>
      </c>
      <c r="B35" s="182">
        <f ca="1">MAX(E35:AS35)</f>
        <v>0</v>
      </c>
      <c r="C35" s="12" t="s">
        <v>19</v>
      </c>
      <c r="D35" s="40"/>
      <c r="E35" s="183">
        <f>IF(E$2&gt;1,IF(AND(D20&lt;0,E20&gt;=0),E$2,0),0)</f>
        <v>0</v>
      </c>
      <c r="F35" s="183">
        <f t="shared" ref="F35:AR35" ca="1" si="8">IF(F$2&gt;1,IF(AND(E20&lt;0,F20&gt;=0),F$2,0),0)</f>
        <v>0</v>
      </c>
      <c r="G35" s="183">
        <f t="shared" ca="1" si="8"/>
        <v>0</v>
      </c>
      <c r="H35" s="183">
        <f t="shared" ca="1" si="8"/>
        <v>0</v>
      </c>
      <c r="I35" s="183">
        <f t="shared" ca="1" si="8"/>
        <v>0</v>
      </c>
      <c r="J35" s="183">
        <f t="shared" ca="1" si="8"/>
        <v>0</v>
      </c>
      <c r="K35" s="183">
        <f t="shared" ca="1" si="8"/>
        <v>0</v>
      </c>
      <c r="L35" s="183">
        <f t="shared" ca="1" si="8"/>
        <v>0</v>
      </c>
      <c r="M35" s="183">
        <f t="shared" ca="1" si="8"/>
        <v>0</v>
      </c>
      <c r="N35" s="183">
        <f t="shared" ca="1" si="8"/>
        <v>0</v>
      </c>
      <c r="O35" s="183">
        <f t="shared" ca="1" si="8"/>
        <v>0</v>
      </c>
      <c r="P35" s="183">
        <f t="shared" ca="1" si="8"/>
        <v>0</v>
      </c>
      <c r="Q35" s="183">
        <f t="shared" ca="1" si="8"/>
        <v>0</v>
      </c>
      <c r="R35" s="183">
        <f t="shared" ca="1" si="8"/>
        <v>0</v>
      </c>
      <c r="S35" s="183">
        <f t="shared" ca="1" si="8"/>
        <v>0</v>
      </c>
      <c r="T35" s="183">
        <f t="shared" ca="1" si="8"/>
        <v>0</v>
      </c>
      <c r="U35" s="183">
        <f t="shared" ca="1" si="8"/>
        <v>0</v>
      </c>
      <c r="V35" s="183">
        <f t="shared" ca="1" si="8"/>
        <v>0</v>
      </c>
      <c r="W35" s="183">
        <f t="shared" ca="1" si="8"/>
        <v>0</v>
      </c>
      <c r="X35" s="183">
        <f t="shared" ca="1" si="8"/>
        <v>0</v>
      </c>
      <c r="Y35" s="183">
        <f t="shared" ca="1" si="8"/>
        <v>0</v>
      </c>
      <c r="Z35" s="183">
        <f t="shared" ca="1" si="8"/>
        <v>0</v>
      </c>
      <c r="AA35" s="183">
        <f t="shared" ca="1" si="8"/>
        <v>0</v>
      </c>
      <c r="AB35" s="183">
        <f t="shared" ca="1" si="8"/>
        <v>0</v>
      </c>
      <c r="AC35" s="183">
        <f t="shared" ca="1" si="8"/>
        <v>0</v>
      </c>
      <c r="AD35" s="183">
        <f t="shared" ca="1" si="8"/>
        <v>0</v>
      </c>
      <c r="AE35" s="183">
        <f t="shared" ca="1" si="8"/>
        <v>0</v>
      </c>
      <c r="AF35" s="183">
        <f t="shared" ca="1" si="8"/>
        <v>0</v>
      </c>
      <c r="AG35" s="183">
        <f t="shared" ca="1" si="8"/>
        <v>0</v>
      </c>
      <c r="AH35" s="183">
        <f t="shared" ca="1" si="8"/>
        <v>0</v>
      </c>
      <c r="AI35" s="183">
        <f t="shared" ca="1" si="8"/>
        <v>0</v>
      </c>
      <c r="AJ35" s="183">
        <f t="shared" ca="1" si="8"/>
        <v>0</v>
      </c>
      <c r="AK35" s="183">
        <f t="shared" ca="1" si="8"/>
        <v>0</v>
      </c>
      <c r="AL35" s="183">
        <f t="shared" ca="1" si="8"/>
        <v>0</v>
      </c>
      <c r="AM35" s="183">
        <f t="shared" ca="1" si="8"/>
        <v>0</v>
      </c>
      <c r="AN35" s="183">
        <f t="shared" ca="1" si="8"/>
        <v>0</v>
      </c>
      <c r="AO35" s="183">
        <f t="shared" ca="1" si="8"/>
        <v>0</v>
      </c>
      <c r="AP35" s="183">
        <f t="shared" ca="1" si="8"/>
        <v>0</v>
      </c>
      <c r="AQ35" s="183">
        <f t="shared" ca="1" si="8"/>
        <v>0</v>
      </c>
      <c r="AR35" s="183">
        <f t="shared" ca="1" si="8"/>
        <v>0</v>
      </c>
      <c r="AS35" s="184"/>
      <c r="AT35" s="184"/>
    </row>
    <row r="36" spans="1:46" outlineLevel="1" x14ac:dyDescent="0.2">
      <c r="A36" s="70" t="s">
        <v>192</v>
      </c>
      <c r="B36" s="185">
        <f>AT36</f>
        <v>0</v>
      </c>
      <c r="C36" s="12" t="str">
        <f>C40</f>
        <v>мес.</v>
      </c>
      <c r="D36" s="40"/>
      <c r="E36" s="184">
        <f ca="1">IF(E$2&lt;$B35,Параметры!E$40,IF(E$2=$B35,-D20/(E20-D20)*Параметры!E$40,0))</f>
        <v>0</v>
      </c>
      <c r="F36" s="184">
        <f ca="1">IF(F$2&lt;$B35,Параметры!F$40,IF(F$2=$B35,-E20/(F20-E20)*Параметры!F$40,0))</f>
        <v>0</v>
      </c>
      <c r="G36" s="184">
        <f ca="1">IF(G$2&lt;$B35,Параметры!G$40,IF(G$2=$B35,-F20/(G20-F20)*Параметры!G$40,0))</f>
        <v>0</v>
      </c>
      <c r="H36" s="184">
        <f ca="1">IF(H$2&lt;$B35,Параметры!H$40,IF(H$2=$B35,-G20/(H20-G20)*Параметры!H$40,0))</f>
        <v>0</v>
      </c>
      <c r="I36" s="184">
        <f ca="1">IF(I$2&lt;$B35,Параметры!I$40,IF(I$2=$B35,-H20/(I20-H20)*Параметры!I$40,0))</f>
        <v>0</v>
      </c>
      <c r="J36" s="184">
        <f ca="1">IF(J$2&lt;$B35,Параметры!J$40,IF(J$2=$B35,-I20/(J20-I20)*Параметры!J$40,0))</f>
        <v>0</v>
      </c>
      <c r="K36" s="184">
        <f ca="1">IF(K$2&lt;$B35,Параметры!K$40,IF(K$2=$B35,-J20/(K20-J20)*Параметры!K$40,0))</f>
        <v>0</v>
      </c>
      <c r="L36" s="184">
        <f ca="1">IF(L$2&lt;$B35,Параметры!L$40,IF(L$2=$B35,-K20/(L20-K20)*Параметры!L$40,0))</f>
        <v>0</v>
      </c>
      <c r="M36" s="184">
        <f ca="1">IF(M$2&lt;$B35,Параметры!M$40,IF(M$2=$B35,-L20/(M20-L20)*Параметры!M$40,0))</f>
        <v>0</v>
      </c>
      <c r="N36" s="184">
        <f ca="1">IF(N$2&lt;$B35,Параметры!N$40,IF(N$2=$B35,-M20/(N20-M20)*Параметры!N$40,0))</f>
        <v>0</v>
      </c>
      <c r="O36" s="184">
        <f ca="1">IF(O$2&lt;$B35,Параметры!O$40,IF(O$2=$B35,-N20/(O20-N20)*Параметры!O$40,0))</f>
        <v>0</v>
      </c>
      <c r="P36" s="184">
        <f ca="1">IF(P$2&lt;$B35,Параметры!P$40,IF(P$2=$B35,-O20/(P20-O20)*Параметры!P$40,0))</f>
        <v>0</v>
      </c>
      <c r="Q36" s="184">
        <f ca="1">IF(Q$2&lt;$B35,Параметры!Q$40,IF(Q$2=$B35,-P20/(Q20-P20)*Параметры!Q$40,0))</f>
        <v>0</v>
      </c>
      <c r="R36" s="184">
        <f ca="1">IF(R$2&lt;$B35,Параметры!R$40,IF(R$2=$B35,-Q20/(R20-Q20)*Параметры!R$40,0))</f>
        <v>0</v>
      </c>
      <c r="S36" s="184">
        <f ca="1">IF(S$2&lt;$B35,Параметры!S$40,IF(S$2=$B35,-R20/(S20-R20)*Параметры!S$40,0))</f>
        <v>0</v>
      </c>
      <c r="T36" s="184">
        <f ca="1">IF(T$2&lt;$B35,Параметры!T$40,IF(T$2=$B35,-S20/(T20-S20)*Параметры!T$40,0))</f>
        <v>0</v>
      </c>
      <c r="U36" s="184">
        <f ca="1">IF(U$2&lt;$B35,Параметры!U$40,IF(U$2=$B35,-T20/(U20-T20)*Параметры!U$40,0))</f>
        <v>0</v>
      </c>
      <c r="V36" s="184">
        <f ca="1">IF(V$2&lt;$B35,Параметры!V$40,IF(V$2=$B35,-U20/(V20-U20)*Параметры!V$40,0))</f>
        <v>0</v>
      </c>
      <c r="W36" s="184">
        <f ca="1">IF(W$2&lt;$B35,Параметры!W$40,IF(W$2=$B35,-V20/(W20-V20)*Параметры!W$40,0))</f>
        <v>0</v>
      </c>
      <c r="X36" s="184">
        <f ca="1">IF(X$2&lt;$B35,Параметры!X$40,IF(X$2=$B35,-W20/(X20-W20)*Параметры!X$40,0))</f>
        <v>0</v>
      </c>
      <c r="Y36" s="184">
        <f ca="1">IF(Y$2&lt;$B35,Параметры!Y$40,IF(Y$2=$B35,-X20/(Y20-X20)*Параметры!Y$40,0))</f>
        <v>0</v>
      </c>
      <c r="Z36" s="184">
        <f ca="1">IF(Z$2&lt;$B35,Параметры!Z$40,IF(Z$2=$B35,-Y20/(Z20-Y20)*Параметры!Z$40,0))</f>
        <v>0</v>
      </c>
      <c r="AA36" s="184">
        <f ca="1">IF(AA$2&lt;$B35,Параметры!AA$40,IF(AA$2=$B35,-Z20/(AA20-Z20)*Параметры!AA$40,0))</f>
        <v>0</v>
      </c>
      <c r="AB36" s="184">
        <f ca="1">IF(AB$2&lt;$B35,Параметры!AB$40,IF(AB$2=$B35,-AA20/(AB20-AA20)*Параметры!AB$40,0))</f>
        <v>0</v>
      </c>
      <c r="AC36" s="184">
        <f ca="1">IF(AC$2&lt;$B35,Параметры!AC$40,IF(AC$2=$B35,-AB20/(AC20-AB20)*Параметры!AC$40,0))</f>
        <v>0</v>
      </c>
      <c r="AD36" s="184">
        <f ca="1">IF(AD$2&lt;$B35,Параметры!AD$40,IF(AD$2=$B35,-AC20/(AD20-AC20)*Параметры!AD$40,0))</f>
        <v>0</v>
      </c>
      <c r="AE36" s="184">
        <f ca="1">IF(AE$2&lt;$B35,Параметры!AE$40,IF(AE$2=$B35,-AD20/(AE20-AD20)*Параметры!AE$40,0))</f>
        <v>0</v>
      </c>
      <c r="AF36" s="184">
        <f ca="1">IF(AF$2&lt;$B35,Параметры!AF$40,IF(AF$2=$B35,-AE20/(AF20-AE20)*Параметры!AF$40,0))</f>
        <v>0</v>
      </c>
      <c r="AG36" s="184">
        <f ca="1">IF(AG$2&lt;$B35,Параметры!AG$40,IF(AG$2=$B35,-AF20/(AG20-AF20)*Параметры!AG$40,0))</f>
        <v>0</v>
      </c>
      <c r="AH36" s="184">
        <f ca="1">IF(AH$2&lt;$B35,Параметры!AH$40,IF(AH$2=$B35,-AG20/(AH20-AG20)*Параметры!AH$40,0))</f>
        <v>0</v>
      </c>
      <c r="AI36" s="184">
        <f ca="1">IF(AI$2&lt;$B35,Параметры!AI$40,IF(AI$2=$B35,-AH20/(AI20-AH20)*Параметры!AI$40,0))</f>
        <v>0</v>
      </c>
      <c r="AJ36" s="184">
        <f ca="1">IF(AJ$2&lt;$B35,Параметры!AJ$40,IF(AJ$2=$B35,-AI20/(AJ20-AI20)*Параметры!AJ$40,0))</f>
        <v>0</v>
      </c>
      <c r="AK36" s="184">
        <f ca="1">IF(AK$2&lt;$B35,Параметры!AK$40,IF(AK$2=$B35,-AJ20/(AK20-AJ20)*Параметры!AK$40,0))</f>
        <v>0</v>
      </c>
      <c r="AL36" s="184">
        <f ca="1">IF(AL$2&lt;$B35,Параметры!AL$40,IF(AL$2=$B35,-AK20/(AL20-AK20)*Параметры!AL$40,0))</f>
        <v>0</v>
      </c>
      <c r="AM36" s="184">
        <f ca="1">IF(AM$2&lt;$B35,Параметры!AM$40,IF(AM$2=$B35,-AL20/(AM20-AL20)*Параметры!AM$40,0))</f>
        <v>0</v>
      </c>
      <c r="AN36" s="184">
        <f ca="1">IF(AN$2&lt;$B35,Параметры!AN$40,IF(AN$2=$B35,-AM20/(AN20-AM20)*Параметры!AN$40,0))</f>
        <v>0</v>
      </c>
      <c r="AO36" s="184">
        <f ca="1">IF(AO$2&lt;$B35,Параметры!AO$40,IF(AO$2=$B35,-AN20/(AO20-AN20)*Параметры!AO$40,0))</f>
        <v>0</v>
      </c>
      <c r="AP36" s="184">
        <f ca="1">IF(AP$2&lt;$B35,Параметры!AP$40,IF(AP$2=$B35,-AO20/(AP20-AO20)*Параметры!AP$40,0))</f>
        <v>0</v>
      </c>
      <c r="AQ36" s="184">
        <f ca="1">IF(AQ$2&lt;$B35,Параметры!AQ$40,IF(AQ$2=$B35,-AP20/(AQ20-AP20)*Параметры!AQ$40,0))</f>
        <v>0</v>
      </c>
      <c r="AR36" s="184">
        <f ca="1">IF(AR$2&lt;$B35,Параметры!AR$40,IF(AR$2=$B35,-AQ20/(AR20-AQ20)*Параметры!AR$40,0))</f>
        <v>0</v>
      </c>
      <c r="AS36" s="184"/>
      <c r="AT36" s="186"/>
    </row>
    <row r="37" spans="1:46" x14ac:dyDescent="0.2">
      <c r="A37" s="44"/>
      <c r="D37" s="40"/>
    </row>
    <row r="38" spans="1:46" x14ac:dyDescent="0.2">
      <c r="A38" s="52" t="s">
        <v>418</v>
      </c>
      <c r="B38" s="181" t="str">
        <f ca="1">IF(B39&gt;0, AT40/12, "-")</f>
        <v>-</v>
      </c>
      <c r="C38" s="12" t="s">
        <v>2</v>
      </c>
      <c r="D38" s="40"/>
    </row>
    <row r="39" spans="1:46" outlineLevel="1" x14ac:dyDescent="0.2">
      <c r="A39" s="49" t="s">
        <v>472</v>
      </c>
      <c r="B39" s="182">
        <f ca="1">MAX(E39:AS39)</f>
        <v>0</v>
      </c>
      <c r="C39" s="12" t="s">
        <v>19</v>
      </c>
      <c r="D39" s="40"/>
      <c r="E39" s="183">
        <f>IF(E$2&gt;1,IF(AND(D23&lt;0,E23&gt;=0),E$2,0),0)</f>
        <v>0</v>
      </c>
      <c r="F39" s="183">
        <f t="shared" ref="F39:AR39" ca="1" si="9">IF(F$2&gt;1,IF(AND(E23&lt;0,F23&gt;=0),F$2,0),0)</f>
        <v>0</v>
      </c>
      <c r="G39" s="183">
        <f t="shared" ca="1" si="9"/>
        <v>0</v>
      </c>
      <c r="H39" s="183">
        <f t="shared" ca="1" si="9"/>
        <v>0</v>
      </c>
      <c r="I39" s="183">
        <f t="shared" ca="1" si="9"/>
        <v>0</v>
      </c>
      <c r="J39" s="183">
        <f t="shared" ca="1" si="9"/>
        <v>0</v>
      </c>
      <c r="K39" s="183">
        <f t="shared" ca="1" si="9"/>
        <v>0</v>
      </c>
      <c r="L39" s="183">
        <f t="shared" ca="1" si="9"/>
        <v>0</v>
      </c>
      <c r="M39" s="183">
        <f t="shared" ca="1" si="9"/>
        <v>0</v>
      </c>
      <c r="N39" s="183">
        <f t="shared" ca="1" si="9"/>
        <v>0</v>
      </c>
      <c r="O39" s="183">
        <f t="shared" ca="1" si="9"/>
        <v>0</v>
      </c>
      <c r="P39" s="183">
        <f t="shared" ca="1" si="9"/>
        <v>0</v>
      </c>
      <c r="Q39" s="183">
        <f t="shared" ca="1" si="9"/>
        <v>0</v>
      </c>
      <c r="R39" s="183">
        <f t="shared" ca="1" si="9"/>
        <v>0</v>
      </c>
      <c r="S39" s="183">
        <f t="shared" ca="1" si="9"/>
        <v>0</v>
      </c>
      <c r="T39" s="183">
        <f t="shared" ca="1" si="9"/>
        <v>0</v>
      </c>
      <c r="U39" s="183">
        <f t="shared" ca="1" si="9"/>
        <v>0</v>
      </c>
      <c r="V39" s="183">
        <f t="shared" ca="1" si="9"/>
        <v>0</v>
      </c>
      <c r="W39" s="183">
        <f t="shared" ca="1" si="9"/>
        <v>0</v>
      </c>
      <c r="X39" s="183">
        <f t="shared" ca="1" si="9"/>
        <v>0</v>
      </c>
      <c r="Y39" s="183">
        <f t="shared" ca="1" si="9"/>
        <v>0</v>
      </c>
      <c r="Z39" s="183">
        <f t="shared" ca="1" si="9"/>
        <v>0</v>
      </c>
      <c r="AA39" s="183">
        <f t="shared" ca="1" si="9"/>
        <v>0</v>
      </c>
      <c r="AB39" s="183">
        <f t="shared" ca="1" si="9"/>
        <v>0</v>
      </c>
      <c r="AC39" s="183">
        <f t="shared" ca="1" si="9"/>
        <v>0</v>
      </c>
      <c r="AD39" s="183">
        <f t="shared" ca="1" si="9"/>
        <v>0</v>
      </c>
      <c r="AE39" s="183">
        <f t="shared" ca="1" si="9"/>
        <v>0</v>
      </c>
      <c r="AF39" s="183">
        <f t="shared" ca="1" si="9"/>
        <v>0</v>
      </c>
      <c r="AG39" s="183">
        <f t="shared" ca="1" si="9"/>
        <v>0</v>
      </c>
      <c r="AH39" s="183">
        <f t="shared" ca="1" si="9"/>
        <v>0</v>
      </c>
      <c r="AI39" s="183">
        <f t="shared" ca="1" si="9"/>
        <v>0</v>
      </c>
      <c r="AJ39" s="183">
        <f t="shared" ca="1" si="9"/>
        <v>0</v>
      </c>
      <c r="AK39" s="183">
        <f t="shared" ca="1" si="9"/>
        <v>0</v>
      </c>
      <c r="AL39" s="183">
        <f t="shared" ca="1" si="9"/>
        <v>0</v>
      </c>
      <c r="AM39" s="183">
        <f t="shared" ca="1" si="9"/>
        <v>0</v>
      </c>
      <c r="AN39" s="183">
        <f t="shared" ca="1" si="9"/>
        <v>0</v>
      </c>
      <c r="AO39" s="183">
        <f t="shared" ca="1" si="9"/>
        <v>0</v>
      </c>
      <c r="AP39" s="183">
        <f t="shared" ca="1" si="9"/>
        <v>0</v>
      </c>
      <c r="AQ39" s="183">
        <f t="shared" ca="1" si="9"/>
        <v>0</v>
      </c>
      <c r="AR39" s="183">
        <f t="shared" ca="1" si="9"/>
        <v>0</v>
      </c>
      <c r="AS39" s="184"/>
      <c r="AT39" s="184"/>
    </row>
    <row r="40" spans="1:46" outlineLevel="1" x14ac:dyDescent="0.2">
      <c r="A40" s="70" t="s">
        <v>192</v>
      </c>
      <c r="B40" s="185">
        <f ca="1">AT40</f>
        <v>0</v>
      </c>
      <c r="C40" s="12" t="s">
        <v>17</v>
      </c>
      <c r="D40" s="40"/>
      <c r="E40" s="184">
        <f ca="1">IF(E$2&lt;$B39,Параметры!E$40,IF(E$2=$B39,-D23/(E23-D23)*Параметры!E$40,0))</f>
        <v>0</v>
      </c>
      <c r="F40" s="184">
        <f ca="1">IF(F$2&lt;$B39,Параметры!F$40,IF(F$2=$B39,-E23/(F23-E23)*Параметры!F$40,0))</f>
        <v>0</v>
      </c>
      <c r="G40" s="184">
        <f ca="1">IF(G$2&lt;$B39,Параметры!G$40,IF(G$2=$B39,-F23/(G23-F23)*Параметры!G$40,0))</f>
        <v>0</v>
      </c>
      <c r="H40" s="184">
        <f ca="1">IF(H$2&lt;$B39,Параметры!H$40,IF(H$2=$B39,-G23/(H23-G23)*Параметры!H$40,0))</f>
        <v>0</v>
      </c>
      <c r="I40" s="184">
        <f ca="1">IF(I$2&lt;$B39,Параметры!I$40,IF(I$2=$B39,-H23/(I23-H23)*Параметры!I$40,0))</f>
        <v>0</v>
      </c>
      <c r="J40" s="184">
        <f ca="1">IF(J$2&lt;$B39,Параметры!J$40,IF(J$2=$B39,-I23/(J23-I23)*Параметры!J$40,0))</f>
        <v>0</v>
      </c>
      <c r="K40" s="184">
        <f ca="1">IF(K$2&lt;$B39,Параметры!K$40,IF(K$2=$B39,-J23/(K23-J23)*Параметры!K$40,0))</f>
        <v>0</v>
      </c>
      <c r="L40" s="184">
        <f ca="1">IF(L$2&lt;$B39,Параметры!L$40,IF(L$2=$B39,-K23/(L23-K23)*Параметры!L$40,0))</f>
        <v>0</v>
      </c>
      <c r="M40" s="184">
        <f ca="1">IF(M$2&lt;$B39,Параметры!M$40,IF(M$2=$B39,-L23/(M23-L23)*Параметры!M$40,0))</f>
        <v>0</v>
      </c>
      <c r="N40" s="184">
        <f ca="1">IF(N$2&lt;$B39,Параметры!N$40,IF(N$2=$B39,-M23/(N23-M23)*Параметры!N$40,0))</f>
        <v>0</v>
      </c>
      <c r="O40" s="184">
        <f ca="1">IF(O$2&lt;$B39,Параметры!O$40,IF(O$2=$B39,-N23/(O23-N23)*Параметры!O$40,0))</f>
        <v>0</v>
      </c>
      <c r="P40" s="184">
        <f ca="1">IF(P$2&lt;$B39,Параметры!P$40,IF(P$2=$B39,-O23/(P23-O23)*Параметры!P$40,0))</f>
        <v>0</v>
      </c>
      <c r="Q40" s="184">
        <f ca="1">IF(Q$2&lt;$B39,Параметры!Q$40,IF(Q$2=$B39,-P23/(Q23-P23)*Параметры!Q$40,0))</f>
        <v>0</v>
      </c>
      <c r="R40" s="184">
        <f ca="1">IF(R$2&lt;$B39,Параметры!R$40,IF(R$2=$B39,-Q23/(R23-Q23)*Параметры!R$40,0))</f>
        <v>0</v>
      </c>
      <c r="S40" s="184">
        <f ca="1">IF(S$2&lt;$B39,Параметры!S$40,IF(S$2=$B39,-R23/(S23-R23)*Параметры!S$40,0))</f>
        <v>0</v>
      </c>
      <c r="T40" s="184">
        <f ca="1">IF(T$2&lt;$B39,Параметры!T$40,IF(T$2=$B39,-S23/(T23-S23)*Параметры!T$40,0))</f>
        <v>0</v>
      </c>
      <c r="U40" s="184">
        <f ca="1">IF(U$2&lt;$B39,Параметры!U$40,IF(U$2=$B39,-T23/(U23-T23)*Параметры!U$40,0))</f>
        <v>0</v>
      </c>
      <c r="V40" s="184">
        <f ca="1">IF(V$2&lt;$B39,Параметры!V$40,IF(V$2=$B39,-U23/(V23-U23)*Параметры!V$40,0))</f>
        <v>0</v>
      </c>
      <c r="W40" s="184">
        <f ca="1">IF(W$2&lt;$B39,Параметры!W$40,IF(W$2=$B39,-V23/(W23-V23)*Параметры!W$40,0))</f>
        <v>0</v>
      </c>
      <c r="X40" s="184">
        <f ca="1">IF(X$2&lt;$B39,Параметры!X$40,IF(X$2=$B39,-W23/(X23-W23)*Параметры!X$40,0))</f>
        <v>0</v>
      </c>
      <c r="Y40" s="184">
        <f ca="1">IF(Y$2&lt;$B39,Параметры!Y$40,IF(Y$2=$B39,-X23/(Y23-X23)*Параметры!Y$40,0))</f>
        <v>0</v>
      </c>
      <c r="Z40" s="184">
        <f ca="1">IF(Z$2&lt;$B39,Параметры!Z$40,IF(Z$2=$B39,-Y23/(Z23-Y23)*Параметры!Z$40,0))</f>
        <v>0</v>
      </c>
      <c r="AA40" s="184">
        <f ca="1">IF(AA$2&lt;$B39,Параметры!AA$40,IF(AA$2=$B39,-Z23/(AA23-Z23)*Параметры!AA$40,0))</f>
        <v>0</v>
      </c>
      <c r="AB40" s="184">
        <f ca="1">IF(AB$2&lt;$B39,Параметры!AB$40,IF(AB$2=$B39,-AA23/(AB23-AA23)*Параметры!AB$40,0))</f>
        <v>0</v>
      </c>
      <c r="AC40" s="184">
        <f ca="1">IF(AC$2&lt;$B39,Параметры!AC$40,IF(AC$2=$B39,-AB23/(AC23-AB23)*Параметры!AC$40,0))</f>
        <v>0</v>
      </c>
      <c r="AD40" s="184">
        <f ca="1">IF(AD$2&lt;$B39,Параметры!AD$40,IF(AD$2=$B39,-AC23/(AD23-AC23)*Параметры!AD$40,0))</f>
        <v>0</v>
      </c>
      <c r="AE40" s="184">
        <f ca="1">IF(AE$2&lt;$B39,Параметры!AE$40,IF(AE$2=$B39,-AD23/(AE23-AD23)*Параметры!AE$40,0))</f>
        <v>0</v>
      </c>
      <c r="AF40" s="184">
        <f ca="1">IF(AF$2&lt;$B39,Параметры!AF$40,IF(AF$2=$B39,-AE23/(AF23-AE23)*Параметры!AF$40,0))</f>
        <v>0</v>
      </c>
      <c r="AG40" s="184">
        <f ca="1">IF(AG$2&lt;$B39,Параметры!AG$40,IF(AG$2=$B39,-AF23/(AG23-AF23)*Параметры!AG$40,0))</f>
        <v>0</v>
      </c>
      <c r="AH40" s="184">
        <f ca="1">IF(AH$2&lt;$B39,Параметры!AH$40,IF(AH$2=$B39,-AG23/(AH23-AG23)*Параметры!AH$40,0))</f>
        <v>0</v>
      </c>
      <c r="AI40" s="184">
        <f ca="1">IF(AI$2&lt;$B39,Параметры!AI$40,IF(AI$2=$B39,-AH23/(AI23-AH23)*Параметры!AI$40,0))</f>
        <v>0</v>
      </c>
      <c r="AJ40" s="184">
        <f ca="1">IF(AJ$2&lt;$B39,Параметры!AJ$40,IF(AJ$2=$B39,-AI23/(AJ23-AI23)*Параметры!AJ$40,0))</f>
        <v>0</v>
      </c>
      <c r="AK40" s="184">
        <f ca="1">IF(AK$2&lt;$B39,Параметры!AK$40,IF(AK$2=$B39,-AJ23/(AK23-AJ23)*Параметры!AK$40,0))</f>
        <v>0</v>
      </c>
      <c r="AL40" s="184">
        <f ca="1">IF(AL$2&lt;$B39,Параметры!AL$40,IF(AL$2=$B39,-AK23/(AL23-AK23)*Параметры!AL$40,0))</f>
        <v>0</v>
      </c>
      <c r="AM40" s="184">
        <f ca="1">IF(AM$2&lt;$B39,Параметры!AM$40,IF(AM$2=$B39,-AL23/(AM23-AL23)*Параметры!AM$40,0))</f>
        <v>0</v>
      </c>
      <c r="AN40" s="184">
        <f ca="1">IF(AN$2&lt;$B39,Параметры!AN$40,IF(AN$2=$B39,-AM23/(AN23-AM23)*Параметры!AN$40,0))</f>
        <v>0</v>
      </c>
      <c r="AO40" s="184">
        <f ca="1">IF(AO$2&lt;$B39,Параметры!AO$40,IF(AO$2=$B39,-AN23/(AO23-AN23)*Параметры!AO$40,0))</f>
        <v>0</v>
      </c>
      <c r="AP40" s="184">
        <f ca="1">IF(AP$2&lt;$B39,Параметры!AP$40,IF(AP$2=$B39,-AO23/(AP23-AO23)*Параметры!AP$40,0))</f>
        <v>0</v>
      </c>
      <c r="AQ40" s="184">
        <f ca="1">IF(AQ$2&lt;$B39,Параметры!AQ$40,IF(AQ$2=$B39,-AP23/(AQ23-AP23)*Параметры!AQ$40,0))</f>
        <v>0</v>
      </c>
      <c r="AR40" s="184">
        <f ca="1">IF(AR$2&lt;$B39,Параметры!AR$40,IF(AR$2=$B39,-AQ23/(AR23-AQ23)*Параметры!AR$40,0))</f>
        <v>0</v>
      </c>
      <c r="AS40" s="184"/>
      <c r="AT40" s="186">
        <f ca="1">SUM(E40:AS40)</f>
        <v>0</v>
      </c>
    </row>
    <row r="41" spans="1:46" x14ac:dyDescent="0.2">
      <c r="A41" s="45"/>
      <c r="B41" s="170"/>
      <c r="C41" s="14"/>
      <c r="D41" s="47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</row>
    <row r="42" spans="1:46" x14ac:dyDescent="0.2">
      <c r="D42" s="40"/>
    </row>
    <row r="43" spans="1:46" ht="12" thickBot="1" x14ac:dyDescent="0.25">
      <c r="D43" s="40"/>
    </row>
    <row r="44" spans="1:46" s="43" customFormat="1" ht="25.5" customHeight="1" thickBot="1" x14ac:dyDescent="0.25">
      <c r="A44" s="481" t="s">
        <v>733</v>
      </c>
      <c r="B44" s="479"/>
      <c r="C44" s="485"/>
      <c r="D44" s="486"/>
      <c r="E44" s="479" t="str">
        <f>CHOOSE($D$2,Параметры!E$53,Параметры!E$54)</f>
        <v>1 кв. 2020</v>
      </c>
      <c r="F44" s="479" t="str">
        <f>CHOOSE($D$2,Параметры!F$53,Параметры!F$54)</f>
        <v>2 кв. 2020</v>
      </c>
      <c r="G44" s="479" t="str">
        <f>CHOOSE($D$2,Параметры!G$53,Параметры!G$54)</f>
        <v>3 кв. 2020</v>
      </c>
      <c r="H44" s="479" t="str">
        <f>CHOOSE($D$2,Параметры!H$53,Параметры!H$54)</f>
        <v>4 кв. 2020</v>
      </c>
      <c r="I44" s="479" t="str">
        <f>CHOOSE($D$2,Параметры!I$53,Параметры!I$54)</f>
        <v>1 кв. 2021</v>
      </c>
      <c r="J44" s="479" t="str">
        <f>CHOOSE($D$2,Параметры!J$53,Параметры!J$54)</f>
        <v>2 кв. 2021</v>
      </c>
      <c r="K44" s="479" t="str">
        <f>CHOOSE($D$2,Параметры!K$53,Параметры!K$54)</f>
        <v>3 кв. 2021</v>
      </c>
      <c r="L44" s="479" t="str">
        <f>CHOOSE($D$2,Параметры!L$53,Параметры!L$54)</f>
        <v>4 кв. 2021</v>
      </c>
      <c r="M44" s="479" t="str">
        <f>CHOOSE($D$2,Параметры!M$53,Параметры!M$54)</f>
        <v>1 кв. 2022</v>
      </c>
      <c r="N44" s="479" t="str">
        <f>CHOOSE($D$2,Параметры!N$53,Параметры!N$54)</f>
        <v>2 кв. 2022</v>
      </c>
      <c r="O44" s="479" t="str">
        <f>CHOOSE($D$2,Параметры!O$53,Параметры!O$54)</f>
        <v>3 кв. 2022</v>
      </c>
      <c r="P44" s="479" t="str">
        <f>CHOOSE($D$2,Параметры!P$53,Параметры!P$54)</f>
        <v>4 кв. 2022</v>
      </c>
      <c r="Q44" s="479" t="str">
        <f>CHOOSE($D$2,Параметры!Q$53,Параметры!Q$54)</f>
        <v>1 кв. 2023</v>
      </c>
      <c r="R44" s="479" t="str">
        <f>CHOOSE($D$2,Параметры!R$53,Параметры!R$54)</f>
        <v>2 кв. 2023</v>
      </c>
      <c r="S44" s="479" t="str">
        <f>CHOOSE($D$2,Параметры!S$53,Параметры!S$54)</f>
        <v>3 кв. 2023</v>
      </c>
      <c r="T44" s="479" t="str">
        <f>CHOOSE($D$2,Параметры!T$53,Параметры!T$54)</f>
        <v>4 кв. 2023</v>
      </c>
      <c r="U44" s="479" t="str">
        <f>CHOOSE($D$2,Параметры!U$53,Параметры!U$54)</f>
        <v>1 кв. 2024</v>
      </c>
      <c r="V44" s="479" t="str">
        <f>CHOOSE($D$2,Параметры!V$53,Параметры!V$54)</f>
        <v>2 кв. 2024</v>
      </c>
      <c r="W44" s="479" t="str">
        <f>CHOOSE($D$2,Параметры!W$53,Параметры!W$54)</f>
        <v>3 кв. 2024</v>
      </c>
      <c r="X44" s="479" t="str">
        <f>CHOOSE($D$2,Параметры!X$53,Параметры!X$54)</f>
        <v>4 кв. 2024</v>
      </c>
      <c r="Y44" s="479" t="str">
        <f>CHOOSE($D$2,Параметры!Y$53,Параметры!Y$54)</f>
        <v>1 кв. 2025</v>
      </c>
      <c r="Z44" s="479" t="str">
        <f>CHOOSE($D$2,Параметры!Z$53,Параметры!Z$54)</f>
        <v>2 кв. 2025</v>
      </c>
      <c r="AA44" s="479" t="str">
        <f>CHOOSE($D$2,Параметры!AA$53,Параметры!AA$54)</f>
        <v>3 кв. 2025</v>
      </c>
      <c r="AB44" s="479" t="str">
        <f>CHOOSE($D$2,Параметры!AB$53,Параметры!AB$54)</f>
        <v>4 кв. 2025</v>
      </c>
      <c r="AC44" s="479" t="str">
        <f>CHOOSE($D$2,Параметры!AC$53,Параметры!AC$54)</f>
        <v>1 кв. 2026</v>
      </c>
      <c r="AD44" s="479" t="str">
        <f>CHOOSE($D$2,Параметры!AD$53,Параметры!AD$54)</f>
        <v>2 кв. 2026</v>
      </c>
      <c r="AE44" s="479" t="str">
        <f>CHOOSE($D$2,Параметры!AE$53,Параметры!AE$54)</f>
        <v>3 кв. 2026</v>
      </c>
      <c r="AF44" s="479" t="str">
        <f>CHOOSE($D$2,Параметры!AF$53,Параметры!AF$54)</f>
        <v>4 кв. 2026</v>
      </c>
      <c r="AG44" s="479" t="str">
        <f>CHOOSE($D$2,Параметры!AG$53,Параметры!AG$54)</f>
        <v>1 кв. 2027</v>
      </c>
      <c r="AH44" s="479" t="str">
        <f>CHOOSE($D$2,Параметры!AH$53,Параметры!AH$54)</f>
        <v>2 кв. 2027</v>
      </c>
      <c r="AI44" s="479" t="str">
        <f>CHOOSE($D$2,Параметры!AI$53,Параметры!AI$54)</f>
        <v>3 кв. 2027</v>
      </c>
      <c r="AJ44" s="479" t="str">
        <f>CHOOSE($D$2,Параметры!AJ$53,Параметры!AJ$54)</f>
        <v>4 кв. 2027</v>
      </c>
      <c r="AK44" s="479" t="str">
        <f>CHOOSE($D$2,Параметры!AK$53,Параметры!AK$54)</f>
        <v>1 кв. 2028</v>
      </c>
      <c r="AL44" s="479" t="str">
        <f>CHOOSE($D$2,Параметры!AL$53,Параметры!AL$54)</f>
        <v>2 кв. 2028</v>
      </c>
      <c r="AM44" s="479" t="str">
        <f>CHOOSE($D$2,Параметры!AM$53,Параметры!AM$54)</f>
        <v>3 кв. 2028</v>
      </c>
      <c r="AN44" s="479" t="str">
        <f>CHOOSE($D$2,Параметры!AN$53,Параметры!AN$54)</f>
        <v>4 кв. 2028</v>
      </c>
      <c r="AO44" s="479" t="str">
        <f>CHOOSE($D$2,Параметры!AO$53,Параметры!AO$54)</f>
        <v>1 кв. 2029</v>
      </c>
      <c r="AP44" s="479" t="str">
        <f>CHOOSE($D$2,Параметры!AP$53,Параметры!AP$54)</f>
        <v>2 кв. 2029</v>
      </c>
      <c r="AQ44" s="479" t="str">
        <f>CHOOSE($D$2,Параметры!AQ$53,Параметры!AQ$54)</f>
        <v>3 кв. 2029</v>
      </c>
      <c r="AR44" s="479" t="str">
        <f>CHOOSE($D$2,Параметры!AR$53,Параметры!AR$54)</f>
        <v>4 кв. 2029</v>
      </c>
      <c r="AS44" s="485"/>
      <c r="AT44" s="485" t="s">
        <v>0</v>
      </c>
    </row>
    <row r="45" spans="1:46" x14ac:dyDescent="0.2">
      <c r="A45" s="44"/>
      <c r="D45" s="40"/>
    </row>
    <row r="46" spans="1:46" x14ac:dyDescent="0.2">
      <c r="A46" s="44" t="str">
        <f>$A$8</f>
        <v>Ставка дисконтирования, годовая (WACC)</v>
      </c>
      <c r="B46" s="177">
        <f ca="1">$B$8</f>
        <v>0.10128364613285909</v>
      </c>
      <c r="C46" s="12" t="s">
        <v>1</v>
      </c>
      <c r="D46" s="40"/>
    </row>
    <row r="47" spans="1:46" outlineLevel="1" x14ac:dyDescent="0.2">
      <c r="A47" s="63" t="s">
        <v>363</v>
      </c>
      <c r="C47" s="12" t="s">
        <v>1</v>
      </c>
      <c r="D47" s="40"/>
      <c r="E47" s="67">
        <f ca="1">((1+$B46)/IF(Параметры!$B$62,1,1+CHOOSE(Параметры!$B$126,Параметры!E$65,Параметры!E$113,Параметры!E$122)))^(Параметры!E$40/12)-1</f>
        <v>2.4412331059534331E-2</v>
      </c>
      <c r="F47" s="67">
        <f ca="1">((1+$B46)/IF(Параметры!$B$62,1,1+CHOOSE(Параметры!$B$126,Параметры!F$65,Параметры!F$113,Параметры!F$122)))^(Параметры!F$40/12)-1</f>
        <v>2.4412331059534331E-2</v>
      </c>
      <c r="G47" s="67">
        <f ca="1">((1+$B46)/IF(Параметры!$B$62,1,1+CHOOSE(Параметры!$B$126,Параметры!G$65,Параметры!G$113,Параметры!G$122)))^(Параметры!G$40/12)-1</f>
        <v>2.4412331059534331E-2</v>
      </c>
      <c r="H47" s="67">
        <f ca="1">((1+$B46)/IF(Параметры!$B$62,1,1+CHOOSE(Параметры!$B$126,Параметры!H$65,Параметры!H$113,Параметры!H$122)))^(Параметры!H$40/12)-1</f>
        <v>2.4412331059534331E-2</v>
      </c>
      <c r="I47" s="67">
        <f ca="1">((1+$B46)/IF(Параметры!$B$62,1,1+CHOOSE(Параметры!$B$126,Параметры!I$65,Параметры!I$113,Параметры!I$122)))^(Параметры!I$40/12)-1</f>
        <v>2.4412331059534331E-2</v>
      </c>
      <c r="J47" s="67">
        <f ca="1">((1+$B46)/IF(Параметры!$B$62,1,1+CHOOSE(Параметры!$B$126,Параметры!J$65,Параметры!J$113,Параметры!J$122)))^(Параметры!J$40/12)-1</f>
        <v>2.4412331059534331E-2</v>
      </c>
      <c r="K47" s="67">
        <f ca="1">((1+$B46)/IF(Параметры!$B$62,1,1+CHOOSE(Параметры!$B$126,Параметры!K$65,Параметры!K$113,Параметры!K$122)))^(Параметры!K$40/12)-1</f>
        <v>2.4412331059534331E-2</v>
      </c>
      <c r="L47" s="67">
        <f ca="1">((1+$B46)/IF(Параметры!$B$62,1,1+CHOOSE(Параметры!$B$126,Параметры!L$65,Параметры!L$113,Параметры!L$122)))^(Параметры!L$40/12)-1</f>
        <v>2.4412331059534331E-2</v>
      </c>
      <c r="M47" s="67">
        <f ca="1">((1+$B46)/IF(Параметры!$B$62,1,1+CHOOSE(Параметры!$B$126,Параметры!M$65,Параметры!M$113,Параметры!M$122)))^(Параметры!M$40/12)-1</f>
        <v>2.4412331059534331E-2</v>
      </c>
      <c r="N47" s="67">
        <f ca="1">((1+$B46)/IF(Параметры!$B$62,1,1+CHOOSE(Параметры!$B$126,Параметры!N$65,Параметры!N$113,Параметры!N$122)))^(Параметры!N$40/12)-1</f>
        <v>2.4412331059534331E-2</v>
      </c>
      <c r="O47" s="67">
        <f ca="1">((1+$B46)/IF(Параметры!$B$62,1,1+CHOOSE(Параметры!$B$126,Параметры!O$65,Параметры!O$113,Параметры!O$122)))^(Параметры!O$40/12)-1</f>
        <v>2.4412331059534331E-2</v>
      </c>
      <c r="P47" s="67">
        <f ca="1">((1+$B46)/IF(Параметры!$B$62,1,1+CHOOSE(Параметры!$B$126,Параметры!P$65,Параметры!P$113,Параметры!P$122)))^(Параметры!P$40/12)-1</f>
        <v>2.4412331059534331E-2</v>
      </c>
      <c r="Q47" s="67">
        <f ca="1">((1+$B46)/IF(Параметры!$B$62,1,1+CHOOSE(Параметры!$B$126,Параметры!Q$65,Параметры!Q$113,Параметры!Q$122)))^(Параметры!Q$40/12)-1</f>
        <v>2.4412331059534331E-2</v>
      </c>
      <c r="R47" s="67">
        <f ca="1">((1+$B46)/IF(Параметры!$B$62,1,1+CHOOSE(Параметры!$B$126,Параметры!R$65,Параметры!R$113,Параметры!R$122)))^(Параметры!R$40/12)-1</f>
        <v>2.4412331059534331E-2</v>
      </c>
      <c r="S47" s="67">
        <f ca="1">((1+$B46)/IF(Параметры!$B$62,1,1+CHOOSE(Параметры!$B$126,Параметры!S$65,Параметры!S$113,Параметры!S$122)))^(Параметры!S$40/12)-1</f>
        <v>2.4412331059534331E-2</v>
      </c>
      <c r="T47" s="67">
        <f ca="1">((1+$B46)/IF(Параметры!$B$62,1,1+CHOOSE(Параметры!$B$126,Параметры!T$65,Параметры!T$113,Параметры!T$122)))^(Параметры!T$40/12)-1</f>
        <v>2.4412331059534331E-2</v>
      </c>
      <c r="U47" s="67">
        <f ca="1">((1+$B46)/IF(Параметры!$B$62,1,1+CHOOSE(Параметры!$B$126,Параметры!U$65,Параметры!U$113,Параметры!U$122)))^(Параметры!U$40/12)-1</f>
        <v>2.4412331059534331E-2</v>
      </c>
      <c r="V47" s="67">
        <f ca="1">((1+$B46)/IF(Параметры!$B$62,1,1+CHOOSE(Параметры!$B$126,Параметры!V$65,Параметры!V$113,Параметры!V$122)))^(Параметры!V$40/12)-1</f>
        <v>2.4412331059534331E-2</v>
      </c>
      <c r="W47" s="67">
        <f ca="1">((1+$B46)/IF(Параметры!$B$62,1,1+CHOOSE(Параметры!$B$126,Параметры!W$65,Параметры!W$113,Параметры!W$122)))^(Параметры!W$40/12)-1</f>
        <v>2.4412331059534331E-2</v>
      </c>
      <c r="X47" s="67">
        <f ca="1">((1+$B46)/IF(Параметры!$B$62,1,1+CHOOSE(Параметры!$B$126,Параметры!X$65,Параметры!X$113,Параметры!X$122)))^(Параметры!X$40/12)-1</f>
        <v>2.4412331059534331E-2</v>
      </c>
      <c r="Y47" s="67">
        <f ca="1">((1+$B46)/IF(Параметры!$B$62,1,1+CHOOSE(Параметры!$B$126,Параметры!Y$65,Параметры!Y$113,Параметры!Y$122)))^(Параметры!Y$40/12)-1</f>
        <v>2.4412331059534331E-2</v>
      </c>
      <c r="Z47" s="67">
        <f ca="1">((1+$B46)/IF(Параметры!$B$62,1,1+CHOOSE(Параметры!$B$126,Параметры!Z$65,Параметры!Z$113,Параметры!Z$122)))^(Параметры!Z$40/12)-1</f>
        <v>2.4412331059534331E-2</v>
      </c>
      <c r="AA47" s="67">
        <f ca="1">((1+$B46)/IF(Параметры!$B$62,1,1+CHOOSE(Параметры!$B$126,Параметры!AA$65,Параметры!AA$113,Параметры!AA$122)))^(Параметры!AA$40/12)-1</f>
        <v>2.4412331059534331E-2</v>
      </c>
      <c r="AB47" s="67">
        <f ca="1">((1+$B46)/IF(Параметры!$B$62,1,1+CHOOSE(Параметры!$B$126,Параметры!AB$65,Параметры!AB$113,Параметры!AB$122)))^(Параметры!AB$40/12)-1</f>
        <v>2.4412331059534331E-2</v>
      </c>
      <c r="AC47" s="67">
        <f ca="1">((1+$B46)/IF(Параметры!$B$62,1,1+CHOOSE(Параметры!$B$126,Параметры!AC$65,Параметры!AC$113,Параметры!AC$122)))^(Параметры!AC$40/12)-1</f>
        <v>2.4412331059534331E-2</v>
      </c>
      <c r="AD47" s="67">
        <f ca="1">((1+$B46)/IF(Параметры!$B$62,1,1+CHOOSE(Параметры!$B$126,Параметры!AD$65,Параметры!AD$113,Параметры!AD$122)))^(Параметры!AD$40/12)-1</f>
        <v>2.4412331059534331E-2</v>
      </c>
      <c r="AE47" s="67">
        <f ca="1">((1+$B46)/IF(Параметры!$B$62,1,1+CHOOSE(Параметры!$B$126,Параметры!AE$65,Параметры!AE$113,Параметры!AE$122)))^(Параметры!AE$40/12)-1</f>
        <v>2.4412331059534331E-2</v>
      </c>
      <c r="AF47" s="67">
        <f ca="1">((1+$B46)/IF(Параметры!$B$62,1,1+CHOOSE(Параметры!$B$126,Параметры!AF$65,Параметры!AF$113,Параметры!AF$122)))^(Параметры!AF$40/12)-1</f>
        <v>2.4412331059534331E-2</v>
      </c>
      <c r="AG47" s="67">
        <f ca="1">((1+$B46)/IF(Параметры!$B$62,1,1+CHOOSE(Параметры!$B$126,Параметры!AG$65,Параметры!AG$113,Параметры!AG$122)))^(Параметры!AG$40/12)-1</f>
        <v>2.4412331059534331E-2</v>
      </c>
      <c r="AH47" s="67">
        <f ca="1">((1+$B46)/IF(Параметры!$B$62,1,1+CHOOSE(Параметры!$B$126,Параметры!AH$65,Параметры!AH$113,Параметры!AH$122)))^(Параметры!AH$40/12)-1</f>
        <v>2.4412331059534331E-2</v>
      </c>
      <c r="AI47" s="67">
        <f ca="1">((1+$B46)/IF(Параметры!$B$62,1,1+CHOOSE(Параметры!$B$126,Параметры!AI$65,Параметры!AI$113,Параметры!AI$122)))^(Параметры!AI$40/12)-1</f>
        <v>2.4412331059534331E-2</v>
      </c>
      <c r="AJ47" s="67">
        <f ca="1">((1+$B46)/IF(Параметры!$B$62,1,1+CHOOSE(Параметры!$B$126,Параметры!AJ$65,Параметры!AJ$113,Параметры!AJ$122)))^(Параметры!AJ$40/12)-1</f>
        <v>2.4412331059534331E-2</v>
      </c>
      <c r="AK47" s="67">
        <f ca="1">((1+$B46)/IF(Параметры!$B$62,1,1+CHOOSE(Параметры!$B$126,Параметры!AK$65,Параметры!AK$113,Параметры!AK$122)))^(Параметры!AK$40/12)-1</f>
        <v>2.4412331059534331E-2</v>
      </c>
      <c r="AL47" s="67">
        <f ca="1">((1+$B46)/IF(Параметры!$B$62,1,1+CHOOSE(Параметры!$B$126,Параметры!AL$65,Параметры!AL$113,Параметры!AL$122)))^(Параметры!AL$40/12)-1</f>
        <v>2.4412331059534331E-2</v>
      </c>
      <c r="AM47" s="67">
        <f ca="1">((1+$B46)/IF(Параметры!$B$62,1,1+CHOOSE(Параметры!$B$126,Параметры!AM$65,Параметры!AM$113,Параметры!AM$122)))^(Параметры!AM$40/12)-1</f>
        <v>2.4412331059534331E-2</v>
      </c>
      <c r="AN47" s="67">
        <f ca="1">((1+$B46)/IF(Параметры!$B$62,1,1+CHOOSE(Параметры!$B$126,Параметры!AN$65,Параметры!AN$113,Параметры!AN$122)))^(Параметры!AN$40/12)-1</f>
        <v>2.4412331059534331E-2</v>
      </c>
      <c r="AO47" s="67">
        <f ca="1">((1+$B46)/IF(Параметры!$B$62,1,1+CHOOSE(Параметры!$B$126,Параметры!AO$65,Параметры!AO$113,Параметры!AO$122)))^(Параметры!AO$40/12)-1</f>
        <v>2.4412331059534331E-2</v>
      </c>
      <c r="AP47" s="67">
        <f ca="1">((1+$B46)/IF(Параметры!$B$62,1,1+CHOOSE(Параметры!$B$126,Параметры!AP$65,Параметры!AP$113,Параметры!AP$122)))^(Параметры!AP$40/12)-1</f>
        <v>2.4412331059534331E-2</v>
      </c>
      <c r="AQ47" s="67">
        <f ca="1">((1+$B46)/IF(Параметры!$B$62,1,1+CHOOSE(Параметры!$B$126,Параметры!AQ$65,Параметры!AQ$113,Параметры!AQ$122)))^(Параметры!AQ$40/12)-1</f>
        <v>2.4412331059534331E-2</v>
      </c>
      <c r="AR47" s="67">
        <f ca="1">((1+$B46)/IF(Параметры!$B$62,1,1+CHOOSE(Параметры!$B$126,Параметры!AR$65,Параметры!AR$113,Параметры!AR$122)))^(Параметры!AR$40/12)-1</f>
        <v>2.4412331059534331E-2</v>
      </c>
    </row>
    <row r="48" spans="1:46" outlineLevel="1" x14ac:dyDescent="0.2">
      <c r="A48" s="63" t="s">
        <v>419</v>
      </c>
      <c r="C48" s="12" t="s">
        <v>133</v>
      </c>
      <c r="D48" s="40"/>
      <c r="E48" s="68">
        <v>1</v>
      </c>
      <c r="F48" s="68">
        <v>1</v>
      </c>
      <c r="G48" s="68">
        <v>1</v>
      </c>
      <c r="H48" s="68">
        <v>1</v>
      </c>
      <c r="I48" s="68">
        <f t="shared" ref="I48" ca="1" si="10">IF(I$2=1,1,H48*(1+H47))</f>
        <v>1.0244123310595343</v>
      </c>
      <c r="J48" s="68">
        <f t="shared" ref="J48" ca="1" si="11">IF(J$2=1,1,I48*(1+I47))</f>
        <v>1.0494206240268289</v>
      </c>
      <c r="K48" s="68">
        <f t="shared" ref="K48" ca="1" si="12">IF(K$2=1,1,J48*(1+J47))</f>
        <v>1.0750394277212749</v>
      </c>
      <c r="L48" s="68">
        <f t="shared" ref="L48" ca="1" si="13">IF(L$2=1,1,K48*(1+K47))</f>
        <v>1.101283646132859</v>
      </c>
      <c r="M48" s="68">
        <f t="shared" ref="M48" ca="1" si="14">IF(M$2=1,1,L48*(1+L47))</f>
        <v>1.1281685470927054</v>
      </c>
      <c r="N48" s="68">
        <f t="shared" ref="N48" ca="1" si="15">IF(N$2=1,1,M48*(1+M47))</f>
        <v>1.1557097711552864</v>
      </c>
      <c r="O48" s="68">
        <f t="shared" ref="O48" ca="1" si="16">IF(O$2=1,1,N48*(1+N47))</f>
        <v>1.1839233406974679</v>
      </c>
      <c r="P48" s="68">
        <f t="shared" ref="P48" ca="1" si="17">IF(P$2=1,1,O48*(1+O47))</f>
        <v>1.2128256692396844</v>
      </c>
      <c r="Q48" s="68">
        <f t="shared" ref="Q48" ca="1" si="18">IF(Q$2=1,1,P48*(1+P47))</f>
        <v>1.2424335709946648</v>
      </c>
      <c r="R48" s="68">
        <f t="shared" ref="R48" ca="1" si="19">IF(R$2=1,1,Q48*(1+Q47))</f>
        <v>1.2727642706492659</v>
      </c>
      <c r="S48" s="68">
        <f t="shared" ref="S48" ca="1" si="20">IF(S$2=1,1,R48*(1+R47))</f>
        <v>1.3038354133851024</v>
      </c>
      <c r="T48" s="68">
        <f t="shared" ref="T48" ca="1" si="21">IF(T$2=1,1,S48*(1+S47))</f>
        <v>1.3356650751438044</v>
      </c>
      <c r="U48" s="68">
        <f t="shared" ref="U48" ca="1" si="22">IF(U$2=1,1,T48*(1+T47))</f>
        <v>1.3682717731428728</v>
      </c>
      <c r="V48" s="68">
        <f t="shared" ref="V48" ca="1" si="23">IF(V$2=1,1,U48*(1+U47))</f>
        <v>1.4016744766482527</v>
      </c>
      <c r="W48" s="68">
        <f t="shared" ref="W48" ca="1" si="24">IF(W$2=1,1,V48*(1+V47))</f>
        <v>1.4358926180098894</v>
      </c>
      <c r="X48" s="68">
        <f t="shared" ref="X48" ca="1" si="25">IF(X$2=1,1,W48*(1+W47))</f>
        <v>1.4709461039666882</v>
      </c>
      <c r="Y48" s="68">
        <f t="shared" ref="Y48" ca="1" si="26">IF(Y$2=1,1,X48*(1+X47))</f>
        <v>1.5068553272274552</v>
      </c>
      <c r="Z48" s="68">
        <f t="shared" ref="Z48" ca="1" si="27">IF(Z$2=1,1,Y48*(1+Y47))</f>
        <v>1.5436411783345547</v>
      </c>
      <c r="AA48" s="68">
        <f t="shared" ref="AA48" ca="1" si="28">IF(AA$2=1,1,Z48*(1+Z47))</f>
        <v>1.5813250578171876</v>
      </c>
      <c r="AB48" s="68">
        <f t="shared" ref="AB48" ca="1" si="29">IF(AB$2=1,1,AA48*(1+AA47))</f>
        <v>1.6199288886413581</v>
      </c>
      <c r="AC48" s="68">
        <f t="shared" ref="AC48" ca="1" si="30">IF(AC$2=1,1,AB48*(1+AB47))</f>
        <v>1.6594751289637744</v>
      </c>
      <c r="AD48" s="68">
        <f t="shared" ref="AD48" ca="1" si="31">IF(AD$2=1,1,AC48*(1+AC47))</f>
        <v>1.6999867851971016</v>
      </c>
      <c r="AE48" s="68">
        <f t="shared" ref="AE48" ca="1" si="32">IF(AE$2=1,1,AD48*(1+AD47))</f>
        <v>1.7414874253941668</v>
      </c>
      <c r="AF48" s="68">
        <f t="shared" ref="AF48" ca="1" si="33">IF(AF$2=1,1,AE48*(1+AE47))</f>
        <v>1.7840011929589052</v>
      </c>
      <c r="AG48" s="68">
        <f t="shared" ref="AG48" ca="1" si="34">IF(AG$2=1,1,AF48*(1+AF47))</f>
        <v>1.8275528206920222</v>
      </c>
      <c r="AH48" s="68">
        <f t="shared" ref="AH48" ca="1" si="35">IF(AH$2=1,1,AG48*(1+AG47))</f>
        <v>1.8721676451795417</v>
      </c>
      <c r="AI48" s="68">
        <f t="shared" ref="AI48" ca="1" si="36">IF(AI$2=1,1,AH48*(1+AH47))</f>
        <v>1.9178716215326135</v>
      </c>
      <c r="AJ48" s="68">
        <f t="shared" ref="AJ48" ca="1" si="37">IF(AJ$2=1,1,AI48*(1+AI47))</f>
        <v>1.9646913384871536</v>
      </c>
      <c r="AK48" s="68">
        <f t="shared" ref="AK48" ca="1" si="38">IF(AK$2=1,1,AJ48*(1+AJ47))</f>
        <v>2.0126540338721015</v>
      </c>
      <c r="AL48" s="68">
        <f t="shared" ref="AL48" ca="1" si="39">IF(AL$2=1,1,AK48*(1+AK47))</f>
        <v>2.0617876104552946</v>
      </c>
      <c r="AM48" s="68">
        <f t="shared" ref="AM48" ca="1" si="40">IF(AM$2=1,1,AL48*(1+AL47))</f>
        <v>2.1121206521761753</v>
      </c>
      <c r="AN48" s="68">
        <f t="shared" ref="AN48" ca="1" si="41">IF(AN$2=1,1,AM48*(1+AM47))</f>
        <v>2.1636824407747794</v>
      </c>
      <c r="AO48" s="68">
        <f t="shared" ref="AO48" ca="1" si="42">IF(AO$2=1,1,AN48*(1+AN47))</f>
        <v>2.2165029728266745</v>
      </c>
      <c r="AP48" s="68">
        <f t="shared" ref="AP48" ca="1" si="43">IF(AP$2=1,1,AO48*(1+AO47))</f>
        <v>2.2706129771937613</v>
      </c>
      <c r="AQ48" s="68">
        <f t="shared" ref="AQ48" ca="1" si="44">IF(AQ$2=1,1,AP48*(1+AP47))</f>
        <v>2.3260439329010905</v>
      </c>
      <c r="AR48" s="68">
        <f t="shared" ref="AR48" ca="1" si="45">IF(AR$2=1,1,AQ48*(1+AQ47))</f>
        <v>2.3828280874500933</v>
      </c>
    </row>
    <row r="49" spans="1:46" s="60" customFormat="1" ht="19.5" x14ac:dyDescent="0.2">
      <c r="A49" s="52" t="s">
        <v>728</v>
      </c>
      <c r="B49" s="438" t="s">
        <v>1097</v>
      </c>
      <c r="C49" s="34" t="str">
        <f>Параметры!$C$126</f>
        <v>тыс. руб.</v>
      </c>
      <c r="D49" s="169"/>
      <c r="E49" s="85">
        <f t="shared" ref="E49:AR49" ca="1" si="46">E50+E54</f>
        <v>0</v>
      </c>
      <c r="F49" s="85">
        <f t="shared" ca="1" si="46"/>
        <v>0</v>
      </c>
      <c r="G49" s="85">
        <f t="shared" ca="1" si="46"/>
        <v>0</v>
      </c>
      <c r="H49" s="85">
        <f t="shared" ca="1" si="46"/>
        <v>0</v>
      </c>
      <c r="I49" s="85">
        <f t="shared" ca="1" si="46"/>
        <v>1000.0318861108526</v>
      </c>
      <c r="J49" s="85">
        <f t="shared" ca="1" si="46"/>
        <v>0</v>
      </c>
      <c r="K49" s="85">
        <f t="shared" ca="1" si="46"/>
        <v>9.4098647309153876</v>
      </c>
      <c r="L49" s="85">
        <f t="shared" ca="1" si="46"/>
        <v>9.4984074618866998</v>
      </c>
      <c r="M49" s="85">
        <f t="shared" ca="1" si="46"/>
        <v>9.5877833414124325</v>
      </c>
      <c r="N49" s="85">
        <f t="shared" ca="1" si="46"/>
        <v>17512.991877445482</v>
      </c>
      <c r="O49" s="85">
        <f t="shared" ca="1" si="46"/>
        <v>-8195.2119257368795</v>
      </c>
      <c r="P49" s="85">
        <f t="shared" ca="1" si="46"/>
        <v>17.779029297757006</v>
      </c>
      <c r="Q49" s="85">
        <f t="shared" ca="1" si="46"/>
        <v>17.977250658883349</v>
      </c>
      <c r="R49" s="85">
        <f t="shared" ca="1" si="46"/>
        <v>9147.9110273414426</v>
      </c>
      <c r="S49" s="85">
        <f t="shared" ca="1" si="46"/>
        <v>21040.210836495782</v>
      </c>
      <c r="T49" s="85">
        <f t="shared" ca="1" si="46"/>
        <v>5794.7464898773542</v>
      </c>
      <c r="U49" s="85">
        <f t="shared" ca="1" si="46"/>
        <v>327.8238130066602</v>
      </c>
      <c r="V49" s="85">
        <f t="shared" ca="1" si="46"/>
        <v>146194.89497433722</v>
      </c>
      <c r="W49" s="85">
        <f t="shared" ca="1" si="46"/>
        <v>-66350.412563746839</v>
      </c>
      <c r="X49" s="85">
        <f t="shared" ca="1" si="46"/>
        <v>580.60607027851802</v>
      </c>
      <c r="Y49" s="85">
        <f t="shared" ca="1" si="46"/>
        <v>17149.259732306498</v>
      </c>
      <c r="Z49" s="85">
        <f t="shared" ca="1" si="46"/>
        <v>-1827.8468579692126</v>
      </c>
      <c r="AA49" s="85">
        <f t="shared" ca="1" si="46"/>
        <v>14900.032143041899</v>
      </c>
      <c r="AB49" s="85">
        <f t="shared" ca="1" si="46"/>
        <v>58616.270535928335</v>
      </c>
      <c r="AC49" s="85">
        <f t="shared" ca="1" si="46"/>
        <v>66696.851876083965</v>
      </c>
      <c r="AD49" s="85">
        <f t="shared" ca="1" si="46"/>
        <v>67373.978658580527</v>
      </c>
      <c r="AE49" s="85">
        <f t="shared" ca="1" si="46"/>
        <v>68054.644233667685</v>
      </c>
      <c r="AF49" s="85">
        <f t="shared" ca="1" si="46"/>
        <v>104725.79485111606</v>
      </c>
      <c r="AG49" s="85">
        <f t="shared" ca="1" si="46"/>
        <v>209509.76359310866</v>
      </c>
      <c r="AH49" s="85">
        <f t="shared" ca="1" si="46"/>
        <v>211649.23232133407</v>
      </c>
      <c r="AI49" s="85">
        <f t="shared" ca="1" si="46"/>
        <v>213817.01898724452</v>
      </c>
      <c r="AJ49" s="85">
        <f t="shared" ca="1" si="46"/>
        <v>216017.72361306654</v>
      </c>
      <c r="AK49" s="85">
        <f t="shared" ca="1" si="46"/>
        <v>207713.4204561362</v>
      </c>
      <c r="AL49" s="85">
        <f t="shared" ca="1" si="46"/>
        <v>148160.29684353896</v>
      </c>
      <c r="AM49" s="85">
        <f t="shared" ca="1" si="46"/>
        <v>192220.66503643719</v>
      </c>
      <c r="AN49" s="85">
        <f t="shared" ca="1" si="46"/>
        <v>218400.78598282175</v>
      </c>
      <c r="AO49" s="85">
        <f t="shared" ca="1" si="46"/>
        <v>220795.41081687395</v>
      </c>
      <c r="AP49" s="85">
        <f t="shared" ca="1" si="46"/>
        <v>120523.42798072219</v>
      </c>
      <c r="AQ49" s="85">
        <f t="shared" ca="1" si="46"/>
        <v>118965.7543799453</v>
      </c>
      <c r="AR49" s="85">
        <f t="shared" ca="1" si="46"/>
        <v>154162.05264999974</v>
      </c>
      <c r="AT49" s="143">
        <f ca="1">SUM(E49:AS49)</f>
        <v>2754742.3826548858</v>
      </c>
    </row>
    <row r="50" spans="1:46" outlineLevel="1" x14ac:dyDescent="0.2">
      <c r="A50" s="63" t="s">
        <v>734</v>
      </c>
      <c r="B50" s="102">
        <f ca="1">IFERROR(AVERAGEIF(Параметры!$E$46:OFFSET(Параметры!$E$46,0,Параметры!$B$24-1),"&gt;=" &amp; Деятельность_УК!$B$9,E50:OFFSET(E50,0,Параметры!$B$24-1))*Параметры!$B$13/Параметры!$B$12,0)</f>
        <v>510412.66857261176</v>
      </c>
      <c r="C50" s="12" t="str">
        <f>Параметры!$C$126</f>
        <v>тыс. руб.</v>
      </c>
      <c r="D50" s="40"/>
      <c r="E50" s="82">
        <f ca="1">Результаты_УК!E222*$B$4+Резиденты!E232</f>
        <v>0</v>
      </c>
      <c r="F50" s="82">
        <f ca="1">Результаты_УК!F222*$B$4+Резиденты!F232</f>
        <v>0</v>
      </c>
      <c r="G50" s="82">
        <f ca="1">Результаты_УК!G222*$B$4+Резиденты!G232</f>
        <v>0</v>
      </c>
      <c r="H50" s="82">
        <f ca="1">Результаты_УК!H222*$B$4+Резиденты!H232</f>
        <v>0</v>
      </c>
      <c r="I50" s="82">
        <f ca="1">Результаты_УК!I222*$B$4+Резиденты!I232</f>
        <v>1000.0318861108526</v>
      </c>
      <c r="J50" s="82">
        <f ca="1">Результаты_УК!J222*$B$4+Резиденты!J232</f>
        <v>1000.0318861108526</v>
      </c>
      <c r="K50" s="82">
        <f ca="1">Результаты_УК!K222*$B$4+Резиденты!K232</f>
        <v>1009.441750841768</v>
      </c>
      <c r="L50" s="82">
        <f ca="1">Результаты_УК!L222*$B$4+Резиденты!L232</f>
        <v>1018.9401583036547</v>
      </c>
      <c r="M50" s="82">
        <f ca="1">Результаты_УК!M222*$B$4+Резиденты!M232</f>
        <v>1028.5279416450671</v>
      </c>
      <c r="N50" s="82">
        <f ca="1">Результаты_УК!N222*$B$4+Резиденты!N232</f>
        <v>18541.51981909055</v>
      </c>
      <c r="O50" s="82">
        <f ca="1">Результаты_УК!O222*$B$4+Резиденты!O232</f>
        <v>1594.6509547354606</v>
      </c>
      <c r="P50" s="82">
        <f ca="1">Результаты_УК!P222*$B$4+Резиденты!P232</f>
        <v>1612.4299840332176</v>
      </c>
      <c r="Q50" s="82">
        <f ca="1">Результаты_УК!Q222*$B$4+Резиденты!Q232</f>
        <v>1630.4072346921009</v>
      </c>
      <c r="R50" s="82">
        <f ca="1">Результаты_УК!R222*$B$4+Резиденты!R232</f>
        <v>10778.318262033543</v>
      </c>
      <c r="S50" s="82">
        <f ca="1">Результаты_УК!S222*$B$4+Резиденты!S232</f>
        <v>27253.662425870105</v>
      </c>
      <c r="T50" s="82">
        <f ca="1">Результаты_УК!T222*$B$4+Резиденты!T232</f>
        <v>33048.408915747459</v>
      </c>
      <c r="U50" s="82">
        <f ca="1">Результаты_УК!U222*$B$4+Резиденты!U232</f>
        <v>33376.232728754119</v>
      </c>
      <c r="V50" s="82">
        <f ca="1">Результаты_УК!V222*$B$4+Резиденты!V232</f>
        <v>179571.12770309133</v>
      </c>
      <c r="W50" s="82">
        <f ca="1">Результаты_УК!W222*$B$4+Резиденты!W232</f>
        <v>40289.666342360943</v>
      </c>
      <c r="X50" s="82">
        <f ca="1">Результаты_УК!X222*$B$4+Резиденты!X232</f>
        <v>40870.272412639461</v>
      </c>
      <c r="Y50" s="82">
        <f ca="1">Результаты_УК!Y222*$B$4+Резиденты!Y232</f>
        <v>58019.532144945959</v>
      </c>
      <c r="Z50" s="82">
        <f ca="1">Результаты_УК!Z222*$B$4+Резиденты!Z232</f>
        <v>56191.685286976746</v>
      </c>
      <c r="AA50" s="82">
        <f ca="1">Результаты_УК!AA222*$B$4+Резиденты!AA232</f>
        <v>56754.402000296453</v>
      </c>
      <c r="AB50" s="82">
        <f ca="1">Результаты_УК!AB222*$B$4+Резиденты!AB232</f>
        <v>58616.270535928335</v>
      </c>
      <c r="AC50" s="82">
        <f ca="1">Результаты_УК!AC222*$B$4+Резиденты!AC232</f>
        <v>66696.851876083965</v>
      </c>
      <c r="AD50" s="82">
        <f ca="1">Результаты_УК!AD222*$B$4+Резиденты!AD232</f>
        <v>67373.978658580527</v>
      </c>
      <c r="AE50" s="82">
        <f ca="1">Результаты_УК!AE222*$B$4+Резиденты!AE232</f>
        <v>68054.644233667685</v>
      </c>
      <c r="AF50" s="82">
        <f ca="1">Результаты_УК!AF222*$B$4+Резиденты!AF232</f>
        <v>104725.79485111606</v>
      </c>
      <c r="AG50" s="82">
        <f ca="1">Результаты_УК!AG222*$B$4+Резиденты!AG232</f>
        <v>209509.76359310866</v>
      </c>
      <c r="AH50" s="82">
        <f ca="1">Результаты_УК!AH222*$B$4+Резиденты!AH232</f>
        <v>211649.23232133407</v>
      </c>
      <c r="AI50" s="82">
        <f ca="1">Результаты_УК!AI222*$B$4+Резиденты!AI232</f>
        <v>213817.01898724452</v>
      </c>
      <c r="AJ50" s="82">
        <f ca="1">Результаты_УК!AJ222*$B$4+Резиденты!AJ232</f>
        <v>216017.72361306654</v>
      </c>
      <c r="AK50" s="82">
        <f ca="1">Результаты_УК!AK222*$B$4+Резиденты!AK232</f>
        <v>207713.4204561362</v>
      </c>
      <c r="AL50" s="82">
        <f ca="1">Результаты_УК!AL222*$B$4+Резиденты!AL232</f>
        <v>148160.29684353896</v>
      </c>
      <c r="AM50" s="82">
        <f ca="1">Результаты_УК!AM222*$B$4+Резиденты!AM232</f>
        <v>192220.66503643719</v>
      </c>
      <c r="AN50" s="82">
        <f ca="1">Результаты_УК!AN222*$B$4+Резиденты!AN232</f>
        <v>218400.78598282175</v>
      </c>
      <c r="AO50" s="82">
        <f ca="1">Результаты_УК!AO222*$B$4+Резиденты!AO232</f>
        <v>220795.41081687395</v>
      </c>
      <c r="AP50" s="82">
        <f ca="1">Результаты_УК!AP222*$B$4+Резиденты!AP232</f>
        <v>120523.42798072219</v>
      </c>
      <c r="AQ50" s="82">
        <f ca="1">Результаты_УК!AQ222*$B$4+Резиденты!AQ232</f>
        <v>118965.7543799453</v>
      </c>
      <c r="AR50" s="82">
        <f ca="1">Результаты_УК!AR222*$B$4+Резиденты!AR232</f>
        <v>154162.05264999974</v>
      </c>
      <c r="AT50" s="30">
        <f ca="1">SUM(E50:AS50)</f>
        <v>3161992.3826548848</v>
      </c>
    </row>
    <row r="51" spans="1:46" outlineLevel="1" x14ac:dyDescent="0.2">
      <c r="A51" s="598" t="s">
        <v>202</v>
      </c>
      <c r="B51" s="102">
        <f ca="1">IFERROR(AVERAGEIF(Параметры!$E$46:OFFSET(Параметры!$E$46,0,Параметры!$B$24-1),"&gt;=" &amp; Деятельность_УК!$B$9,E51:OFFSET(E51,0,Параметры!$B$24-1))*Параметры!$B$13/Параметры!$B$12,0)</f>
        <v>24310.349598994519</v>
      </c>
      <c r="C51" s="406" t="str">
        <f>Параметры!$C$126</f>
        <v>тыс. руб.</v>
      </c>
      <c r="D51" s="397"/>
      <c r="E51" s="121">
        <f ca="1">0*$B$4+Резиденты!E233</f>
        <v>0</v>
      </c>
      <c r="F51" s="121">
        <f ca="1">0*$B$4+Резиденты!F233</f>
        <v>0</v>
      </c>
      <c r="G51" s="121">
        <f ca="1">0*$B$4+Резиденты!G233</f>
        <v>0</v>
      </c>
      <c r="H51" s="121">
        <f ca="1">0*$B$4+Резиденты!H233</f>
        <v>0</v>
      </c>
      <c r="I51" s="121">
        <f ca="1">0*$B$4+Резиденты!I233</f>
        <v>0</v>
      </c>
      <c r="J51" s="121">
        <f ca="1">0*$B$4+Резиденты!J233</f>
        <v>0</v>
      </c>
      <c r="K51" s="121">
        <f ca="1">0*$B$4+Резиденты!K233</f>
        <v>0</v>
      </c>
      <c r="L51" s="121">
        <f ca="1">0*$B$4+Резиденты!L233</f>
        <v>0</v>
      </c>
      <c r="M51" s="121">
        <f ca="1">0*$B$4+Резиденты!M233</f>
        <v>0</v>
      </c>
      <c r="N51" s="121">
        <f ca="1">0*$B$4+Резиденты!N233</f>
        <v>17503.313877236422</v>
      </c>
      <c r="O51" s="121">
        <f ca="1">0*$B$4+Резиденты!O233</f>
        <v>0</v>
      </c>
      <c r="P51" s="121">
        <f ca="1">0*$B$4+Резиденты!P233</f>
        <v>0</v>
      </c>
      <c r="Q51" s="121">
        <f ca="1">0*$B$4+Резиденты!Q233</f>
        <v>0</v>
      </c>
      <c r="R51" s="121">
        <f ca="1">0*$B$4+Резиденты!R233</f>
        <v>9129.7333453184365</v>
      </c>
      <c r="S51" s="121">
        <f ca="1">0*$B$4+Резиденты!S233</f>
        <v>0</v>
      </c>
      <c r="T51" s="121">
        <f ca="1">0*$B$4+Резиденты!T233</f>
        <v>0</v>
      </c>
      <c r="U51" s="121">
        <f ca="1">0*$B$4+Резиденты!U233</f>
        <v>0</v>
      </c>
      <c r="V51" s="121">
        <f ca="1">0*$B$4+Резиденты!V233</f>
        <v>145862.0975939671</v>
      </c>
      <c r="W51" s="121">
        <f ca="1">0*$B$4+Резиденты!W233</f>
        <v>0</v>
      </c>
      <c r="X51" s="121">
        <f ca="1">0*$B$4+Резиденты!X233</f>
        <v>0</v>
      </c>
      <c r="Y51" s="121">
        <f ca="1">0*$B$4+Резиденты!Y233</f>
        <v>0</v>
      </c>
      <c r="Z51" s="121">
        <f ca="1">0*$B$4+Резиденты!Z233</f>
        <v>0</v>
      </c>
      <c r="AA51" s="121">
        <f ca="1">0*$B$4+Резиденты!AA233</f>
        <v>0</v>
      </c>
      <c r="AB51" s="121">
        <f ca="1">0*$B$4+Резиденты!AB233</f>
        <v>0</v>
      </c>
      <c r="AC51" s="121">
        <f ca="1">0*$B$4+Резиденты!AC233</f>
        <v>0</v>
      </c>
      <c r="AD51" s="121">
        <f ca="1">0*$B$4+Резиденты!AD233</f>
        <v>0</v>
      </c>
      <c r="AE51" s="121">
        <f ca="1">0*$B$4+Резиденты!AE233</f>
        <v>0</v>
      </c>
      <c r="AF51" s="121">
        <f ca="1">0*$B$4+Резиденты!AF233</f>
        <v>0</v>
      </c>
      <c r="AG51" s="121">
        <f ca="1">0*$B$4+Резиденты!AG233</f>
        <v>0</v>
      </c>
      <c r="AH51" s="121">
        <f ca="1">0*$B$4+Резиденты!AH233</f>
        <v>0</v>
      </c>
      <c r="AI51" s="121">
        <f ca="1">0*$B$4+Резиденты!AI233</f>
        <v>0</v>
      </c>
      <c r="AJ51" s="121">
        <f ca="1">0*$B$4+Резиденты!AJ233</f>
        <v>0</v>
      </c>
      <c r="AK51" s="121">
        <f ca="1">0*$B$4+Резиденты!AK233</f>
        <v>0</v>
      </c>
      <c r="AL51" s="121">
        <f ca="1">0*$B$4+Резиденты!AL233</f>
        <v>0</v>
      </c>
      <c r="AM51" s="121">
        <f ca="1">0*$B$4+Резиденты!AM233</f>
        <v>0</v>
      </c>
      <c r="AN51" s="121">
        <f ca="1">0*$B$4+Резиденты!AN233</f>
        <v>0</v>
      </c>
      <c r="AO51" s="121">
        <f ca="1">0*$B$4+Резиденты!AO233</f>
        <v>0</v>
      </c>
      <c r="AP51" s="121">
        <f ca="1">0*$B$4+Резиденты!AP233</f>
        <v>0</v>
      </c>
      <c r="AQ51" s="121">
        <f ca="1">0*$B$4+Резиденты!AQ233</f>
        <v>0</v>
      </c>
      <c r="AR51" s="121">
        <f ca="1">0*$B$4+Резиденты!AR233</f>
        <v>0</v>
      </c>
      <c r="AT51" s="30">
        <f t="shared" ref="AT51:AT53" ca="1" si="47">SUM(E51:AS51)</f>
        <v>172495.14481652196</v>
      </c>
    </row>
    <row r="52" spans="1:46" outlineLevel="1" x14ac:dyDescent="0.2">
      <c r="A52" s="598" t="s">
        <v>36</v>
      </c>
      <c r="B52" s="102">
        <f ca="1">IFERROR(AVERAGEIF(Параметры!$E$46:OFFSET(Параметры!$E$46,0,Параметры!$B$24-1),"&gt;=" &amp; Деятельность_УК!$B$9,E52:OFFSET(E52,0,Параметры!$B$24-1))*Параметры!$B$13/Параметры!$B$12,0)</f>
        <v>463987.08224045491</v>
      </c>
      <c r="C52" s="406" t="str">
        <f>Параметры!$C$126</f>
        <v>тыс. руб.</v>
      </c>
      <c r="D52" s="397"/>
      <c r="E52" s="121">
        <f ca="1">Результаты_УК!E223*$B$4+Резиденты!E234</f>
        <v>0</v>
      </c>
      <c r="F52" s="121">
        <f ca="1">Результаты_УК!F223*$B$4+Резиденты!F234</f>
        <v>0</v>
      </c>
      <c r="G52" s="121">
        <f ca="1">Результаты_УК!G223*$B$4+Резиденты!G234</f>
        <v>0</v>
      </c>
      <c r="H52" s="121">
        <f ca="1">Результаты_УК!H223*$B$4+Резиденты!H234</f>
        <v>0</v>
      </c>
      <c r="I52" s="121">
        <f ca="1">Результаты_УК!I223*$B$4+Резиденты!I234</f>
        <v>0</v>
      </c>
      <c r="J52" s="121">
        <f ca="1">Результаты_УК!J223*$B$4+Резиденты!J234</f>
        <v>0</v>
      </c>
      <c r="K52" s="121">
        <f ca="1">Результаты_УК!K223*$B$4+Резиденты!K234</f>
        <v>0</v>
      </c>
      <c r="L52" s="121">
        <f ca="1">Результаты_УК!L223*$B$4+Резиденты!L234</f>
        <v>0</v>
      </c>
      <c r="M52" s="121">
        <f ca="1">Результаты_УК!M223*$B$4+Резиденты!M234</f>
        <v>0</v>
      </c>
      <c r="N52" s="121">
        <f ca="1">Результаты_УК!N223*$B$4+Резиденты!N234</f>
        <v>0</v>
      </c>
      <c r="O52" s="121">
        <f ca="1">Результаты_УК!O223*$B$4+Резиденты!O234</f>
        <v>0</v>
      </c>
      <c r="P52" s="121">
        <f ca="1">Результаты_УК!P223*$B$4+Резиденты!P234</f>
        <v>0</v>
      </c>
      <c r="Q52" s="121">
        <f ca="1">Результаты_УК!Q223*$B$4+Резиденты!Q234</f>
        <v>0</v>
      </c>
      <c r="R52" s="121">
        <f ca="1">Результаты_УК!R223*$B$4+Резиденты!R234</f>
        <v>0</v>
      </c>
      <c r="S52" s="121">
        <f ca="1">Результаты_УК!S223*$B$4+Резиденты!S234</f>
        <v>25289.201660613824</v>
      </c>
      <c r="T52" s="121">
        <f ca="1">Результаты_УК!T223*$B$4+Резиденты!T234</f>
        <v>31061.638361770321</v>
      </c>
      <c r="U52" s="121">
        <f ca="1">Результаты_УК!U223*$B$4+Резиденты!U234</f>
        <v>31366.899020510948</v>
      </c>
      <c r="V52" s="121">
        <f ca="1">Результаты_УК!V223*$B$4+Резиденты!V234</f>
        <v>31676.877003673737</v>
      </c>
      <c r="W52" s="121">
        <f ca="1">Результаты_УК!W223*$B$4+Резиденты!W234</f>
        <v>33265.613217200429</v>
      </c>
      <c r="X52" s="121">
        <f ca="1">Результаты_УК!X223*$B$4+Резиденты!X234</f>
        <v>33764.470939167455</v>
      </c>
      <c r="Y52" s="121">
        <f ca="1">Результаты_УК!Y223*$B$4+Резиденты!Y234</f>
        <v>50831.03090774281</v>
      </c>
      <c r="Z52" s="121">
        <f ca="1">Результаты_УК!Z223*$B$4+Резиденты!Z234</f>
        <v>51343.576294140672</v>
      </c>
      <c r="AA52" s="121">
        <f ca="1">Результаты_УК!AA223*$B$4+Резиденты!AA234</f>
        <v>51852.848735534193</v>
      </c>
      <c r="AB52" s="121">
        <f ca="1">Результаты_УК!AB223*$B$4+Резиденты!AB234</f>
        <v>53660.683843714316</v>
      </c>
      <c r="AC52" s="121">
        <f ca="1">Результаты_УК!AC223*$B$4+Резиденты!AC234</f>
        <v>61686.636106197839</v>
      </c>
      <c r="AD52" s="121">
        <f ca="1">Результаты_УК!AD223*$B$4+Резиденты!AD234</f>
        <v>62308.531594511398</v>
      </c>
      <c r="AE52" s="121">
        <f ca="1">Результаты_УК!AE223*$B$4+Резиденты!AE234</f>
        <v>62933.894224812626</v>
      </c>
      <c r="AF52" s="121">
        <f ca="1">Результаты_УК!AF223*$B$4+Резиденты!AF234</f>
        <v>99549.138117460534</v>
      </c>
      <c r="AG52" s="121">
        <f ca="1">Результаты_УК!AG223*$B$4+Резиденты!AG234</f>
        <v>204276.58976275939</v>
      </c>
      <c r="AH52" s="121">
        <f ca="1">Результаты_УК!AH223*$B$4+Резиденты!AH234</f>
        <v>206358.92435855098</v>
      </c>
      <c r="AI52" s="121">
        <f ca="1">Результаты_УК!AI223*$B$4+Резиденты!AI234</f>
        <v>208468.69395858946</v>
      </c>
      <c r="AJ52" s="121">
        <f ca="1">Результаты_УК!AJ223*$B$4+Резиденты!AJ234</f>
        <v>210610.74526447715</v>
      </c>
      <c r="AK52" s="121">
        <f ca="1">Результаты_УК!AK223*$B$4+Резиденты!AK234</f>
        <v>202247.1455559613</v>
      </c>
      <c r="AL52" s="121">
        <f ca="1">Результаты_УК!AL223*$B$4+Резиденты!AL234</f>
        <v>142634.07510601758</v>
      </c>
      <c r="AM52" s="121">
        <f ca="1">Результаты_УК!AM223*$B$4+Резиденты!AM234</f>
        <v>186632.0718701602</v>
      </c>
      <c r="AN52" s="121">
        <f ca="1">Результаты_УК!AN223*$B$4+Резиденты!AN234</f>
        <v>212492.63888454507</v>
      </c>
      <c r="AO52" s="121">
        <f ca="1">Результаты_УК!AO223*$B$4+Резиденты!AO234</f>
        <v>214820.58170811698</v>
      </c>
      <c r="AP52" s="121">
        <f ca="1">Результаты_УК!AP223*$B$4+Резиденты!AP234</f>
        <v>114481.16425826642</v>
      </c>
      <c r="AQ52" s="121">
        <f ca="1">Результаты_УК!AQ223*$B$4+Резиденты!AQ234</f>
        <v>112855.22720261605</v>
      </c>
      <c r="AR52" s="121">
        <f ca="1">Результаты_УК!AR223*$B$4+Резиденты!AR234</f>
        <v>143804.43550800227</v>
      </c>
      <c r="AT52" s="30">
        <f t="shared" ca="1" si="47"/>
        <v>2840273.3334651138</v>
      </c>
    </row>
    <row r="53" spans="1:46" outlineLevel="1" x14ac:dyDescent="0.2">
      <c r="A53" s="598" t="s">
        <v>37</v>
      </c>
      <c r="B53" s="102">
        <f ca="1">IFERROR(AVERAGEIF(Параметры!$E$46:OFFSET(Параметры!$E$46,0,Параметры!$B$24-1),"&gt;=" &amp; Деятельность_УК!$B$9,E53:OFFSET(E53,0,Параметры!$B$24-1))*Параметры!$B$13/Параметры!$B$12,0)</f>
        <v>22115.236733162281</v>
      </c>
      <c r="C53" s="406" t="str">
        <f>Параметры!$C$126</f>
        <v>тыс. руб.</v>
      </c>
      <c r="D53" s="397"/>
      <c r="E53" s="121">
        <f ca="1">Результаты_УК!E224*$B$4+Резиденты!E235</f>
        <v>0</v>
      </c>
      <c r="F53" s="121">
        <f ca="1">Результаты_УК!F224*$B$4+Резиденты!F235</f>
        <v>0</v>
      </c>
      <c r="G53" s="121">
        <f ca="1">Результаты_УК!G224*$B$4+Резиденты!G235</f>
        <v>0</v>
      </c>
      <c r="H53" s="121">
        <f ca="1">Результаты_УК!H224*$B$4+Резиденты!H235</f>
        <v>0</v>
      </c>
      <c r="I53" s="121">
        <f ca="1">Результаты_УК!I224*$B$4+Резиденты!I235</f>
        <v>1000.0318861108526</v>
      </c>
      <c r="J53" s="121">
        <f ca="1">Результаты_УК!J224*$B$4+Резиденты!J235</f>
        <v>1000.0318861108526</v>
      </c>
      <c r="K53" s="121">
        <f ca="1">Результаты_УК!K224*$B$4+Резиденты!K235</f>
        <v>1009.441750841768</v>
      </c>
      <c r="L53" s="121">
        <f ca="1">Результаты_УК!L224*$B$4+Резиденты!L235</f>
        <v>1018.9401583036547</v>
      </c>
      <c r="M53" s="121">
        <f ca="1">Результаты_УК!M224*$B$4+Резиденты!M235</f>
        <v>1028.5279416450671</v>
      </c>
      <c r="N53" s="121">
        <f ca="1">Результаты_УК!N224*$B$4+Резиденты!N235</f>
        <v>1038.2059418541269</v>
      </c>
      <c r="O53" s="121">
        <f ca="1">Результаты_УК!O224*$B$4+Резиденты!O235</f>
        <v>1594.6509547354606</v>
      </c>
      <c r="P53" s="121">
        <f ca="1">Результаты_УК!P224*$B$4+Резиденты!P235</f>
        <v>1612.4299840332176</v>
      </c>
      <c r="Q53" s="121">
        <f ca="1">Результаты_УК!Q224*$B$4+Резиденты!Q235</f>
        <v>1630.4072346921009</v>
      </c>
      <c r="R53" s="121">
        <f ca="1">Результаты_УК!R224*$B$4+Резиденты!R235</f>
        <v>1648.5849167151071</v>
      </c>
      <c r="S53" s="121">
        <f ca="1">Результаты_УК!S224*$B$4+Резиденты!S235</f>
        <v>1964.4607652562813</v>
      </c>
      <c r="T53" s="121">
        <f ca="1">Результаты_УК!T224*$B$4+Резиденты!T235</f>
        <v>1986.7705539771346</v>
      </c>
      <c r="U53" s="121">
        <f ca="1">Результаты_УК!U224*$B$4+Резиденты!U235</f>
        <v>2009.333708243169</v>
      </c>
      <c r="V53" s="121">
        <f ca="1">Результаты_УК!V224*$B$4+Резиденты!V235</f>
        <v>2032.1531054504976</v>
      </c>
      <c r="W53" s="121">
        <f ca="1">Результаты_УК!W224*$B$4+Резиденты!W235</f>
        <v>7024.0531251605098</v>
      </c>
      <c r="X53" s="121">
        <f ca="1">Результаты_УК!X224*$B$4+Резиденты!X235</f>
        <v>7105.8014734720064</v>
      </c>
      <c r="Y53" s="121">
        <f ca="1">Результаты_УК!Y224*$B$4+Резиденты!Y235</f>
        <v>7188.5012372031524</v>
      </c>
      <c r="Z53" s="121">
        <f ca="1">Результаты_УК!Z224*$B$4+Резиденты!Z235</f>
        <v>4848.108992836078</v>
      </c>
      <c r="AA53" s="121">
        <f ca="1">Результаты_УК!AA224*$B$4+Резиденты!AA235</f>
        <v>4901.5532647622604</v>
      </c>
      <c r="AB53" s="121">
        <f ca="1">Результаты_УК!AB224*$B$4+Резиденты!AB235</f>
        <v>4955.5866922140185</v>
      </c>
      <c r="AC53" s="121">
        <f ca="1">Результаты_УК!AC224*$B$4+Резиденты!AC235</f>
        <v>5010.2157698861211</v>
      </c>
      <c r="AD53" s="121">
        <f ca="1">Результаты_УК!AD224*$B$4+Резиденты!AD235</f>
        <v>5065.4470640691325</v>
      </c>
      <c r="AE53" s="121">
        <f ca="1">Результаты_УК!AE224*$B$4+Резиденты!AE235</f>
        <v>5120.7500088550596</v>
      </c>
      <c r="AF53" s="121">
        <f ca="1">Результаты_УК!AF224*$B$4+Резиденты!AF235</f>
        <v>5176.6567336555254</v>
      </c>
      <c r="AG53" s="121">
        <f ca="1">Результаты_УК!AG224*$B$4+Резиденты!AG235</f>
        <v>5233.1738303492721</v>
      </c>
      <c r="AH53" s="121">
        <f ca="1">Результаты_УК!AH224*$B$4+Резиденты!AH235</f>
        <v>5290.3079627830803</v>
      </c>
      <c r="AI53" s="121">
        <f ca="1">Результаты_УК!AI224*$B$4+Резиденты!AI235</f>
        <v>5348.3250286550492</v>
      </c>
      <c r="AJ53" s="121">
        <f ca="1">Результаты_УК!AJ224*$B$4+Резиденты!AJ235</f>
        <v>5406.9783485893713</v>
      </c>
      <c r="AK53" s="121">
        <f ca="1">Результаты_УК!AK224*$B$4+Резиденты!AK235</f>
        <v>5466.2749001748925</v>
      </c>
      <c r="AL53" s="121">
        <f ca="1">Результаты_УК!AL224*$B$4+Резиденты!AL235</f>
        <v>5526.221737521375</v>
      </c>
      <c r="AM53" s="121">
        <f ca="1">Результаты_УК!AM224*$B$4+Резиденты!AM235</f>
        <v>5588.5931662769763</v>
      </c>
      <c r="AN53" s="121">
        <f ca="1">Результаты_УК!AN224*$B$4+Резиденты!AN235</f>
        <v>5908.1470982766868</v>
      </c>
      <c r="AO53" s="121">
        <f ca="1">Результаты_УК!AO224*$B$4+Резиденты!AO235</f>
        <v>5974.8291087569705</v>
      </c>
      <c r="AP53" s="121">
        <f ca="1">Результаты_УК!AP224*$B$4+Резиденты!AP235</f>
        <v>6042.2637224557757</v>
      </c>
      <c r="AQ53" s="121">
        <f ca="1">Результаты_УК!AQ224*$B$4+Резиденты!AQ235</f>
        <v>6110.5271773292425</v>
      </c>
      <c r="AR53" s="121">
        <f ca="1">Результаты_УК!AR224*$B$4+Резиденты!AR235</f>
        <v>10357.617141997471</v>
      </c>
      <c r="AT53" s="30">
        <f t="shared" ca="1" si="47"/>
        <v>149223.9043732493</v>
      </c>
    </row>
    <row r="54" spans="1:46" outlineLevel="1" x14ac:dyDescent="0.2">
      <c r="A54" s="63" t="str">
        <f>A19</f>
        <v xml:space="preserve">Финансирование проекта (ППРФ 1119) </v>
      </c>
      <c r="B54" s="102">
        <f ca="1">IFERROR(AVERAGEIF(Параметры!$E$46:OFFSET(Параметры!$E$46,0,Параметры!$B$24-1),"&gt;=" &amp; Деятельность_УК!$B$9,E54:OFFSET(E54,0,Параметры!$B$24-1))*Параметры!$B$13/Параметры!$B$12,0)</f>
        <v>-59016.426884635039</v>
      </c>
      <c r="C54" s="12" t="str">
        <f>Параметры!$C$126</f>
        <v>тыс. руб.</v>
      </c>
      <c r="D54" s="40"/>
      <c r="E54" s="82">
        <f>-Деятельность_УК!E541*Графики!$D$323</f>
        <v>0</v>
      </c>
      <c r="F54" s="82">
        <f ca="1">-Деятельность_УК!F541*Графики!$D$323</f>
        <v>0</v>
      </c>
      <c r="G54" s="82">
        <f ca="1">-Деятельность_УК!G541*Графики!$D$323</f>
        <v>0</v>
      </c>
      <c r="H54" s="82">
        <f ca="1">-Деятельность_УК!H541*Графики!$D$323</f>
        <v>0</v>
      </c>
      <c r="I54" s="82">
        <f ca="1">-Деятельность_УК!I541*Графики!$D$323</f>
        <v>0</v>
      </c>
      <c r="J54" s="82">
        <f ca="1">-Деятельность_УК!J541*Графики!$D$323</f>
        <v>-1000.0318861108526</v>
      </c>
      <c r="K54" s="82">
        <f ca="1">-Деятельность_УК!K541*Графики!$D$323</f>
        <v>-1000.0318861108526</v>
      </c>
      <c r="L54" s="82">
        <f ca="1">-Деятельность_УК!L541*Графики!$D$323</f>
        <v>-1009.441750841768</v>
      </c>
      <c r="M54" s="82">
        <f ca="1">-Деятельность_УК!M541*Графики!$D$323</f>
        <v>-1018.9401583036547</v>
      </c>
      <c r="N54" s="82">
        <f ca="1">-Деятельность_УК!N541*Графики!$D$323</f>
        <v>-1028.5279416450671</v>
      </c>
      <c r="O54" s="82">
        <f ca="1">-Деятельность_УК!O541*Графики!$D$323</f>
        <v>-9789.8628804723394</v>
      </c>
      <c r="P54" s="82">
        <f ca="1">-Деятельность_УК!P541*Графики!$D$323</f>
        <v>-1594.6509547354606</v>
      </c>
      <c r="Q54" s="82">
        <f ca="1">-Деятельность_УК!Q541*Графики!$D$323</f>
        <v>-1612.4299840332176</v>
      </c>
      <c r="R54" s="82">
        <f ca="1">-Деятельность_УК!R541*Графики!$D$323</f>
        <v>-1630.4072346921009</v>
      </c>
      <c r="S54" s="82">
        <f ca="1">-Деятельность_УК!S541*Графики!$D$323</f>
        <v>-6213.4515893743246</v>
      </c>
      <c r="T54" s="82">
        <f ca="1">-Деятельность_УК!T541*Графики!$D$323</f>
        <v>-27253.662425870105</v>
      </c>
      <c r="U54" s="82">
        <f ca="1">-Деятельность_УК!U541*Графики!$D$323</f>
        <v>-33048.408915747459</v>
      </c>
      <c r="V54" s="82">
        <f ca="1">-Деятельность_УК!V541*Графики!$D$323</f>
        <v>-33376.232728754119</v>
      </c>
      <c r="W54" s="82">
        <f ca="1">-Деятельность_УК!W541*Графики!$D$323</f>
        <v>-106640.07890610778</v>
      </c>
      <c r="X54" s="82">
        <f ca="1">-Деятельность_УК!X541*Графики!$D$323</f>
        <v>-40289.666342360943</v>
      </c>
      <c r="Y54" s="82">
        <f ca="1">-Деятельность_УК!Y541*Графики!$D$323</f>
        <v>-40870.272412639461</v>
      </c>
      <c r="Z54" s="82">
        <f ca="1">-Деятельность_УК!Z541*Графики!$D$323</f>
        <v>-58019.532144945959</v>
      </c>
      <c r="AA54" s="82">
        <f ca="1">-Деятельность_УК!AA541*Графики!$D$323</f>
        <v>-41854.369857254555</v>
      </c>
      <c r="AB54" s="82">
        <f ca="1">-Деятельность_УК!AB541*Графики!$D$323</f>
        <v>0</v>
      </c>
      <c r="AC54" s="82">
        <f ca="1">-Деятельность_УК!AC541*Графики!$D$323</f>
        <v>0</v>
      </c>
      <c r="AD54" s="82">
        <f ca="1">-Деятельность_УК!AD541*Графики!$D$323</f>
        <v>0</v>
      </c>
      <c r="AE54" s="82">
        <f ca="1">-Деятельность_УК!AE541*Графики!$D$323</f>
        <v>0</v>
      </c>
      <c r="AF54" s="82">
        <f ca="1">-Деятельность_УК!AF541*Графики!$D$323</f>
        <v>0</v>
      </c>
      <c r="AG54" s="82">
        <f ca="1">-Деятельность_УК!AG541*Графики!$D$323</f>
        <v>0</v>
      </c>
      <c r="AH54" s="82">
        <f ca="1">-Деятельность_УК!AH541*Графики!$D$323</f>
        <v>0</v>
      </c>
      <c r="AI54" s="82">
        <f ca="1">-Деятельность_УК!AI541*Графики!$D$323</f>
        <v>0</v>
      </c>
      <c r="AJ54" s="82">
        <f ca="1">-Деятельность_УК!AJ541*Графики!$D$323</f>
        <v>0</v>
      </c>
      <c r="AK54" s="82">
        <f ca="1">-Деятельность_УК!AK541*Графики!$D$323</f>
        <v>0</v>
      </c>
      <c r="AL54" s="82">
        <f ca="1">-Деятельность_УК!AL541*Графики!$D$323</f>
        <v>0</v>
      </c>
      <c r="AM54" s="82">
        <f ca="1">-Деятельность_УК!AM541*Графики!$D$323</f>
        <v>0</v>
      </c>
      <c r="AN54" s="82">
        <f ca="1">-Деятельность_УК!AN541*Графики!$D$323</f>
        <v>0</v>
      </c>
      <c r="AO54" s="82">
        <f ca="1">-Деятельность_УК!AO541*Графики!$D$323</f>
        <v>0</v>
      </c>
      <c r="AP54" s="82">
        <f ca="1">-Деятельность_УК!AP541*Графики!$D$323</f>
        <v>0</v>
      </c>
      <c r="AQ54" s="82">
        <f ca="1">-Деятельность_УК!AQ541*Графики!$D$323</f>
        <v>0</v>
      </c>
      <c r="AR54" s="82">
        <f ca="1">-Деятельность_УК!AR541*Графики!$D$323</f>
        <v>0</v>
      </c>
      <c r="AT54" s="30">
        <f ca="1">SUM(E54:AS54)</f>
        <v>-407250</v>
      </c>
    </row>
    <row r="55" spans="1:46" outlineLevel="1" x14ac:dyDescent="0.2">
      <c r="A55" s="44" t="s">
        <v>330</v>
      </c>
      <c r="D55" s="40"/>
      <c r="E55" s="82">
        <f ca="1">E49</f>
        <v>0</v>
      </c>
      <c r="F55" s="82">
        <f t="shared" ref="F55:AR55" ca="1" si="48">E55+F49</f>
        <v>0</v>
      </c>
      <c r="G55" s="82">
        <f t="shared" ca="1" si="48"/>
        <v>0</v>
      </c>
      <c r="H55" s="82">
        <f t="shared" ca="1" si="48"/>
        <v>0</v>
      </c>
      <c r="I55" s="82">
        <f t="shared" ca="1" si="48"/>
        <v>1000.0318861108526</v>
      </c>
      <c r="J55" s="82">
        <f t="shared" ca="1" si="48"/>
        <v>1000.0318861108526</v>
      </c>
      <c r="K55" s="82">
        <f t="shared" ca="1" si="48"/>
        <v>1009.441750841768</v>
      </c>
      <c r="L55" s="82">
        <f t="shared" ca="1" si="48"/>
        <v>1018.9401583036547</v>
      </c>
      <c r="M55" s="82">
        <f t="shared" ca="1" si="48"/>
        <v>1028.5279416450671</v>
      </c>
      <c r="N55" s="82">
        <f t="shared" ca="1" si="48"/>
        <v>18541.51981909055</v>
      </c>
      <c r="O55" s="82">
        <f t="shared" ca="1" si="48"/>
        <v>10346.307893353671</v>
      </c>
      <c r="P55" s="82">
        <f t="shared" ca="1" si="48"/>
        <v>10364.086922651428</v>
      </c>
      <c r="Q55" s="82">
        <f t="shared" ca="1" si="48"/>
        <v>10382.064173310311</v>
      </c>
      <c r="R55" s="82">
        <f t="shared" ca="1" si="48"/>
        <v>19529.975200651752</v>
      </c>
      <c r="S55" s="82">
        <f t="shared" ca="1" si="48"/>
        <v>40570.186037147534</v>
      </c>
      <c r="T55" s="82">
        <f t="shared" ca="1" si="48"/>
        <v>46364.932527024888</v>
      </c>
      <c r="U55" s="82">
        <f t="shared" ca="1" si="48"/>
        <v>46692.756340031548</v>
      </c>
      <c r="V55" s="82">
        <f t="shared" ca="1" si="48"/>
        <v>192887.65131436876</v>
      </c>
      <c r="W55" s="82">
        <f t="shared" ca="1" si="48"/>
        <v>126537.23875062192</v>
      </c>
      <c r="X55" s="82">
        <f t="shared" ca="1" si="48"/>
        <v>127117.84482090044</v>
      </c>
      <c r="Y55" s="82">
        <f t="shared" ca="1" si="48"/>
        <v>144267.10455320694</v>
      </c>
      <c r="Z55" s="82">
        <f t="shared" ca="1" si="48"/>
        <v>142439.25769523773</v>
      </c>
      <c r="AA55" s="82">
        <f t="shared" ca="1" si="48"/>
        <v>157339.28983827963</v>
      </c>
      <c r="AB55" s="82">
        <f t="shared" ca="1" si="48"/>
        <v>215955.56037420797</v>
      </c>
      <c r="AC55" s="82">
        <f t="shared" ca="1" si="48"/>
        <v>282652.41225029191</v>
      </c>
      <c r="AD55" s="82">
        <f t="shared" ca="1" si="48"/>
        <v>350026.39090887242</v>
      </c>
      <c r="AE55" s="82">
        <f t="shared" ca="1" si="48"/>
        <v>418081.03514254012</v>
      </c>
      <c r="AF55" s="82">
        <f t="shared" ca="1" si="48"/>
        <v>522806.8299936562</v>
      </c>
      <c r="AG55" s="82">
        <f t="shared" ca="1" si="48"/>
        <v>732316.59358676488</v>
      </c>
      <c r="AH55" s="82">
        <f t="shared" ca="1" si="48"/>
        <v>943965.82590809895</v>
      </c>
      <c r="AI55" s="82">
        <f t="shared" ca="1" si="48"/>
        <v>1157782.8448953435</v>
      </c>
      <c r="AJ55" s="82">
        <f t="shared" ca="1" si="48"/>
        <v>1373800.5685084101</v>
      </c>
      <c r="AK55" s="82">
        <f t="shared" ca="1" si="48"/>
        <v>1581513.9889645462</v>
      </c>
      <c r="AL55" s="82">
        <f t="shared" ca="1" si="48"/>
        <v>1729674.2858080852</v>
      </c>
      <c r="AM55" s="82">
        <f t="shared" ca="1" si="48"/>
        <v>1921894.9508445223</v>
      </c>
      <c r="AN55" s="82">
        <f t="shared" ca="1" si="48"/>
        <v>2140295.7368273442</v>
      </c>
      <c r="AO55" s="82">
        <f t="shared" ca="1" si="48"/>
        <v>2361091.1476442181</v>
      </c>
      <c r="AP55" s="82">
        <f t="shared" ca="1" si="48"/>
        <v>2481614.5756249405</v>
      </c>
      <c r="AQ55" s="82">
        <f t="shared" ca="1" si="48"/>
        <v>2600580.3300048858</v>
      </c>
      <c r="AR55" s="82">
        <f t="shared" ca="1" si="48"/>
        <v>2754742.3826548858</v>
      </c>
      <c r="AT55" s="30"/>
    </row>
    <row r="56" spans="1:46" x14ac:dyDescent="0.2">
      <c r="A56" s="44"/>
      <c r="D56" s="40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T56" s="30"/>
    </row>
    <row r="57" spans="1:46" x14ac:dyDescent="0.2">
      <c r="A57" s="44" t="s">
        <v>136</v>
      </c>
      <c r="C57" s="12" t="str">
        <f>Параметры!$C$126</f>
        <v>тыс. руб.</v>
      </c>
      <c r="D57" s="40"/>
      <c r="E57" s="82">
        <f t="shared" ref="E57:AR57" ca="1" si="49">E49/E48</f>
        <v>0</v>
      </c>
      <c r="F57" s="82">
        <f t="shared" ca="1" si="49"/>
        <v>0</v>
      </c>
      <c r="G57" s="82">
        <f t="shared" ca="1" si="49"/>
        <v>0</v>
      </c>
      <c r="H57" s="82">
        <f t="shared" ca="1" si="49"/>
        <v>0</v>
      </c>
      <c r="I57" s="82">
        <f t="shared" ca="1" si="49"/>
        <v>976.20055498212776</v>
      </c>
      <c r="J57" s="82">
        <f t="shared" ca="1" si="49"/>
        <v>0</v>
      </c>
      <c r="K57" s="82">
        <f t="shared" ca="1" si="49"/>
        <v>8.7530415055205584</v>
      </c>
      <c r="L57" s="82">
        <f t="shared" ca="1" si="49"/>
        <v>8.6248510955739839</v>
      </c>
      <c r="M57" s="82">
        <f t="shared" ca="1" si="49"/>
        <v>8.4985380651855493</v>
      </c>
      <c r="N57" s="82">
        <f t="shared" ca="1" si="49"/>
        <v>15153.451424001465</v>
      </c>
      <c r="O57" s="82">
        <f t="shared" ca="1" si="49"/>
        <v>-6922.0798712431424</v>
      </c>
      <c r="P57" s="82">
        <f t="shared" ca="1" si="49"/>
        <v>14.659179590833206</v>
      </c>
      <c r="Q57" s="82">
        <f t="shared" ca="1" si="49"/>
        <v>14.469385791379704</v>
      </c>
      <c r="R57" s="82">
        <f t="shared" ca="1" si="49"/>
        <v>7187.4354413444416</v>
      </c>
      <c r="S57" s="82">
        <f t="shared" ca="1" si="49"/>
        <v>16137.167790119933</v>
      </c>
      <c r="T57" s="82">
        <f t="shared" ca="1" si="49"/>
        <v>4338.4727187341205</v>
      </c>
      <c r="U57" s="82">
        <f t="shared" ca="1" si="49"/>
        <v>239.58969222441846</v>
      </c>
      <c r="V57" s="82">
        <f t="shared" ca="1" si="49"/>
        <v>104300.17626055735</v>
      </c>
      <c r="W57" s="82">
        <f t="shared" ca="1" si="49"/>
        <v>-46208.478079444976</v>
      </c>
      <c r="X57" s="82">
        <f t="shared" ca="1" si="49"/>
        <v>394.71607335768618</v>
      </c>
      <c r="Y57" s="82">
        <f t="shared" ca="1" si="49"/>
        <v>11380.826959586328</v>
      </c>
      <c r="Z57" s="82">
        <f t="shared" ca="1" si="49"/>
        <v>-1184.1138236162431</v>
      </c>
      <c r="AA57" s="82">
        <f t="shared" ca="1" si="49"/>
        <v>9422.4979673751859</v>
      </c>
      <c r="AB57" s="82">
        <f t="shared" ca="1" si="49"/>
        <v>36184.471396821667</v>
      </c>
      <c r="AC57" s="82">
        <f t="shared" ca="1" si="49"/>
        <v>40191.534487010642</v>
      </c>
      <c r="AD57" s="82">
        <f t="shared" ca="1" si="49"/>
        <v>39632.060228497001</v>
      </c>
      <c r="AE57" s="82">
        <f t="shared" ca="1" si="49"/>
        <v>39078.458587356297</v>
      </c>
      <c r="AF57" s="82">
        <f t="shared" ca="1" si="49"/>
        <v>58702.760549963627</v>
      </c>
      <c r="AG57" s="82">
        <f t="shared" ca="1" si="49"/>
        <v>114639.51204090264</v>
      </c>
      <c r="AH57" s="82">
        <f t="shared" ca="1" si="49"/>
        <v>113050.36323338277</v>
      </c>
      <c r="AI57" s="82">
        <f t="shared" ca="1" si="49"/>
        <v>111486.61703246781</v>
      </c>
      <c r="AJ57" s="82">
        <f t="shared" ca="1" si="49"/>
        <v>109949.95467298386</v>
      </c>
      <c r="AK57" s="82">
        <f t="shared" ca="1" si="49"/>
        <v>103203.7384271756</v>
      </c>
      <c r="AL57" s="82">
        <f t="shared" ca="1" si="49"/>
        <v>71860.115994596286</v>
      </c>
      <c r="AM57" s="82">
        <f t="shared" ca="1" si="49"/>
        <v>91008.373427146318</v>
      </c>
      <c r="AN57" s="82">
        <f t="shared" ca="1" si="49"/>
        <v>100939.39011891966</v>
      </c>
      <c r="AO57" s="82">
        <f t="shared" ca="1" si="49"/>
        <v>99614.308450620621</v>
      </c>
      <c r="AP57" s="82">
        <f t="shared" ca="1" si="49"/>
        <v>53079.687816140497</v>
      </c>
      <c r="AQ57" s="82">
        <f t="shared" ca="1" si="49"/>
        <v>51145.102075337301</v>
      </c>
      <c r="AR57" s="82">
        <f t="shared" ca="1" si="49"/>
        <v>64697.09395400458</v>
      </c>
      <c r="AT57" s="30">
        <f ca="1">SUM(E57:AS57)</f>
        <v>1413734.4105973544</v>
      </c>
    </row>
    <row r="58" spans="1:46" x14ac:dyDescent="0.2">
      <c r="A58" s="44" t="s">
        <v>137</v>
      </c>
      <c r="C58" s="12" t="str">
        <f>Параметры!$C$126</f>
        <v>тыс. руб.</v>
      </c>
      <c r="D58" s="40"/>
      <c r="E58" s="82">
        <f t="shared" ref="E58" ca="1" si="50">E57+IF(E$2&gt;1,D58)</f>
        <v>0</v>
      </c>
      <c r="F58" s="82">
        <f t="shared" ref="F58" ca="1" si="51">F57+IF(F$2&gt;1,E58)</f>
        <v>0</v>
      </c>
      <c r="G58" s="82">
        <f t="shared" ref="G58" ca="1" si="52">G57+IF(G$2&gt;1,F58)</f>
        <v>0</v>
      </c>
      <c r="H58" s="82">
        <f t="shared" ref="H58" ca="1" si="53">H57+IF(H$2&gt;1,G58)</f>
        <v>0</v>
      </c>
      <c r="I58" s="82">
        <f t="shared" ref="I58" ca="1" si="54">I57+IF(I$2&gt;1,H58)</f>
        <v>976.20055498212776</v>
      </c>
      <c r="J58" s="82">
        <f t="shared" ref="J58" ca="1" si="55">J57+IF(J$2&gt;1,I58)</f>
        <v>976.20055498212776</v>
      </c>
      <c r="K58" s="82">
        <f t="shared" ref="K58" ca="1" si="56">K57+IF(K$2&gt;1,J58)</f>
        <v>984.95359648764827</v>
      </c>
      <c r="L58" s="82">
        <f t="shared" ref="L58" ca="1" si="57">L57+IF(L$2&gt;1,K58)</f>
        <v>993.57844758322221</v>
      </c>
      <c r="M58" s="82">
        <f t="shared" ref="M58" ca="1" si="58">M57+IF(M$2&gt;1,L58)</f>
        <v>1002.0769856484078</v>
      </c>
      <c r="N58" s="82">
        <f t="shared" ref="N58" ca="1" si="59">N57+IF(N$2&gt;1,M58)</f>
        <v>16155.528409649873</v>
      </c>
      <c r="O58" s="82">
        <f t="shared" ref="O58" ca="1" si="60">O57+IF(O$2&gt;1,N58)</f>
        <v>9233.4485384067302</v>
      </c>
      <c r="P58" s="82">
        <f t="shared" ref="P58" ca="1" si="61">P57+IF(P$2&gt;1,O58)</f>
        <v>9248.1077179975637</v>
      </c>
      <c r="Q58" s="82">
        <f t="shared" ref="Q58" ca="1" si="62">Q57+IF(Q$2&gt;1,P58)</f>
        <v>9262.5771037889426</v>
      </c>
      <c r="R58" s="82">
        <f t="shared" ref="R58" ca="1" si="63">R57+IF(R$2&gt;1,Q58)</f>
        <v>16450.012545133384</v>
      </c>
      <c r="S58" s="82">
        <f t="shared" ref="S58" ca="1" si="64">S57+IF(S$2&gt;1,R58)</f>
        <v>32587.180335253317</v>
      </c>
      <c r="T58" s="82">
        <f t="shared" ref="T58" ca="1" si="65">T57+IF(T$2&gt;1,S58)</f>
        <v>36925.653053987437</v>
      </c>
      <c r="U58" s="82">
        <f t="shared" ref="U58" ca="1" si="66">U57+IF(U$2&gt;1,T58)</f>
        <v>37165.242746211858</v>
      </c>
      <c r="V58" s="82">
        <f t="shared" ref="V58" ca="1" si="67">V57+IF(V$2&gt;1,U58)</f>
        <v>141465.4190067692</v>
      </c>
      <c r="W58" s="82">
        <f t="shared" ref="W58" ca="1" si="68">W57+IF(W$2&gt;1,V58)</f>
        <v>95256.94092732422</v>
      </c>
      <c r="X58" s="82">
        <f t="shared" ref="X58" ca="1" si="69">X57+IF(X$2&gt;1,W58)</f>
        <v>95651.657000681909</v>
      </c>
      <c r="Y58" s="82">
        <f t="shared" ref="Y58" ca="1" si="70">Y57+IF(Y$2&gt;1,X58)</f>
        <v>107032.48396026823</v>
      </c>
      <c r="Z58" s="82">
        <f t="shared" ref="Z58" ca="1" si="71">Z57+IF(Z$2&gt;1,Y58)</f>
        <v>105848.370136652</v>
      </c>
      <c r="AA58" s="82">
        <f t="shared" ref="AA58" ca="1" si="72">AA57+IF(AA$2&gt;1,Z58)</f>
        <v>115270.86810402718</v>
      </c>
      <c r="AB58" s="82">
        <f t="shared" ref="AB58" ca="1" si="73">AB57+IF(AB$2&gt;1,AA58)</f>
        <v>151455.33950084884</v>
      </c>
      <c r="AC58" s="82">
        <f t="shared" ref="AC58" ca="1" si="74">AC57+IF(AC$2&gt;1,AB58)</f>
        <v>191646.87398785949</v>
      </c>
      <c r="AD58" s="82">
        <f t="shared" ref="AD58" ca="1" si="75">AD57+IF(AD$2&gt;1,AC58)</f>
        <v>231278.93421635649</v>
      </c>
      <c r="AE58" s="82">
        <f t="shared" ref="AE58" ca="1" si="76">AE57+IF(AE$2&gt;1,AD58)</f>
        <v>270357.39280371281</v>
      </c>
      <c r="AF58" s="82">
        <f t="shared" ref="AF58" ca="1" si="77">AF57+IF(AF$2&gt;1,AE58)</f>
        <v>329060.15335367643</v>
      </c>
      <c r="AG58" s="82">
        <f t="shared" ref="AG58" ca="1" si="78">AG57+IF(AG$2&gt;1,AF58)</f>
        <v>443699.66539457906</v>
      </c>
      <c r="AH58" s="82">
        <f t="shared" ref="AH58" ca="1" si="79">AH57+IF(AH$2&gt;1,AG58)</f>
        <v>556750.02862796187</v>
      </c>
      <c r="AI58" s="82">
        <f t="shared" ref="AI58" ca="1" si="80">AI57+IF(AI$2&gt;1,AH58)</f>
        <v>668236.64566042973</v>
      </c>
      <c r="AJ58" s="82">
        <f t="shared" ref="AJ58" ca="1" si="81">AJ57+IF(AJ$2&gt;1,AI58)</f>
        <v>778186.60033341357</v>
      </c>
      <c r="AK58" s="82">
        <f t="shared" ref="AK58" ca="1" si="82">AK57+IF(AK$2&gt;1,AJ58)</f>
        <v>881390.33876058913</v>
      </c>
      <c r="AL58" s="82">
        <f t="shared" ref="AL58" ca="1" si="83">AL57+IF(AL$2&gt;1,AK58)</f>
        <v>953250.4547551854</v>
      </c>
      <c r="AM58" s="82">
        <f t="shared" ref="AM58" ca="1" si="84">AM57+IF(AM$2&gt;1,AL58)</f>
        <v>1044258.8281823318</v>
      </c>
      <c r="AN58" s="82">
        <f t="shared" ref="AN58" ca="1" si="85">AN57+IF(AN$2&gt;1,AM58)</f>
        <v>1145198.2183012515</v>
      </c>
      <c r="AO58" s="82">
        <f t="shared" ref="AO58" ca="1" si="86">AO57+IF(AO$2&gt;1,AN58)</f>
        <v>1244812.5267518722</v>
      </c>
      <c r="AP58" s="82">
        <f t="shared" ref="AP58" ca="1" si="87">AP57+IF(AP$2&gt;1,AO58)</f>
        <v>1297892.2145680126</v>
      </c>
      <c r="AQ58" s="82">
        <f t="shared" ref="AQ58" ca="1" si="88">AQ57+IF(AQ$2&gt;1,AP58)</f>
        <v>1349037.3166433498</v>
      </c>
      <c r="AR58" s="82">
        <f t="shared" ref="AR58" ca="1" si="89">AR57+IF(AR$2&gt;1,AQ58)</f>
        <v>1413734.4105973544</v>
      </c>
      <c r="AT58" s="30"/>
    </row>
    <row r="59" spans="1:46" x14ac:dyDescent="0.2">
      <c r="A59" s="44"/>
      <c r="B59" s="5"/>
      <c r="D59" s="40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</row>
    <row r="60" spans="1:46" x14ac:dyDescent="0.2">
      <c r="A60" s="52" t="s">
        <v>138</v>
      </c>
      <c r="B60" s="179">
        <f ca="1">AT57</f>
        <v>1413734.4105973544</v>
      </c>
      <c r="C60" s="12" t="str">
        <f>Параметры!$C$126</f>
        <v>тыс. руб.</v>
      </c>
      <c r="D60" s="40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</row>
    <row r="61" spans="1:46" x14ac:dyDescent="0.2">
      <c r="A61" s="44"/>
      <c r="D61" s="40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</row>
    <row r="62" spans="1:46" x14ac:dyDescent="0.2">
      <c r="A62" s="52" t="s">
        <v>139</v>
      </c>
      <c r="B62" s="177" t="str">
        <f ca="1">IFERROR(IF(POWER(1+IRR(E49:AS49,B46),360/Параметры!B$12)-1&gt;999%,"-",POWER(1+IRR(E49:AS49,B46),360/Параметры!B$12)-1),"-")</f>
        <v>-</v>
      </c>
      <c r="C62" s="12" t="s">
        <v>1</v>
      </c>
      <c r="D62" s="40"/>
      <c r="E62" s="104"/>
    </row>
    <row r="63" spans="1:46" x14ac:dyDescent="0.2">
      <c r="A63" s="49" t="s">
        <v>140</v>
      </c>
      <c r="B63" s="180">
        <f ca="1">IFERROR(POWER(1+MIRR(E49:AS49,B46,Параметры!B$249),360/Параметры!B$12)-1,"-")</f>
        <v>0.97300571031312466</v>
      </c>
      <c r="C63" s="12" t="s">
        <v>1</v>
      </c>
      <c r="D63" s="40"/>
    </row>
    <row r="64" spans="1:46" x14ac:dyDescent="0.2">
      <c r="A64" s="49"/>
      <c r="B64" s="180"/>
      <c r="D64" s="40"/>
    </row>
    <row r="65" spans="1:46" x14ac:dyDescent="0.2">
      <c r="A65" s="50" t="s">
        <v>732</v>
      </c>
      <c r="B65" s="211">
        <f ca="1">IF(AT67&lt;0,AT66/-AT67," - ")</f>
        <v>7.7642538555061629</v>
      </c>
      <c r="C65" s="12" t="s">
        <v>133</v>
      </c>
      <c r="D65" s="121"/>
      <c r="E65" s="558">
        <f ca="1">ABS(IFERROR(SUM($E66:E66)/SUM($E67:E67),0))</f>
        <v>0</v>
      </c>
      <c r="F65" s="558">
        <f ca="1">ABS(IFERROR(SUM($E66:F66)/SUM($E67:F67),0))</f>
        <v>0</v>
      </c>
      <c r="G65" s="558">
        <f ca="1">ABS(IFERROR(SUM($E66:G66)/SUM($E67:G67),0))</f>
        <v>0</v>
      </c>
      <c r="H65" s="558">
        <f ca="1">ABS(IFERROR(SUM($E66:H66)/SUM($E67:H67),0))</f>
        <v>0</v>
      </c>
      <c r="I65" s="558">
        <f ca="1">ABS(IFERROR(SUM($E66:I66)/SUM($E67:I67),0))</f>
        <v>0</v>
      </c>
      <c r="J65" s="558">
        <f ca="1">ABS(IFERROR(SUM($E66:J66)/SUM($E67:J67),0))</f>
        <v>2</v>
      </c>
      <c r="K65" s="558">
        <f ca="1">ABS(IFERROR(SUM($E66:K66)/SUM($E67:K67),0))</f>
        <v>1.5047047823482462</v>
      </c>
      <c r="L65" s="558">
        <f ca="1">ABS(IFERROR(SUM($E66:L66)/SUM($E67:L67),0))</f>
        <v>1.3385739452860157</v>
      </c>
      <c r="M65" s="558">
        <f ca="1">ABS(IFERROR(SUM($E66:M66)/SUM($E67:M67),0))</f>
        <v>1.2553163237132237</v>
      </c>
      <c r="N65" s="558">
        <f ca="1">ABS(IFERROR(SUM($E66:N66)/SUM($E67:N67),0))</f>
        <v>4.6665249220829956</v>
      </c>
      <c r="O65" s="558">
        <f ca="1">ABS(IFERROR(SUM($E66:O66)/SUM($E67:O67),0))</f>
        <v>1.6968695244219474</v>
      </c>
      <c r="P65" s="558">
        <f ca="1">ABS(IFERROR(SUM($E66:P66)/SUM($E67:P67),0))</f>
        <v>1.6303618786918126</v>
      </c>
      <c r="Q65" s="558">
        <f ca="1">ABS(IFERROR(SUM($E66:Q66)/SUM($E67:Q67),0))</f>
        <v>1.5750588040805058</v>
      </c>
      <c r="R65" s="558">
        <f ca="1">ABS(IFERROR(SUM($E66:R66)/SUM($E67:R67),0))</f>
        <v>1.9921587619170733</v>
      </c>
      <c r="S65" s="558">
        <f ca="1">ABS(IFERROR(SUM($E66:S66)/SUM($E67:S67),0))</f>
        <v>2.5665509509366462</v>
      </c>
      <c r="T65" s="558">
        <f ca="1">ABS(IFERROR(SUM($E66:T66)/SUM($E67:T67),0))</f>
        <v>1.8723175452603114</v>
      </c>
      <c r="U65" s="558">
        <f ca="1">ABS(IFERROR(SUM($E66:U66)/SUM($E67:U67),0))</f>
        <v>1.5416802655197748</v>
      </c>
      <c r="V65" s="558">
        <f ca="1">ABS(IFERROR(SUM($E66:V66)/SUM($E67:V67),0))</f>
        <v>2.6130956188834209</v>
      </c>
      <c r="W65" s="558">
        <f ca="1">ABS(IFERROR(SUM($E66:W66)/SUM($E67:W67),0))</f>
        <v>1.5593642787242654</v>
      </c>
      <c r="X65" s="558">
        <f ca="1">ABS(IFERROR(SUM($E66:X66)/SUM($E67:X67),0))</f>
        <v>1.4769796102647701</v>
      </c>
      <c r="Y65" s="558">
        <f ca="1">ABS(IFERROR(SUM($E66:Y66)/SUM($E67:Y67),0))</f>
        <v>1.4693504325578359</v>
      </c>
      <c r="Z65" s="558">
        <f ca="1">ABS(IFERROR(SUM($E66:Z66)/SUM($E67:Z67),0))</f>
        <v>1.3898220064634939</v>
      </c>
      <c r="AA65" s="558">
        <f ca="1">ABS(IFERROR(SUM($E66:AA66)/SUM($E67:AA67),0))</f>
        <v>1.3863457086268376</v>
      </c>
      <c r="AB65" s="558">
        <f ca="1">ABS(IFERROR(SUM($E66:AB66)/SUM($E67:AB67),0))</f>
        <v>1.5302776190895222</v>
      </c>
      <c r="AC65" s="558">
        <f ca="1">ABS(IFERROR(SUM($E66:AC66)/SUM($E67:AC67),0))</f>
        <v>1.6940513499086358</v>
      </c>
      <c r="AD65" s="558">
        <f ca="1">ABS(IFERROR(SUM($E66:AD66)/SUM($E67:AD67),0))</f>
        <v>1.8594877615933025</v>
      </c>
      <c r="AE65" s="558">
        <f ca="1">ABS(IFERROR(SUM($E66:AE66)/SUM($E67:AE67),0))</f>
        <v>2.0265955436280914</v>
      </c>
      <c r="AF65" s="558">
        <f ca="1">ABS(IFERROR(SUM($E66:AF66)/SUM($E67:AF67),0))</f>
        <v>2.2837491221452577</v>
      </c>
      <c r="AG65" s="558">
        <f ca="1">ABS(IFERROR(SUM($E66:AG66)/SUM($E67:AG67),0))</f>
        <v>2.7981991248293796</v>
      </c>
      <c r="AH65" s="558">
        <f ca="1">ABS(IFERROR(SUM($E66:AH66)/SUM($E67:AH67),0))</f>
        <v>3.3179025804987079</v>
      </c>
      <c r="AI65" s="558">
        <f ca="1">ABS(IFERROR(SUM($E66:AI66)/SUM($E67:AI67),0))</f>
        <v>3.8429290236840843</v>
      </c>
      <c r="AJ65" s="558">
        <f ca="1">ABS(IFERROR(SUM($E66:AJ66)/SUM($E67:AJ67),0))</f>
        <v>4.3733592842441</v>
      </c>
      <c r="AK65" s="558">
        <f ca="1">ABS(IFERROR(SUM($E66:AK66)/SUM($E67:AK67),0))</f>
        <v>4.8833983768312974</v>
      </c>
      <c r="AL65" s="558">
        <f ca="1">ABS(IFERROR(SUM($E66:AL66)/SUM($E67:AL67),0))</f>
        <v>5.2472051216895883</v>
      </c>
      <c r="AM65" s="558">
        <f ca="1">ABS(IFERROR(SUM($E66:AM66)/SUM($E67:AM67),0))</f>
        <v>5.7192018436943455</v>
      </c>
      <c r="AN65" s="558">
        <f ca="1">ABS(IFERROR(SUM($E66:AN66)/SUM($E67:AN67),0))</f>
        <v>6.2554837000057546</v>
      </c>
      <c r="AO65" s="558">
        <f ca="1">ABS(IFERROR(SUM($E66:AO66)/SUM($E67:AO67),0))</f>
        <v>6.7976455436322105</v>
      </c>
      <c r="AP65" s="558">
        <f ca="1">ABS(IFERROR(SUM($E66:AP66)/SUM($E67:AP67),0))</f>
        <v>7.0935901181705097</v>
      </c>
      <c r="AQ65" s="558">
        <f ca="1">ABS(IFERROR(SUM($E66:AQ66)/SUM($E67:AQ67),0))</f>
        <v>7.3857098342661391</v>
      </c>
      <c r="AR65" s="558">
        <f ca="1">ABS(IFERROR(SUM($E66:AR66)/SUM($E67:AR67),0))</f>
        <v>7.7642538555061629</v>
      </c>
    </row>
    <row r="66" spans="1:46" s="82" customFormat="1" outlineLevel="1" x14ac:dyDescent="0.2">
      <c r="A66" s="212" t="str">
        <f>$A$31</f>
        <v>Притоки</v>
      </c>
      <c r="B66" s="213"/>
      <c r="C66" s="214" t="str">
        <f>Параметры!$C$126</f>
        <v>тыс. руб.</v>
      </c>
      <c r="D66" s="121"/>
      <c r="E66" s="82">
        <f t="shared" ref="E66:AR66" ca="1" si="90">MAX(0,E50)</f>
        <v>0</v>
      </c>
      <c r="F66" s="82">
        <f t="shared" ca="1" si="90"/>
        <v>0</v>
      </c>
      <c r="G66" s="82">
        <f t="shared" ca="1" si="90"/>
        <v>0</v>
      </c>
      <c r="H66" s="82">
        <f t="shared" ca="1" si="90"/>
        <v>0</v>
      </c>
      <c r="I66" s="82">
        <f t="shared" ca="1" si="90"/>
        <v>1000.0318861108526</v>
      </c>
      <c r="J66" s="82">
        <f t="shared" ca="1" si="90"/>
        <v>1000.0318861108526</v>
      </c>
      <c r="K66" s="82">
        <f t="shared" ca="1" si="90"/>
        <v>1009.441750841768</v>
      </c>
      <c r="L66" s="82">
        <f t="shared" ca="1" si="90"/>
        <v>1018.9401583036547</v>
      </c>
      <c r="M66" s="82">
        <f t="shared" ca="1" si="90"/>
        <v>1028.5279416450671</v>
      </c>
      <c r="N66" s="82">
        <f t="shared" ca="1" si="90"/>
        <v>18541.51981909055</v>
      </c>
      <c r="O66" s="82">
        <f t="shared" ca="1" si="90"/>
        <v>1594.6509547354606</v>
      </c>
      <c r="P66" s="82">
        <f t="shared" ca="1" si="90"/>
        <v>1612.4299840332176</v>
      </c>
      <c r="Q66" s="82">
        <f t="shared" ca="1" si="90"/>
        <v>1630.4072346921009</v>
      </c>
      <c r="R66" s="82">
        <f t="shared" ca="1" si="90"/>
        <v>10778.318262033543</v>
      </c>
      <c r="S66" s="82">
        <f t="shared" ca="1" si="90"/>
        <v>27253.662425870105</v>
      </c>
      <c r="T66" s="82">
        <f t="shared" ca="1" si="90"/>
        <v>33048.408915747459</v>
      </c>
      <c r="U66" s="82">
        <f t="shared" ca="1" si="90"/>
        <v>33376.232728754119</v>
      </c>
      <c r="V66" s="82">
        <f t="shared" ca="1" si="90"/>
        <v>179571.12770309133</v>
      </c>
      <c r="W66" s="82">
        <f t="shared" ca="1" si="90"/>
        <v>40289.666342360943</v>
      </c>
      <c r="X66" s="82">
        <f t="shared" ca="1" si="90"/>
        <v>40870.272412639461</v>
      </c>
      <c r="Y66" s="82">
        <f t="shared" ca="1" si="90"/>
        <v>58019.532144945959</v>
      </c>
      <c r="Z66" s="82">
        <f t="shared" ca="1" si="90"/>
        <v>56191.685286976746</v>
      </c>
      <c r="AA66" s="82">
        <f t="shared" ca="1" si="90"/>
        <v>56754.402000296453</v>
      </c>
      <c r="AB66" s="82">
        <f t="shared" ca="1" si="90"/>
        <v>58616.270535928335</v>
      </c>
      <c r="AC66" s="82">
        <f t="shared" ca="1" si="90"/>
        <v>66696.851876083965</v>
      </c>
      <c r="AD66" s="82">
        <f t="shared" ca="1" si="90"/>
        <v>67373.978658580527</v>
      </c>
      <c r="AE66" s="82">
        <f t="shared" ca="1" si="90"/>
        <v>68054.644233667685</v>
      </c>
      <c r="AF66" s="82">
        <f t="shared" ca="1" si="90"/>
        <v>104725.79485111606</v>
      </c>
      <c r="AG66" s="82">
        <f t="shared" ca="1" si="90"/>
        <v>209509.76359310866</v>
      </c>
      <c r="AH66" s="82">
        <f t="shared" ca="1" si="90"/>
        <v>211649.23232133407</v>
      </c>
      <c r="AI66" s="82">
        <f t="shared" ca="1" si="90"/>
        <v>213817.01898724452</v>
      </c>
      <c r="AJ66" s="82">
        <f t="shared" ca="1" si="90"/>
        <v>216017.72361306654</v>
      </c>
      <c r="AK66" s="82">
        <f t="shared" ca="1" si="90"/>
        <v>207713.4204561362</v>
      </c>
      <c r="AL66" s="82">
        <f t="shared" ca="1" si="90"/>
        <v>148160.29684353896</v>
      </c>
      <c r="AM66" s="82">
        <f t="shared" ca="1" si="90"/>
        <v>192220.66503643719</v>
      </c>
      <c r="AN66" s="82">
        <f t="shared" ca="1" si="90"/>
        <v>218400.78598282175</v>
      </c>
      <c r="AO66" s="82">
        <f t="shared" ca="1" si="90"/>
        <v>220795.41081687395</v>
      </c>
      <c r="AP66" s="82">
        <f t="shared" ca="1" si="90"/>
        <v>120523.42798072219</v>
      </c>
      <c r="AQ66" s="82">
        <f t="shared" ca="1" si="90"/>
        <v>118965.7543799453</v>
      </c>
      <c r="AR66" s="82">
        <f t="shared" ca="1" si="90"/>
        <v>154162.05264999974</v>
      </c>
      <c r="AT66" s="30">
        <f ca="1">SUM(E66:AS66)</f>
        <v>3161992.3826548848</v>
      </c>
    </row>
    <row r="67" spans="1:46" s="82" customFormat="1" outlineLevel="1" x14ac:dyDescent="0.2">
      <c r="A67" s="212" t="str">
        <f>$A$32</f>
        <v>Оттоки</v>
      </c>
      <c r="B67" s="213"/>
      <c r="C67" s="214" t="str">
        <f>Параметры!$C$126</f>
        <v>тыс. руб.</v>
      </c>
      <c r="D67" s="121"/>
      <c r="E67" s="82">
        <f>MIN(0,E54)</f>
        <v>0</v>
      </c>
      <c r="F67" s="82">
        <f t="shared" ref="F67:AR67" ca="1" si="91">MIN(0,F54)</f>
        <v>0</v>
      </c>
      <c r="G67" s="82">
        <f t="shared" ca="1" si="91"/>
        <v>0</v>
      </c>
      <c r="H67" s="82">
        <f t="shared" ca="1" si="91"/>
        <v>0</v>
      </c>
      <c r="I67" s="82">
        <f t="shared" ca="1" si="91"/>
        <v>0</v>
      </c>
      <c r="J67" s="82">
        <f t="shared" ca="1" si="91"/>
        <v>-1000.0318861108526</v>
      </c>
      <c r="K67" s="82">
        <f t="shared" ca="1" si="91"/>
        <v>-1000.0318861108526</v>
      </c>
      <c r="L67" s="82">
        <f t="shared" ca="1" si="91"/>
        <v>-1009.441750841768</v>
      </c>
      <c r="M67" s="82">
        <f t="shared" ca="1" si="91"/>
        <v>-1018.9401583036547</v>
      </c>
      <c r="N67" s="82">
        <f t="shared" ca="1" si="91"/>
        <v>-1028.5279416450671</v>
      </c>
      <c r="O67" s="82">
        <f t="shared" ca="1" si="91"/>
        <v>-9789.8628804723394</v>
      </c>
      <c r="P67" s="82">
        <f t="shared" ca="1" si="91"/>
        <v>-1594.6509547354606</v>
      </c>
      <c r="Q67" s="82">
        <f t="shared" ca="1" si="91"/>
        <v>-1612.4299840332176</v>
      </c>
      <c r="R67" s="82">
        <f t="shared" ca="1" si="91"/>
        <v>-1630.4072346921009</v>
      </c>
      <c r="S67" s="82">
        <f t="shared" ca="1" si="91"/>
        <v>-6213.4515893743246</v>
      </c>
      <c r="T67" s="82">
        <f t="shared" ca="1" si="91"/>
        <v>-27253.662425870105</v>
      </c>
      <c r="U67" s="82">
        <f t="shared" ca="1" si="91"/>
        <v>-33048.408915747459</v>
      </c>
      <c r="V67" s="82">
        <f t="shared" ca="1" si="91"/>
        <v>-33376.232728754119</v>
      </c>
      <c r="W67" s="82">
        <f t="shared" ca="1" si="91"/>
        <v>-106640.07890610778</v>
      </c>
      <c r="X67" s="82">
        <f t="shared" ca="1" si="91"/>
        <v>-40289.666342360943</v>
      </c>
      <c r="Y67" s="82">
        <f t="shared" ca="1" si="91"/>
        <v>-40870.272412639461</v>
      </c>
      <c r="Z67" s="82">
        <f t="shared" ca="1" si="91"/>
        <v>-58019.532144945959</v>
      </c>
      <c r="AA67" s="82">
        <f t="shared" ca="1" si="91"/>
        <v>-41854.369857254555</v>
      </c>
      <c r="AB67" s="82">
        <f t="shared" ca="1" si="91"/>
        <v>0</v>
      </c>
      <c r="AC67" s="82">
        <f t="shared" ca="1" si="91"/>
        <v>0</v>
      </c>
      <c r="AD67" s="82">
        <f t="shared" ca="1" si="91"/>
        <v>0</v>
      </c>
      <c r="AE67" s="82">
        <f t="shared" ca="1" si="91"/>
        <v>0</v>
      </c>
      <c r="AF67" s="82">
        <f t="shared" ca="1" si="91"/>
        <v>0</v>
      </c>
      <c r="AG67" s="82">
        <f t="shared" ca="1" si="91"/>
        <v>0</v>
      </c>
      <c r="AH67" s="82">
        <f t="shared" ca="1" si="91"/>
        <v>0</v>
      </c>
      <c r="AI67" s="82">
        <f t="shared" ca="1" si="91"/>
        <v>0</v>
      </c>
      <c r="AJ67" s="82">
        <f t="shared" ca="1" si="91"/>
        <v>0</v>
      </c>
      <c r="AK67" s="82">
        <f t="shared" ca="1" si="91"/>
        <v>0</v>
      </c>
      <c r="AL67" s="82">
        <f t="shared" ca="1" si="91"/>
        <v>0</v>
      </c>
      <c r="AM67" s="82">
        <f t="shared" ca="1" si="91"/>
        <v>0</v>
      </c>
      <c r="AN67" s="82">
        <f t="shared" ca="1" si="91"/>
        <v>0</v>
      </c>
      <c r="AO67" s="82">
        <f t="shared" ca="1" si="91"/>
        <v>0</v>
      </c>
      <c r="AP67" s="82">
        <f t="shared" ca="1" si="91"/>
        <v>0</v>
      </c>
      <c r="AQ67" s="82">
        <f t="shared" ca="1" si="91"/>
        <v>0</v>
      </c>
      <c r="AR67" s="82">
        <f t="shared" ca="1" si="91"/>
        <v>0</v>
      </c>
      <c r="AT67" s="30">
        <f ca="1">SUM(E67:AS67)</f>
        <v>-407250</v>
      </c>
    </row>
    <row r="68" spans="1:46" x14ac:dyDescent="0.2">
      <c r="A68" s="44"/>
      <c r="D68" s="40"/>
    </row>
    <row r="69" spans="1:46" x14ac:dyDescent="0.2">
      <c r="A69" s="52" t="s">
        <v>417</v>
      </c>
      <c r="B69" s="181" t="str">
        <f ca="1">IF(B70&gt;0, AT71/12, "-")</f>
        <v>-</v>
      </c>
      <c r="C69" s="12" t="str">
        <f>C73</f>
        <v>лет</v>
      </c>
      <c r="D69" s="40"/>
    </row>
    <row r="70" spans="1:46" outlineLevel="1" x14ac:dyDescent="0.2">
      <c r="A70" s="49" t="s">
        <v>472</v>
      </c>
      <c r="B70" s="182">
        <f ca="1">MAX(E70:AS70)</f>
        <v>0</v>
      </c>
      <c r="C70" s="12" t="s">
        <v>19</v>
      </c>
      <c r="D70" s="40"/>
      <c r="E70" s="183">
        <f>IF(E$2&gt;1,IF(AND(D55&lt;0,E55&gt;=0),E$2,0),0)</f>
        <v>0</v>
      </c>
      <c r="F70" s="183">
        <f t="shared" ref="F70:AR70" ca="1" si="92">IF(F$2&gt;1,IF(AND(E55&lt;0,F55&gt;=0),F$2,0),0)</f>
        <v>0</v>
      </c>
      <c r="G70" s="183">
        <f t="shared" ca="1" si="92"/>
        <v>0</v>
      </c>
      <c r="H70" s="183">
        <f t="shared" ca="1" si="92"/>
        <v>0</v>
      </c>
      <c r="I70" s="183">
        <f t="shared" ca="1" si="92"/>
        <v>0</v>
      </c>
      <c r="J70" s="183">
        <f t="shared" ca="1" si="92"/>
        <v>0</v>
      </c>
      <c r="K70" s="183">
        <f t="shared" ca="1" si="92"/>
        <v>0</v>
      </c>
      <c r="L70" s="183">
        <f t="shared" ca="1" si="92"/>
        <v>0</v>
      </c>
      <c r="M70" s="183">
        <f t="shared" ca="1" si="92"/>
        <v>0</v>
      </c>
      <c r="N70" s="183">
        <f t="shared" ca="1" si="92"/>
        <v>0</v>
      </c>
      <c r="O70" s="183">
        <f t="shared" ca="1" si="92"/>
        <v>0</v>
      </c>
      <c r="P70" s="183">
        <f t="shared" ca="1" si="92"/>
        <v>0</v>
      </c>
      <c r="Q70" s="183">
        <f t="shared" ca="1" si="92"/>
        <v>0</v>
      </c>
      <c r="R70" s="183">
        <f t="shared" ca="1" si="92"/>
        <v>0</v>
      </c>
      <c r="S70" s="183">
        <f t="shared" ca="1" si="92"/>
        <v>0</v>
      </c>
      <c r="T70" s="183">
        <f t="shared" ca="1" si="92"/>
        <v>0</v>
      </c>
      <c r="U70" s="183">
        <f t="shared" ca="1" si="92"/>
        <v>0</v>
      </c>
      <c r="V70" s="183">
        <f t="shared" ca="1" si="92"/>
        <v>0</v>
      </c>
      <c r="W70" s="183">
        <f t="shared" ca="1" si="92"/>
        <v>0</v>
      </c>
      <c r="X70" s="183">
        <f t="shared" ca="1" si="92"/>
        <v>0</v>
      </c>
      <c r="Y70" s="183">
        <f t="shared" ca="1" si="92"/>
        <v>0</v>
      </c>
      <c r="Z70" s="183">
        <f t="shared" ca="1" si="92"/>
        <v>0</v>
      </c>
      <c r="AA70" s="183">
        <f t="shared" ca="1" si="92"/>
        <v>0</v>
      </c>
      <c r="AB70" s="183">
        <f t="shared" ca="1" si="92"/>
        <v>0</v>
      </c>
      <c r="AC70" s="183">
        <f t="shared" ca="1" si="92"/>
        <v>0</v>
      </c>
      <c r="AD70" s="183">
        <f t="shared" ca="1" si="92"/>
        <v>0</v>
      </c>
      <c r="AE70" s="183">
        <f t="shared" ca="1" si="92"/>
        <v>0</v>
      </c>
      <c r="AF70" s="183">
        <f t="shared" ca="1" si="92"/>
        <v>0</v>
      </c>
      <c r="AG70" s="183">
        <f t="shared" ca="1" si="92"/>
        <v>0</v>
      </c>
      <c r="AH70" s="183">
        <f t="shared" ca="1" si="92"/>
        <v>0</v>
      </c>
      <c r="AI70" s="183">
        <f t="shared" ca="1" si="92"/>
        <v>0</v>
      </c>
      <c r="AJ70" s="183">
        <f t="shared" ca="1" si="92"/>
        <v>0</v>
      </c>
      <c r="AK70" s="183">
        <f t="shared" ca="1" si="92"/>
        <v>0</v>
      </c>
      <c r="AL70" s="183">
        <f t="shared" ca="1" si="92"/>
        <v>0</v>
      </c>
      <c r="AM70" s="183">
        <f t="shared" ca="1" si="92"/>
        <v>0</v>
      </c>
      <c r="AN70" s="183">
        <f t="shared" ca="1" si="92"/>
        <v>0</v>
      </c>
      <c r="AO70" s="183">
        <f t="shared" ca="1" si="92"/>
        <v>0</v>
      </c>
      <c r="AP70" s="183">
        <f t="shared" ca="1" si="92"/>
        <v>0</v>
      </c>
      <c r="AQ70" s="183">
        <f t="shared" ca="1" si="92"/>
        <v>0</v>
      </c>
      <c r="AR70" s="183">
        <f t="shared" ca="1" si="92"/>
        <v>0</v>
      </c>
      <c r="AS70" s="184"/>
      <c r="AT70" s="184"/>
    </row>
    <row r="71" spans="1:46" outlineLevel="1" x14ac:dyDescent="0.2">
      <c r="A71" s="70" t="s">
        <v>192</v>
      </c>
      <c r="B71" s="185">
        <f>AT71</f>
        <v>0</v>
      </c>
      <c r="C71" s="12" t="str">
        <f>C75</f>
        <v>мес.</v>
      </c>
      <c r="D71" s="40"/>
      <c r="E71" s="184">
        <f ca="1">IF(E$2&lt;$B70,Параметры!E$40,IF(E$2=$B70,-D55/(E55-D55)*Параметры!E$40,0))</f>
        <v>0</v>
      </c>
      <c r="F71" s="184">
        <f ca="1">IF(F$2&lt;$B70,Параметры!F$40,IF(F$2=$B70,-E55/(F55-E55)*Параметры!F$40,0))</f>
        <v>0</v>
      </c>
      <c r="G71" s="184">
        <f ca="1">IF(G$2&lt;$B70,Параметры!G$40,IF(G$2=$B70,-F55/(G55-F55)*Параметры!G$40,0))</f>
        <v>0</v>
      </c>
      <c r="H71" s="184">
        <f ca="1">IF(H$2&lt;$B70,Параметры!H$40,IF(H$2=$B70,-G55/(H55-G55)*Параметры!H$40,0))</f>
        <v>0</v>
      </c>
      <c r="I71" s="184">
        <f ca="1">IF(I$2&lt;$B70,Параметры!I$40,IF(I$2=$B70,-H55/(I55-H55)*Параметры!I$40,0))</f>
        <v>0</v>
      </c>
      <c r="J71" s="184">
        <f ca="1">IF(J$2&lt;$B70,Параметры!J$40,IF(J$2=$B70,-I55/(J55-I55)*Параметры!J$40,0))</f>
        <v>0</v>
      </c>
      <c r="K71" s="184">
        <f ca="1">IF(K$2&lt;$B70,Параметры!K$40,IF(K$2=$B70,-J55/(K55-J55)*Параметры!K$40,0))</f>
        <v>0</v>
      </c>
      <c r="L71" s="184">
        <f ca="1">IF(L$2&lt;$B70,Параметры!L$40,IF(L$2=$B70,-K55/(L55-K55)*Параметры!L$40,0))</f>
        <v>0</v>
      </c>
      <c r="M71" s="184">
        <f ca="1">IF(M$2&lt;$B70,Параметры!M$40,IF(M$2=$B70,-L55/(M55-L55)*Параметры!M$40,0))</f>
        <v>0</v>
      </c>
      <c r="N71" s="184">
        <f ca="1">IF(N$2&lt;$B70,Параметры!N$40,IF(N$2=$B70,-M55/(N55-M55)*Параметры!N$40,0))</f>
        <v>0</v>
      </c>
      <c r="O71" s="184">
        <f ca="1">IF(O$2&lt;$B70,Параметры!O$40,IF(O$2=$B70,-N55/(O55-N55)*Параметры!O$40,0))</f>
        <v>0</v>
      </c>
      <c r="P71" s="184">
        <f ca="1">IF(P$2&lt;$B70,Параметры!P$40,IF(P$2=$B70,-O55/(P55-O55)*Параметры!P$40,0))</f>
        <v>0</v>
      </c>
      <c r="Q71" s="184">
        <f ca="1">IF(Q$2&lt;$B70,Параметры!Q$40,IF(Q$2=$B70,-P55/(Q55-P55)*Параметры!Q$40,0))</f>
        <v>0</v>
      </c>
      <c r="R71" s="184">
        <f ca="1">IF(R$2&lt;$B70,Параметры!R$40,IF(R$2=$B70,-Q55/(R55-Q55)*Параметры!R$40,0))</f>
        <v>0</v>
      </c>
      <c r="S71" s="184">
        <f ca="1">IF(S$2&lt;$B70,Параметры!S$40,IF(S$2=$B70,-R55/(S55-R55)*Параметры!S$40,0))</f>
        <v>0</v>
      </c>
      <c r="T71" s="184">
        <f ca="1">IF(T$2&lt;$B70,Параметры!T$40,IF(T$2=$B70,-S55/(T55-S55)*Параметры!T$40,0))</f>
        <v>0</v>
      </c>
      <c r="U71" s="184">
        <f ca="1">IF(U$2&lt;$B70,Параметры!U$40,IF(U$2=$B70,-T55/(U55-T55)*Параметры!U$40,0))</f>
        <v>0</v>
      </c>
      <c r="V71" s="184">
        <f ca="1">IF(V$2&lt;$B70,Параметры!V$40,IF(V$2=$B70,-U55/(V55-U55)*Параметры!V$40,0))</f>
        <v>0</v>
      </c>
      <c r="W71" s="184">
        <f ca="1">IF(W$2&lt;$B70,Параметры!W$40,IF(W$2=$B70,-V55/(W55-V55)*Параметры!W$40,0))</f>
        <v>0</v>
      </c>
      <c r="X71" s="184">
        <f ca="1">IF(X$2&lt;$B70,Параметры!X$40,IF(X$2=$B70,-W55/(X55-W55)*Параметры!X$40,0))</f>
        <v>0</v>
      </c>
      <c r="Y71" s="184">
        <f ca="1">IF(Y$2&lt;$B70,Параметры!Y$40,IF(Y$2=$B70,-X55/(Y55-X55)*Параметры!Y$40,0))</f>
        <v>0</v>
      </c>
      <c r="Z71" s="184">
        <f ca="1">IF(Z$2&lt;$B70,Параметры!Z$40,IF(Z$2=$B70,-Y55/(Z55-Y55)*Параметры!Z$40,0))</f>
        <v>0</v>
      </c>
      <c r="AA71" s="184">
        <f ca="1">IF(AA$2&lt;$B70,Параметры!AA$40,IF(AA$2=$B70,-Z55/(AA55-Z55)*Параметры!AA$40,0))</f>
        <v>0</v>
      </c>
      <c r="AB71" s="184">
        <f ca="1">IF(AB$2&lt;$B70,Параметры!AB$40,IF(AB$2=$B70,-AA55/(AB55-AA55)*Параметры!AB$40,0))</f>
        <v>0</v>
      </c>
      <c r="AC71" s="184">
        <f ca="1">IF(AC$2&lt;$B70,Параметры!AC$40,IF(AC$2=$B70,-AB55/(AC55-AB55)*Параметры!AC$40,0))</f>
        <v>0</v>
      </c>
      <c r="AD71" s="184">
        <f ca="1">IF(AD$2&lt;$B70,Параметры!AD$40,IF(AD$2=$B70,-AC55/(AD55-AC55)*Параметры!AD$40,0))</f>
        <v>0</v>
      </c>
      <c r="AE71" s="184">
        <f ca="1">IF(AE$2&lt;$B70,Параметры!AE$40,IF(AE$2=$B70,-AD55/(AE55-AD55)*Параметры!AE$40,0))</f>
        <v>0</v>
      </c>
      <c r="AF71" s="184">
        <f ca="1">IF(AF$2&lt;$B70,Параметры!AF$40,IF(AF$2=$B70,-AE55/(AF55-AE55)*Параметры!AF$40,0))</f>
        <v>0</v>
      </c>
      <c r="AG71" s="184">
        <f ca="1">IF(AG$2&lt;$B70,Параметры!AG$40,IF(AG$2=$B70,-AF55/(AG55-AF55)*Параметры!AG$40,0))</f>
        <v>0</v>
      </c>
      <c r="AH71" s="184">
        <f ca="1">IF(AH$2&lt;$B70,Параметры!AH$40,IF(AH$2=$B70,-AG55/(AH55-AG55)*Параметры!AH$40,0))</f>
        <v>0</v>
      </c>
      <c r="AI71" s="184">
        <f ca="1">IF(AI$2&lt;$B70,Параметры!AI$40,IF(AI$2=$B70,-AH55/(AI55-AH55)*Параметры!AI$40,0))</f>
        <v>0</v>
      </c>
      <c r="AJ71" s="184">
        <f ca="1">IF(AJ$2&lt;$B70,Параметры!AJ$40,IF(AJ$2=$B70,-AI55/(AJ55-AI55)*Параметры!AJ$40,0))</f>
        <v>0</v>
      </c>
      <c r="AK71" s="184">
        <f ca="1">IF(AK$2&lt;$B70,Параметры!AK$40,IF(AK$2=$B70,-AJ55/(AK55-AJ55)*Параметры!AK$40,0))</f>
        <v>0</v>
      </c>
      <c r="AL71" s="184">
        <f ca="1">IF(AL$2&lt;$B70,Параметры!AL$40,IF(AL$2=$B70,-AK55/(AL55-AK55)*Параметры!AL$40,0))</f>
        <v>0</v>
      </c>
      <c r="AM71" s="184">
        <f ca="1">IF(AM$2&lt;$B70,Параметры!AM$40,IF(AM$2=$B70,-AL55/(AM55-AL55)*Параметры!AM$40,0))</f>
        <v>0</v>
      </c>
      <c r="AN71" s="184">
        <f ca="1">IF(AN$2&lt;$B70,Параметры!AN$40,IF(AN$2=$B70,-AM55/(AN55-AM55)*Параметры!AN$40,0))</f>
        <v>0</v>
      </c>
      <c r="AO71" s="184">
        <f ca="1">IF(AO$2&lt;$B70,Параметры!AO$40,IF(AO$2=$B70,-AN55/(AO55-AN55)*Параметры!AO$40,0))</f>
        <v>0</v>
      </c>
      <c r="AP71" s="184">
        <f ca="1">IF(AP$2&lt;$B70,Параметры!AP$40,IF(AP$2=$B70,-AO55/(AP55-AO55)*Параметры!AP$40,0))</f>
        <v>0</v>
      </c>
      <c r="AQ71" s="184">
        <f ca="1">IF(AQ$2&lt;$B70,Параметры!AQ$40,IF(AQ$2=$B70,-AP55/(AQ55-AP55)*Параметры!AQ$40,0))</f>
        <v>0</v>
      </c>
      <c r="AR71" s="184">
        <f ca="1">IF(AR$2&lt;$B70,Параметры!AR$40,IF(AR$2=$B70,-AQ55/(AR55-AQ55)*Параметры!AR$40,0))</f>
        <v>0</v>
      </c>
      <c r="AS71" s="184"/>
      <c r="AT71" s="186"/>
    </row>
    <row r="72" spans="1:46" x14ac:dyDescent="0.2">
      <c r="A72" s="44"/>
      <c r="D72" s="40"/>
    </row>
    <row r="73" spans="1:46" x14ac:dyDescent="0.2">
      <c r="A73" s="52" t="s">
        <v>418</v>
      </c>
      <c r="B73" s="181" t="str">
        <f ca="1">IF(B74&gt;0, AT75/12, "-")</f>
        <v>-</v>
      </c>
      <c r="C73" s="12" t="s">
        <v>2</v>
      </c>
      <c r="D73" s="40"/>
    </row>
    <row r="74" spans="1:46" outlineLevel="1" x14ac:dyDescent="0.2">
      <c r="A74" s="49" t="s">
        <v>472</v>
      </c>
      <c r="B74" s="182">
        <f ca="1">MAX(E74:AS74)</f>
        <v>0</v>
      </c>
      <c r="C74" s="12" t="s">
        <v>19</v>
      </c>
      <c r="D74" s="40"/>
      <c r="E74" s="183">
        <f>IF(E$2&gt;1,IF(AND(D58&lt;0,E58&gt;=0),E$2,0),0)</f>
        <v>0</v>
      </c>
      <c r="F74" s="183">
        <f t="shared" ref="F74:AR74" ca="1" si="93">IF(F$2&gt;1,IF(AND(E58&lt;0,F58&gt;=0),F$2,0),0)</f>
        <v>0</v>
      </c>
      <c r="G74" s="183">
        <f t="shared" ca="1" si="93"/>
        <v>0</v>
      </c>
      <c r="H74" s="183">
        <f t="shared" ca="1" si="93"/>
        <v>0</v>
      </c>
      <c r="I74" s="183">
        <f t="shared" ca="1" si="93"/>
        <v>0</v>
      </c>
      <c r="J74" s="183">
        <f t="shared" ca="1" si="93"/>
        <v>0</v>
      </c>
      <c r="K74" s="183">
        <f t="shared" ca="1" si="93"/>
        <v>0</v>
      </c>
      <c r="L74" s="183">
        <f t="shared" ca="1" si="93"/>
        <v>0</v>
      </c>
      <c r="M74" s="183">
        <f t="shared" ca="1" si="93"/>
        <v>0</v>
      </c>
      <c r="N74" s="183">
        <f t="shared" ca="1" si="93"/>
        <v>0</v>
      </c>
      <c r="O74" s="183">
        <f t="shared" ca="1" si="93"/>
        <v>0</v>
      </c>
      <c r="P74" s="183">
        <f t="shared" ca="1" si="93"/>
        <v>0</v>
      </c>
      <c r="Q74" s="183">
        <f t="shared" ca="1" si="93"/>
        <v>0</v>
      </c>
      <c r="R74" s="183">
        <f t="shared" ca="1" si="93"/>
        <v>0</v>
      </c>
      <c r="S74" s="183">
        <f t="shared" ca="1" si="93"/>
        <v>0</v>
      </c>
      <c r="T74" s="183">
        <f t="shared" ca="1" si="93"/>
        <v>0</v>
      </c>
      <c r="U74" s="183">
        <f t="shared" ca="1" si="93"/>
        <v>0</v>
      </c>
      <c r="V74" s="183">
        <f t="shared" ca="1" si="93"/>
        <v>0</v>
      </c>
      <c r="W74" s="183">
        <f t="shared" ca="1" si="93"/>
        <v>0</v>
      </c>
      <c r="X74" s="183">
        <f t="shared" ca="1" si="93"/>
        <v>0</v>
      </c>
      <c r="Y74" s="183">
        <f t="shared" ca="1" si="93"/>
        <v>0</v>
      </c>
      <c r="Z74" s="183">
        <f t="shared" ca="1" si="93"/>
        <v>0</v>
      </c>
      <c r="AA74" s="183">
        <f t="shared" ca="1" si="93"/>
        <v>0</v>
      </c>
      <c r="AB74" s="183">
        <f t="shared" ca="1" si="93"/>
        <v>0</v>
      </c>
      <c r="AC74" s="183">
        <f t="shared" ca="1" si="93"/>
        <v>0</v>
      </c>
      <c r="AD74" s="183">
        <f t="shared" ca="1" si="93"/>
        <v>0</v>
      </c>
      <c r="AE74" s="183">
        <f t="shared" ca="1" si="93"/>
        <v>0</v>
      </c>
      <c r="AF74" s="183">
        <f t="shared" ca="1" si="93"/>
        <v>0</v>
      </c>
      <c r="AG74" s="183">
        <f t="shared" ca="1" si="93"/>
        <v>0</v>
      </c>
      <c r="AH74" s="183">
        <f t="shared" ca="1" si="93"/>
        <v>0</v>
      </c>
      <c r="AI74" s="183">
        <f t="shared" ca="1" si="93"/>
        <v>0</v>
      </c>
      <c r="AJ74" s="183">
        <f t="shared" ca="1" si="93"/>
        <v>0</v>
      </c>
      <c r="AK74" s="183">
        <f t="shared" ca="1" si="93"/>
        <v>0</v>
      </c>
      <c r="AL74" s="183">
        <f t="shared" ca="1" si="93"/>
        <v>0</v>
      </c>
      <c r="AM74" s="183">
        <f t="shared" ca="1" si="93"/>
        <v>0</v>
      </c>
      <c r="AN74" s="183">
        <f t="shared" ca="1" si="93"/>
        <v>0</v>
      </c>
      <c r="AO74" s="183">
        <f t="shared" ca="1" si="93"/>
        <v>0</v>
      </c>
      <c r="AP74" s="183">
        <f t="shared" ca="1" si="93"/>
        <v>0</v>
      </c>
      <c r="AQ74" s="183">
        <f t="shared" ca="1" si="93"/>
        <v>0</v>
      </c>
      <c r="AR74" s="183">
        <f t="shared" ca="1" si="93"/>
        <v>0</v>
      </c>
      <c r="AS74" s="184"/>
      <c r="AT74" s="184"/>
    </row>
    <row r="75" spans="1:46" outlineLevel="1" x14ac:dyDescent="0.2">
      <c r="A75" s="70" t="s">
        <v>192</v>
      </c>
      <c r="B75" s="185">
        <f ca="1">AT75</f>
        <v>0</v>
      </c>
      <c r="C75" s="12" t="s">
        <v>17</v>
      </c>
      <c r="D75" s="40"/>
      <c r="E75" s="184">
        <f ca="1">IF(E$2&lt;$B74,Параметры!E$40,IF(E$2=$B74,-D58/(E58-D58)*Параметры!E$40,0))</f>
        <v>0</v>
      </c>
      <c r="F75" s="184">
        <f ca="1">IF(F$2&lt;$B74,Параметры!F$40,IF(F$2=$B74,-E58/(F58-E58)*Параметры!F$40,0))</f>
        <v>0</v>
      </c>
      <c r="G75" s="184">
        <f ca="1">IF(G$2&lt;$B74,Параметры!G$40,IF(G$2=$B74,-F58/(G58-F58)*Параметры!G$40,0))</f>
        <v>0</v>
      </c>
      <c r="H75" s="184">
        <f ca="1">IF(H$2&lt;$B74,Параметры!H$40,IF(H$2=$B74,-G58/(H58-G58)*Параметры!H$40,0))</f>
        <v>0</v>
      </c>
      <c r="I75" s="184">
        <f ca="1">IF(I$2&lt;$B74,Параметры!I$40,IF(I$2=$B74,-H58/(I58-H58)*Параметры!I$40,0))</f>
        <v>0</v>
      </c>
      <c r="J75" s="184">
        <f ca="1">IF(J$2&lt;$B74,Параметры!J$40,IF(J$2=$B74,-I58/(J58-I58)*Параметры!J$40,0))</f>
        <v>0</v>
      </c>
      <c r="K75" s="184">
        <f ca="1">IF(K$2&lt;$B74,Параметры!K$40,IF(K$2=$B74,-J58/(K58-J58)*Параметры!K$40,0))</f>
        <v>0</v>
      </c>
      <c r="L75" s="184">
        <f ca="1">IF(L$2&lt;$B74,Параметры!L$40,IF(L$2=$B74,-K58/(L58-K58)*Параметры!L$40,0))</f>
        <v>0</v>
      </c>
      <c r="M75" s="184">
        <f ca="1">IF(M$2&lt;$B74,Параметры!M$40,IF(M$2=$B74,-L58/(M58-L58)*Параметры!M$40,0))</f>
        <v>0</v>
      </c>
      <c r="N75" s="184">
        <f ca="1">IF(N$2&lt;$B74,Параметры!N$40,IF(N$2=$B74,-M58/(N58-M58)*Параметры!N$40,0))</f>
        <v>0</v>
      </c>
      <c r="O75" s="184">
        <f ca="1">IF(O$2&lt;$B74,Параметры!O$40,IF(O$2=$B74,-N58/(O58-N58)*Параметры!O$40,0))</f>
        <v>0</v>
      </c>
      <c r="P75" s="184">
        <f ca="1">IF(P$2&lt;$B74,Параметры!P$40,IF(P$2=$B74,-O58/(P58-O58)*Параметры!P$40,0))</f>
        <v>0</v>
      </c>
      <c r="Q75" s="184">
        <f ca="1">IF(Q$2&lt;$B74,Параметры!Q$40,IF(Q$2=$B74,-P58/(Q58-P58)*Параметры!Q$40,0))</f>
        <v>0</v>
      </c>
      <c r="R75" s="184">
        <f ca="1">IF(R$2&lt;$B74,Параметры!R$40,IF(R$2=$B74,-Q58/(R58-Q58)*Параметры!R$40,0))</f>
        <v>0</v>
      </c>
      <c r="S75" s="184">
        <f ca="1">IF(S$2&lt;$B74,Параметры!S$40,IF(S$2=$B74,-R58/(S58-R58)*Параметры!S$40,0))</f>
        <v>0</v>
      </c>
      <c r="T75" s="184">
        <f ca="1">IF(T$2&lt;$B74,Параметры!T$40,IF(T$2=$B74,-S58/(T58-S58)*Параметры!T$40,0))</f>
        <v>0</v>
      </c>
      <c r="U75" s="184">
        <f ca="1">IF(U$2&lt;$B74,Параметры!U$40,IF(U$2=$B74,-T58/(U58-T58)*Параметры!U$40,0))</f>
        <v>0</v>
      </c>
      <c r="V75" s="184">
        <f ca="1">IF(V$2&lt;$B74,Параметры!V$40,IF(V$2=$B74,-U58/(V58-U58)*Параметры!V$40,0))</f>
        <v>0</v>
      </c>
      <c r="W75" s="184">
        <f ca="1">IF(W$2&lt;$B74,Параметры!W$40,IF(W$2=$B74,-V58/(W58-V58)*Параметры!W$40,0))</f>
        <v>0</v>
      </c>
      <c r="X75" s="184">
        <f ca="1">IF(X$2&lt;$B74,Параметры!X$40,IF(X$2=$B74,-W58/(X58-W58)*Параметры!X$40,0))</f>
        <v>0</v>
      </c>
      <c r="Y75" s="184">
        <f ca="1">IF(Y$2&lt;$B74,Параметры!Y$40,IF(Y$2=$B74,-X58/(Y58-X58)*Параметры!Y$40,0))</f>
        <v>0</v>
      </c>
      <c r="Z75" s="184">
        <f ca="1">IF(Z$2&lt;$B74,Параметры!Z$40,IF(Z$2=$B74,-Y58/(Z58-Y58)*Параметры!Z$40,0))</f>
        <v>0</v>
      </c>
      <c r="AA75" s="184">
        <f ca="1">IF(AA$2&lt;$B74,Параметры!AA$40,IF(AA$2=$B74,-Z58/(AA58-Z58)*Параметры!AA$40,0))</f>
        <v>0</v>
      </c>
      <c r="AB75" s="184">
        <f ca="1">IF(AB$2&lt;$B74,Параметры!AB$40,IF(AB$2=$B74,-AA58/(AB58-AA58)*Параметры!AB$40,0))</f>
        <v>0</v>
      </c>
      <c r="AC75" s="184">
        <f ca="1">IF(AC$2&lt;$B74,Параметры!AC$40,IF(AC$2=$B74,-AB58/(AC58-AB58)*Параметры!AC$40,0))</f>
        <v>0</v>
      </c>
      <c r="AD75" s="184">
        <f ca="1">IF(AD$2&lt;$B74,Параметры!AD$40,IF(AD$2=$B74,-AC58/(AD58-AC58)*Параметры!AD$40,0))</f>
        <v>0</v>
      </c>
      <c r="AE75" s="184">
        <f ca="1">IF(AE$2&lt;$B74,Параметры!AE$40,IF(AE$2=$B74,-AD58/(AE58-AD58)*Параметры!AE$40,0))</f>
        <v>0</v>
      </c>
      <c r="AF75" s="184">
        <f ca="1">IF(AF$2&lt;$B74,Параметры!AF$40,IF(AF$2=$B74,-AE58/(AF58-AE58)*Параметры!AF$40,0))</f>
        <v>0</v>
      </c>
      <c r="AG75" s="184">
        <f ca="1">IF(AG$2&lt;$B74,Параметры!AG$40,IF(AG$2=$B74,-AF58/(AG58-AF58)*Параметры!AG$40,0))</f>
        <v>0</v>
      </c>
      <c r="AH75" s="184">
        <f ca="1">IF(AH$2&lt;$B74,Параметры!AH$40,IF(AH$2=$B74,-AG58/(AH58-AG58)*Параметры!AH$40,0))</f>
        <v>0</v>
      </c>
      <c r="AI75" s="184">
        <f ca="1">IF(AI$2&lt;$B74,Параметры!AI$40,IF(AI$2=$B74,-AH58/(AI58-AH58)*Параметры!AI$40,0))</f>
        <v>0</v>
      </c>
      <c r="AJ75" s="184">
        <f ca="1">IF(AJ$2&lt;$B74,Параметры!AJ$40,IF(AJ$2=$B74,-AI58/(AJ58-AI58)*Параметры!AJ$40,0))</f>
        <v>0</v>
      </c>
      <c r="AK75" s="184">
        <f ca="1">IF(AK$2&lt;$B74,Параметры!AK$40,IF(AK$2=$B74,-AJ58/(AK58-AJ58)*Параметры!AK$40,0))</f>
        <v>0</v>
      </c>
      <c r="AL75" s="184">
        <f ca="1">IF(AL$2&lt;$B74,Параметры!AL$40,IF(AL$2=$B74,-AK58/(AL58-AK58)*Параметры!AL$40,0))</f>
        <v>0</v>
      </c>
      <c r="AM75" s="184">
        <f ca="1">IF(AM$2&lt;$B74,Параметры!AM$40,IF(AM$2=$B74,-AL58/(AM58-AL58)*Параметры!AM$40,0))</f>
        <v>0</v>
      </c>
      <c r="AN75" s="184">
        <f ca="1">IF(AN$2&lt;$B74,Параметры!AN$40,IF(AN$2=$B74,-AM58/(AN58-AM58)*Параметры!AN$40,0))</f>
        <v>0</v>
      </c>
      <c r="AO75" s="184">
        <f ca="1">IF(AO$2&lt;$B74,Параметры!AO$40,IF(AO$2=$B74,-AN58/(AO58-AN58)*Параметры!AO$40,0))</f>
        <v>0</v>
      </c>
      <c r="AP75" s="184">
        <f ca="1">IF(AP$2&lt;$B74,Параметры!AP$40,IF(AP$2=$B74,-AO58/(AP58-AO58)*Параметры!AP$40,0))</f>
        <v>0</v>
      </c>
      <c r="AQ75" s="184">
        <f ca="1">IF(AQ$2&lt;$B74,Параметры!AQ$40,IF(AQ$2=$B74,-AP58/(AQ58-AP58)*Параметры!AQ$40,0))</f>
        <v>0</v>
      </c>
      <c r="AR75" s="184">
        <f ca="1">IF(AR$2&lt;$B74,Параметры!AR$40,IF(AR$2=$B74,-AQ58/(AR58-AQ58)*Параметры!AR$40,0))</f>
        <v>0</v>
      </c>
      <c r="AS75" s="184"/>
      <c r="AT75" s="186">
        <f ca="1">SUM(E75:AS75)</f>
        <v>0</v>
      </c>
    </row>
    <row r="76" spans="1:46" x14ac:dyDescent="0.2">
      <c r="A76" s="45"/>
      <c r="B76" s="170"/>
      <c r="C76" s="14"/>
      <c r="D76" s="47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</row>
    <row r="78" spans="1:46" ht="12" thickBot="1" x14ac:dyDescent="0.25"/>
    <row r="79" spans="1:46" s="43" customFormat="1" ht="25.5" customHeight="1" thickBot="1" x14ac:dyDescent="0.25">
      <c r="A79" s="481" t="s">
        <v>735</v>
      </c>
      <c r="B79" s="479"/>
      <c r="C79" s="485"/>
      <c r="D79" s="486"/>
      <c r="E79" s="479" t="str">
        <f>CHOOSE($D$2,Параметры!E$53,Параметры!E$54)</f>
        <v>1 кв. 2020</v>
      </c>
      <c r="F79" s="479" t="str">
        <f>CHOOSE($D$2,Параметры!F$53,Параметры!F$54)</f>
        <v>2 кв. 2020</v>
      </c>
      <c r="G79" s="479" t="str">
        <f>CHOOSE($D$2,Параметры!G$53,Параметры!G$54)</f>
        <v>3 кв. 2020</v>
      </c>
      <c r="H79" s="479" t="str">
        <f>CHOOSE($D$2,Параметры!H$53,Параметры!H$54)</f>
        <v>4 кв. 2020</v>
      </c>
      <c r="I79" s="479" t="str">
        <f>CHOOSE($D$2,Параметры!I$53,Параметры!I$54)</f>
        <v>1 кв. 2021</v>
      </c>
      <c r="J79" s="479" t="str">
        <f>CHOOSE($D$2,Параметры!J$53,Параметры!J$54)</f>
        <v>2 кв. 2021</v>
      </c>
      <c r="K79" s="479" t="str">
        <f>CHOOSE($D$2,Параметры!K$53,Параметры!K$54)</f>
        <v>3 кв. 2021</v>
      </c>
      <c r="L79" s="479" t="str">
        <f>CHOOSE($D$2,Параметры!L$53,Параметры!L$54)</f>
        <v>4 кв. 2021</v>
      </c>
      <c r="M79" s="479" t="str">
        <f>CHOOSE($D$2,Параметры!M$53,Параметры!M$54)</f>
        <v>1 кв. 2022</v>
      </c>
      <c r="N79" s="479" t="str">
        <f>CHOOSE($D$2,Параметры!N$53,Параметры!N$54)</f>
        <v>2 кв. 2022</v>
      </c>
      <c r="O79" s="479" t="str">
        <f>CHOOSE($D$2,Параметры!O$53,Параметры!O$54)</f>
        <v>3 кв. 2022</v>
      </c>
      <c r="P79" s="479" t="str">
        <f>CHOOSE($D$2,Параметры!P$53,Параметры!P$54)</f>
        <v>4 кв. 2022</v>
      </c>
      <c r="Q79" s="479" t="str">
        <f>CHOOSE($D$2,Параметры!Q$53,Параметры!Q$54)</f>
        <v>1 кв. 2023</v>
      </c>
      <c r="R79" s="479" t="str">
        <f>CHOOSE($D$2,Параметры!R$53,Параметры!R$54)</f>
        <v>2 кв. 2023</v>
      </c>
      <c r="S79" s="479" t="str">
        <f>CHOOSE($D$2,Параметры!S$53,Параметры!S$54)</f>
        <v>3 кв. 2023</v>
      </c>
      <c r="T79" s="479" t="str">
        <f>CHOOSE($D$2,Параметры!T$53,Параметры!T$54)</f>
        <v>4 кв. 2023</v>
      </c>
      <c r="U79" s="479" t="str">
        <f>CHOOSE($D$2,Параметры!U$53,Параметры!U$54)</f>
        <v>1 кв. 2024</v>
      </c>
      <c r="V79" s="479" t="str">
        <f>CHOOSE($D$2,Параметры!V$53,Параметры!V$54)</f>
        <v>2 кв. 2024</v>
      </c>
      <c r="W79" s="479" t="str">
        <f>CHOOSE($D$2,Параметры!W$53,Параметры!W$54)</f>
        <v>3 кв. 2024</v>
      </c>
      <c r="X79" s="479" t="str">
        <f>CHOOSE($D$2,Параметры!X$53,Параметры!X$54)</f>
        <v>4 кв. 2024</v>
      </c>
      <c r="Y79" s="479" t="str">
        <f>CHOOSE($D$2,Параметры!Y$53,Параметры!Y$54)</f>
        <v>1 кв. 2025</v>
      </c>
      <c r="Z79" s="479" t="str">
        <f>CHOOSE($D$2,Параметры!Z$53,Параметры!Z$54)</f>
        <v>2 кв. 2025</v>
      </c>
      <c r="AA79" s="479" t="str">
        <f>CHOOSE($D$2,Параметры!AA$53,Параметры!AA$54)</f>
        <v>3 кв. 2025</v>
      </c>
      <c r="AB79" s="479" t="str">
        <f>CHOOSE($D$2,Параметры!AB$53,Параметры!AB$54)</f>
        <v>4 кв. 2025</v>
      </c>
      <c r="AC79" s="479" t="str">
        <f>CHOOSE($D$2,Параметры!AC$53,Параметры!AC$54)</f>
        <v>1 кв. 2026</v>
      </c>
      <c r="AD79" s="479" t="str">
        <f>CHOOSE($D$2,Параметры!AD$53,Параметры!AD$54)</f>
        <v>2 кв. 2026</v>
      </c>
      <c r="AE79" s="479" t="str">
        <f>CHOOSE($D$2,Параметры!AE$53,Параметры!AE$54)</f>
        <v>3 кв. 2026</v>
      </c>
      <c r="AF79" s="479" t="str">
        <f>CHOOSE($D$2,Параметры!AF$53,Параметры!AF$54)</f>
        <v>4 кв. 2026</v>
      </c>
      <c r="AG79" s="479" t="str">
        <f>CHOOSE($D$2,Параметры!AG$53,Параметры!AG$54)</f>
        <v>1 кв. 2027</v>
      </c>
      <c r="AH79" s="479" t="str">
        <f>CHOOSE($D$2,Параметры!AH$53,Параметры!AH$54)</f>
        <v>2 кв. 2027</v>
      </c>
      <c r="AI79" s="479" t="str">
        <f>CHOOSE($D$2,Параметры!AI$53,Параметры!AI$54)</f>
        <v>3 кв. 2027</v>
      </c>
      <c r="AJ79" s="479" t="str">
        <f>CHOOSE($D$2,Параметры!AJ$53,Параметры!AJ$54)</f>
        <v>4 кв. 2027</v>
      </c>
      <c r="AK79" s="479" t="str">
        <f>CHOOSE($D$2,Параметры!AK$53,Параметры!AK$54)</f>
        <v>1 кв. 2028</v>
      </c>
      <c r="AL79" s="479" t="str">
        <f>CHOOSE($D$2,Параметры!AL$53,Параметры!AL$54)</f>
        <v>2 кв. 2028</v>
      </c>
      <c r="AM79" s="479" t="str">
        <f>CHOOSE($D$2,Параметры!AM$53,Параметры!AM$54)</f>
        <v>3 кв. 2028</v>
      </c>
      <c r="AN79" s="479" t="str">
        <f>CHOOSE($D$2,Параметры!AN$53,Параметры!AN$54)</f>
        <v>4 кв. 2028</v>
      </c>
      <c r="AO79" s="479" t="str">
        <f>CHOOSE($D$2,Параметры!AO$53,Параметры!AO$54)</f>
        <v>1 кв. 2029</v>
      </c>
      <c r="AP79" s="479" t="str">
        <f>CHOOSE($D$2,Параметры!AP$53,Параметры!AP$54)</f>
        <v>2 кв. 2029</v>
      </c>
      <c r="AQ79" s="479" t="str">
        <f>CHOOSE($D$2,Параметры!AQ$53,Параметры!AQ$54)</f>
        <v>3 кв. 2029</v>
      </c>
      <c r="AR79" s="479" t="str">
        <f>CHOOSE($D$2,Параметры!AR$53,Параметры!AR$54)</f>
        <v>4 кв. 2029</v>
      </c>
      <c r="AS79" s="485"/>
      <c r="AT79" s="485" t="s">
        <v>0</v>
      </c>
    </row>
    <row r="80" spans="1:46" x14ac:dyDescent="0.2">
      <c r="A80" s="44"/>
      <c r="D80" s="40"/>
    </row>
    <row r="81" spans="1:46" x14ac:dyDescent="0.2">
      <c r="A81" s="44" t="str">
        <f>$A$8</f>
        <v>Ставка дисконтирования, годовая (WACC)</v>
      </c>
      <c r="B81" s="177">
        <f ca="1">$B$8</f>
        <v>0.10128364613285909</v>
      </c>
      <c r="C81" s="12" t="s">
        <v>1</v>
      </c>
      <c r="D81" s="40"/>
    </row>
    <row r="82" spans="1:46" outlineLevel="1" x14ac:dyDescent="0.2">
      <c r="A82" s="63" t="s">
        <v>363</v>
      </c>
      <c r="C82" s="12" t="s">
        <v>1</v>
      </c>
      <c r="D82" s="40"/>
      <c r="E82" s="67">
        <f ca="1">((1+$B81)/IF(Параметры!$B$62,1,1+CHOOSE(Параметры!$B$126,Параметры!E$65,Параметры!E$113,Параметры!E$122)))^(Параметры!E$40/12)-1</f>
        <v>2.4412331059534331E-2</v>
      </c>
      <c r="F82" s="67">
        <f ca="1">((1+$B81)/IF(Параметры!$B$62,1,1+CHOOSE(Параметры!$B$126,Параметры!F$65,Параметры!F$113,Параметры!F$122)))^(Параметры!F$40/12)-1</f>
        <v>2.4412331059534331E-2</v>
      </c>
      <c r="G82" s="67">
        <f ca="1">((1+$B81)/IF(Параметры!$B$62,1,1+CHOOSE(Параметры!$B$126,Параметры!G$65,Параметры!G$113,Параметры!G$122)))^(Параметры!G$40/12)-1</f>
        <v>2.4412331059534331E-2</v>
      </c>
      <c r="H82" s="67">
        <f ca="1">((1+$B81)/IF(Параметры!$B$62,1,1+CHOOSE(Параметры!$B$126,Параметры!H$65,Параметры!H$113,Параметры!H$122)))^(Параметры!H$40/12)-1</f>
        <v>2.4412331059534331E-2</v>
      </c>
      <c r="I82" s="67">
        <f ca="1">((1+$B81)/IF(Параметры!$B$62,1,1+CHOOSE(Параметры!$B$126,Параметры!I$65,Параметры!I$113,Параметры!I$122)))^(Параметры!I$40/12)-1</f>
        <v>2.4412331059534331E-2</v>
      </c>
      <c r="J82" s="67">
        <f ca="1">((1+$B81)/IF(Параметры!$B$62,1,1+CHOOSE(Параметры!$B$126,Параметры!J$65,Параметры!J$113,Параметры!J$122)))^(Параметры!J$40/12)-1</f>
        <v>2.4412331059534331E-2</v>
      </c>
      <c r="K82" s="67">
        <f ca="1">((1+$B81)/IF(Параметры!$B$62,1,1+CHOOSE(Параметры!$B$126,Параметры!K$65,Параметры!K$113,Параметры!K$122)))^(Параметры!K$40/12)-1</f>
        <v>2.4412331059534331E-2</v>
      </c>
      <c r="L82" s="67">
        <f ca="1">((1+$B81)/IF(Параметры!$B$62,1,1+CHOOSE(Параметры!$B$126,Параметры!L$65,Параметры!L$113,Параметры!L$122)))^(Параметры!L$40/12)-1</f>
        <v>2.4412331059534331E-2</v>
      </c>
      <c r="M82" s="67">
        <f ca="1">((1+$B81)/IF(Параметры!$B$62,1,1+CHOOSE(Параметры!$B$126,Параметры!M$65,Параметры!M$113,Параметры!M$122)))^(Параметры!M$40/12)-1</f>
        <v>2.4412331059534331E-2</v>
      </c>
      <c r="N82" s="67">
        <f ca="1">((1+$B81)/IF(Параметры!$B$62,1,1+CHOOSE(Параметры!$B$126,Параметры!N$65,Параметры!N$113,Параметры!N$122)))^(Параметры!N$40/12)-1</f>
        <v>2.4412331059534331E-2</v>
      </c>
      <c r="O82" s="67">
        <f ca="1">((1+$B81)/IF(Параметры!$B$62,1,1+CHOOSE(Параметры!$B$126,Параметры!O$65,Параметры!O$113,Параметры!O$122)))^(Параметры!O$40/12)-1</f>
        <v>2.4412331059534331E-2</v>
      </c>
      <c r="P82" s="67">
        <f ca="1">((1+$B81)/IF(Параметры!$B$62,1,1+CHOOSE(Параметры!$B$126,Параметры!P$65,Параметры!P$113,Параметры!P$122)))^(Параметры!P$40/12)-1</f>
        <v>2.4412331059534331E-2</v>
      </c>
      <c r="Q82" s="67">
        <f ca="1">((1+$B81)/IF(Параметры!$B$62,1,1+CHOOSE(Параметры!$B$126,Параметры!Q$65,Параметры!Q$113,Параметры!Q$122)))^(Параметры!Q$40/12)-1</f>
        <v>2.4412331059534331E-2</v>
      </c>
      <c r="R82" s="67">
        <f ca="1">((1+$B81)/IF(Параметры!$B$62,1,1+CHOOSE(Параметры!$B$126,Параметры!R$65,Параметры!R$113,Параметры!R$122)))^(Параметры!R$40/12)-1</f>
        <v>2.4412331059534331E-2</v>
      </c>
      <c r="S82" s="67">
        <f ca="1">((1+$B81)/IF(Параметры!$B$62,1,1+CHOOSE(Параметры!$B$126,Параметры!S$65,Параметры!S$113,Параметры!S$122)))^(Параметры!S$40/12)-1</f>
        <v>2.4412331059534331E-2</v>
      </c>
      <c r="T82" s="67">
        <f ca="1">((1+$B81)/IF(Параметры!$B$62,1,1+CHOOSE(Параметры!$B$126,Параметры!T$65,Параметры!T$113,Параметры!T$122)))^(Параметры!T$40/12)-1</f>
        <v>2.4412331059534331E-2</v>
      </c>
      <c r="U82" s="67">
        <f ca="1">((1+$B81)/IF(Параметры!$B$62,1,1+CHOOSE(Параметры!$B$126,Параметры!U$65,Параметры!U$113,Параметры!U$122)))^(Параметры!U$40/12)-1</f>
        <v>2.4412331059534331E-2</v>
      </c>
      <c r="V82" s="67">
        <f ca="1">((1+$B81)/IF(Параметры!$B$62,1,1+CHOOSE(Параметры!$B$126,Параметры!V$65,Параметры!V$113,Параметры!V$122)))^(Параметры!V$40/12)-1</f>
        <v>2.4412331059534331E-2</v>
      </c>
      <c r="W82" s="67">
        <f ca="1">((1+$B81)/IF(Параметры!$B$62,1,1+CHOOSE(Параметры!$B$126,Параметры!W$65,Параметры!W$113,Параметры!W$122)))^(Параметры!W$40/12)-1</f>
        <v>2.4412331059534331E-2</v>
      </c>
      <c r="X82" s="67">
        <f ca="1">((1+$B81)/IF(Параметры!$B$62,1,1+CHOOSE(Параметры!$B$126,Параметры!X$65,Параметры!X$113,Параметры!X$122)))^(Параметры!X$40/12)-1</f>
        <v>2.4412331059534331E-2</v>
      </c>
      <c r="Y82" s="67">
        <f ca="1">((1+$B81)/IF(Параметры!$B$62,1,1+CHOOSE(Параметры!$B$126,Параметры!Y$65,Параметры!Y$113,Параметры!Y$122)))^(Параметры!Y$40/12)-1</f>
        <v>2.4412331059534331E-2</v>
      </c>
      <c r="Z82" s="67">
        <f ca="1">((1+$B81)/IF(Параметры!$B$62,1,1+CHOOSE(Параметры!$B$126,Параметры!Z$65,Параметры!Z$113,Параметры!Z$122)))^(Параметры!Z$40/12)-1</f>
        <v>2.4412331059534331E-2</v>
      </c>
      <c r="AA82" s="67">
        <f ca="1">((1+$B81)/IF(Параметры!$B$62,1,1+CHOOSE(Параметры!$B$126,Параметры!AA$65,Параметры!AA$113,Параметры!AA$122)))^(Параметры!AA$40/12)-1</f>
        <v>2.4412331059534331E-2</v>
      </c>
      <c r="AB82" s="67">
        <f ca="1">((1+$B81)/IF(Параметры!$B$62,1,1+CHOOSE(Параметры!$B$126,Параметры!AB$65,Параметры!AB$113,Параметры!AB$122)))^(Параметры!AB$40/12)-1</f>
        <v>2.4412331059534331E-2</v>
      </c>
      <c r="AC82" s="67">
        <f ca="1">((1+$B81)/IF(Параметры!$B$62,1,1+CHOOSE(Параметры!$B$126,Параметры!AC$65,Параметры!AC$113,Параметры!AC$122)))^(Параметры!AC$40/12)-1</f>
        <v>2.4412331059534331E-2</v>
      </c>
      <c r="AD82" s="67">
        <f ca="1">((1+$B81)/IF(Параметры!$B$62,1,1+CHOOSE(Параметры!$B$126,Параметры!AD$65,Параметры!AD$113,Параметры!AD$122)))^(Параметры!AD$40/12)-1</f>
        <v>2.4412331059534331E-2</v>
      </c>
      <c r="AE82" s="67">
        <f ca="1">((1+$B81)/IF(Параметры!$B$62,1,1+CHOOSE(Параметры!$B$126,Параметры!AE$65,Параметры!AE$113,Параметры!AE$122)))^(Параметры!AE$40/12)-1</f>
        <v>2.4412331059534331E-2</v>
      </c>
      <c r="AF82" s="67">
        <f ca="1">((1+$B81)/IF(Параметры!$B$62,1,1+CHOOSE(Параметры!$B$126,Параметры!AF$65,Параметры!AF$113,Параметры!AF$122)))^(Параметры!AF$40/12)-1</f>
        <v>2.4412331059534331E-2</v>
      </c>
      <c r="AG82" s="67">
        <f ca="1">((1+$B81)/IF(Параметры!$B$62,1,1+CHOOSE(Параметры!$B$126,Параметры!AG$65,Параметры!AG$113,Параметры!AG$122)))^(Параметры!AG$40/12)-1</f>
        <v>2.4412331059534331E-2</v>
      </c>
      <c r="AH82" s="67">
        <f ca="1">((1+$B81)/IF(Параметры!$B$62,1,1+CHOOSE(Параметры!$B$126,Параметры!AH$65,Параметры!AH$113,Параметры!AH$122)))^(Параметры!AH$40/12)-1</f>
        <v>2.4412331059534331E-2</v>
      </c>
      <c r="AI82" s="67">
        <f ca="1">((1+$B81)/IF(Параметры!$B$62,1,1+CHOOSE(Параметры!$B$126,Параметры!AI$65,Параметры!AI$113,Параметры!AI$122)))^(Параметры!AI$40/12)-1</f>
        <v>2.4412331059534331E-2</v>
      </c>
      <c r="AJ82" s="67">
        <f ca="1">((1+$B81)/IF(Параметры!$B$62,1,1+CHOOSE(Параметры!$B$126,Параметры!AJ$65,Параметры!AJ$113,Параметры!AJ$122)))^(Параметры!AJ$40/12)-1</f>
        <v>2.4412331059534331E-2</v>
      </c>
      <c r="AK82" s="67">
        <f ca="1">((1+$B81)/IF(Параметры!$B$62,1,1+CHOOSE(Параметры!$B$126,Параметры!AK$65,Параметры!AK$113,Параметры!AK$122)))^(Параметры!AK$40/12)-1</f>
        <v>2.4412331059534331E-2</v>
      </c>
      <c r="AL82" s="67">
        <f ca="1">((1+$B81)/IF(Параметры!$B$62,1,1+CHOOSE(Параметры!$B$126,Параметры!AL$65,Параметры!AL$113,Параметры!AL$122)))^(Параметры!AL$40/12)-1</f>
        <v>2.4412331059534331E-2</v>
      </c>
      <c r="AM82" s="67">
        <f ca="1">((1+$B81)/IF(Параметры!$B$62,1,1+CHOOSE(Параметры!$B$126,Параметры!AM$65,Параметры!AM$113,Параметры!AM$122)))^(Параметры!AM$40/12)-1</f>
        <v>2.4412331059534331E-2</v>
      </c>
      <c r="AN82" s="67">
        <f ca="1">((1+$B81)/IF(Параметры!$B$62,1,1+CHOOSE(Параметры!$B$126,Параметры!AN$65,Параметры!AN$113,Параметры!AN$122)))^(Параметры!AN$40/12)-1</f>
        <v>2.4412331059534331E-2</v>
      </c>
      <c r="AO82" s="67">
        <f ca="1">((1+$B81)/IF(Параметры!$B$62,1,1+CHOOSE(Параметры!$B$126,Параметры!AO$65,Параметры!AO$113,Параметры!AO$122)))^(Параметры!AO$40/12)-1</f>
        <v>2.4412331059534331E-2</v>
      </c>
      <c r="AP82" s="67">
        <f ca="1">((1+$B81)/IF(Параметры!$B$62,1,1+CHOOSE(Параметры!$B$126,Параметры!AP$65,Параметры!AP$113,Параметры!AP$122)))^(Параметры!AP$40/12)-1</f>
        <v>2.4412331059534331E-2</v>
      </c>
      <c r="AQ82" s="67">
        <f ca="1">((1+$B81)/IF(Параметры!$B$62,1,1+CHOOSE(Параметры!$B$126,Параметры!AQ$65,Параметры!AQ$113,Параметры!AQ$122)))^(Параметры!AQ$40/12)-1</f>
        <v>2.4412331059534331E-2</v>
      </c>
      <c r="AR82" s="67">
        <f ca="1">((1+$B81)/IF(Параметры!$B$62,1,1+CHOOSE(Параметры!$B$126,Параметры!AR$65,Параметры!AR$113,Параметры!AR$122)))^(Параметры!AR$40/12)-1</f>
        <v>2.4412331059534331E-2</v>
      </c>
    </row>
    <row r="83" spans="1:46" outlineLevel="1" x14ac:dyDescent="0.2">
      <c r="A83" s="63" t="s">
        <v>419</v>
      </c>
      <c r="C83" s="12" t="s">
        <v>133</v>
      </c>
      <c r="D83" s="40"/>
      <c r="E83" s="68">
        <v>1</v>
      </c>
      <c r="F83" s="68">
        <v>1</v>
      </c>
      <c r="G83" s="68">
        <v>1</v>
      </c>
      <c r="H83" s="68">
        <v>1</v>
      </c>
      <c r="I83" s="68">
        <f t="shared" ref="I83" ca="1" si="94">IF(I$2=1,1,H83*(1+H82))</f>
        <v>1.0244123310595343</v>
      </c>
      <c r="J83" s="68">
        <f t="shared" ref="J83" ca="1" si="95">IF(J$2=1,1,I83*(1+I82))</f>
        <v>1.0494206240268289</v>
      </c>
      <c r="K83" s="68">
        <f t="shared" ref="K83" ca="1" si="96">IF(K$2=1,1,J83*(1+J82))</f>
        <v>1.0750394277212749</v>
      </c>
      <c r="L83" s="68">
        <f t="shared" ref="L83" ca="1" si="97">IF(L$2=1,1,K83*(1+K82))</f>
        <v>1.101283646132859</v>
      </c>
      <c r="M83" s="68">
        <f t="shared" ref="M83" ca="1" si="98">IF(M$2=1,1,L83*(1+L82))</f>
        <v>1.1281685470927054</v>
      </c>
      <c r="N83" s="68">
        <f t="shared" ref="N83" ca="1" si="99">IF(N$2=1,1,M83*(1+M82))</f>
        <v>1.1557097711552864</v>
      </c>
      <c r="O83" s="68">
        <f t="shared" ref="O83" ca="1" si="100">IF(O$2=1,1,N83*(1+N82))</f>
        <v>1.1839233406974679</v>
      </c>
      <c r="P83" s="68">
        <f t="shared" ref="P83" ca="1" si="101">IF(P$2=1,1,O83*(1+O82))</f>
        <v>1.2128256692396844</v>
      </c>
      <c r="Q83" s="68">
        <f t="shared" ref="Q83" ca="1" si="102">IF(Q$2=1,1,P83*(1+P82))</f>
        <v>1.2424335709946648</v>
      </c>
      <c r="R83" s="68">
        <f t="shared" ref="R83" ca="1" si="103">IF(R$2=1,1,Q83*(1+Q82))</f>
        <v>1.2727642706492659</v>
      </c>
      <c r="S83" s="68">
        <f t="shared" ref="S83" ca="1" si="104">IF(S$2=1,1,R83*(1+R82))</f>
        <v>1.3038354133851024</v>
      </c>
      <c r="T83" s="68">
        <f t="shared" ref="T83" ca="1" si="105">IF(T$2=1,1,S83*(1+S82))</f>
        <v>1.3356650751438044</v>
      </c>
      <c r="U83" s="68">
        <f t="shared" ref="U83" ca="1" si="106">IF(U$2=1,1,T83*(1+T82))</f>
        <v>1.3682717731428728</v>
      </c>
      <c r="V83" s="68">
        <f t="shared" ref="V83" ca="1" si="107">IF(V$2=1,1,U83*(1+U82))</f>
        <v>1.4016744766482527</v>
      </c>
      <c r="W83" s="68">
        <f t="shared" ref="W83" ca="1" si="108">IF(W$2=1,1,V83*(1+V82))</f>
        <v>1.4358926180098894</v>
      </c>
      <c r="X83" s="68">
        <f t="shared" ref="X83" ca="1" si="109">IF(X$2=1,1,W83*(1+W82))</f>
        <v>1.4709461039666882</v>
      </c>
      <c r="Y83" s="68">
        <f t="shared" ref="Y83" ca="1" si="110">IF(Y$2=1,1,X83*(1+X82))</f>
        <v>1.5068553272274552</v>
      </c>
      <c r="Z83" s="68">
        <f t="shared" ref="Z83" ca="1" si="111">IF(Z$2=1,1,Y83*(1+Y82))</f>
        <v>1.5436411783345547</v>
      </c>
      <c r="AA83" s="68">
        <f t="shared" ref="AA83" ca="1" si="112">IF(AA$2=1,1,Z83*(1+Z82))</f>
        <v>1.5813250578171876</v>
      </c>
      <c r="AB83" s="68">
        <f t="shared" ref="AB83" ca="1" si="113">IF(AB$2=1,1,AA83*(1+AA82))</f>
        <v>1.6199288886413581</v>
      </c>
      <c r="AC83" s="68">
        <f t="shared" ref="AC83" ca="1" si="114">IF(AC$2=1,1,AB83*(1+AB82))</f>
        <v>1.6594751289637744</v>
      </c>
      <c r="AD83" s="68">
        <f t="shared" ref="AD83" ca="1" si="115">IF(AD$2=1,1,AC83*(1+AC82))</f>
        <v>1.6999867851971016</v>
      </c>
      <c r="AE83" s="68">
        <f t="shared" ref="AE83" ca="1" si="116">IF(AE$2=1,1,AD83*(1+AD82))</f>
        <v>1.7414874253941668</v>
      </c>
      <c r="AF83" s="68">
        <f t="shared" ref="AF83" ca="1" si="117">IF(AF$2=1,1,AE83*(1+AE82))</f>
        <v>1.7840011929589052</v>
      </c>
      <c r="AG83" s="68">
        <f t="shared" ref="AG83" ca="1" si="118">IF(AG$2=1,1,AF83*(1+AF82))</f>
        <v>1.8275528206920222</v>
      </c>
      <c r="AH83" s="68">
        <f t="shared" ref="AH83" ca="1" si="119">IF(AH$2=1,1,AG83*(1+AG82))</f>
        <v>1.8721676451795417</v>
      </c>
      <c r="AI83" s="68">
        <f t="shared" ref="AI83" ca="1" si="120">IF(AI$2=1,1,AH83*(1+AH82))</f>
        <v>1.9178716215326135</v>
      </c>
      <c r="AJ83" s="68">
        <f t="shared" ref="AJ83" ca="1" si="121">IF(AJ$2=1,1,AI83*(1+AI82))</f>
        <v>1.9646913384871536</v>
      </c>
      <c r="AK83" s="68">
        <f t="shared" ref="AK83" ca="1" si="122">IF(AK$2=1,1,AJ83*(1+AJ82))</f>
        <v>2.0126540338721015</v>
      </c>
      <c r="AL83" s="68">
        <f t="shared" ref="AL83" ca="1" si="123">IF(AL$2=1,1,AK83*(1+AK82))</f>
        <v>2.0617876104552946</v>
      </c>
      <c r="AM83" s="68">
        <f t="shared" ref="AM83" ca="1" si="124">IF(AM$2=1,1,AL83*(1+AL82))</f>
        <v>2.1121206521761753</v>
      </c>
      <c r="AN83" s="68">
        <f t="shared" ref="AN83" ca="1" si="125">IF(AN$2=1,1,AM83*(1+AM82))</f>
        <v>2.1636824407747794</v>
      </c>
      <c r="AO83" s="68">
        <f t="shared" ref="AO83" ca="1" si="126">IF(AO$2=1,1,AN83*(1+AN82))</f>
        <v>2.2165029728266745</v>
      </c>
      <c r="AP83" s="68">
        <f t="shared" ref="AP83" ca="1" si="127">IF(AP$2=1,1,AO83*(1+AO82))</f>
        <v>2.2706129771937613</v>
      </c>
      <c r="AQ83" s="68">
        <f t="shared" ref="AQ83" ca="1" si="128">IF(AQ$2=1,1,AP83*(1+AP82))</f>
        <v>2.3260439329010905</v>
      </c>
      <c r="AR83" s="68">
        <f t="shared" ref="AR83" ca="1" si="129">IF(AR$2=1,1,AQ83*(1+AQ82))</f>
        <v>2.3828280874500933</v>
      </c>
    </row>
    <row r="84" spans="1:46" s="60" customFormat="1" ht="19.5" x14ac:dyDescent="0.2">
      <c r="A84" s="52" t="s">
        <v>728</v>
      </c>
      <c r="B84" s="438" t="s">
        <v>1097</v>
      </c>
      <c r="C84" s="34" t="str">
        <f>Параметры!$C$126</f>
        <v>тыс. руб.</v>
      </c>
      <c r="D84" s="169"/>
      <c r="E84" s="85">
        <f t="shared" ref="E84:AR84" ca="1" si="130">E85+E89</f>
        <v>0</v>
      </c>
      <c r="F84" s="85">
        <f t="shared" ca="1" si="130"/>
        <v>0</v>
      </c>
      <c r="G84" s="85">
        <f t="shared" ca="1" si="130"/>
        <v>0</v>
      </c>
      <c r="H84" s="85">
        <f t="shared" ca="1" si="130"/>
        <v>5107.8812850000004</v>
      </c>
      <c r="I84" s="85">
        <f t="shared" ca="1" si="130"/>
        <v>10774.728639628165</v>
      </c>
      <c r="J84" s="85">
        <f t="shared" ca="1" si="130"/>
        <v>10856.557612586726</v>
      </c>
      <c r="K84" s="85">
        <f t="shared" ca="1" si="130"/>
        <v>10993.020063951368</v>
      </c>
      <c r="L84" s="85">
        <f t="shared" ca="1" si="130"/>
        <v>11131.31617004297</v>
      </c>
      <c r="M84" s="85">
        <f t="shared" ca="1" si="130"/>
        <v>11271.471989462671</v>
      </c>
      <c r="N84" s="85">
        <f t="shared" ca="1" si="130"/>
        <v>14165.343173180901</v>
      </c>
      <c r="O84" s="85">
        <f t="shared" ca="1" si="130"/>
        <v>17458.167985867454</v>
      </c>
      <c r="P84" s="85">
        <f t="shared" ca="1" si="130"/>
        <v>17700.90647645128</v>
      </c>
      <c r="Q84" s="85">
        <f t="shared" ca="1" si="130"/>
        <v>17947.162165325193</v>
      </c>
      <c r="R84" s="85">
        <f t="shared" ca="1" si="130"/>
        <v>19663.46541557305</v>
      </c>
      <c r="S84" s="85">
        <f t="shared" ca="1" si="130"/>
        <v>21625.253722660724</v>
      </c>
      <c r="T84" s="85">
        <f t="shared" ca="1" si="130"/>
        <v>21926.361454520309</v>
      </c>
      <c r="U84" s="85">
        <f t="shared" ca="1" si="130"/>
        <v>22231.812973421984</v>
      </c>
      <c r="V84" s="85">
        <f t="shared" ca="1" si="130"/>
        <v>46611.660523370614</v>
      </c>
      <c r="W84" s="85">
        <f t="shared" ca="1" si="130"/>
        <v>75494.395565890329</v>
      </c>
      <c r="X84" s="85">
        <f t="shared" ca="1" si="130"/>
        <v>76563.035328239377</v>
      </c>
      <c r="Y84" s="85">
        <f t="shared" ca="1" si="130"/>
        <v>77647.335243580863</v>
      </c>
      <c r="Z84" s="85">
        <f t="shared" ca="1" si="130"/>
        <v>81163.894434627233</v>
      </c>
      <c r="AA84" s="85">
        <f t="shared" ca="1" si="130"/>
        <v>82273.672243363282</v>
      </c>
      <c r="AB84" s="85">
        <f t="shared" ca="1" si="130"/>
        <v>83399.286794014712</v>
      </c>
      <c r="AC84" s="85">
        <f t="shared" ca="1" si="130"/>
        <v>84540.973027396394</v>
      </c>
      <c r="AD84" s="85">
        <f t="shared" ca="1" si="130"/>
        <v>85692.502803245385</v>
      </c>
      <c r="AE84" s="85">
        <f t="shared" ca="1" si="130"/>
        <v>86855.534541541536</v>
      </c>
      <c r="AF84" s="85">
        <f t="shared" ca="1" si="130"/>
        <v>88035.037523285588</v>
      </c>
      <c r="AG84" s="85">
        <f t="shared" ca="1" si="130"/>
        <v>89231.254179760101</v>
      </c>
      <c r="AH84" s="85">
        <f t="shared" ca="1" si="130"/>
        <v>90441.642285038892</v>
      </c>
      <c r="AI84" s="85">
        <f t="shared" ca="1" si="130"/>
        <v>91671.480159964209</v>
      </c>
      <c r="AJ84" s="85">
        <f t="shared" ca="1" si="130"/>
        <v>92918.737766452861</v>
      </c>
      <c r="AK84" s="85">
        <f t="shared" ca="1" si="130"/>
        <v>94183.671119835664</v>
      </c>
      <c r="AL84" s="85">
        <f t="shared" ca="1" si="130"/>
        <v>95460.370065577998</v>
      </c>
      <c r="AM84" s="85">
        <f t="shared" ca="1" si="130"/>
        <v>96770.970004870498</v>
      </c>
      <c r="AN84" s="85">
        <f t="shared" ca="1" si="130"/>
        <v>102632.20493918024</v>
      </c>
      <c r="AO84" s="85">
        <f t="shared" ca="1" si="130"/>
        <v>103978.20823632486</v>
      </c>
      <c r="AP84" s="85">
        <f t="shared" ca="1" si="130"/>
        <v>105337.37411708337</v>
      </c>
      <c r="AQ84" s="85">
        <f t="shared" ca="1" si="130"/>
        <v>106716.68523175843</v>
      </c>
      <c r="AR84" s="85">
        <f t="shared" ca="1" si="130"/>
        <v>180351.78388218128</v>
      </c>
      <c r="AT84" s="143">
        <f ca="1">SUM(E84:AS84)</f>
        <v>2330825.1591442563</v>
      </c>
    </row>
    <row r="85" spans="1:46" outlineLevel="1" x14ac:dyDescent="0.2">
      <c r="A85" s="63" t="s">
        <v>35</v>
      </c>
      <c r="B85" s="102">
        <f ca="1">IFERROR(AVERAGEIF(Параметры!$E$46:OFFSET(Параметры!$E$46,0,Параметры!$B$24-1),"&gt;=" &amp; Деятельность_УК!$B$9,E85:OFFSET(E85,0,Параметры!$B$24-1))*Параметры!$B$13/Параметры!$B$12,0)</f>
        <v>356700.58716500091</v>
      </c>
      <c r="C85" s="12" t="str">
        <f>Параметры!$C$126</f>
        <v>тыс. руб.</v>
      </c>
      <c r="D85" s="40"/>
      <c r="E85" s="82">
        <f ca="1">Результаты_УК!E225*$B$4+Резиденты!E236</f>
        <v>0</v>
      </c>
      <c r="F85" s="82">
        <f ca="1">Результаты_УК!F225*$B$4+Резиденты!F236</f>
        <v>0</v>
      </c>
      <c r="G85" s="82">
        <f ca="1">Результаты_УК!G225*$B$4+Резиденты!G236</f>
        <v>0</v>
      </c>
      <c r="H85" s="82">
        <f ca="1">Результаты_УК!H225*$B$4+Резиденты!H236</f>
        <v>5107.8812850000004</v>
      </c>
      <c r="I85" s="82">
        <f ca="1">Результаты_УК!I225*$B$4+Резиденты!I236</f>
        <v>10774.728639628165</v>
      </c>
      <c r="J85" s="82">
        <f ca="1">Результаты_УК!J225*$B$4+Резиденты!J236</f>
        <v>10856.557612586726</v>
      </c>
      <c r="K85" s="82">
        <f ca="1">Результаты_УК!K225*$B$4+Резиденты!K236</f>
        <v>10993.020063951368</v>
      </c>
      <c r="L85" s="82">
        <f ca="1">Результаты_УК!L225*$B$4+Резиденты!L236</f>
        <v>11131.31617004297</v>
      </c>
      <c r="M85" s="82">
        <f ca="1">Результаты_УК!M225*$B$4+Резиденты!M236</f>
        <v>11271.471989462671</v>
      </c>
      <c r="N85" s="82">
        <f ca="1">Результаты_УК!N225*$B$4+Резиденты!N236</f>
        <v>14165.343173180901</v>
      </c>
      <c r="O85" s="82">
        <f ca="1">Результаты_УК!O225*$B$4+Резиденты!O236</f>
        <v>17458.167985867454</v>
      </c>
      <c r="P85" s="82">
        <f ca="1">Результаты_УК!P225*$B$4+Резиденты!P236</f>
        <v>17700.90647645128</v>
      </c>
      <c r="Q85" s="82">
        <f ca="1">Результаты_УК!Q225*$B$4+Резиденты!Q236</f>
        <v>17947.162165325193</v>
      </c>
      <c r="R85" s="82">
        <f ca="1">Результаты_УК!R225*$B$4+Резиденты!R236</f>
        <v>19663.46541557305</v>
      </c>
      <c r="S85" s="82">
        <f ca="1">Результаты_УК!S225*$B$4+Резиденты!S236</f>
        <v>21625.253722660724</v>
      </c>
      <c r="T85" s="82">
        <f ca="1">Результаты_УК!T225*$B$4+Резиденты!T236</f>
        <v>21926.361454520309</v>
      </c>
      <c r="U85" s="82">
        <f ca="1">Результаты_УК!U225*$B$4+Резиденты!U236</f>
        <v>22231.812973421984</v>
      </c>
      <c r="V85" s="82">
        <f ca="1">Результаты_УК!V225*$B$4+Резиденты!V236</f>
        <v>46611.660523370614</v>
      </c>
      <c r="W85" s="82">
        <f ca="1">Результаты_УК!W225*$B$4+Резиденты!W236</f>
        <v>75494.395565890329</v>
      </c>
      <c r="X85" s="82">
        <f ca="1">Результаты_УК!X225*$B$4+Резиденты!X236</f>
        <v>76563.035328239377</v>
      </c>
      <c r="Y85" s="82">
        <f ca="1">Результаты_УК!Y225*$B$4+Резиденты!Y236</f>
        <v>77647.335243580863</v>
      </c>
      <c r="Z85" s="82">
        <f ca="1">Результаты_УК!Z225*$B$4+Резиденты!Z236</f>
        <v>81163.894434627233</v>
      </c>
      <c r="AA85" s="82">
        <f ca="1">Результаты_УК!AA225*$B$4+Резиденты!AA236</f>
        <v>82273.672243363282</v>
      </c>
      <c r="AB85" s="82">
        <f ca="1">Результаты_УК!AB225*$B$4+Резиденты!AB236</f>
        <v>83399.286794014712</v>
      </c>
      <c r="AC85" s="82">
        <f ca="1">Результаты_УК!AC225*$B$4+Резиденты!AC236</f>
        <v>84540.973027396394</v>
      </c>
      <c r="AD85" s="82">
        <f ca="1">Результаты_УК!AD225*$B$4+Резиденты!AD236</f>
        <v>85692.502803245385</v>
      </c>
      <c r="AE85" s="82">
        <f ca="1">Результаты_УК!AE225*$B$4+Резиденты!AE236</f>
        <v>86855.534541541536</v>
      </c>
      <c r="AF85" s="82">
        <f ca="1">Результаты_УК!AF225*$B$4+Резиденты!AF236</f>
        <v>88035.037523285588</v>
      </c>
      <c r="AG85" s="82">
        <f ca="1">Результаты_УК!AG225*$B$4+Резиденты!AG236</f>
        <v>89231.254179760101</v>
      </c>
      <c r="AH85" s="82">
        <f ca="1">Результаты_УК!AH225*$B$4+Резиденты!AH236</f>
        <v>90441.642285038892</v>
      </c>
      <c r="AI85" s="82">
        <f ca="1">Результаты_УК!AI225*$B$4+Резиденты!AI236</f>
        <v>91671.480159964209</v>
      </c>
      <c r="AJ85" s="82">
        <f ca="1">Результаты_УК!AJ225*$B$4+Резиденты!AJ236</f>
        <v>92918.737766452861</v>
      </c>
      <c r="AK85" s="82">
        <f ca="1">Результаты_УК!AK225*$B$4+Резиденты!AK236</f>
        <v>94183.671119835664</v>
      </c>
      <c r="AL85" s="82">
        <f ca="1">Результаты_УК!AL225*$B$4+Резиденты!AL236</f>
        <v>95460.370065577998</v>
      </c>
      <c r="AM85" s="82">
        <f ca="1">Результаты_УК!AM225*$B$4+Резиденты!AM236</f>
        <v>96770.970004870498</v>
      </c>
      <c r="AN85" s="82">
        <f ca="1">Результаты_УК!AN225*$B$4+Резиденты!AN236</f>
        <v>102632.20493918024</v>
      </c>
      <c r="AO85" s="82">
        <f ca="1">Результаты_УК!AO225*$B$4+Резиденты!AO236</f>
        <v>103978.20823632486</v>
      </c>
      <c r="AP85" s="82">
        <f ca="1">Результаты_УК!AP225*$B$4+Резиденты!AP236</f>
        <v>105337.37411708337</v>
      </c>
      <c r="AQ85" s="82">
        <f ca="1">Результаты_УК!AQ225*$B$4+Резиденты!AQ236</f>
        <v>106716.68523175843</v>
      </c>
      <c r="AR85" s="82">
        <f ca="1">Результаты_УК!AR225*$B$4+Резиденты!AR236</f>
        <v>180351.78388218128</v>
      </c>
      <c r="AT85" s="30">
        <f ca="1">SUM(E85:AS85)</f>
        <v>2330825.1591442563</v>
      </c>
    </row>
    <row r="86" spans="1:46" outlineLevel="1" x14ac:dyDescent="0.2">
      <c r="A86" s="598" t="s">
        <v>37</v>
      </c>
      <c r="B86" s="102">
        <f ca="1">IFERROR(AVERAGEIF(Параметры!$E$46:OFFSET(Параметры!$E$46,0,Параметры!$B$24-1),"&gt;=" &amp; Деятельность_УК!$B$9,E86:OFFSET(E86,0,Параметры!$B$24-1))*Параметры!$B$13/Параметры!$B$12,0)</f>
        <v>184948.32912649983</v>
      </c>
      <c r="C86" s="406" t="str">
        <f>Параметры!$C$126</f>
        <v>тыс. руб.</v>
      </c>
      <c r="D86" s="397"/>
      <c r="E86" s="407">
        <f ca="1">Результаты_УК!E226*$B$4+Резиденты!E237</f>
        <v>0</v>
      </c>
      <c r="F86" s="407">
        <f ca="1">Результаты_УК!F226*$B$4+Резиденты!F237</f>
        <v>0</v>
      </c>
      <c r="G86" s="407">
        <f ca="1">Результаты_УК!G226*$B$4+Резиденты!G237</f>
        <v>0</v>
      </c>
      <c r="H86" s="407">
        <f ca="1">Результаты_УК!H226*$B$4+Резиденты!H237</f>
        <v>0</v>
      </c>
      <c r="I86" s="407">
        <f ca="1">Результаты_УК!I226*$B$4+Резиденты!I237</f>
        <v>5666.8473546281648</v>
      </c>
      <c r="J86" s="407">
        <f ca="1">Результаты_УК!J226*$B$4+Резиденты!J237</f>
        <v>5666.8473546281648</v>
      </c>
      <c r="K86" s="407">
        <f ca="1">Результаты_УК!K226*$B$4+Резиденты!K237</f>
        <v>5720.1699214366863</v>
      </c>
      <c r="L86" s="407">
        <f ca="1">Результаты_УК!L226*$B$4+Резиденты!L237</f>
        <v>5773.9942303873768</v>
      </c>
      <c r="M86" s="407">
        <f ca="1">Результаты_УК!M226*$B$4+Резиденты!M237</f>
        <v>5828.3250026553806</v>
      </c>
      <c r="N86" s="407">
        <f ca="1">Результаты_УК!N226*$B$4+Резиденты!N237</f>
        <v>5883.1670038400534</v>
      </c>
      <c r="O86" s="407">
        <f ca="1">Результаты_УК!O226*$B$4+Резиденты!O237</f>
        <v>9036.3554101676109</v>
      </c>
      <c r="P86" s="407">
        <f ca="1">Результаты_УК!P226*$B$4+Резиденты!P237</f>
        <v>9137.1032428549006</v>
      </c>
      <c r="Q86" s="407">
        <f ca="1">Результаты_УК!Q226*$B$4+Резиденты!Q237</f>
        <v>9238.9743299219062</v>
      </c>
      <c r="R86" s="407">
        <f ca="1">Результаты_УК!R226*$B$4+Резиденты!R237</f>
        <v>9341.981194718941</v>
      </c>
      <c r="S86" s="407">
        <f ca="1">Результаты_УК!S226*$B$4+Резиденты!S237</f>
        <v>11131.944336452263</v>
      </c>
      <c r="T86" s="407">
        <f ca="1">Результаты_УК!T226*$B$4+Резиденты!T237</f>
        <v>11258.366472537096</v>
      </c>
      <c r="U86" s="407">
        <f ca="1">Результаты_УК!U226*$B$4+Резиденты!U237</f>
        <v>11386.224346711291</v>
      </c>
      <c r="V86" s="407">
        <f ca="1">Результаты_УК!V226*$B$4+Резиденты!V237</f>
        <v>11515.534264219486</v>
      </c>
      <c r="W86" s="407">
        <f ca="1">Результаты_УК!W226*$B$4+Резиденты!W237</f>
        <v>39802.96770924289</v>
      </c>
      <c r="X86" s="407">
        <f ca="1">Результаты_УК!X226*$B$4+Резиденты!X237</f>
        <v>40266.208349674707</v>
      </c>
      <c r="Y86" s="407">
        <f ca="1">Результаты_УК!Y226*$B$4+Резиденты!Y237</f>
        <v>40734.840344151198</v>
      </c>
      <c r="Z86" s="407">
        <f ca="1">Результаты_УК!Z226*$B$4+Резиденты!Z237</f>
        <v>43632.980935524698</v>
      </c>
      <c r="AA86" s="407">
        <f ca="1">Результаты_УК!AA226*$B$4+Резиденты!AA237</f>
        <v>44113.979382860351</v>
      </c>
      <c r="AB86" s="407">
        <f ca="1">Результаты_УК!AB226*$B$4+Резиденты!AB237</f>
        <v>44600.28022992616</v>
      </c>
      <c r="AC86" s="407">
        <f ca="1">Результаты_УК!AC226*$B$4+Резиденты!AC237</f>
        <v>45091.941928975088</v>
      </c>
      <c r="AD86" s="407">
        <f ca="1">Результаты_УК!AD226*$B$4+Резиденты!AD237</f>
        <v>45589.023576622189</v>
      </c>
      <c r="AE86" s="407">
        <f ca="1">Результаты_УК!AE226*$B$4+Резиденты!AE237</f>
        <v>46086.750079695536</v>
      </c>
      <c r="AF86" s="407">
        <f ca="1">Результаты_УК!AF226*$B$4+Резиденты!AF237</f>
        <v>46589.910602899734</v>
      </c>
      <c r="AG86" s="407">
        <f ca="1">Результаты_УК!AG226*$B$4+Резиденты!AG237</f>
        <v>47098.564473143444</v>
      </c>
      <c r="AH86" s="407">
        <f ca="1">Результаты_УК!AH226*$B$4+Резиденты!AH237</f>
        <v>47612.771665047716</v>
      </c>
      <c r="AI86" s="407">
        <f ca="1">Результаты_УК!AI226*$B$4+Резиденты!AI237</f>
        <v>48134.92525789544</v>
      </c>
      <c r="AJ86" s="407">
        <f ca="1">Результаты_УК!AJ226*$B$4+Резиденты!AJ237</f>
        <v>48662.805137304342</v>
      </c>
      <c r="AK86" s="407">
        <f ca="1">Результаты_УК!AK226*$B$4+Резиденты!AK237</f>
        <v>49196.474101574029</v>
      </c>
      <c r="AL86" s="407">
        <f ca="1">Результаты_УК!AL226*$B$4+Резиденты!AL237</f>
        <v>49735.995637692373</v>
      </c>
      <c r="AM86" s="407">
        <f ca="1">Результаты_УК!AM226*$B$4+Резиденты!AM237</f>
        <v>50297.338496492783</v>
      </c>
      <c r="AN86" s="407">
        <f ca="1">Результаты_УК!AN226*$B$4+Резиденты!AN237</f>
        <v>53173.323884490172</v>
      </c>
      <c r="AO86" s="407">
        <f ca="1">Результаты_УК!AO226*$B$4+Резиденты!AO237</f>
        <v>53773.461978812731</v>
      </c>
      <c r="AP86" s="407">
        <f ca="1">Результаты_УК!AP226*$B$4+Резиденты!AP237</f>
        <v>54380.373502101982</v>
      </c>
      <c r="AQ86" s="407">
        <f ca="1">Результаты_УК!AQ226*$B$4+Резиденты!AQ237</f>
        <v>54994.74459596318</v>
      </c>
      <c r="AR86" s="407">
        <f ca="1">Результаты_УК!AR226*$B$4+Резиденты!AR237</f>
        <v>93218.554277977251</v>
      </c>
      <c r="AT86" s="30">
        <f t="shared" ref="AT86:AT88" ca="1" si="131">SUM(E86:AS86)</f>
        <v>1203374.0506132275</v>
      </c>
    </row>
    <row r="87" spans="1:46" outlineLevel="1" x14ac:dyDescent="0.2">
      <c r="A87" s="598" t="s">
        <v>38</v>
      </c>
      <c r="B87" s="102">
        <f ca="1">IFERROR(AVERAGEIF(Параметры!$E$46:OFFSET(Параметры!$E$46,0,Параметры!$B$24-1),"&gt;=" &amp; Деятельность_УК!$B$9,E87:OFFSET(E87,0,Параметры!$B$24-1))*Параметры!$B$13/Параметры!$B$12,0)</f>
        <v>7578.4247411189353</v>
      </c>
      <c r="C87" s="406" t="str">
        <f>Параметры!$C$126</f>
        <v>тыс. руб.</v>
      </c>
      <c r="D87" s="397"/>
      <c r="E87" s="407">
        <f ca="1">Результаты_УК!E227*$B$4+Резиденты!E238</f>
        <v>0</v>
      </c>
      <c r="F87" s="407">
        <f ca="1">Результаты_УК!F227*$B$4+Резиденты!F238</f>
        <v>0</v>
      </c>
      <c r="G87" s="407">
        <f ca="1">Результаты_УК!G227*$B$4+Резиденты!G238</f>
        <v>0</v>
      </c>
      <c r="H87" s="407">
        <f ca="1">Результаты_УК!H227*$B$4+Резиденты!H238</f>
        <v>0</v>
      </c>
      <c r="I87" s="407">
        <f ca="1">Результаты_УК!I227*$B$4+Резиденты!I238</f>
        <v>0</v>
      </c>
      <c r="J87" s="407">
        <f ca="1">Результаты_УК!J227*$B$4+Резиденты!J238</f>
        <v>0</v>
      </c>
      <c r="K87" s="407">
        <f ca="1">Результаты_УК!K227*$B$4+Резиденты!K238</f>
        <v>0</v>
      </c>
      <c r="L87" s="407">
        <f ca="1">Результаты_УК!L227*$B$4+Резиденты!L238</f>
        <v>0</v>
      </c>
      <c r="M87" s="407">
        <f ca="1">Результаты_УК!M227*$B$4+Резиденты!M238</f>
        <v>0</v>
      </c>
      <c r="N87" s="407">
        <f ca="1">Результаты_УК!N227*$B$4+Резиденты!N238</f>
        <v>0</v>
      </c>
      <c r="O87" s="407">
        <f ca="1">Результаты_УК!O227*$B$4+Резиденты!O238</f>
        <v>0</v>
      </c>
      <c r="P87" s="407">
        <f ca="1">Результаты_УК!P227*$B$4+Резиденты!P238</f>
        <v>0</v>
      </c>
      <c r="Q87" s="407">
        <f ca="1">Результаты_УК!Q227*$B$4+Резиденты!Q238</f>
        <v>0</v>
      </c>
      <c r="R87" s="407">
        <f ca="1">Результаты_УК!R227*$B$4+Резиденты!R238</f>
        <v>0</v>
      </c>
      <c r="S87" s="407">
        <f ca="1">Результаты_УК!S227*$B$4+Резиденты!S238</f>
        <v>0</v>
      </c>
      <c r="T87" s="407">
        <f ca="1">Результаты_УК!T227*$B$4+Резиденты!T238</f>
        <v>0</v>
      </c>
      <c r="U87" s="407">
        <f ca="1">Результаты_УК!U227*$B$4+Резиденты!U238</f>
        <v>0</v>
      </c>
      <c r="V87" s="407">
        <f ca="1">Результаты_УК!V227*$B$4+Резиденты!V238</f>
        <v>0</v>
      </c>
      <c r="W87" s="407">
        <f ca="1">Результаты_УК!W227*$B$4+Резиденты!W238</f>
        <v>0</v>
      </c>
      <c r="X87" s="407">
        <f ca="1">Результаты_УК!X227*$B$4+Резиденты!X238</f>
        <v>0</v>
      </c>
      <c r="Y87" s="407">
        <f ca="1">Результаты_УК!Y227*$B$4+Резиденты!Y238</f>
        <v>0</v>
      </c>
      <c r="Z87" s="407">
        <f ca="1">Результаты_УК!Z227*$B$4+Резиденты!Z238</f>
        <v>0</v>
      </c>
      <c r="AA87" s="407">
        <f ca="1">Результаты_УК!AA227*$B$4+Резиденты!AA238</f>
        <v>0</v>
      </c>
      <c r="AB87" s="407">
        <f ca="1">Результаты_УК!AB227*$B$4+Резиденты!AB238</f>
        <v>0</v>
      </c>
      <c r="AC87" s="407">
        <f ca="1">Результаты_УК!AC227*$B$4+Резиденты!AC238</f>
        <v>0</v>
      </c>
      <c r="AD87" s="407">
        <f ca="1">Результаты_УК!AD227*$B$4+Резиденты!AD238</f>
        <v>0</v>
      </c>
      <c r="AE87" s="407">
        <f ca="1">Результаты_УК!AE227*$B$4+Резиденты!AE238</f>
        <v>0</v>
      </c>
      <c r="AF87" s="407">
        <f ca="1">Результаты_УК!AF227*$B$4+Резиденты!AF238</f>
        <v>0</v>
      </c>
      <c r="AG87" s="407">
        <f ca="1">Результаты_УК!AG227*$B$4+Резиденты!AG238</f>
        <v>0</v>
      </c>
      <c r="AH87" s="407">
        <f ca="1">Результаты_УК!AH227*$B$4+Резиденты!AH238</f>
        <v>0</v>
      </c>
      <c r="AI87" s="407">
        <f ca="1">Результаты_УК!AI227*$B$4+Резиденты!AI238</f>
        <v>0</v>
      </c>
      <c r="AJ87" s="407">
        <f ca="1">Результаты_УК!AJ227*$B$4+Резиденты!AJ238</f>
        <v>0</v>
      </c>
      <c r="AK87" s="407">
        <f ca="1">Результаты_УК!AK227*$B$4+Резиденты!AK238</f>
        <v>0</v>
      </c>
      <c r="AL87" s="407">
        <f ca="1">Результаты_УК!AL227*$B$4+Резиденты!AL238</f>
        <v>0</v>
      </c>
      <c r="AM87" s="407">
        <f ca="1">Результаты_УК!AM227*$B$4+Резиденты!AM238</f>
        <v>0</v>
      </c>
      <c r="AN87" s="407">
        <f ca="1">Результаты_УК!AN227*$B$4+Резиденты!AN238</f>
        <v>2223.7148528470511</v>
      </c>
      <c r="AO87" s="407">
        <f ca="1">Результаты_УК!AO227*$B$4+Резиденты!AO238</f>
        <v>2195.5665635705068</v>
      </c>
      <c r="AP87" s="407">
        <f ca="1">Результаты_УК!AP227*$B$4+Резиденты!AP238</f>
        <v>2167.4182742939615</v>
      </c>
      <c r="AQ87" s="407">
        <f ca="1">Результаты_УК!AQ227*$B$4+Резиденты!AQ238</f>
        <v>2139.2699850174163</v>
      </c>
      <c r="AR87" s="407">
        <f ca="1">Результаты_УК!AR227*$B$4+Резиденты!AR238</f>
        <v>36744.578770984677</v>
      </c>
      <c r="AT87" s="30">
        <f t="shared" ca="1" si="131"/>
        <v>45470.548446713612</v>
      </c>
    </row>
    <row r="88" spans="1:46" outlineLevel="1" x14ac:dyDescent="0.2">
      <c r="A88" s="598" t="s">
        <v>323</v>
      </c>
      <c r="B88" s="102">
        <f ca="1">IFERROR(AVERAGEIF(Параметры!$E$46:OFFSET(Параметры!$E$46,0,Параметры!$B$24-1),"&gt;=" &amp; Деятельность_УК!$B$9,E88:OFFSET(E88,0,Параметры!$B$24-1))*Параметры!$B$13/Параметры!$B$12,0)</f>
        <v>164173.83329738223</v>
      </c>
      <c r="C88" s="406" t="str">
        <f>Параметры!$C$126</f>
        <v>тыс. руб.</v>
      </c>
      <c r="D88" s="397"/>
      <c r="E88" s="407">
        <f ca="1">Результаты_УК!E228*$B$4+Резиденты!E239</f>
        <v>0</v>
      </c>
      <c r="F88" s="407">
        <f ca="1">Результаты_УК!F228*$B$4+Резиденты!F239</f>
        <v>0</v>
      </c>
      <c r="G88" s="407">
        <f ca="1">Результаты_УК!G228*$B$4+Резиденты!G239</f>
        <v>0</v>
      </c>
      <c r="H88" s="407">
        <f ca="1">Результаты_УК!H228*$B$4+Резиденты!H239</f>
        <v>5107.8812850000004</v>
      </c>
      <c r="I88" s="407">
        <f ca="1">Результаты_УК!I228*$B$4+Резиденты!I239</f>
        <v>5107.8812850000004</v>
      </c>
      <c r="J88" s="407">
        <f ca="1">Результаты_УК!J228*$B$4+Резиденты!J239</f>
        <v>5189.7102579585617</v>
      </c>
      <c r="K88" s="407">
        <f ca="1">Результаты_УК!K228*$B$4+Резиденты!K239</f>
        <v>5272.8501425146824</v>
      </c>
      <c r="L88" s="407">
        <f ca="1">Результаты_УК!L228*$B$4+Резиденты!L239</f>
        <v>5357.3219396555933</v>
      </c>
      <c r="M88" s="407">
        <f ca="1">Результаты_УК!M228*$B$4+Резиденты!M239</f>
        <v>5443.14698680729</v>
      </c>
      <c r="N88" s="407">
        <f ca="1">Результаты_УК!N228*$B$4+Резиденты!N239</f>
        <v>8282.176169340848</v>
      </c>
      <c r="O88" s="407">
        <f ca="1">Результаты_УК!O228*$B$4+Резиденты!O239</f>
        <v>8421.8125756998434</v>
      </c>
      <c r="P88" s="407">
        <f ca="1">Результаты_УК!P228*$B$4+Резиденты!P239</f>
        <v>8563.803233596378</v>
      </c>
      <c r="Q88" s="407">
        <f ca="1">Результаты_УК!Q228*$B$4+Резиденты!Q239</f>
        <v>8708.1878354032888</v>
      </c>
      <c r="R88" s="407">
        <f ca="1">Результаты_УК!R228*$B$4+Резиденты!R239</f>
        <v>10321.484220854109</v>
      </c>
      <c r="S88" s="407">
        <f ca="1">Результаты_УК!S228*$B$4+Резиденты!S239</f>
        <v>10493.309386208461</v>
      </c>
      <c r="T88" s="407">
        <f ca="1">Результаты_УК!T228*$B$4+Резиденты!T239</f>
        <v>10667.994981983215</v>
      </c>
      <c r="U88" s="407">
        <f ca="1">Результаты_УК!U228*$B$4+Резиденты!U239</f>
        <v>10845.588626710694</v>
      </c>
      <c r="V88" s="407">
        <f ca="1">Результаты_УК!V228*$B$4+Резиденты!V239</f>
        <v>35096.126259151126</v>
      </c>
      <c r="W88" s="407">
        <f ca="1">Результаты_УК!W228*$B$4+Резиденты!W239</f>
        <v>35691.427856647431</v>
      </c>
      <c r="X88" s="407">
        <f ca="1">Результаты_УК!X228*$B$4+Резиденты!X239</f>
        <v>36296.82697856467</v>
      </c>
      <c r="Y88" s="407">
        <f ca="1">Результаты_УК!Y228*$B$4+Резиденты!Y239</f>
        <v>36912.494899429657</v>
      </c>
      <c r="Z88" s="407">
        <f ca="1">Результаты_УК!Z228*$B$4+Резиденты!Z239</f>
        <v>37530.913499102535</v>
      </c>
      <c r="AA88" s="407">
        <f ca="1">Результаты_УК!AA228*$B$4+Резиденты!AA239</f>
        <v>38159.692860502939</v>
      </c>
      <c r="AB88" s="407">
        <f ca="1">Результаты_УК!AB228*$B$4+Резиденты!AB239</f>
        <v>38799.006564088551</v>
      </c>
      <c r="AC88" s="407">
        <f ca="1">Результаты_УК!AC228*$B$4+Резиденты!AC239</f>
        <v>39449.031098421314</v>
      </c>
      <c r="AD88" s="407">
        <f ca="1">Результаты_УК!AD228*$B$4+Резиденты!AD239</f>
        <v>40103.479226623196</v>
      </c>
      <c r="AE88" s="407">
        <f ca="1">Результаты_УК!AE228*$B$4+Резиденты!AE239</f>
        <v>40768.784461846</v>
      </c>
      <c r="AF88" s="407">
        <f ca="1">Результаты_УК!AF228*$B$4+Резиденты!AF239</f>
        <v>41445.126920385854</v>
      </c>
      <c r="AG88" s="407">
        <f ca="1">Результаты_УК!AG228*$B$4+Резиденты!AG239</f>
        <v>42132.689706616657</v>
      </c>
      <c r="AH88" s="407">
        <f ca="1">Результаты_УК!AH228*$B$4+Резиденты!AH239</f>
        <v>42828.870619991176</v>
      </c>
      <c r="AI88" s="407">
        <f ca="1">Результаты_УК!AI228*$B$4+Резиденты!AI239</f>
        <v>43536.554902068761</v>
      </c>
      <c r="AJ88" s="407">
        <f ca="1">Результаты_УК!AJ228*$B$4+Резиденты!AJ239</f>
        <v>44255.932629148512</v>
      </c>
      <c r="AK88" s="407">
        <f ca="1">Результаты_УК!AK228*$B$4+Резиденты!AK239</f>
        <v>44987.197018261642</v>
      </c>
      <c r="AL88" s="407">
        <f ca="1">Результаты_УК!AL228*$B$4+Резиденты!AL239</f>
        <v>45724.374427885625</v>
      </c>
      <c r="AM88" s="407">
        <f ca="1">Результаты_УК!AM228*$B$4+Резиденты!AM239</f>
        <v>46473.631508377723</v>
      </c>
      <c r="AN88" s="407">
        <f ca="1">Результаты_УК!AN228*$B$4+Резиденты!AN239</f>
        <v>47235.166201843022</v>
      </c>
      <c r="AO88" s="407">
        <f ca="1">Результаты_УК!AO228*$B$4+Резиденты!AO239</f>
        <v>48009.179693941631</v>
      </c>
      <c r="AP88" s="407">
        <f ca="1">Результаты_УК!AP228*$B$4+Резиденты!AP239</f>
        <v>48789.582340687426</v>
      </c>
      <c r="AQ88" s="407">
        <f ca="1">Результаты_УК!AQ228*$B$4+Резиденты!AQ239</f>
        <v>49582.670650777822</v>
      </c>
      <c r="AR88" s="407">
        <f ca="1">Результаты_УК!AR228*$B$4+Резиденты!AR239</f>
        <v>50388.650833219363</v>
      </c>
      <c r="AT88" s="30">
        <f t="shared" ca="1" si="131"/>
        <v>1081980.5600843157</v>
      </c>
    </row>
    <row r="89" spans="1:46" outlineLevel="1" x14ac:dyDescent="0.2">
      <c r="A89" s="63" t="s">
        <v>730</v>
      </c>
      <c r="B89" s="102">
        <f ca="1">IFERROR(AVERAGEIF(Параметры!$E$46:OFFSET(Параметры!$E$46,0,Параметры!$B$24-1),"&gt;=" &amp; Деятельность_УК!$B$9,E89:OFFSET(E89,0,Параметры!$B$24-1))*Параметры!$B$13/Параметры!$B$12,0)</f>
        <v>0</v>
      </c>
      <c r="C89" s="12" t="str">
        <f>Параметры!$C$126</f>
        <v>тыс. руб.</v>
      </c>
      <c r="D89" s="40"/>
      <c r="E89" s="82">
        <f>-Деятельность_УК!E542*Графики!$D$323</f>
        <v>0</v>
      </c>
      <c r="F89" s="82">
        <f>-Деятельность_УК!F542*Графики!$D$323</f>
        <v>0</v>
      </c>
      <c r="G89" s="82">
        <f>-Деятельность_УК!G542*Графики!$D$323</f>
        <v>0</v>
      </c>
      <c r="H89" s="82">
        <f>-Деятельность_УК!H542*Графики!$D$323</f>
        <v>0</v>
      </c>
      <c r="I89" s="82">
        <f>-Деятельность_УК!I542*Графики!$D$323</f>
        <v>0</v>
      </c>
      <c r="J89" s="82">
        <f>-Деятельность_УК!J542*Графики!$D$323</f>
        <v>0</v>
      </c>
      <c r="K89" s="82">
        <f>-Деятельность_УК!K542*Графики!$D$323</f>
        <v>0</v>
      </c>
      <c r="L89" s="82">
        <f>-Деятельность_УК!L542*Графики!$D$323</f>
        <v>0</v>
      </c>
      <c r="M89" s="82">
        <f>-Деятельность_УК!M542*Графики!$D$323</f>
        <v>0</v>
      </c>
      <c r="N89" s="82">
        <f>-Деятельность_УК!N542*Графики!$D$323</f>
        <v>0</v>
      </c>
      <c r="O89" s="82">
        <f>-Деятельность_УК!O542*Графики!$D$323</f>
        <v>0</v>
      </c>
      <c r="P89" s="82">
        <f>-Деятельность_УК!P542*Графики!$D$323</f>
        <v>0</v>
      </c>
      <c r="Q89" s="82">
        <f>-Деятельность_УК!Q542*Графики!$D$323</f>
        <v>0</v>
      </c>
      <c r="R89" s="82">
        <f>-Деятельность_УК!R542*Графики!$D$323</f>
        <v>0</v>
      </c>
      <c r="S89" s="82">
        <f>-Деятельность_УК!S542*Графики!$D$323</f>
        <v>0</v>
      </c>
      <c r="T89" s="82">
        <f>-Деятельность_УК!T542*Графики!$D$323</f>
        <v>0</v>
      </c>
      <c r="U89" s="82">
        <f>-Деятельность_УК!U542*Графики!$D$323</f>
        <v>0</v>
      </c>
      <c r="V89" s="82">
        <f>-Деятельность_УК!V542*Графики!$D$323</f>
        <v>0</v>
      </c>
      <c r="W89" s="82">
        <f>-Деятельность_УК!W542*Графики!$D$323</f>
        <v>0</v>
      </c>
      <c r="X89" s="82">
        <f>-Деятельность_УК!X542*Графики!$D$323</f>
        <v>0</v>
      </c>
      <c r="Y89" s="82">
        <f>-Деятельность_УК!Y542*Графики!$D$323</f>
        <v>0</v>
      </c>
      <c r="Z89" s="82">
        <f>-Деятельность_УК!Z542*Графики!$D$323</f>
        <v>0</v>
      </c>
      <c r="AA89" s="82">
        <f>-Деятельность_УК!AA542*Графики!$D$323</f>
        <v>0</v>
      </c>
      <c r="AB89" s="82">
        <f>-Деятельность_УК!AB542*Графики!$D$323</f>
        <v>0</v>
      </c>
      <c r="AC89" s="82">
        <f>-Деятельность_УК!AC542*Графики!$D$323</f>
        <v>0</v>
      </c>
      <c r="AD89" s="82">
        <f>-Деятельность_УК!AD542*Графики!$D$323</f>
        <v>0</v>
      </c>
      <c r="AE89" s="82">
        <f>-Деятельность_УК!AE542*Графики!$D$323</f>
        <v>0</v>
      </c>
      <c r="AF89" s="82">
        <f>-Деятельность_УК!AF542*Графики!$D$323</f>
        <v>0</v>
      </c>
      <c r="AG89" s="82">
        <f>-Деятельность_УК!AG542*Графики!$D$323</f>
        <v>0</v>
      </c>
      <c r="AH89" s="82">
        <f>-Деятельность_УК!AH542*Графики!$D$323</f>
        <v>0</v>
      </c>
      <c r="AI89" s="82">
        <f>-Деятельность_УК!AI542*Графики!$D$323</f>
        <v>0</v>
      </c>
      <c r="AJ89" s="82">
        <f>-Деятельность_УК!AJ542*Графики!$D$323</f>
        <v>0</v>
      </c>
      <c r="AK89" s="82">
        <f>-Деятельность_УК!AK542*Графики!$D$323</f>
        <v>0</v>
      </c>
      <c r="AL89" s="82">
        <f>-Деятельность_УК!AL542*Графики!$D$323</f>
        <v>0</v>
      </c>
      <c r="AM89" s="82">
        <f>-Деятельность_УК!AM542*Графики!$D$323</f>
        <v>0</v>
      </c>
      <c r="AN89" s="82">
        <f>-Деятельность_УК!AN542*Графики!$D$323</f>
        <v>0</v>
      </c>
      <c r="AO89" s="82">
        <f>-Деятельность_УК!AO542*Графики!$D$323</f>
        <v>0</v>
      </c>
      <c r="AP89" s="82">
        <f>-Деятельность_УК!AP542*Графики!$D$323</f>
        <v>0</v>
      </c>
      <c r="AQ89" s="82">
        <f>-Деятельность_УК!AQ542*Графики!$D$323</f>
        <v>0</v>
      </c>
      <c r="AR89" s="82">
        <f>-Деятельность_УК!AR542*Графики!$D$323</f>
        <v>0</v>
      </c>
      <c r="AT89" s="30">
        <f>SUM(E89:AS89)</f>
        <v>0</v>
      </c>
    </row>
    <row r="90" spans="1:46" outlineLevel="1" x14ac:dyDescent="0.2">
      <c r="A90" s="44" t="s">
        <v>330</v>
      </c>
      <c r="D90" s="40"/>
      <c r="E90" s="82">
        <f ca="1">E84</f>
        <v>0</v>
      </c>
      <c r="F90" s="82">
        <f t="shared" ref="F90:AR90" ca="1" si="132">E90+F84</f>
        <v>0</v>
      </c>
      <c r="G90" s="82">
        <f t="shared" ca="1" si="132"/>
        <v>0</v>
      </c>
      <c r="H90" s="82">
        <f t="shared" ca="1" si="132"/>
        <v>5107.8812850000004</v>
      </c>
      <c r="I90" s="82">
        <f t="shared" ca="1" si="132"/>
        <v>15882.609924628166</v>
      </c>
      <c r="J90" s="82">
        <f t="shared" ca="1" si="132"/>
        <v>26739.167537214893</v>
      </c>
      <c r="K90" s="82">
        <f t="shared" ca="1" si="132"/>
        <v>37732.187601166261</v>
      </c>
      <c r="L90" s="82">
        <f t="shared" ca="1" si="132"/>
        <v>48863.503771209231</v>
      </c>
      <c r="M90" s="82">
        <f t="shared" ca="1" si="132"/>
        <v>60134.975760671899</v>
      </c>
      <c r="N90" s="82">
        <f t="shared" ca="1" si="132"/>
        <v>74300.318933852803</v>
      </c>
      <c r="O90" s="82">
        <f t="shared" ca="1" si="132"/>
        <v>91758.48691972025</v>
      </c>
      <c r="P90" s="82">
        <f t="shared" ca="1" si="132"/>
        <v>109459.39339617154</v>
      </c>
      <c r="Q90" s="82">
        <f t="shared" ca="1" si="132"/>
        <v>127406.55556149673</v>
      </c>
      <c r="R90" s="82">
        <f t="shared" ca="1" si="132"/>
        <v>147070.02097706977</v>
      </c>
      <c r="S90" s="82">
        <f t="shared" ca="1" si="132"/>
        <v>168695.27469973051</v>
      </c>
      <c r="T90" s="82">
        <f t="shared" ca="1" si="132"/>
        <v>190621.63615425082</v>
      </c>
      <c r="U90" s="82">
        <f t="shared" ca="1" si="132"/>
        <v>212853.44912767282</v>
      </c>
      <c r="V90" s="82">
        <f t="shared" ca="1" si="132"/>
        <v>259465.10965104343</v>
      </c>
      <c r="W90" s="82">
        <f t="shared" ca="1" si="132"/>
        <v>334959.50521693379</v>
      </c>
      <c r="X90" s="82">
        <f t="shared" ca="1" si="132"/>
        <v>411522.54054517316</v>
      </c>
      <c r="Y90" s="82">
        <f t="shared" ca="1" si="132"/>
        <v>489169.87578875403</v>
      </c>
      <c r="Z90" s="82">
        <f t="shared" ca="1" si="132"/>
        <v>570333.77022338123</v>
      </c>
      <c r="AA90" s="82">
        <f t="shared" ca="1" si="132"/>
        <v>652607.44246674445</v>
      </c>
      <c r="AB90" s="82">
        <f t="shared" ca="1" si="132"/>
        <v>736006.7292607592</v>
      </c>
      <c r="AC90" s="82">
        <f t="shared" ca="1" si="132"/>
        <v>820547.70228815556</v>
      </c>
      <c r="AD90" s="82">
        <f t="shared" ca="1" si="132"/>
        <v>906240.205091401</v>
      </c>
      <c r="AE90" s="82">
        <f t="shared" ca="1" si="132"/>
        <v>993095.73963294248</v>
      </c>
      <c r="AF90" s="82">
        <f t="shared" ca="1" si="132"/>
        <v>1081130.777156228</v>
      </c>
      <c r="AG90" s="82">
        <f t="shared" ca="1" si="132"/>
        <v>1170362.0313359881</v>
      </c>
      <c r="AH90" s="82">
        <f t="shared" ca="1" si="132"/>
        <v>1260803.673621027</v>
      </c>
      <c r="AI90" s="82">
        <f t="shared" ca="1" si="132"/>
        <v>1352475.1537809912</v>
      </c>
      <c r="AJ90" s="82">
        <f t="shared" ca="1" si="132"/>
        <v>1445393.891547444</v>
      </c>
      <c r="AK90" s="82">
        <f t="shared" ca="1" si="132"/>
        <v>1539577.5626672797</v>
      </c>
      <c r="AL90" s="82">
        <f t="shared" ca="1" si="132"/>
        <v>1635037.9327328578</v>
      </c>
      <c r="AM90" s="82">
        <f t="shared" ca="1" si="132"/>
        <v>1731808.9027377283</v>
      </c>
      <c r="AN90" s="82">
        <f t="shared" ca="1" si="132"/>
        <v>1834441.1076769086</v>
      </c>
      <c r="AO90" s="82">
        <f t="shared" ca="1" si="132"/>
        <v>1938419.3159132334</v>
      </c>
      <c r="AP90" s="82">
        <f t="shared" ca="1" si="132"/>
        <v>2043756.6900303168</v>
      </c>
      <c r="AQ90" s="82">
        <f t="shared" ca="1" si="132"/>
        <v>2150473.3752620751</v>
      </c>
      <c r="AR90" s="82">
        <f t="shared" ca="1" si="132"/>
        <v>2330825.1591442563</v>
      </c>
      <c r="AT90" s="30"/>
    </row>
    <row r="91" spans="1:46" x14ac:dyDescent="0.2">
      <c r="A91" s="44"/>
      <c r="D91" s="40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T91" s="30"/>
    </row>
    <row r="92" spans="1:46" x14ac:dyDescent="0.2">
      <c r="A92" s="44" t="s">
        <v>136</v>
      </c>
      <c r="C92" s="12" t="str">
        <f>Параметры!$C$126</f>
        <v>тыс. руб.</v>
      </c>
      <c r="D92" s="40"/>
      <c r="E92" s="82">
        <f t="shared" ref="E92:AR92" ca="1" si="133">E84/E83</f>
        <v>0</v>
      </c>
      <c r="F92" s="82">
        <f t="shared" ca="1" si="133"/>
        <v>0</v>
      </c>
      <c r="G92" s="82">
        <f t="shared" ca="1" si="133"/>
        <v>0</v>
      </c>
      <c r="H92" s="82">
        <f t="shared" ca="1" si="133"/>
        <v>5107.8812850000004</v>
      </c>
      <c r="I92" s="82">
        <f t="shared" ca="1" si="133"/>
        <v>10517.960700925989</v>
      </c>
      <c r="J92" s="82">
        <f t="shared" ca="1" si="133"/>
        <v>10345.287069857675</v>
      </c>
      <c r="K92" s="82">
        <f t="shared" ca="1" si="133"/>
        <v>10225.690128642913</v>
      </c>
      <c r="L92" s="82">
        <f t="shared" ca="1" si="133"/>
        <v>10107.583281682626</v>
      </c>
      <c r="M92" s="82">
        <f t="shared" ca="1" si="133"/>
        <v>9990.9468478883737</v>
      </c>
      <c r="N92" s="82">
        <f t="shared" ca="1" si="133"/>
        <v>12256.834307994772</v>
      </c>
      <c r="O92" s="82">
        <f t="shared" ca="1" si="133"/>
        <v>14746.02905926542</v>
      </c>
      <c r="P92" s="82">
        <f t="shared" ca="1" si="133"/>
        <v>14594.765699136224</v>
      </c>
      <c r="Q92" s="82">
        <f t="shared" ca="1" si="133"/>
        <v>14445.168405226763</v>
      </c>
      <c r="R92" s="82">
        <f t="shared" ca="1" si="133"/>
        <v>15449.416572278753</v>
      </c>
      <c r="S92" s="82">
        <f t="shared" ca="1" si="133"/>
        <v>16585.876944786942</v>
      </c>
      <c r="T92" s="82">
        <f t="shared" ca="1" si="133"/>
        <v>16416.062576285905</v>
      </c>
      <c r="U92" s="82">
        <f t="shared" ca="1" si="133"/>
        <v>16248.097351563629</v>
      </c>
      <c r="V92" s="82">
        <f t="shared" ca="1" si="133"/>
        <v>33254.269304261376</v>
      </c>
      <c r="W92" s="82">
        <f t="shared" ca="1" si="133"/>
        <v>52576.630465949216</v>
      </c>
      <c r="X92" s="82">
        <f t="shared" ca="1" si="133"/>
        <v>52050.197571326695</v>
      </c>
      <c r="Y92" s="82">
        <f t="shared" ca="1" si="133"/>
        <v>51529.389610645907</v>
      </c>
      <c r="Z92" s="82">
        <f t="shared" ca="1" si="133"/>
        <v>52579.508485382285</v>
      </c>
      <c r="AA92" s="82">
        <f t="shared" ca="1" si="133"/>
        <v>52028.311217006405</v>
      </c>
      <c r="AB92" s="82">
        <f t="shared" ca="1" si="133"/>
        <v>51483.301136732043</v>
      </c>
      <c r="AC92" s="82">
        <f t="shared" ca="1" si="133"/>
        <v>50944.404981945278</v>
      </c>
      <c r="AD92" s="82">
        <f t="shared" ca="1" si="133"/>
        <v>50407.74643039942</v>
      </c>
      <c r="AE92" s="82">
        <f t="shared" ca="1" si="133"/>
        <v>49874.339185585981</v>
      </c>
      <c r="AF92" s="82">
        <f t="shared" ca="1" si="133"/>
        <v>49346.961129141739</v>
      </c>
      <c r="AG92" s="82">
        <f t="shared" ca="1" si="133"/>
        <v>48825.540454678485</v>
      </c>
      <c r="AH92" s="82">
        <f t="shared" ca="1" si="133"/>
        <v>48308.516877699542</v>
      </c>
      <c r="AI92" s="82">
        <f t="shared" ca="1" si="133"/>
        <v>47798.548730132163</v>
      </c>
      <c r="AJ92" s="82">
        <f t="shared" ca="1" si="133"/>
        <v>47294.318423575838</v>
      </c>
      <c r="AK92" s="82">
        <f t="shared" ca="1" si="133"/>
        <v>46795.758006475531</v>
      </c>
      <c r="AL92" s="82">
        <f t="shared" ca="1" si="133"/>
        <v>46299.807788881779</v>
      </c>
      <c r="AM92" s="82">
        <f t="shared" ca="1" si="133"/>
        <v>45816.970685441069</v>
      </c>
      <c r="AN92" s="82">
        <f t="shared" ca="1" si="133"/>
        <v>47434.042540193339</v>
      </c>
      <c r="AO92" s="82">
        <f t="shared" ca="1" si="133"/>
        <v>46910.926586181362</v>
      </c>
      <c r="AP92" s="82">
        <f t="shared" ca="1" si="133"/>
        <v>46391.60225679203</v>
      </c>
      <c r="AQ92" s="82">
        <f t="shared" ca="1" si="133"/>
        <v>45879.049712813961</v>
      </c>
      <c r="AR92" s="82">
        <f t="shared" ca="1" si="133"/>
        <v>75688.122375281775</v>
      </c>
      <c r="AT92" s="30">
        <f ca="1">SUM(E92:AS92)</f>
        <v>1316555.8641870592</v>
      </c>
    </row>
    <row r="93" spans="1:46" x14ac:dyDescent="0.2">
      <c r="A93" s="44" t="s">
        <v>137</v>
      </c>
      <c r="C93" s="12" t="str">
        <f>Параметры!$C$126</f>
        <v>тыс. руб.</v>
      </c>
      <c r="D93" s="40"/>
      <c r="E93" s="82">
        <f t="shared" ref="E93" ca="1" si="134">E92+IF(E$2&gt;1,D93)</f>
        <v>0</v>
      </c>
      <c r="F93" s="82">
        <f t="shared" ref="F93" ca="1" si="135">F92+IF(F$2&gt;1,E93)</f>
        <v>0</v>
      </c>
      <c r="G93" s="82">
        <f t="shared" ref="G93" ca="1" si="136">G92+IF(G$2&gt;1,F93)</f>
        <v>0</v>
      </c>
      <c r="H93" s="82">
        <f t="shared" ref="H93" ca="1" si="137">H92+IF(H$2&gt;1,G93)</f>
        <v>5107.8812850000004</v>
      </c>
      <c r="I93" s="82">
        <f t="shared" ref="I93" ca="1" si="138">I92+IF(I$2&gt;1,H93)</f>
        <v>15625.841985925988</v>
      </c>
      <c r="J93" s="82">
        <f t="shared" ref="J93" ca="1" si="139">J92+IF(J$2&gt;1,I93)</f>
        <v>25971.129055783662</v>
      </c>
      <c r="K93" s="82">
        <f t="shared" ref="K93" ca="1" si="140">K92+IF(K$2&gt;1,J93)</f>
        <v>36196.819184426575</v>
      </c>
      <c r="L93" s="82">
        <f t="shared" ref="L93" ca="1" si="141">L92+IF(L$2&gt;1,K93)</f>
        <v>46304.402466109197</v>
      </c>
      <c r="M93" s="82">
        <f t="shared" ref="M93" ca="1" si="142">M92+IF(M$2&gt;1,L93)</f>
        <v>56295.349313997569</v>
      </c>
      <c r="N93" s="82">
        <f t="shared" ref="N93" ca="1" si="143">N92+IF(N$2&gt;1,M93)</f>
        <v>68552.183621992343</v>
      </c>
      <c r="O93" s="82">
        <f t="shared" ref="O93" ca="1" si="144">O92+IF(O$2&gt;1,N93)</f>
        <v>83298.212681257763</v>
      </c>
      <c r="P93" s="82">
        <f t="shared" ref="P93" ca="1" si="145">P92+IF(P$2&gt;1,O93)</f>
        <v>97892.978380393994</v>
      </c>
      <c r="Q93" s="82">
        <f t="shared" ref="Q93" ca="1" si="146">Q92+IF(Q$2&gt;1,P93)</f>
        <v>112338.14678562076</v>
      </c>
      <c r="R93" s="82">
        <f t="shared" ref="R93" ca="1" si="147">R92+IF(R$2&gt;1,Q93)</f>
        <v>127787.56335789952</v>
      </c>
      <c r="S93" s="82">
        <f t="shared" ref="S93" ca="1" si="148">S92+IF(S$2&gt;1,R93)</f>
        <v>144373.44030268647</v>
      </c>
      <c r="T93" s="82">
        <f t="shared" ref="T93" ca="1" si="149">T92+IF(T$2&gt;1,S93)</f>
        <v>160789.50287897239</v>
      </c>
      <c r="U93" s="82">
        <f t="shared" ref="U93" ca="1" si="150">U92+IF(U$2&gt;1,T93)</f>
        <v>177037.60023053602</v>
      </c>
      <c r="V93" s="82">
        <f t="shared" ref="V93" ca="1" si="151">V92+IF(V$2&gt;1,U93)</f>
        <v>210291.86953479738</v>
      </c>
      <c r="W93" s="82">
        <f t="shared" ref="W93" ca="1" si="152">W92+IF(W$2&gt;1,V93)</f>
        <v>262868.50000074657</v>
      </c>
      <c r="X93" s="82">
        <f t="shared" ref="X93" ca="1" si="153">X92+IF(X$2&gt;1,W93)</f>
        <v>314918.69757207326</v>
      </c>
      <c r="Y93" s="82">
        <f t="shared" ref="Y93" ca="1" si="154">Y92+IF(Y$2&gt;1,X93)</f>
        <v>366448.08718271914</v>
      </c>
      <c r="Z93" s="82">
        <f t="shared" ref="Z93" ca="1" si="155">Z92+IF(Z$2&gt;1,Y93)</f>
        <v>419027.59566810145</v>
      </c>
      <c r="AA93" s="82">
        <f t="shared" ref="AA93" ca="1" si="156">AA92+IF(AA$2&gt;1,Z93)</f>
        <v>471055.90688510786</v>
      </c>
      <c r="AB93" s="82">
        <f t="shared" ref="AB93" ca="1" si="157">AB92+IF(AB$2&gt;1,AA93)</f>
        <v>522539.20802183991</v>
      </c>
      <c r="AC93" s="82">
        <f t="shared" ref="AC93" ca="1" si="158">AC92+IF(AC$2&gt;1,AB93)</f>
        <v>573483.61300378514</v>
      </c>
      <c r="AD93" s="82">
        <f t="shared" ref="AD93" ca="1" si="159">AD92+IF(AD$2&gt;1,AC93)</f>
        <v>623891.35943418462</v>
      </c>
      <c r="AE93" s="82">
        <f t="shared" ref="AE93" ca="1" si="160">AE92+IF(AE$2&gt;1,AD93)</f>
        <v>673765.69861977058</v>
      </c>
      <c r="AF93" s="82">
        <f t="shared" ref="AF93" ca="1" si="161">AF92+IF(AF$2&gt;1,AE93)</f>
        <v>723112.65974891232</v>
      </c>
      <c r="AG93" s="82">
        <f t="shared" ref="AG93" ca="1" si="162">AG92+IF(AG$2&gt;1,AF93)</f>
        <v>771938.20020359079</v>
      </c>
      <c r="AH93" s="82">
        <f t="shared" ref="AH93" ca="1" si="163">AH92+IF(AH$2&gt;1,AG93)</f>
        <v>820246.71708129032</v>
      </c>
      <c r="AI93" s="82">
        <f t="shared" ref="AI93" ca="1" si="164">AI92+IF(AI$2&gt;1,AH93)</f>
        <v>868045.26581142249</v>
      </c>
      <c r="AJ93" s="82">
        <f t="shared" ref="AJ93" ca="1" si="165">AJ92+IF(AJ$2&gt;1,AI93)</f>
        <v>915339.58423499833</v>
      </c>
      <c r="AK93" s="82">
        <f t="shared" ref="AK93" ca="1" si="166">AK92+IF(AK$2&gt;1,AJ93)</f>
        <v>962135.34224147385</v>
      </c>
      <c r="AL93" s="82">
        <f t="shared" ref="AL93" ca="1" si="167">AL92+IF(AL$2&gt;1,AK93)</f>
        <v>1008435.1500303557</v>
      </c>
      <c r="AM93" s="82">
        <f t="shared" ref="AM93" ca="1" si="168">AM92+IF(AM$2&gt;1,AL93)</f>
        <v>1054252.1207157967</v>
      </c>
      <c r="AN93" s="82">
        <f t="shared" ref="AN93" ca="1" si="169">AN92+IF(AN$2&gt;1,AM93)</f>
        <v>1101686.16325599</v>
      </c>
      <c r="AO93" s="82">
        <f t="shared" ref="AO93" ca="1" si="170">AO92+IF(AO$2&gt;1,AN93)</f>
        <v>1148597.0898421714</v>
      </c>
      <c r="AP93" s="82">
        <f t="shared" ref="AP93" ca="1" si="171">AP92+IF(AP$2&gt;1,AO93)</f>
        <v>1194988.6920989635</v>
      </c>
      <c r="AQ93" s="82">
        <f t="shared" ref="AQ93" ca="1" si="172">AQ92+IF(AQ$2&gt;1,AP93)</f>
        <v>1240867.7418117775</v>
      </c>
      <c r="AR93" s="82">
        <f t="shared" ref="AR93" ca="1" si="173">AR92+IF(AR$2&gt;1,AQ93)</f>
        <v>1316555.8641870592</v>
      </c>
      <c r="AT93" s="30"/>
    </row>
    <row r="94" spans="1:46" x14ac:dyDescent="0.2">
      <c r="A94" s="44"/>
      <c r="B94" s="5"/>
      <c r="D94" s="40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</row>
    <row r="95" spans="1:46" x14ac:dyDescent="0.2">
      <c r="A95" s="52" t="s">
        <v>138</v>
      </c>
      <c r="B95" s="179">
        <f ca="1">AT92</f>
        <v>1316555.8641870592</v>
      </c>
      <c r="C95" s="12" t="str">
        <f>Параметры!$C$126</f>
        <v>тыс. руб.</v>
      </c>
      <c r="D95" s="40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</row>
    <row r="96" spans="1:46" x14ac:dyDescent="0.2">
      <c r="A96" s="44"/>
      <c r="D96" s="40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</row>
    <row r="97" spans="1:46" x14ac:dyDescent="0.2">
      <c r="A97" s="52" t="s">
        <v>139</v>
      </c>
      <c r="B97" s="177" t="str">
        <f ca="1">IFERROR(IF(POWER(1+IRR(E84:AS84,B81),360/Параметры!B$12)-1&gt;999%,"-",POWER(1+IRR(E84:AS84,B81),360/Параметры!B$12)-1),"-")</f>
        <v>-</v>
      </c>
      <c r="C97" s="12" t="s">
        <v>1</v>
      </c>
      <c r="D97" s="40"/>
      <c r="E97" s="104"/>
    </row>
    <row r="98" spans="1:46" x14ac:dyDescent="0.2">
      <c r="A98" s="49" t="s">
        <v>140</v>
      </c>
      <c r="B98" s="180" t="str">
        <f ca="1">IFERROR(POWER(1+MIRR(E84:AS84,B81,Параметры!B$249),360/Параметры!B$12)-1,"-")</f>
        <v>-</v>
      </c>
      <c r="C98" s="12" t="s">
        <v>1</v>
      </c>
      <c r="D98" s="40"/>
    </row>
    <row r="99" spans="1:46" x14ac:dyDescent="0.2">
      <c r="A99" s="49"/>
      <c r="B99" s="180"/>
      <c r="D99" s="40"/>
    </row>
    <row r="100" spans="1:46" x14ac:dyDescent="0.2">
      <c r="A100" s="50" t="s">
        <v>732</v>
      </c>
      <c r="B100" s="211" t="str">
        <f>IF(AT102&lt;0,AT101/-AT102," - ")</f>
        <v xml:space="preserve"> - </v>
      </c>
      <c r="C100" s="12" t="s">
        <v>133</v>
      </c>
      <c r="D100" s="121"/>
      <c r="E100" s="558">
        <f ca="1">ABS(IFERROR(SUM($E101:E101)/SUM($E102:E102),0))</f>
        <v>0</v>
      </c>
      <c r="F100" s="558">
        <f ca="1">ABS(IFERROR(SUM($E101:F101)/SUM($E102:F102),0))</f>
        <v>0</v>
      </c>
      <c r="G100" s="558">
        <f ca="1">ABS(IFERROR(SUM($E101:G101)/SUM($E102:G102),0))</f>
        <v>0</v>
      </c>
      <c r="H100" s="558">
        <f ca="1">ABS(IFERROR(SUM($E101:H101)/SUM($E102:H102),0))</f>
        <v>0</v>
      </c>
      <c r="I100" s="558">
        <f ca="1">ABS(IFERROR(SUM($E101:I101)/SUM($E102:I102),0))</f>
        <v>0</v>
      </c>
      <c r="J100" s="558">
        <f ca="1">ABS(IFERROR(SUM($E101:J101)/SUM($E102:J102),0))</f>
        <v>0</v>
      </c>
      <c r="K100" s="558">
        <f ca="1">ABS(IFERROR(SUM($E101:K101)/SUM($E102:K102),0))</f>
        <v>0</v>
      </c>
      <c r="L100" s="558">
        <f ca="1">ABS(IFERROR(SUM($E101:L101)/SUM($E102:L102),0))</f>
        <v>0</v>
      </c>
      <c r="M100" s="558">
        <f ca="1">ABS(IFERROR(SUM($E101:M101)/SUM($E102:M102),0))</f>
        <v>0</v>
      </c>
      <c r="N100" s="558">
        <f ca="1">ABS(IFERROR(SUM($E101:N101)/SUM($E102:N102),0))</f>
        <v>0</v>
      </c>
      <c r="O100" s="558">
        <f ca="1">ABS(IFERROR(SUM($E101:O101)/SUM($E102:O102),0))</f>
        <v>0</v>
      </c>
      <c r="P100" s="558">
        <f ca="1">ABS(IFERROR(SUM($E101:P101)/SUM($E102:P102),0))</f>
        <v>0</v>
      </c>
      <c r="Q100" s="558">
        <f ca="1">ABS(IFERROR(SUM($E101:Q101)/SUM($E102:Q102),0))</f>
        <v>0</v>
      </c>
      <c r="R100" s="558">
        <f ca="1">ABS(IFERROR(SUM($E101:R101)/SUM($E102:R102),0))</f>
        <v>0</v>
      </c>
      <c r="S100" s="558">
        <f ca="1">ABS(IFERROR(SUM($E101:S101)/SUM($E102:S102),0))</f>
        <v>0</v>
      </c>
      <c r="T100" s="558">
        <f ca="1">ABS(IFERROR(SUM($E101:T101)/SUM($E102:T102),0))</f>
        <v>0</v>
      </c>
      <c r="U100" s="558">
        <f ca="1">ABS(IFERROR(SUM($E101:U101)/SUM($E102:U102),0))</f>
        <v>0</v>
      </c>
      <c r="V100" s="558">
        <f ca="1">ABS(IFERROR(SUM($E101:V101)/SUM($E102:V102),0))</f>
        <v>0</v>
      </c>
      <c r="W100" s="558">
        <f ca="1">ABS(IFERROR(SUM($E101:W101)/SUM($E102:W102),0))</f>
        <v>0</v>
      </c>
      <c r="X100" s="558">
        <f ca="1">ABS(IFERROR(SUM($E101:X101)/SUM($E102:X102),0))</f>
        <v>0</v>
      </c>
      <c r="Y100" s="558">
        <f ca="1">ABS(IFERROR(SUM($E101:Y101)/SUM($E102:Y102),0))</f>
        <v>0</v>
      </c>
      <c r="Z100" s="558">
        <f ca="1">ABS(IFERROR(SUM($E101:Z101)/SUM($E102:Z102),0))</f>
        <v>0</v>
      </c>
      <c r="AA100" s="558">
        <f ca="1">ABS(IFERROR(SUM($E101:AA101)/SUM($E102:AA102),0))</f>
        <v>0</v>
      </c>
      <c r="AB100" s="558">
        <f ca="1">ABS(IFERROR(SUM($E101:AB101)/SUM($E102:AB102),0))</f>
        <v>0</v>
      </c>
      <c r="AC100" s="558">
        <f ca="1">ABS(IFERROR(SUM($E101:AC101)/SUM($E102:AC102),0))</f>
        <v>0</v>
      </c>
      <c r="AD100" s="558">
        <f ca="1">ABS(IFERROR(SUM($E101:AD101)/SUM($E102:AD102),0))</f>
        <v>0</v>
      </c>
      <c r="AE100" s="558">
        <f ca="1">ABS(IFERROR(SUM($E101:AE101)/SUM($E102:AE102),0))</f>
        <v>0</v>
      </c>
      <c r="AF100" s="558">
        <f ca="1">ABS(IFERROR(SUM($E101:AF101)/SUM($E102:AF102),0))</f>
        <v>0</v>
      </c>
      <c r="AG100" s="558">
        <f ca="1">ABS(IFERROR(SUM($E101:AG101)/SUM($E102:AG102),0))</f>
        <v>0</v>
      </c>
      <c r="AH100" s="558">
        <f ca="1">ABS(IFERROR(SUM($E101:AH101)/SUM($E102:AH102),0))</f>
        <v>0</v>
      </c>
      <c r="AI100" s="558">
        <f ca="1">ABS(IFERROR(SUM($E101:AI101)/SUM($E102:AI102),0))</f>
        <v>0</v>
      </c>
      <c r="AJ100" s="558">
        <f ca="1">ABS(IFERROR(SUM($E101:AJ101)/SUM($E102:AJ102),0))</f>
        <v>0</v>
      </c>
      <c r="AK100" s="558">
        <f ca="1">ABS(IFERROR(SUM($E101:AK101)/SUM($E102:AK102),0))</f>
        <v>0</v>
      </c>
      <c r="AL100" s="558">
        <f ca="1">ABS(IFERROR(SUM($E101:AL101)/SUM($E102:AL102),0))</f>
        <v>0</v>
      </c>
      <c r="AM100" s="558">
        <f ca="1">ABS(IFERROR(SUM($E101:AM101)/SUM($E102:AM102),0))</f>
        <v>0</v>
      </c>
      <c r="AN100" s="558">
        <f ca="1">ABS(IFERROR(SUM($E101:AN101)/SUM($E102:AN102),0))</f>
        <v>0</v>
      </c>
      <c r="AO100" s="558">
        <f ca="1">ABS(IFERROR(SUM($E101:AO101)/SUM($E102:AO102),0))</f>
        <v>0</v>
      </c>
      <c r="AP100" s="558">
        <f ca="1">ABS(IFERROR(SUM($E101:AP101)/SUM($E102:AP102),0))</f>
        <v>0</v>
      </c>
      <c r="AQ100" s="558">
        <f ca="1">ABS(IFERROR(SUM($E101:AQ101)/SUM($E102:AQ102),0))</f>
        <v>0</v>
      </c>
      <c r="AR100" s="558">
        <f ca="1">ABS(IFERROR(SUM($E101:AR101)/SUM($E102:AR102),0))</f>
        <v>0</v>
      </c>
    </row>
    <row r="101" spans="1:46" s="82" customFormat="1" outlineLevel="1" x14ac:dyDescent="0.2">
      <c r="A101" s="212" t="str">
        <f>$A$31</f>
        <v>Притоки</v>
      </c>
      <c r="B101" s="213"/>
      <c r="C101" s="214" t="str">
        <f>Параметры!$C$126</f>
        <v>тыс. руб.</v>
      </c>
      <c r="D101" s="121"/>
      <c r="E101" s="82">
        <f t="shared" ref="E101:AR101" ca="1" si="174">MAX(0,E85)</f>
        <v>0</v>
      </c>
      <c r="F101" s="82">
        <f t="shared" ca="1" si="174"/>
        <v>0</v>
      </c>
      <c r="G101" s="82">
        <f t="shared" ca="1" si="174"/>
        <v>0</v>
      </c>
      <c r="H101" s="82">
        <f t="shared" ca="1" si="174"/>
        <v>5107.8812850000004</v>
      </c>
      <c r="I101" s="82">
        <f t="shared" ca="1" si="174"/>
        <v>10774.728639628165</v>
      </c>
      <c r="J101" s="82">
        <f t="shared" ca="1" si="174"/>
        <v>10856.557612586726</v>
      </c>
      <c r="K101" s="82">
        <f t="shared" ca="1" si="174"/>
        <v>10993.020063951368</v>
      </c>
      <c r="L101" s="82">
        <f t="shared" ca="1" si="174"/>
        <v>11131.31617004297</v>
      </c>
      <c r="M101" s="82">
        <f t="shared" ca="1" si="174"/>
        <v>11271.471989462671</v>
      </c>
      <c r="N101" s="82">
        <f t="shared" ca="1" si="174"/>
        <v>14165.343173180901</v>
      </c>
      <c r="O101" s="82">
        <f t="shared" ca="1" si="174"/>
        <v>17458.167985867454</v>
      </c>
      <c r="P101" s="82">
        <f t="shared" ca="1" si="174"/>
        <v>17700.90647645128</v>
      </c>
      <c r="Q101" s="82">
        <f t="shared" ca="1" si="174"/>
        <v>17947.162165325193</v>
      </c>
      <c r="R101" s="82">
        <f t="shared" ca="1" si="174"/>
        <v>19663.46541557305</v>
      </c>
      <c r="S101" s="82">
        <f t="shared" ca="1" si="174"/>
        <v>21625.253722660724</v>
      </c>
      <c r="T101" s="82">
        <f t="shared" ca="1" si="174"/>
        <v>21926.361454520309</v>
      </c>
      <c r="U101" s="82">
        <f t="shared" ca="1" si="174"/>
        <v>22231.812973421984</v>
      </c>
      <c r="V101" s="82">
        <f t="shared" ca="1" si="174"/>
        <v>46611.660523370614</v>
      </c>
      <c r="W101" s="82">
        <f t="shared" ca="1" si="174"/>
        <v>75494.395565890329</v>
      </c>
      <c r="X101" s="82">
        <f t="shared" ca="1" si="174"/>
        <v>76563.035328239377</v>
      </c>
      <c r="Y101" s="82">
        <f t="shared" ca="1" si="174"/>
        <v>77647.335243580863</v>
      </c>
      <c r="Z101" s="82">
        <f t="shared" ca="1" si="174"/>
        <v>81163.894434627233</v>
      </c>
      <c r="AA101" s="82">
        <f t="shared" ca="1" si="174"/>
        <v>82273.672243363282</v>
      </c>
      <c r="AB101" s="82">
        <f t="shared" ca="1" si="174"/>
        <v>83399.286794014712</v>
      </c>
      <c r="AC101" s="82">
        <f t="shared" ca="1" si="174"/>
        <v>84540.973027396394</v>
      </c>
      <c r="AD101" s="82">
        <f t="shared" ca="1" si="174"/>
        <v>85692.502803245385</v>
      </c>
      <c r="AE101" s="82">
        <f t="shared" ca="1" si="174"/>
        <v>86855.534541541536</v>
      </c>
      <c r="AF101" s="82">
        <f t="shared" ca="1" si="174"/>
        <v>88035.037523285588</v>
      </c>
      <c r="AG101" s="82">
        <f t="shared" ca="1" si="174"/>
        <v>89231.254179760101</v>
      </c>
      <c r="AH101" s="82">
        <f t="shared" ca="1" si="174"/>
        <v>90441.642285038892</v>
      </c>
      <c r="AI101" s="82">
        <f t="shared" ca="1" si="174"/>
        <v>91671.480159964209</v>
      </c>
      <c r="AJ101" s="82">
        <f t="shared" ca="1" si="174"/>
        <v>92918.737766452861</v>
      </c>
      <c r="AK101" s="82">
        <f t="shared" ca="1" si="174"/>
        <v>94183.671119835664</v>
      </c>
      <c r="AL101" s="82">
        <f t="shared" ca="1" si="174"/>
        <v>95460.370065577998</v>
      </c>
      <c r="AM101" s="82">
        <f t="shared" ca="1" si="174"/>
        <v>96770.970004870498</v>
      </c>
      <c r="AN101" s="82">
        <f t="shared" ca="1" si="174"/>
        <v>102632.20493918024</v>
      </c>
      <c r="AO101" s="82">
        <f t="shared" ca="1" si="174"/>
        <v>103978.20823632486</v>
      </c>
      <c r="AP101" s="82">
        <f t="shared" ca="1" si="174"/>
        <v>105337.37411708337</v>
      </c>
      <c r="AQ101" s="82">
        <f t="shared" ca="1" si="174"/>
        <v>106716.68523175843</v>
      </c>
      <c r="AR101" s="82">
        <f t="shared" ca="1" si="174"/>
        <v>180351.78388218128</v>
      </c>
      <c r="AT101" s="30">
        <f ca="1">SUM(E101:AS101)</f>
        <v>2330825.1591442563</v>
      </c>
    </row>
    <row r="102" spans="1:46" s="82" customFormat="1" outlineLevel="1" x14ac:dyDescent="0.2">
      <c r="A102" s="212" t="str">
        <f>$A$32</f>
        <v>Оттоки</v>
      </c>
      <c r="B102" s="213"/>
      <c r="C102" s="214" t="str">
        <f>Параметры!$C$126</f>
        <v>тыс. руб.</v>
      </c>
      <c r="D102" s="121"/>
      <c r="E102" s="82">
        <f>MIN(0,E89)</f>
        <v>0</v>
      </c>
      <c r="F102" s="82">
        <f t="shared" ref="F102:AR102" si="175">MIN(0,F89)</f>
        <v>0</v>
      </c>
      <c r="G102" s="82">
        <f t="shared" si="175"/>
        <v>0</v>
      </c>
      <c r="H102" s="82">
        <f t="shared" si="175"/>
        <v>0</v>
      </c>
      <c r="I102" s="82">
        <f t="shared" si="175"/>
        <v>0</v>
      </c>
      <c r="J102" s="82">
        <f t="shared" si="175"/>
        <v>0</v>
      </c>
      <c r="K102" s="82">
        <f t="shared" si="175"/>
        <v>0</v>
      </c>
      <c r="L102" s="82">
        <f t="shared" si="175"/>
        <v>0</v>
      </c>
      <c r="M102" s="82">
        <f t="shared" si="175"/>
        <v>0</v>
      </c>
      <c r="N102" s="82">
        <f t="shared" si="175"/>
        <v>0</v>
      </c>
      <c r="O102" s="82">
        <f t="shared" si="175"/>
        <v>0</v>
      </c>
      <c r="P102" s="82">
        <f t="shared" si="175"/>
        <v>0</v>
      </c>
      <c r="Q102" s="82">
        <f t="shared" si="175"/>
        <v>0</v>
      </c>
      <c r="R102" s="82">
        <f t="shared" si="175"/>
        <v>0</v>
      </c>
      <c r="S102" s="82">
        <f t="shared" si="175"/>
        <v>0</v>
      </c>
      <c r="T102" s="82">
        <f t="shared" si="175"/>
        <v>0</v>
      </c>
      <c r="U102" s="82">
        <f t="shared" si="175"/>
        <v>0</v>
      </c>
      <c r="V102" s="82">
        <f t="shared" si="175"/>
        <v>0</v>
      </c>
      <c r="W102" s="82">
        <f t="shared" si="175"/>
        <v>0</v>
      </c>
      <c r="X102" s="82">
        <f t="shared" si="175"/>
        <v>0</v>
      </c>
      <c r="Y102" s="82">
        <f t="shared" si="175"/>
        <v>0</v>
      </c>
      <c r="Z102" s="82">
        <f t="shared" si="175"/>
        <v>0</v>
      </c>
      <c r="AA102" s="82">
        <f t="shared" si="175"/>
        <v>0</v>
      </c>
      <c r="AB102" s="82">
        <f t="shared" si="175"/>
        <v>0</v>
      </c>
      <c r="AC102" s="82">
        <f t="shared" si="175"/>
        <v>0</v>
      </c>
      <c r="AD102" s="82">
        <f t="shared" si="175"/>
        <v>0</v>
      </c>
      <c r="AE102" s="82">
        <f t="shared" si="175"/>
        <v>0</v>
      </c>
      <c r="AF102" s="82">
        <f t="shared" si="175"/>
        <v>0</v>
      </c>
      <c r="AG102" s="82">
        <f t="shared" si="175"/>
        <v>0</v>
      </c>
      <c r="AH102" s="82">
        <f t="shared" si="175"/>
        <v>0</v>
      </c>
      <c r="AI102" s="82">
        <f t="shared" si="175"/>
        <v>0</v>
      </c>
      <c r="AJ102" s="82">
        <f t="shared" si="175"/>
        <v>0</v>
      </c>
      <c r="AK102" s="82">
        <f t="shared" si="175"/>
        <v>0</v>
      </c>
      <c r="AL102" s="82">
        <f t="shared" si="175"/>
        <v>0</v>
      </c>
      <c r="AM102" s="82">
        <f t="shared" si="175"/>
        <v>0</v>
      </c>
      <c r="AN102" s="82">
        <f t="shared" si="175"/>
        <v>0</v>
      </c>
      <c r="AO102" s="82">
        <f t="shared" si="175"/>
        <v>0</v>
      </c>
      <c r="AP102" s="82">
        <f t="shared" si="175"/>
        <v>0</v>
      </c>
      <c r="AQ102" s="82">
        <f t="shared" si="175"/>
        <v>0</v>
      </c>
      <c r="AR102" s="82">
        <f t="shared" si="175"/>
        <v>0</v>
      </c>
      <c r="AT102" s="30">
        <f>SUM(E102:AS102)</f>
        <v>0</v>
      </c>
    </row>
    <row r="103" spans="1:46" x14ac:dyDescent="0.2">
      <c r="A103" s="44"/>
      <c r="D103" s="40"/>
    </row>
    <row r="104" spans="1:46" x14ac:dyDescent="0.2">
      <c r="A104" s="52" t="s">
        <v>417</v>
      </c>
      <c r="B104" s="181" t="str">
        <f ca="1">IF(B105&gt;0, AT106/12, "-")</f>
        <v>-</v>
      </c>
      <c r="C104" s="12" t="str">
        <f>C108</f>
        <v>лет</v>
      </c>
      <c r="D104" s="40"/>
    </row>
    <row r="105" spans="1:46" outlineLevel="1" x14ac:dyDescent="0.2">
      <c r="A105" s="49" t="s">
        <v>472</v>
      </c>
      <c r="B105" s="182">
        <f ca="1">MAX(E105:AS105)</f>
        <v>0</v>
      </c>
      <c r="C105" s="12" t="s">
        <v>19</v>
      </c>
      <c r="D105" s="40"/>
      <c r="E105" s="183">
        <f>IF(E$2&gt;1,IF(AND(D90&lt;0,E90&gt;=0),E$2,0),0)</f>
        <v>0</v>
      </c>
      <c r="F105" s="183">
        <f t="shared" ref="F105:AR105" ca="1" si="176">IF(F$2&gt;1,IF(AND(E90&lt;0,F90&gt;=0),F$2,0),0)</f>
        <v>0</v>
      </c>
      <c r="G105" s="183">
        <f t="shared" ca="1" si="176"/>
        <v>0</v>
      </c>
      <c r="H105" s="183">
        <f t="shared" ca="1" si="176"/>
        <v>0</v>
      </c>
      <c r="I105" s="183">
        <f t="shared" ca="1" si="176"/>
        <v>0</v>
      </c>
      <c r="J105" s="183">
        <f t="shared" ca="1" si="176"/>
        <v>0</v>
      </c>
      <c r="K105" s="183">
        <f t="shared" ca="1" si="176"/>
        <v>0</v>
      </c>
      <c r="L105" s="183">
        <f t="shared" ca="1" si="176"/>
        <v>0</v>
      </c>
      <c r="M105" s="183">
        <f t="shared" ca="1" si="176"/>
        <v>0</v>
      </c>
      <c r="N105" s="183">
        <f t="shared" ca="1" si="176"/>
        <v>0</v>
      </c>
      <c r="O105" s="183">
        <f t="shared" ca="1" si="176"/>
        <v>0</v>
      </c>
      <c r="P105" s="183">
        <f t="shared" ca="1" si="176"/>
        <v>0</v>
      </c>
      <c r="Q105" s="183">
        <f t="shared" ca="1" si="176"/>
        <v>0</v>
      </c>
      <c r="R105" s="183">
        <f t="shared" ca="1" si="176"/>
        <v>0</v>
      </c>
      <c r="S105" s="183">
        <f t="shared" ca="1" si="176"/>
        <v>0</v>
      </c>
      <c r="T105" s="183">
        <f t="shared" ca="1" si="176"/>
        <v>0</v>
      </c>
      <c r="U105" s="183">
        <f t="shared" ca="1" si="176"/>
        <v>0</v>
      </c>
      <c r="V105" s="183">
        <f t="shared" ca="1" si="176"/>
        <v>0</v>
      </c>
      <c r="W105" s="183">
        <f t="shared" ca="1" si="176"/>
        <v>0</v>
      </c>
      <c r="X105" s="183">
        <f t="shared" ca="1" si="176"/>
        <v>0</v>
      </c>
      <c r="Y105" s="183">
        <f t="shared" ca="1" si="176"/>
        <v>0</v>
      </c>
      <c r="Z105" s="183">
        <f t="shared" ca="1" si="176"/>
        <v>0</v>
      </c>
      <c r="AA105" s="183">
        <f t="shared" ca="1" si="176"/>
        <v>0</v>
      </c>
      <c r="AB105" s="183">
        <f t="shared" ca="1" si="176"/>
        <v>0</v>
      </c>
      <c r="AC105" s="183">
        <f t="shared" ca="1" si="176"/>
        <v>0</v>
      </c>
      <c r="AD105" s="183">
        <f t="shared" ca="1" si="176"/>
        <v>0</v>
      </c>
      <c r="AE105" s="183">
        <f t="shared" ca="1" si="176"/>
        <v>0</v>
      </c>
      <c r="AF105" s="183">
        <f t="shared" ca="1" si="176"/>
        <v>0</v>
      </c>
      <c r="AG105" s="183">
        <f t="shared" ca="1" si="176"/>
        <v>0</v>
      </c>
      <c r="AH105" s="183">
        <f t="shared" ca="1" si="176"/>
        <v>0</v>
      </c>
      <c r="AI105" s="183">
        <f t="shared" ca="1" si="176"/>
        <v>0</v>
      </c>
      <c r="AJ105" s="183">
        <f t="shared" ca="1" si="176"/>
        <v>0</v>
      </c>
      <c r="AK105" s="183">
        <f t="shared" ca="1" si="176"/>
        <v>0</v>
      </c>
      <c r="AL105" s="183">
        <f t="shared" ca="1" si="176"/>
        <v>0</v>
      </c>
      <c r="AM105" s="183">
        <f t="shared" ca="1" si="176"/>
        <v>0</v>
      </c>
      <c r="AN105" s="183">
        <f t="shared" ca="1" si="176"/>
        <v>0</v>
      </c>
      <c r="AO105" s="183">
        <f t="shared" ca="1" si="176"/>
        <v>0</v>
      </c>
      <c r="AP105" s="183">
        <f t="shared" ca="1" si="176"/>
        <v>0</v>
      </c>
      <c r="AQ105" s="183">
        <f t="shared" ca="1" si="176"/>
        <v>0</v>
      </c>
      <c r="AR105" s="183">
        <f t="shared" ca="1" si="176"/>
        <v>0</v>
      </c>
      <c r="AS105" s="184"/>
      <c r="AT105" s="184"/>
    </row>
    <row r="106" spans="1:46" outlineLevel="1" x14ac:dyDescent="0.2">
      <c r="A106" s="70" t="s">
        <v>192</v>
      </c>
      <c r="B106" s="185">
        <f>AT106</f>
        <v>0</v>
      </c>
      <c r="C106" s="12" t="str">
        <f>C110</f>
        <v>мес.</v>
      </c>
      <c r="D106" s="40"/>
      <c r="E106" s="184">
        <f ca="1">IF(E$2&lt;$B105,Параметры!E$40,IF(E$2=$B105,-D90/(E90-D90)*Параметры!E$40,0))</f>
        <v>0</v>
      </c>
      <c r="F106" s="184">
        <f ca="1">IF(F$2&lt;$B105,Параметры!F$40,IF(F$2=$B105,-E90/(F90-E90)*Параметры!F$40,0))</f>
        <v>0</v>
      </c>
      <c r="G106" s="184">
        <f ca="1">IF(G$2&lt;$B105,Параметры!G$40,IF(G$2=$B105,-F90/(G90-F90)*Параметры!G$40,0))</f>
        <v>0</v>
      </c>
      <c r="H106" s="184">
        <f ca="1">IF(H$2&lt;$B105,Параметры!H$40,IF(H$2=$B105,-G90/(H90-G90)*Параметры!H$40,0))</f>
        <v>0</v>
      </c>
      <c r="I106" s="184">
        <f ca="1">IF(I$2&lt;$B105,Параметры!I$40,IF(I$2=$B105,-H90/(I90-H90)*Параметры!I$40,0))</f>
        <v>0</v>
      </c>
      <c r="J106" s="184">
        <f ca="1">IF(J$2&lt;$B105,Параметры!J$40,IF(J$2=$B105,-I90/(J90-I90)*Параметры!J$40,0))</f>
        <v>0</v>
      </c>
      <c r="K106" s="184">
        <f ca="1">IF(K$2&lt;$B105,Параметры!K$40,IF(K$2=$B105,-J90/(K90-J90)*Параметры!K$40,0))</f>
        <v>0</v>
      </c>
      <c r="L106" s="184">
        <f ca="1">IF(L$2&lt;$B105,Параметры!L$40,IF(L$2=$B105,-K90/(L90-K90)*Параметры!L$40,0))</f>
        <v>0</v>
      </c>
      <c r="M106" s="184">
        <f ca="1">IF(M$2&lt;$B105,Параметры!M$40,IF(M$2=$B105,-L90/(M90-L90)*Параметры!M$40,0))</f>
        <v>0</v>
      </c>
      <c r="N106" s="184">
        <f ca="1">IF(N$2&lt;$B105,Параметры!N$40,IF(N$2=$B105,-M90/(N90-M90)*Параметры!N$40,0))</f>
        <v>0</v>
      </c>
      <c r="O106" s="184">
        <f ca="1">IF(O$2&lt;$B105,Параметры!O$40,IF(O$2=$B105,-N90/(O90-N90)*Параметры!O$40,0))</f>
        <v>0</v>
      </c>
      <c r="P106" s="184">
        <f ca="1">IF(P$2&lt;$B105,Параметры!P$40,IF(P$2=$B105,-O90/(P90-O90)*Параметры!P$40,0))</f>
        <v>0</v>
      </c>
      <c r="Q106" s="184">
        <f ca="1">IF(Q$2&lt;$B105,Параметры!Q$40,IF(Q$2=$B105,-P90/(Q90-P90)*Параметры!Q$40,0))</f>
        <v>0</v>
      </c>
      <c r="R106" s="184">
        <f ca="1">IF(R$2&lt;$B105,Параметры!R$40,IF(R$2=$B105,-Q90/(R90-Q90)*Параметры!R$40,0))</f>
        <v>0</v>
      </c>
      <c r="S106" s="184">
        <f ca="1">IF(S$2&lt;$B105,Параметры!S$40,IF(S$2=$B105,-R90/(S90-R90)*Параметры!S$40,0))</f>
        <v>0</v>
      </c>
      <c r="T106" s="184">
        <f ca="1">IF(T$2&lt;$B105,Параметры!T$40,IF(T$2=$B105,-S90/(T90-S90)*Параметры!T$40,0))</f>
        <v>0</v>
      </c>
      <c r="U106" s="184">
        <f ca="1">IF(U$2&lt;$B105,Параметры!U$40,IF(U$2=$B105,-T90/(U90-T90)*Параметры!U$40,0))</f>
        <v>0</v>
      </c>
      <c r="V106" s="184">
        <f ca="1">IF(V$2&lt;$B105,Параметры!V$40,IF(V$2=$B105,-U90/(V90-U90)*Параметры!V$40,0))</f>
        <v>0</v>
      </c>
      <c r="W106" s="184">
        <f ca="1">IF(W$2&lt;$B105,Параметры!W$40,IF(W$2=$B105,-V90/(W90-V90)*Параметры!W$40,0))</f>
        <v>0</v>
      </c>
      <c r="X106" s="184">
        <f ca="1">IF(X$2&lt;$B105,Параметры!X$40,IF(X$2=$B105,-W90/(X90-W90)*Параметры!X$40,0))</f>
        <v>0</v>
      </c>
      <c r="Y106" s="184">
        <f ca="1">IF(Y$2&lt;$B105,Параметры!Y$40,IF(Y$2=$B105,-X90/(Y90-X90)*Параметры!Y$40,0))</f>
        <v>0</v>
      </c>
      <c r="Z106" s="184">
        <f ca="1">IF(Z$2&lt;$B105,Параметры!Z$40,IF(Z$2=$B105,-Y90/(Z90-Y90)*Параметры!Z$40,0))</f>
        <v>0</v>
      </c>
      <c r="AA106" s="184">
        <f ca="1">IF(AA$2&lt;$B105,Параметры!AA$40,IF(AA$2=$B105,-Z90/(AA90-Z90)*Параметры!AA$40,0))</f>
        <v>0</v>
      </c>
      <c r="AB106" s="184">
        <f ca="1">IF(AB$2&lt;$B105,Параметры!AB$40,IF(AB$2=$B105,-AA90/(AB90-AA90)*Параметры!AB$40,0))</f>
        <v>0</v>
      </c>
      <c r="AC106" s="184">
        <f ca="1">IF(AC$2&lt;$B105,Параметры!AC$40,IF(AC$2=$B105,-AB90/(AC90-AB90)*Параметры!AC$40,0))</f>
        <v>0</v>
      </c>
      <c r="AD106" s="184">
        <f ca="1">IF(AD$2&lt;$B105,Параметры!AD$40,IF(AD$2=$B105,-AC90/(AD90-AC90)*Параметры!AD$40,0))</f>
        <v>0</v>
      </c>
      <c r="AE106" s="184">
        <f ca="1">IF(AE$2&lt;$B105,Параметры!AE$40,IF(AE$2=$B105,-AD90/(AE90-AD90)*Параметры!AE$40,0))</f>
        <v>0</v>
      </c>
      <c r="AF106" s="184">
        <f ca="1">IF(AF$2&lt;$B105,Параметры!AF$40,IF(AF$2=$B105,-AE90/(AF90-AE90)*Параметры!AF$40,0))</f>
        <v>0</v>
      </c>
      <c r="AG106" s="184">
        <f ca="1">IF(AG$2&lt;$B105,Параметры!AG$40,IF(AG$2=$B105,-AF90/(AG90-AF90)*Параметры!AG$40,0))</f>
        <v>0</v>
      </c>
      <c r="AH106" s="184">
        <f ca="1">IF(AH$2&lt;$B105,Параметры!AH$40,IF(AH$2=$B105,-AG90/(AH90-AG90)*Параметры!AH$40,0))</f>
        <v>0</v>
      </c>
      <c r="AI106" s="184">
        <f ca="1">IF(AI$2&lt;$B105,Параметры!AI$40,IF(AI$2=$B105,-AH90/(AI90-AH90)*Параметры!AI$40,0))</f>
        <v>0</v>
      </c>
      <c r="AJ106" s="184">
        <f ca="1">IF(AJ$2&lt;$B105,Параметры!AJ$40,IF(AJ$2=$B105,-AI90/(AJ90-AI90)*Параметры!AJ$40,0))</f>
        <v>0</v>
      </c>
      <c r="AK106" s="184">
        <f ca="1">IF(AK$2&lt;$B105,Параметры!AK$40,IF(AK$2=$B105,-AJ90/(AK90-AJ90)*Параметры!AK$40,0))</f>
        <v>0</v>
      </c>
      <c r="AL106" s="184">
        <f ca="1">IF(AL$2&lt;$B105,Параметры!AL$40,IF(AL$2=$B105,-AK90/(AL90-AK90)*Параметры!AL$40,0))</f>
        <v>0</v>
      </c>
      <c r="AM106" s="184">
        <f ca="1">IF(AM$2&lt;$B105,Параметры!AM$40,IF(AM$2=$B105,-AL90/(AM90-AL90)*Параметры!AM$40,0))</f>
        <v>0</v>
      </c>
      <c r="AN106" s="184">
        <f ca="1">IF(AN$2&lt;$B105,Параметры!AN$40,IF(AN$2=$B105,-AM90/(AN90-AM90)*Параметры!AN$40,0))</f>
        <v>0</v>
      </c>
      <c r="AO106" s="184">
        <f ca="1">IF(AO$2&lt;$B105,Параметры!AO$40,IF(AO$2=$B105,-AN90/(AO90-AN90)*Параметры!AO$40,0))</f>
        <v>0</v>
      </c>
      <c r="AP106" s="184">
        <f ca="1">IF(AP$2&lt;$B105,Параметры!AP$40,IF(AP$2=$B105,-AO90/(AP90-AO90)*Параметры!AP$40,0))</f>
        <v>0</v>
      </c>
      <c r="AQ106" s="184">
        <f ca="1">IF(AQ$2&lt;$B105,Параметры!AQ$40,IF(AQ$2=$B105,-AP90/(AQ90-AP90)*Параметры!AQ$40,0))</f>
        <v>0</v>
      </c>
      <c r="AR106" s="184">
        <f ca="1">IF(AR$2&lt;$B105,Параметры!AR$40,IF(AR$2=$B105,-AQ90/(AR90-AQ90)*Параметры!AR$40,0))</f>
        <v>0</v>
      </c>
      <c r="AS106" s="184"/>
      <c r="AT106" s="186"/>
    </row>
    <row r="107" spans="1:46" x14ac:dyDescent="0.2">
      <c r="A107" s="44"/>
      <c r="D107" s="40"/>
    </row>
    <row r="108" spans="1:46" x14ac:dyDescent="0.2">
      <c r="A108" s="52" t="s">
        <v>418</v>
      </c>
      <c r="B108" s="181" t="str">
        <f ca="1">IF(B109&gt;0, AT110/12, "-")</f>
        <v>-</v>
      </c>
      <c r="C108" s="12" t="s">
        <v>2</v>
      </c>
      <c r="D108" s="40"/>
    </row>
    <row r="109" spans="1:46" outlineLevel="1" x14ac:dyDescent="0.2">
      <c r="A109" s="49" t="s">
        <v>472</v>
      </c>
      <c r="B109" s="182">
        <f ca="1">MAX(E109:AS109)</f>
        <v>0</v>
      </c>
      <c r="C109" s="12" t="s">
        <v>19</v>
      </c>
      <c r="D109" s="40"/>
      <c r="E109" s="183">
        <f>IF(E$2&gt;1,IF(AND(D93&lt;0,E93&gt;=0),E$2,0),0)</f>
        <v>0</v>
      </c>
      <c r="F109" s="183">
        <f t="shared" ref="F109:AR109" ca="1" si="177">IF(F$2&gt;1,IF(AND(E93&lt;0,F93&gt;=0),F$2,0),0)</f>
        <v>0</v>
      </c>
      <c r="G109" s="183">
        <f t="shared" ca="1" si="177"/>
        <v>0</v>
      </c>
      <c r="H109" s="183">
        <f t="shared" ca="1" si="177"/>
        <v>0</v>
      </c>
      <c r="I109" s="183">
        <f t="shared" ca="1" si="177"/>
        <v>0</v>
      </c>
      <c r="J109" s="183">
        <f t="shared" ca="1" si="177"/>
        <v>0</v>
      </c>
      <c r="K109" s="183">
        <f t="shared" ca="1" si="177"/>
        <v>0</v>
      </c>
      <c r="L109" s="183">
        <f t="shared" ca="1" si="177"/>
        <v>0</v>
      </c>
      <c r="M109" s="183">
        <f t="shared" ca="1" si="177"/>
        <v>0</v>
      </c>
      <c r="N109" s="183">
        <f t="shared" ca="1" si="177"/>
        <v>0</v>
      </c>
      <c r="O109" s="183">
        <f t="shared" ca="1" si="177"/>
        <v>0</v>
      </c>
      <c r="P109" s="183">
        <f t="shared" ca="1" si="177"/>
        <v>0</v>
      </c>
      <c r="Q109" s="183">
        <f t="shared" ca="1" si="177"/>
        <v>0</v>
      </c>
      <c r="R109" s="183">
        <f t="shared" ca="1" si="177"/>
        <v>0</v>
      </c>
      <c r="S109" s="183">
        <f t="shared" ca="1" si="177"/>
        <v>0</v>
      </c>
      <c r="T109" s="183">
        <f t="shared" ca="1" si="177"/>
        <v>0</v>
      </c>
      <c r="U109" s="183">
        <f t="shared" ca="1" si="177"/>
        <v>0</v>
      </c>
      <c r="V109" s="183">
        <f t="shared" ca="1" si="177"/>
        <v>0</v>
      </c>
      <c r="W109" s="183">
        <f t="shared" ca="1" si="177"/>
        <v>0</v>
      </c>
      <c r="X109" s="183">
        <f t="shared" ca="1" si="177"/>
        <v>0</v>
      </c>
      <c r="Y109" s="183">
        <f t="shared" ca="1" si="177"/>
        <v>0</v>
      </c>
      <c r="Z109" s="183">
        <f t="shared" ca="1" si="177"/>
        <v>0</v>
      </c>
      <c r="AA109" s="183">
        <f t="shared" ca="1" si="177"/>
        <v>0</v>
      </c>
      <c r="AB109" s="183">
        <f t="shared" ca="1" si="177"/>
        <v>0</v>
      </c>
      <c r="AC109" s="183">
        <f t="shared" ca="1" si="177"/>
        <v>0</v>
      </c>
      <c r="AD109" s="183">
        <f t="shared" ca="1" si="177"/>
        <v>0</v>
      </c>
      <c r="AE109" s="183">
        <f t="shared" ca="1" si="177"/>
        <v>0</v>
      </c>
      <c r="AF109" s="183">
        <f t="shared" ca="1" si="177"/>
        <v>0</v>
      </c>
      <c r="AG109" s="183">
        <f t="shared" ca="1" si="177"/>
        <v>0</v>
      </c>
      <c r="AH109" s="183">
        <f t="shared" ca="1" si="177"/>
        <v>0</v>
      </c>
      <c r="AI109" s="183">
        <f t="shared" ca="1" si="177"/>
        <v>0</v>
      </c>
      <c r="AJ109" s="183">
        <f t="shared" ca="1" si="177"/>
        <v>0</v>
      </c>
      <c r="AK109" s="183">
        <f t="shared" ca="1" si="177"/>
        <v>0</v>
      </c>
      <c r="AL109" s="183">
        <f t="shared" ca="1" si="177"/>
        <v>0</v>
      </c>
      <c r="AM109" s="183">
        <f t="shared" ca="1" si="177"/>
        <v>0</v>
      </c>
      <c r="AN109" s="183">
        <f t="shared" ca="1" si="177"/>
        <v>0</v>
      </c>
      <c r="AO109" s="183">
        <f t="shared" ca="1" si="177"/>
        <v>0</v>
      </c>
      <c r="AP109" s="183">
        <f t="shared" ca="1" si="177"/>
        <v>0</v>
      </c>
      <c r="AQ109" s="183">
        <f t="shared" ca="1" si="177"/>
        <v>0</v>
      </c>
      <c r="AR109" s="183">
        <f t="shared" ca="1" si="177"/>
        <v>0</v>
      </c>
      <c r="AS109" s="184"/>
      <c r="AT109" s="184"/>
    </row>
    <row r="110" spans="1:46" outlineLevel="1" x14ac:dyDescent="0.2">
      <c r="A110" s="70" t="s">
        <v>192</v>
      </c>
      <c r="B110" s="185">
        <f ca="1">AT110</f>
        <v>0</v>
      </c>
      <c r="C110" s="12" t="s">
        <v>17</v>
      </c>
      <c r="D110" s="40"/>
      <c r="E110" s="184">
        <f ca="1">IF(E$2&lt;$B109,Параметры!E$40,IF(E$2=$B109,-D93/(E93-D93)*Параметры!E$40,0))</f>
        <v>0</v>
      </c>
      <c r="F110" s="184">
        <f ca="1">IF(F$2&lt;$B109,Параметры!F$40,IF(F$2=$B109,-E93/(F93-E93)*Параметры!F$40,0))</f>
        <v>0</v>
      </c>
      <c r="G110" s="184">
        <f ca="1">IF(G$2&lt;$B109,Параметры!G$40,IF(G$2=$B109,-F93/(G93-F93)*Параметры!G$40,0))</f>
        <v>0</v>
      </c>
      <c r="H110" s="184">
        <f ca="1">IF(H$2&lt;$B109,Параметры!H$40,IF(H$2=$B109,-G93/(H93-G93)*Параметры!H$40,0))</f>
        <v>0</v>
      </c>
      <c r="I110" s="184">
        <f ca="1">IF(I$2&lt;$B109,Параметры!I$40,IF(I$2=$B109,-H93/(I93-H93)*Параметры!I$40,0))</f>
        <v>0</v>
      </c>
      <c r="J110" s="184">
        <f ca="1">IF(J$2&lt;$B109,Параметры!J$40,IF(J$2=$B109,-I93/(J93-I93)*Параметры!J$40,0))</f>
        <v>0</v>
      </c>
      <c r="K110" s="184">
        <f ca="1">IF(K$2&lt;$B109,Параметры!K$40,IF(K$2=$B109,-J93/(K93-J93)*Параметры!K$40,0))</f>
        <v>0</v>
      </c>
      <c r="L110" s="184">
        <f ca="1">IF(L$2&lt;$B109,Параметры!L$40,IF(L$2=$B109,-K93/(L93-K93)*Параметры!L$40,0))</f>
        <v>0</v>
      </c>
      <c r="M110" s="184">
        <f ca="1">IF(M$2&lt;$B109,Параметры!M$40,IF(M$2=$B109,-L93/(M93-L93)*Параметры!M$40,0))</f>
        <v>0</v>
      </c>
      <c r="N110" s="184">
        <f ca="1">IF(N$2&lt;$B109,Параметры!N$40,IF(N$2=$B109,-M93/(N93-M93)*Параметры!N$40,0))</f>
        <v>0</v>
      </c>
      <c r="O110" s="184">
        <f ca="1">IF(O$2&lt;$B109,Параметры!O$40,IF(O$2=$B109,-N93/(O93-N93)*Параметры!O$40,0))</f>
        <v>0</v>
      </c>
      <c r="P110" s="184">
        <f ca="1">IF(P$2&lt;$B109,Параметры!P$40,IF(P$2=$B109,-O93/(P93-O93)*Параметры!P$40,0))</f>
        <v>0</v>
      </c>
      <c r="Q110" s="184">
        <f ca="1">IF(Q$2&lt;$B109,Параметры!Q$40,IF(Q$2=$B109,-P93/(Q93-P93)*Параметры!Q$40,0))</f>
        <v>0</v>
      </c>
      <c r="R110" s="184">
        <f ca="1">IF(R$2&lt;$B109,Параметры!R$40,IF(R$2=$B109,-Q93/(R93-Q93)*Параметры!R$40,0))</f>
        <v>0</v>
      </c>
      <c r="S110" s="184">
        <f ca="1">IF(S$2&lt;$B109,Параметры!S$40,IF(S$2=$B109,-R93/(S93-R93)*Параметры!S$40,0))</f>
        <v>0</v>
      </c>
      <c r="T110" s="184">
        <f ca="1">IF(T$2&lt;$B109,Параметры!T$40,IF(T$2=$B109,-S93/(T93-S93)*Параметры!T$40,0))</f>
        <v>0</v>
      </c>
      <c r="U110" s="184">
        <f ca="1">IF(U$2&lt;$B109,Параметры!U$40,IF(U$2=$B109,-T93/(U93-T93)*Параметры!U$40,0))</f>
        <v>0</v>
      </c>
      <c r="V110" s="184">
        <f ca="1">IF(V$2&lt;$B109,Параметры!V$40,IF(V$2=$B109,-U93/(V93-U93)*Параметры!V$40,0))</f>
        <v>0</v>
      </c>
      <c r="W110" s="184">
        <f ca="1">IF(W$2&lt;$B109,Параметры!W$40,IF(W$2=$B109,-V93/(W93-V93)*Параметры!W$40,0))</f>
        <v>0</v>
      </c>
      <c r="X110" s="184">
        <f ca="1">IF(X$2&lt;$B109,Параметры!X$40,IF(X$2=$B109,-W93/(X93-W93)*Параметры!X$40,0))</f>
        <v>0</v>
      </c>
      <c r="Y110" s="184">
        <f ca="1">IF(Y$2&lt;$B109,Параметры!Y$40,IF(Y$2=$B109,-X93/(Y93-X93)*Параметры!Y$40,0))</f>
        <v>0</v>
      </c>
      <c r="Z110" s="184">
        <f ca="1">IF(Z$2&lt;$B109,Параметры!Z$40,IF(Z$2=$B109,-Y93/(Z93-Y93)*Параметры!Z$40,0))</f>
        <v>0</v>
      </c>
      <c r="AA110" s="184">
        <f ca="1">IF(AA$2&lt;$B109,Параметры!AA$40,IF(AA$2=$B109,-Z93/(AA93-Z93)*Параметры!AA$40,0))</f>
        <v>0</v>
      </c>
      <c r="AB110" s="184">
        <f ca="1">IF(AB$2&lt;$B109,Параметры!AB$40,IF(AB$2=$B109,-AA93/(AB93-AA93)*Параметры!AB$40,0))</f>
        <v>0</v>
      </c>
      <c r="AC110" s="184">
        <f ca="1">IF(AC$2&lt;$B109,Параметры!AC$40,IF(AC$2=$B109,-AB93/(AC93-AB93)*Параметры!AC$40,0))</f>
        <v>0</v>
      </c>
      <c r="AD110" s="184">
        <f ca="1">IF(AD$2&lt;$B109,Параметры!AD$40,IF(AD$2=$B109,-AC93/(AD93-AC93)*Параметры!AD$40,0))</f>
        <v>0</v>
      </c>
      <c r="AE110" s="184">
        <f ca="1">IF(AE$2&lt;$B109,Параметры!AE$40,IF(AE$2=$B109,-AD93/(AE93-AD93)*Параметры!AE$40,0))</f>
        <v>0</v>
      </c>
      <c r="AF110" s="184">
        <f ca="1">IF(AF$2&lt;$B109,Параметры!AF$40,IF(AF$2=$B109,-AE93/(AF93-AE93)*Параметры!AF$40,0))</f>
        <v>0</v>
      </c>
      <c r="AG110" s="184">
        <f ca="1">IF(AG$2&lt;$B109,Параметры!AG$40,IF(AG$2=$B109,-AF93/(AG93-AF93)*Параметры!AG$40,0))</f>
        <v>0</v>
      </c>
      <c r="AH110" s="184">
        <f ca="1">IF(AH$2&lt;$B109,Параметры!AH$40,IF(AH$2=$B109,-AG93/(AH93-AG93)*Параметры!AH$40,0))</f>
        <v>0</v>
      </c>
      <c r="AI110" s="184">
        <f ca="1">IF(AI$2&lt;$B109,Параметры!AI$40,IF(AI$2=$B109,-AH93/(AI93-AH93)*Параметры!AI$40,0))</f>
        <v>0</v>
      </c>
      <c r="AJ110" s="184">
        <f ca="1">IF(AJ$2&lt;$B109,Параметры!AJ$40,IF(AJ$2=$B109,-AI93/(AJ93-AI93)*Параметры!AJ$40,0))</f>
        <v>0</v>
      </c>
      <c r="AK110" s="184">
        <f ca="1">IF(AK$2&lt;$B109,Параметры!AK$40,IF(AK$2=$B109,-AJ93/(AK93-AJ93)*Параметры!AK$40,0))</f>
        <v>0</v>
      </c>
      <c r="AL110" s="184">
        <f ca="1">IF(AL$2&lt;$B109,Параметры!AL$40,IF(AL$2=$B109,-AK93/(AL93-AK93)*Параметры!AL$40,0))</f>
        <v>0</v>
      </c>
      <c r="AM110" s="184">
        <f ca="1">IF(AM$2&lt;$B109,Параметры!AM$40,IF(AM$2=$B109,-AL93/(AM93-AL93)*Параметры!AM$40,0))</f>
        <v>0</v>
      </c>
      <c r="AN110" s="184">
        <f ca="1">IF(AN$2&lt;$B109,Параметры!AN$40,IF(AN$2=$B109,-AM93/(AN93-AM93)*Параметры!AN$40,0))</f>
        <v>0</v>
      </c>
      <c r="AO110" s="184">
        <f ca="1">IF(AO$2&lt;$B109,Параметры!AO$40,IF(AO$2=$B109,-AN93/(AO93-AN93)*Параметры!AO$40,0))</f>
        <v>0</v>
      </c>
      <c r="AP110" s="184">
        <f ca="1">IF(AP$2&lt;$B109,Параметры!AP$40,IF(AP$2=$B109,-AO93/(AP93-AO93)*Параметры!AP$40,0))</f>
        <v>0</v>
      </c>
      <c r="AQ110" s="184">
        <f ca="1">IF(AQ$2&lt;$B109,Параметры!AQ$40,IF(AQ$2=$B109,-AP93/(AQ93-AP93)*Параметры!AQ$40,0))</f>
        <v>0</v>
      </c>
      <c r="AR110" s="184">
        <f ca="1">IF(AR$2&lt;$B109,Параметры!AR$40,IF(AR$2=$B109,-AQ93/(AR93-AQ93)*Параметры!AR$40,0))</f>
        <v>0</v>
      </c>
      <c r="AS110" s="184"/>
      <c r="AT110" s="186">
        <f ca="1">SUM(E110:AS110)</f>
        <v>0</v>
      </c>
    </row>
    <row r="111" spans="1:46" x14ac:dyDescent="0.2">
      <c r="A111" s="45"/>
      <c r="B111" s="170"/>
      <c r="C111" s="14"/>
      <c r="D111" s="47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</row>
    <row r="113" spans="1:46" ht="12" thickBot="1" x14ac:dyDescent="0.25"/>
    <row r="114" spans="1:46" s="43" customFormat="1" ht="25.5" customHeight="1" thickBot="1" x14ac:dyDescent="0.25">
      <c r="A114" s="481" t="s">
        <v>736</v>
      </c>
      <c r="B114" s="479"/>
      <c r="C114" s="485"/>
      <c r="D114" s="486"/>
      <c r="E114" s="479" t="str">
        <f>CHOOSE($D$2,Параметры!E$53,Параметры!E$54)</f>
        <v>1 кв. 2020</v>
      </c>
      <c r="F114" s="479" t="str">
        <f>CHOOSE($D$2,Параметры!F$53,Параметры!F$54)</f>
        <v>2 кв. 2020</v>
      </c>
      <c r="G114" s="479" t="str">
        <f>CHOOSE($D$2,Параметры!G$53,Параметры!G$54)</f>
        <v>3 кв. 2020</v>
      </c>
      <c r="H114" s="479" t="str">
        <f>CHOOSE($D$2,Параметры!H$53,Параметры!H$54)</f>
        <v>4 кв. 2020</v>
      </c>
      <c r="I114" s="479" t="str">
        <f>CHOOSE($D$2,Параметры!I$53,Параметры!I$54)</f>
        <v>1 кв. 2021</v>
      </c>
      <c r="J114" s="479" t="str">
        <f>CHOOSE($D$2,Параметры!J$53,Параметры!J$54)</f>
        <v>2 кв. 2021</v>
      </c>
      <c r="K114" s="479" t="str">
        <f>CHOOSE($D$2,Параметры!K$53,Параметры!K$54)</f>
        <v>3 кв. 2021</v>
      </c>
      <c r="L114" s="479" t="str">
        <f>CHOOSE($D$2,Параметры!L$53,Параметры!L$54)</f>
        <v>4 кв. 2021</v>
      </c>
      <c r="M114" s="479" t="str">
        <f>CHOOSE($D$2,Параметры!M$53,Параметры!M$54)</f>
        <v>1 кв. 2022</v>
      </c>
      <c r="N114" s="479" t="str">
        <f>CHOOSE($D$2,Параметры!N$53,Параметры!N$54)</f>
        <v>2 кв. 2022</v>
      </c>
      <c r="O114" s="479" t="str">
        <f>CHOOSE($D$2,Параметры!O$53,Параметры!O$54)</f>
        <v>3 кв. 2022</v>
      </c>
      <c r="P114" s="479" t="str">
        <f>CHOOSE($D$2,Параметры!P$53,Параметры!P$54)</f>
        <v>4 кв. 2022</v>
      </c>
      <c r="Q114" s="479" t="str">
        <f>CHOOSE($D$2,Параметры!Q$53,Параметры!Q$54)</f>
        <v>1 кв. 2023</v>
      </c>
      <c r="R114" s="479" t="str">
        <f>CHOOSE($D$2,Параметры!R$53,Параметры!R$54)</f>
        <v>2 кв. 2023</v>
      </c>
      <c r="S114" s="479" t="str">
        <f>CHOOSE($D$2,Параметры!S$53,Параметры!S$54)</f>
        <v>3 кв. 2023</v>
      </c>
      <c r="T114" s="479" t="str">
        <f>CHOOSE($D$2,Параметры!T$53,Параметры!T$54)</f>
        <v>4 кв. 2023</v>
      </c>
      <c r="U114" s="479" t="str">
        <f>CHOOSE($D$2,Параметры!U$53,Параметры!U$54)</f>
        <v>1 кв. 2024</v>
      </c>
      <c r="V114" s="479" t="str">
        <f>CHOOSE($D$2,Параметры!V$53,Параметры!V$54)</f>
        <v>2 кв. 2024</v>
      </c>
      <c r="W114" s="479" t="str">
        <f>CHOOSE($D$2,Параметры!W$53,Параметры!W$54)</f>
        <v>3 кв. 2024</v>
      </c>
      <c r="X114" s="479" t="str">
        <f>CHOOSE($D$2,Параметры!X$53,Параметры!X$54)</f>
        <v>4 кв. 2024</v>
      </c>
      <c r="Y114" s="479" t="str">
        <f>CHOOSE($D$2,Параметры!Y$53,Параметры!Y$54)</f>
        <v>1 кв. 2025</v>
      </c>
      <c r="Z114" s="479" t="str">
        <f>CHOOSE($D$2,Параметры!Z$53,Параметры!Z$54)</f>
        <v>2 кв. 2025</v>
      </c>
      <c r="AA114" s="479" t="str">
        <f>CHOOSE($D$2,Параметры!AA$53,Параметры!AA$54)</f>
        <v>3 кв. 2025</v>
      </c>
      <c r="AB114" s="479" t="str">
        <f>CHOOSE($D$2,Параметры!AB$53,Параметры!AB$54)</f>
        <v>4 кв. 2025</v>
      </c>
      <c r="AC114" s="479" t="str">
        <f>CHOOSE($D$2,Параметры!AC$53,Параметры!AC$54)</f>
        <v>1 кв. 2026</v>
      </c>
      <c r="AD114" s="479" t="str">
        <f>CHOOSE($D$2,Параметры!AD$53,Параметры!AD$54)</f>
        <v>2 кв. 2026</v>
      </c>
      <c r="AE114" s="479" t="str">
        <f>CHOOSE($D$2,Параметры!AE$53,Параметры!AE$54)</f>
        <v>3 кв. 2026</v>
      </c>
      <c r="AF114" s="479" t="str">
        <f>CHOOSE($D$2,Параметры!AF$53,Параметры!AF$54)</f>
        <v>4 кв. 2026</v>
      </c>
      <c r="AG114" s="479" t="str">
        <f>CHOOSE($D$2,Параметры!AG$53,Параметры!AG$54)</f>
        <v>1 кв. 2027</v>
      </c>
      <c r="AH114" s="479" t="str">
        <f>CHOOSE($D$2,Параметры!AH$53,Параметры!AH$54)</f>
        <v>2 кв. 2027</v>
      </c>
      <c r="AI114" s="479" t="str">
        <f>CHOOSE($D$2,Параметры!AI$53,Параметры!AI$54)</f>
        <v>3 кв. 2027</v>
      </c>
      <c r="AJ114" s="479" t="str">
        <f>CHOOSE($D$2,Параметры!AJ$53,Параметры!AJ$54)</f>
        <v>4 кв. 2027</v>
      </c>
      <c r="AK114" s="479" t="str">
        <f>CHOOSE($D$2,Параметры!AK$53,Параметры!AK$54)</f>
        <v>1 кв. 2028</v>
      </c>
      <c r="AL114" s="479" t="str">
        <f>CHOOSE($D$2,Параметры!AL$53,Параметры!AL$54)</f>
        <v>2 кв. 2028</v>
      </c>
      <c r="AM114" s="479" t="str">
        <f>CHOOSE($D$2,Параметры!AM$53,Параметры!AM$54)</f>
        <v>3 кв. 2028</v>
      </c>
      <c r="AN114" s="479" t="str">
        <f>CHOOSE($D$2,Параметры!AN$53,Параметры!AN$54)</f>
        <v>4 кв. 2028</v>
      </c>
      <c r="AO114" s="479" t="str">
        <f>CHOOSE($D$2,Параметры!AO$53,Параметры!AO$54)</f>
        <v>1 кв. 2029</v>
      </c>
      <c r="AP114" s="479" t="str">
        <f>CHOOSE($D$2,Параметры!AP$53,Параметры!AP$54)</f>
        <v>2 кв. 2029</v>
      </c>
      <c r="AQ114" s="479" t="str">
        <f>CHOOSE($D$2,Параметры!AQ$53,Параметры!AQ$54)</f>
        <v>3 кв. 2029</v>
      </c>
      <c r="AR114" s="479" t="str">
        <f>CHOOSE($D$2,Параметры!AR$53,Параметры!AR$54)</f>
        <v>4 кв. 2029</v>
      </c>
      <c r="AS114" s="485"/>
      <c r="AT114" s="485" t="s">
        <v>0</v>
      </c>
    </row>
    <row r="115" spans="1:46" x14ac:dyDescent="0.2">
      <c r="A115" s="44"/>
      <c r="D115" s="40"/>
    </row>
    <row r="116" spans="1:46" x14ac:dyDescent="0.2">
      <c r="A116" s="44" t="str">
        <f>$A$8</f>
        <v>Ставка дисконтирования, годовая (WACC)</v>
      </c>
      <c r="B116" s="177">
        <f ca="1">$B$8</f>
        <v>0.10128364613285909</v>
      </c>
      <c r="C116" s="12" t="s">
        <v>1</v>
      </c>
      <c r="D116" s="40"/>
    </row>
    <row r="117" spans="1:46" outlineLevel="1" x14ac:dyDescent="0.2">
      <c r="A117" s="63" t="s">
        <v>363</v>
      </c>
      <c r="C117" s="12" t="s">
        <v>1</v>
      </c>
      <c r="D117" s="40"/>
      <c r="E117" s="67">
        <f ca="1">((1+$B116)/IF(Параметры!$B$62,1,1+CHOOSE(Параметры!$B$126,Параметры!E$65,Параметры!E$113,Параметры!E$122)))^(Параметры!E$40/12)-1</f>
        <v>2.4412331059534331E-2</v>
      </c>
      <c r="F117" s="67">
        <f ca="1">((1+$B116)/IF(Параметры!$B$62,1,1+CHOOSE(Параметры!$B$126,Параметры!F$65,Параметры!F$113,Параметры!F$122)))^(Параметры!F$40/12)-1</f>
        <v>2.4412331059534331E-2</v>
      </c>
      <c r="G117" s="67">
        <f ca="1">((1+$B116)/IF(Параметры!$B$62,1,1+CHOOSE(Параметры!$B$126,Параметры!G$65,Параметры!G$113,Параметры!G$122)))^(Параметры!G$40/12)-1</f>
        <v>2.4412331059534331E-2</v>
      </c>
      <c r="H117" s="67">
        <f ca="1">((1+$B116)/IF(Параметры!$B$62,1,1+CHOOSE(Параметры!$B$126,Параметры!H$65,Параметры!H$113,Параметры!H$122)))^(Параметры!H$40/12)-1</f>
        <v>2.4412331059534331E-2</v>
      </c>
      <c r="I117" s="67">
        <f ca="1">((1+$B116)/IF(Параметры!$B$62,1,1+CHOOSE(Параметры!$B$126,Параметры!I$65,Параметры!I$113,Параметры!I$122)))^(Параметры!I$40/12)-1</f>
        <v>2.4412331059534331E-2</v>
      </c>
      <c r="J117" s="67">
        <f ca="1">((1+$B116)/IF(Параметры!$B$62,1,1+CHOOSE(Параметры!$B$126,Параметры!J$65,Параметры!J$113,Параметры!J$122)))^(Параметры!J$40/12)-1</f>
        <v>2.4412331059534331E-2</v>
      </c>
      <c r="K117" s="67">
        <f ca="1">((1+$B116)/IF(Параметры!$B$62,1,1+CHOOSE(Параметры!$B$126,Параметры!K$65,Параметры!K$113,Параметры!K$122)))^(Параметры!K$40/12)-1</f>
        <v>2.4412331059534331E-2</v>
      </c>
      <c r="L117" s="67">
        <f ca="1">((1+$B116)/IF(Параметры!$B$62,1,1+CHOOSE(Параметры!$B$126,Параметры!L$65,Параметры!L$113,Параметры!L$122)))^(Параметры!L$40/12)-1</f>
        <v>2.4412331059534331E-2</v>
      </c>
      <c r="M117" s="67">
        <f ca="1">((1+$B116)/IF(Параметры!$B$62,1,1+CHOOSE(Параметры!$B$126,Параметры!M$65,Параметры!M$113,Параметры!M$122)))^(Параметры!M$40/12)-1</f>
        <v>2.4412331059534331E-2</v>
      </c>
      <c r="N117" s="67">
        <f ca="1">((1+$B116)/IF(Параметры!$B$62,1,1+CHOOSE(Параметры!$B$126,Параметры!N$65,Параметры!N$113,Параметры!N$122)))^(Параметры!N$40/12)-1</f>
        <v>2.4412331059534331E-2</v>
      </c>
      <c r="O117" s="67">
        <f ca="1">((1+$B116)/IF(Параметры!$B$62,1,1+CHOOSE(Параметры!$B$126,Параметры!O$65,Параметры!O$113,Параметры!O$122)))^(Параметры!O$40/12)-1</f>
        <v>2.4412331059534331E-2</v>
      </c>
      <c r="P117" s="67">
        <f ca="1">((1+$B116)/IF(Параметры!$B$62,1,1+CHOOSE(Параметры!$B$126,Параметры!P$65,Параметры!P$113,Параметры!P$122)))^(Параметры!P$40/12)-1</f>
        <v>2.4412331059534331E-2</v>
      </c>
      <c r="Q117" s="67">
        <f ca="1">((1+$B116)/IF(Параметры!$B$62,1,1+CHOOSE(Параметры!$B$126,Параметры!Q$65,Параметры!Q$113,Параметры!Q$122)))^(Параметры!Q$40/12)-1</f>
        <v>2.4412331059534331E-2</v>
      </c>
      <c r="R117" s="67">
        <f ca="1">((1+$B116)/IF(Параметры!$B$62,1,1+CHOOSE(Параметры!$B$126,Параметры!R$65,Параметры!R$113,Параметры!R$122)))^(Параметры!R$40/12)-1</f>
        <v>2.4412331059534331E-2</v>
      </c>
      <c r="S117" s="67">
        <f ca="1">((1+$B116)/IF(Параметры!$B$62,1,1+CHOOSE(Параметры!$B$126,Параметры!S$65,Параметры!S$113,Параметры!S$122)))^(Параметры!S$40/12)-1</f>
        <v>2.4412331059534331E-2</v>
      </c>
      <c r="T117" s="67">
        <f ca="1">((1+$B116)/IF(Параметры!$B$62,1,1+CHOOSE(Параметры!$B$126,Параметры!T$65,Параметры!T$113,Параметры!T$122)))^(Параметры!T$40/12)-1</f>
        <v>2.4412331059534331E-2</v>
      </c>
      <c r="U117" s="67">
        <f ca="1">((1+$B116)/IF(Параметры!$B$62,1,1+CHOOSE(Параметры!$B$126,Параметры!U$65,Параметры!U$113,Параметры!U$122)))^(Параметры!U$40/12)-1</f>
        <v>2.4412331059534331E-2</v>
      </c>
      <c r="V117" s="67">
        <f ca="1">((1+$B116)/IF(Параметры!$B$62,1,1+CHOOSE(Параметры!$B$126,Параметры!V$65,Параметры!V$113,Параметры!V$122)))^(Параметры!V$40/12)-1</f>
        <v>2.4412331059534331E-2</v>
      </c>
      <c r="W117" s="67">
        <f ca="1">((1+$B116)/IF(Параметры!$B$62,1,1+CHOOSE(Параметры!$B$126,Параметры!W$65,Параметры!W$113,Параметры!W$122)))^(Параметры!W$40/12)-1</f>
        <v>2.4412331059534331E-2</v>
      </c>
      <c r="X117" s="67">
        <f ca="1">((1+$B116)/IF(Параметры!$B$62,1,1+CHOOSE(Параметры!$B$126,Параметры!X$65,Параметры!X$113,Параметры!X$122)))^(Параметры!X$40/12)-1</f>
        <v>2.4412331059534331E-2</v>
      </c>
      <c r="Y117" s="67">
        <f ca="1">((1+$B116)/IF(Параметры!$B$62,1,1+CHOOSE(Параметры!$B$126,Параметры!Y$65,Параметры!Y$113,Параметры!Y$122)))^(Параметры!Y$40/12)-1</f>
        <v>2.4412331059534331E-2</v>
      </c>
      <c r="Z117" s="67">
        <f ca="1">((1+$B116)/IF(Параметры!$B$62,1,1+CHOOSE(Параметры!$B$126,Параметры!Z$65,Параметры!Z$113,Параметры!Z$122)))^(Параметры!Z$40/12)-1</f>
        <v>2.4412331059534331E-2</v>
      </c>
      <c r="AA117" s="67">
        <f ca="1">((1+$B116)/IF(Параметры!$B$62,1,1+CHOOSE(Параметры!$B$126,Параметры!AA$65,Параметры!AA$113,Параметры!AA$122)))^(Параметры!AA$40/12)-1</f>
        <v>2.4412331059534331E-2</v>
      </c>
      <c r="AB117" s="67">
        <f ca="1">((1+$B116)/IF(Параметры!$B$62,1,1+CHOOSE(Параметры!$B$126,Параметры!AB$65,Параметры!AB$113,Параметры!AB$122)))^(Параметры!AB$40/12)-1</f>
        <v>2.4412331059534331E-2</v>
      </c>
      <c r="AC117" s="67">
        <f ca="1">((1+$B116)/IF(Параметры!$B$62,1,1+CHOOSE(Параметры!$B$126,Параметры!AC$65,Параметры!AC$113,Параметры!AC$122)))^(Параметры!AC$40/12)-1</f>
        <v>2.4412331059534331E-2</v>
      </c>
      <c r="AD117" s="67">
        <f ca="1">((1+$B116)/IF(Параметры!$B$62,1,1+CHOOSE(Параметры!$B$126,Параметры!AD$65,Параметры!AD$113,Параметры!AD$122)))^(Параметры!AD$40/12)-1</f>
        <v>2.4412331059534331E-2</v>
      </c>
      <c r="AE117" s="67">
        <f ca="1">((1+$B116)/IF(Параметры!$B$62,1,1+CHOOSE(Параметры!$B$126,Параметры!AE$65,Параметры!AE$113,Параметры!AE$122)))^(Параметры!AE$40/12)-1</f>
        <v>2.4412331059534331E-2</v>
      </c>
      <c r="AF117" s="67">
        <f ca="1">((1+$B116)/IF(Параметры!$B$62,1,1+CHOOSE(Параметры!$B$126,Параметры!AF$65,Параметры!AF$113,Параметры!AF$122)))^(Параметры!AF$40/12)-1</f>
        <v>2.4412331059534331E-2</v>
      </c>
      <c r="AG117" s="67">
        <f ca="1">((1+$B116)/IF(Параметры!$B$62,1,1+CHOOSE(Параметры!$B$126,Параметры!AG$65,Параметры!AG$113,Параметры!AG$122)))^(Параметры!AG$40/12)-1</f>
        <v>2.4412331059534331E-2</v>
      </c>
      <c r="AH117" s="67">
        <f ca="1">((1+$B116)/IF(Параметры!$B$62,1,1+CHOOSE(Параметры!$B$126,Параметры!AH$65,Параметры!AH$113,Параметры!AH$122)))^(Параметры!AH$40/12)-1</f>
        <v>2.4412331059534331E-2</v>
      </c>
      <c r="AI117" s="67">
        <f ca="1">((1+$B116)/IF(Параметры!$B$62,1,1+CHOOSE(Параметры!$B$126,Параметры!AI$65,Параметры!AI$113,Параметры!AI$122)))^(Параметры!AI$40/12)-1</f>
        <v>2.4412331059534331E-2</v>
      </c>
      <c r="AJ117" s="67">
        <f ca="1">((1+$B116)/IF(Параметры!$B$62,1,1+CHOOSE(Параметры!$B$126,Параметры!AJ$65,Параметры!AJ$113,Параметры!AJ$122)))^(Параметры!AJ$40/12)-1</f>
        <v>2.4412331059534331E-2</v>
      </c>
      <c r="AK117" s="67">
        <f ca="1">((1+$B116)/IF(Параметры!$B$62,1,1+CHOOSE(Параметры!$B$126,Параметры!AK$65,Параметры!AK$113,Параметры!AK$122)))^(Параметры!AK$40/12)-1</f>
        <v>2.4412331059534331E-2</v>
      </c>
      <c r="AL117" s="67">
        <f ca="1">((1+$B116)/IF(Параметры!$B$62,1,1+CHOOSE(Параметры!$B$126,Параметры!AL$65,Параметры!AL$113,Параметры!AL$122)))^(Параметры!AL$40/12)-1</f>
        <v>2.4412331059534331E-2</v>
      </c>
      <c r="AM117" s="67">
        <f ca="1">((1+$B116)/IF(Параметры!$B$62,1,1+CHOOSE(Параметры!$B$126,Параметры!AM$65,Параметры!AM$113,Параметры!AM$122)))^(Параметры!AM$40/12)-1</f>
        <v>2.4412331059534331E-2</v>
      </c>
      <c r="AN117" s="67">
        <f ca="1">((1+$B116)/IF(Параметры!$B$62,1,1+CHOOSE(Параметры!$B$126,Параметры!AN$65,Параметры!AN$113,Параметры!AN$122)))^(Параметры!AN$40/12)-1</f>
        <v>2.4412331059534331E-2</v>
      </c>
      <c r="AO117" s="67">
        <f ca="1">((1+$B116)/IF(Параметры!$B$62,1,1+CHOOSE(Параметры!$B$126,Параметры!AO$65,Параметры!AO$113,Параметры!AO$122)))^(Параметры!AO$40/12)-1</f>
        <v>2.4412331059534331E-2</v>
      </c>
      <c r="AP117" s="67">
        <f ca="1">((1+$B116)/IF(Параметры!$B$62,1,1+CHOOSE(Параметры!$B$126,Параметры!AP$65,Параметры!AP$113,Параметры!AP$122)))^(Параметры!AP$40/12)-1</f>
        <v>2.4412331059534331E-2</v>
      </c>
      <c r="AQ117" s="67">
        <f ca="1">((1+$B116)/IF(Параметры!$B$62,1,1+CHOOSE(Параметры!$B$126,Параметры!AQ$65,Параметры!AQ$113,Параметры!AQ$122)))^(Параметры!AQ$40/12)-1</f>
        <v>2.4412331059534331E-2</v>
      </c>
      <c r="AR117" s="67">
        <f ca="1">((1+$B116)/IF(Параметры!$B$62,1,1+CHOOSE(Параметры!$B$126,Параметры!AR$65,Параметры!AR$113,Параметры!AR$122)))^(Параметры!AR$40/12)-1</f>
        <v>2.4412331059534331E-2</v>
      </c>
    </row>
    <row r="118" spans="1:46" outlineLevel="1" x14ac:dyDescent="0.2">
      <c r="A118" s="63" t="s">
        <v>419</v>
      </c>
      <c r="C118" s="12" t="s">
        <v>133</v>
      </c>
      <c r="D118" s="40"/>
      <c r="E118" s="68">
        <v>1</v>
      </c>
      <c r="F118" s="68">
        <v>1</v>
      </c>
      <c r="G118" s="68">
        <v>1</v>
      </c>
      <c r="H118" s="68">
        <v>1</v>
      </c>
      <c r="I118" s="68">
        <f t="shared" ref="I118" ca="1" si="178">IF(I$2=1,1,H118*(1+H117))</f>
        <v>1.0244123310595343</v>
      </c>
      <c r="J118" s="68">
        <f t="shared" ref="J118" ca="1" si="179">IF(J$2=1,1,I118*(1+I117))</f>
        <v>1.0494206240268289</v>
      </c>
      <c r="K118" s="68">
        <f t="shared" ref="K118" ca="1" si="180">IF(K$2=1,1,J118*(1+J117))</f>
        <v>1.0750394277212749</v>
      </c>
      <c r="L118" s="68">
        <f t="shared" ref="L118" ca="1" si="181">IF(L$2=1,1,K118*(1+K117))</f>
        <v>1.101283646132859</v>
      </c>
      <c r="M118" s="68">
        <f t="shared" ref="M118" ca="1" si="182">IF(M$2=1,1,L118*(1+L117))</f>
        <v>1.1281685470927054</v>
      </c>
      <c r="N118" s="68">
        <f t="shared" ref="N118" ca="1" si="183">IF(N$2=1,1,M118*(1+M117))</f>
        <v>1.1557097711552864</v>
      </c>
      <c r="O118" s="68">
        <f t="shared" ref="O118" ca="1" si="184">IF(O$2=1,1,N118*(1+N117))</f>
        <v>1.1839233406974679</v>
      </c>
      <c r="P118" s="68">
        <f t="shared" ref="P118" ca="1" si="185">IF(P$2=1,1,O118*(1+O117))</f>
        <v>1.2128256692396844</v>
      </c>
      <c r="Q118" s="68">
        <f t="shared" ref="Q118" ca="1" si="186">IF(Q$2=1,1,P118*(1+P117))</f>
        <v>1.2424335709946648</v>
      </c>
      <c r="R118" s="68">
        <f t="shared" ref="R118" ca="1" si="187">IF(R$2=1,1,Q118*(1+Q117))</f>
        <v>1.2727642706492659</v>
      </c>
      <c r="S118" s="68">
        <f t="shared" ref="S118" ca="1" si="188">IF(S$2=1,1,R118*(1+R117))</f>
        <v>1.3038354133851024</v>
      </c>
      <c r="T118" s="68">
        <f t="shared" ref="T118" ca="1" si="189">IF(T$2=1,1,S118*(1+S117))</f>
        <v>1.3356650751438044</v>
      </c>
      <c r="U118" s="68">
        <f t="shared" ref="U118" ca="1" si="190">IF(U$2=1,1,T118*(1+T117))</f>
        <v>1.3682717731428728</v>
      </c>
      <c r="V118" s="68">
        <f t="shared" ref="V118" ca="1" si="191">IF(V$2=1,1,U118*(1+U117))</f>
        <v>1.4016744766482527</v>
      </c>
      <c r="W118" s="68">
        <f t="shared" ref="W118" ca="1" si="192">IF(W$2=1,1,V118*(1+V117))</f>
        <v>1.4358926180098894</v>
      </c>
      <c r="X118" s="68">
        <f t="shared" ref="X118" ca="1" si="193">IF(X$2=1,1,W118*(1+W117))</f>
        <v>1.4709461039666882</v>
      </c>
      <c r="Y118" s="68">
        <f t="shared" ref="Y118" ca="1" si="194">IF(Y$2=1,1,X118*(1+X117))</f>
        <v>1.5068553272274552</v>
      </c>
      <c r="Z118" s="68">
        <f t="shared" ref="Z118" ca="1" si="195">IF(Z$2=1,1,Y118*(1+Y117))</f>
        <v>1.5436411783345547</v>
      </c>
      <c r="AA118" s="68">
        <f t="shared" ref="AA118" ca="1" si="196">IF(AA$2=1,1,Z118*(1+Z117))</f>
        <v>1.5813250578171876</v>
      </c>
      <c r="AB118" s="68">
        <f t="shared" ref="AB118" ca="1" si="197">IF(AB$2=1,1,AA118*(1+AA117))</f>
        <v>1.6199288886413581</v>
      </c>
      <c r="AC118" s="68">
        <f t="shared" ref="AC118" ca="1" si="198">IF(AC$2=1,1,AB118*(1+AB117))</f>
        <v>1.6594751289637744</v>
      </c>
      <c r="AD118" s="68">
        <f t="shared" ref="AD118" ca="1" si="199">IF(AD$2=1,1,AC118*(1+AC117))</f>
        <v>1.6999867851971016</v>
      </c>
      <c r="AE118" s="68">
        <f t="shared" ref="AE118" ca="1" si="200">IF(AE$2=1,1,AD118*(1+AD117))</f>
        <v>1.7414874253941668</v>
      </c>
      <c r="AF118" s="68">
        <f t="shared" ref="AF118" ca="1" si="201">IF(AF$2=1,1,AE118*(1+AE117))</f>
        <v>1.7840011929589052</v>
      </c>
      <c r="AG118" s="68">
        <f t="shared" ref="AG118" ca="1" si="202">IF(AG$2=1,1,AF118*(1+AF117))</f>
        <v>1.8275528206920222</v>
      </c>
      <c r="AH118" s="68">
        <f t="shared" ref="AH118" ca="1" si="203">IF(AH$2=1,1,AG118*(1+AG117))</f>
        <v>1.8721676451795417</v>
      </c>
      <c r="AI118" s="68">
        <f t="shared" ref="AI118" ca="1" si="204">IF(AI$2=1,1,AH118*(1+AH117))</f>
        <v>1.9178716215326135</v>
      </c>
      <c r="AJ118" s="68">
        <f t="shared" ref="AJ118" ca="1" si="205">IF(AJ$2=1,1,AI118*(1+AI117))</f>
        <v>1.9646913384871536</v>
      </c>
      <c r="AK118" s="68">
        <f t="shared" ref="AK118" ca="1" si="206">IF(AK$2=1,1,AJ118*(1+AJ117))</f>
        <v>2.0126540338721015</v>
      </c>
      <c r="AL118" s="68">
        <f t="shared" ref="AL118" ca="1" si="207">IF(AL$2=1,1,AK118*(1+AK117))</f>
        <v>2.0617876104552946</v>
      </c>
      <c r="AM118" s="68">
        <f t="shared" ref="AM118" ca="1" si="208">IF(AM$2=1,1,AL118*(1+AL117))</f>
        <v>2.1121206521761753</v>
      </c>
      <c r="AN118" s="68">
        <f t="shared" ref="AN118" ca="1" si="209">IF(AN$2=1,1,AM118*(1+AM117))</f>
        <v>2.1636824407747794</v>
      </c>
      <c r="AO118" s="68">
        <f t="shared" ref="AO118" ca="1" si="210">IF(AO$2=1,1,AN118*(1+AN117))</f>
        <v>2.2165029728266745</v>
      </c>
      <c r="AP118" s="68">
        <f t="shared" ref="AP118" ca="1" si="211">IF(AP$2=1,1,AO118*(1+AO117))</f>
        <v>2.2706129771937613</v>
      </c>
      <c r="AQ118" s="68">
        <f t="shared" ref="AQ118" ca="1" si="212">IF(AQ$2=1,1,AP118*(1+AP117))</f>
        <v>2.3260439329010905</v>
      </c>
      <c r="AR118" s="68">
        <f t="shared" ref="AR118" ca="1" si="213">IF(AR$2=1,1,AQ118*(1+AQ117))</f>
        <v>2.3828280874500933</v>
      </c>
    </row>
    <row r="119" spans="1:46" s="60" customFormat="1" ht="19.5" x14ac:dyDescent="0.2">
      <c r="A119" s="52" t="s">
        <v>728</v>
      </c>
      <c r="B119" s="438" t="s">
        <v>1097</v>
      </c>
      <c r="C119" s="34" t="str">
        <f>Параметры!$C$126</f>
        <v>тыс. руб.</v>
      </c>
      <c r="D119" s="169"/>
      <c r="E119" s="85">
        <f t="shared" ref="E119:AR119" ca="1" si="214">E120+E122</f>
        <v>0</v>
      </c>
      <c r="F119" s="85">
        <f t="shared" ca="1" si="214"/>
        <v>0</v>
      </c>
      <c r="G119" s="85">
        <f t="shared" ca="1" si="214"/>
        <v>0</v>
      </c>
      <c r="H119" s="85">
        <f t="shared" ca="1" si="214"/>
        <v>901.39081499999998</v>
      </c>
      <c r="I119" s="85">
        <f t="shared" ca="1" si="214"/>
        <v>901.39081499999998</v>
      </c>
      <c r="J119" s="85">
        <f t="shared" ca="1" si="214"/>
        <v>915.83122199268735</v>
      </c>
      <c r="K119" s="85">
        <f t="shared" ca="1" si="214"/>
        <v>930.50296632612037</v>
      </c>
      <c r="L119" s="85">
        <f t="shared" ca="1" si="214"/>
        <v>945.40975405686947</v>
      </c>
      <c r="M119" s="85">
        <f t="shared" ca="1" si="214"/>
        <v>960.55535061305125</v>
      </c>
      <c r="N119" s="85">
        <f t="shared" ca="1" si="214"/>
        <v>1461.5605004719143</v>
      </c>
      <c r="O119" s="85">
        <f t="shared" ca="1" si="214"/>
        <v>1486.2022192411489</v>
      </c>
      <c r="P119" s="85">
        <f t="shared" ca="1" si="214"/>
        <v>1511.2593941640669</v>
      </c>
      <c r="Q119" s="85">
        <f t="shared" ca="1" si="214"/>
        <v>1536.739029777051</v>
      </c>
      <c r="R119" s="85">
        <f t="shared" ca="1" si="214"/>
        <v>1821.4383919154309</v>
      </c>
      <c r="S119" s="85">
        <f t="shared" ca="1" si="214"/>
        <v>1851.7604799191399</v>
      </c>
      <c r="T119" s="85">
        <f t="shared" ca="1" si="214"/>
        <v>1882.5873497617436</v>
      </c>
      <c r="U119" s="85">
        <f t="shared" ca="1" si="214"/>
        <v>1913.9274047136519</v>
      </c>
      <c r="V119" s="85">
        <f t="shared" ca="1" si="214"/>
        <v>6193.4340457325516</v>
      </c>
      <c r="W119" s="85">
        <f t="shared" ca="1" si="214"/>
        <v>6298.4872688201349</v>
      </c>
      <c r="X119" s="85">
        <f t="shared" ca="1" si="214"/>
        <v>6405.3224079820002</v>
      </c>
      <c r="Y119" s="85">
        <f t="shared" ca="1" si="214"/>
        <v>6513.9696881346454</v>
      </c>
      <c r="Z119" s="85">
        <f t="shared" ca="1" si="214"/>
        <v>6623.1023821945646</v>
      </c>
      <c r="AA119" s="85">
        <f t="shared" ca="1" si="214"/>
        <v>6734.0634459711064</v>
      </c>
      <c r="AB119" s="85">
        <f t="shared" ca="1" si="214"/>
        <v>6846.8835113097439</v>
      </c>
      <c r="AC119" s="85">
        <f t="shared" ca="1" si="214"/>
        <v>6961.5937232508204</v>
      </c>
      <c r="AD119" s="85">
        <f t="shared" ca="1" si="214"/>
        <v>7077.0845694040936</v>
      </c>
      <c r="AE119" s="85">
        <f t="shared" ca="1" si="214"/>
        <v>7194.4913756198821</v>
      </c>
      <c r="AF119" s="85">
        <f t="shared" ca="1" si="214"/>
        <v>7313.8459271269157</v>
      </c>
      <c r="AG119" s="85">
        <f t="shared" ca="1" si="214"/>
        <v>7435.1805364617621</v>
      </c>
      <c r="AH119" s="85">
        <f t="shared" ca="1" si="214"/>
        <v>7558.0359917631486</v>
      </c>
      <c r="AI119" s="85">
        <f t="shared" ca="1" si="214"/>
        <v>7682.9214533062523</v>
      </c>
      <c r="AJ119" s="85">
        <f t="shared" ca="1" si="214"/>
        <v>7809.8704639673851</v>
      </c>
      <c r="AK119" s="85">
        <f t="shared" ca="1" si="214"/>
        <v>7938.9171208697007</v>
      </c>
      <c r="AL119" s="85">
        <f t="shared" ca="1" si="214"/>
        <v>8069.0072519798159</v>
      </c>
      <c r="AM119" s="85">
        <f t="shared" ca="1" si="214"/>
        <v>8201.2290897137154</v>
      </c>
      <c r="AN119" s="85">
        <f t="shared" ca="1" si="214"/>
        <v>8335.6175650311216</v>
      </c>
      <c r="AO119" s="85">
        <f t="shared" ca="1" si="214"/>
        <v>8472.2081812838169</v>
      </c>
      <c r="AP119" s="85">
        <f t="shared" ca="1" si="214"/>
        <v>8609.9262954154274</v>
      </c>
      <c r="AQ119" s="85">
        <f t="shared" ca="1" si="214"/>
        <v>8749.8830560196147</v>
      </c>
      <c r="AR119" s="85">
        <f t="shared" ca="1" si="214"/>
        <v>8892.1148529210641</v>
      </c>
      <c r="AT119" s="143">
        <f ca="1">SUM(E119:AS119)</f>
        <v>190937.74589723215</v>
      </c>
    </row>
    <row r="120" spans="1:46" outlineLevel="1" x14ac:dyDescent="0.2">
      <c r="A120" s="63" t="s">
        <v>35</v>
      </c>
      <c r="B120" s="102">
        <f ca="1">IFERROR(AVERAGEIF(Параметры!$E$46:OFFSET(Параметры!$E$46,0,Параметры!$B$24-1),"&gt;=" &amp; Деятельность_УК!$B$9,E120:OFFSET(E120,0,Параметры!$B$24-1))*Параметры!$B$13/Параметры!$B$12,0)</f>
        <v>28971.852934832157</v>
      </c>
      <c r="C120" s="12" t="str">
        <f>Параметры!$C$126</f>
        <v>тыс. руб.</v>
      </c>
      <c r="D120" s="40"/>
      <c r="E120" s="82">
        <f ca="1">Результаты_УК!E229*$B$4+Резиденты!E240</f>
        <v>0</v>
      </c>
      <c r="F120" s="82">
        <f ca="1">Результаты_УК!F229*$B$4+Резиденты!F240</f>
        <v>0</v>
      </c>
      <c r="G120" s="82">
        <f ca="1">Результаты_УК!G229*$B$4+Резиденты!G240</f>
        <v>0</v>
      </c>
      <c r="H120" s="82">
        <f ca="1">Результаты_УК!H229*$B$4+Резиденты!H240</f>
        <v>901.39081499999998</v>
      </c>
      <c r="I120" s="82">
        <f ca="1">Результаты_УК!I229*$B$4+Резиденты!I240</f>
        <v>901.39081499999998</v>
      </c>
      <c r="J120" s="82">
        <f ca="1">Результаты_УК!J229*$B$4+Резиденты!J240</f>
        <v>915.83122199268735</v>
      </c>
      <c r="K120" s="82">
        <f ca="1">Результаты_УК!K229*$B$4+Резиденты!K240</f>
        <v>930.50296632612037</v>
      </c>
      <c r="L120" s="82">
        <f ca="1">Результаты_УК!L229*$B$4+Резиденты!L240</f>
        <v>945.40975405686947</v>
      </c>
      <c r="M120" s="82">
        <f ca="1">Результаты_УК!M229*$B$4+Резиденты!M240</f>
        <v>960.55535061305125</v>
      </c>
      <c r="N120" s="82">
        <f ca="1">Результаты_УК!N229*$B$4+Резиденты!N240</f>
        <v>1461.5605004719143</v>
      </c>
      <c r="O120" s="82">
        <f ca="1">Результаты_УК!O229*$B$4+Резиденты!O240</f>
        <v>1486.2022192411489</v>
      </c>
      <c r="P120" s="82">
        <f ca="1">Результаты_УК!P229*$B$4+Резиденты!P240</f>
        <v>1511.2593941640669</v>
      </c>
      <c r="Q120" s="82">
        <f ca="1">Результаты_УК!Q229*$B$4+Резиденты!Q240</f>
        <v>1536.739029777051</v>
      </c>
      <c r="R120" s="82">
        <f ca="1">Результаты_УК!R229*$B$4+Резиденты!R240</f>
        <v>1821.4383919154309</v>
      </c>
      <c r="S120" s="82">
        <f ca="1">Результаты_УК!S229*$B$4+Резиденты!S240</f>
        <v>1851.7604799191399</v>
      </c>
      <c r="T120" s="82">
        <f ca="1">Результаты_УК!T229*$B$4+Резиденты!T240</f>
        <v>1882.5873497617436</v>
      </c>
      <c r="U120" s="82">
        <f ca="1">Результаты_УК!U229*$B$4+Резиденты!U240</f>
        <v>1913.9274047136519</v>
      </c>
      <c r="V120" s="82">
        <f ca="1">Результаты_УК!V229*$B$4+Резиденты!V240</f>
        <v>6193.4340457325516</v>
      </c>
      <c r="W120" s="82">
        <f ca="1">Результаты_УК!W229*$B$4+Резиденты!W240</f>
        <v>6298.4872688201349</v>
      </c>
      <c r="X120" s="82">
        <f ca="1">Результаты_УК!X229*$B$4+Резиденты!X240</f>
        <v>6405.3224079820002</v>
      </c>
      <c r="Y120" s="82">
        <f ca="1">Результаты_УК!Y229*$B$4+Резиденты!Y240</f>
        <v>6513.9696881346454</v>
      </c>
      <c r="Z120" s="82">
        <f ca="1">Результаты_УК!Z229*$B$4+Резиденты!Z240</f>
        <v>6623.1023821945646</v>
      </c>
      <c r="AA120" s="82">
        <f ca="1">Результаты_УК!AA229*$B$4+Резиденты!AA240</f>
        <v>6734.0634459711064</v>
      </c>
      <c r="AB120" s="82">
        <f ca="1">Результаты_УК!AB229*$B$4+Резиденты!AB240</f>
        <v>6846.8835113097439</v>
      </c>
      <c r="AC120" s="82">
        <f ca="1">Результаты_УК!AC229*$B$4+Резиденты!AC240</f>
        <v>6961.5937232508204</v>
      </c>
      <c r="AD120" s="82">
        <f ca="1">Результаты_УК!AD229*$B$4+Резиденты!AD240</f>
        <v>7077.0845694040936</v>
      </c>
      <c r="AE120" s="82">
        <f ca="1">Результаты_УК!AE229*$B$4+Резиденты!AE240</f>
        <v>7194.4913756198821</v>
      </c>
      <c r="AF120" s="82">
        <f ca="1">Результаты_УК!AF229*$B$4+Резиденты!AF240</f>
        <v>7313.8459271269157</v>
      </c>
      <c r="AG120" s="82">
        <f ca="1">Результаты_УК!AG229*$B$4+Резиденты!AG240</f>
        <v>7435.1805364617621</v>
      </c>
      <c r="AH120" s="82">
        <f ca="1">Результаты_УК!AH229*$B$4+Резиденты!AH240</f>
        <v>7558.0359917631486</v>
      </c>
      <c r="AI120" s="82">
        <f ca="1">Результаты_УК!AI229*$B$4+Резиденты!AI240</f>
        <v>7682.9214533062523</v>
      </c>
      <c r="AJ120" s="82">
        <f ca="1">Результаты_УК!AJ229*$B$4+Резиденты!AJ240</f>
        <v>7809.8704639673851</v>
      </c>
      <c r="AK120" s="82">
        <f ca="1">Результаты_УК!AK229*$B$4+Резиденты!AK240</f>
        <v>7938.9171208697007</v>
      </c>
      <c r="AL120" s="82">
        <f ca="1">Результаты_УК!AL229*$B$4+Резиденты!AL240</f>
        <v>8069.0072519798159</v>
      </c>
      <c r="AM120" s="82">
        <f ca="1">Результаты_УК!AM229*$B$4+Резиденты!AM240</f>
        <v>8201.2290897137154</v>
      </c>
      <c r="AN120" s="82">
        <f ca="1">Результаты_УК!AN229*$B$4+Резиденты!AN240</f>
        <v>8335.6175650311216</v>
      </c>
      <c r="AO120" s="82">
        <f ca="1">Результаты_УК!AO229*$B$4+Резиденты!AO240</f>
        <v>8472.2081812838169</v>
      </c>
      <c r="AP120" s="82">
        <f ca="1">Результаты_УК!AP229*$B$4+Резиденты!AP240</f>
        <v>8609.9262954154274</v>
      </c>
      <c r="AQ120" s="82">
        <f ca="1">Результаты_УК!AQ229*$B$4+Резиденты!AQ240</f>
        <v>8749.8830560196147</v>
      </c>
      <c r="AR120" s="82">
        <f ca="1">Результаты_УК!AR229*$B$4+Резиденты!AR240</f>
        <v>8892.1148529210641</v>
      </c>
      <c r="AT120" s="30">
        <f ca="1">SUM(E120:AS120)</f>
        <v>190937.74589723215</v>
      </c>
    </row>
    <row r="121" spans="1:46" outlineLevel="1" x14ac:dyDescent="0.2">
      <c r="A121" s="598" t="s">
        <v>323</v>
      </c>
      <c r="B121" s="102">
        <f ca="1">IFERROR(AVERAGEIF(Параметры!$E$46:OFFSET(Параметры!$E$46,0,Параметры!$B$24-1),"&gt;=" &amp; Деятельность_УК!$B$9,E121:OFFSET(E121,0,Параметры!$B$24-1))*Параметры!$B$13/Параметры!$B$12,0)</f>
        <v>28971.852934832157</v>
      </c>
      <c r="C121" s="406" t="str">
        <f>Параметры!$C$126</f>
        <v>тыс. руб.</v>
      </c>
      <c r="D121" s="65"/>
      <c r="E121" s="407">
        <f ca="1">Результаты_УК!E231*$B$4+Резиденты!E241</f>
        <v>0</v>
      </c>
      <c r="F121" s="407">
        <f ca="1">Результаты_УК!F231*$B$4+Резиденты!F241</f>
        <v>0</v>
      </c>
      <c r="G121" s="407">
        <f ca="1">Результаты_УК!G231*$B$4+Резиденты!G241</f>
        <v>0</v>
      </c>
      <c r="H121" s="407">
        <f ca="1">Результаты_УК!H231*$B$4+Резиденты!H241</f>
        <v>901.39081499999998</v>
      </c>
      <c r="I121" s="407">
        <f ca="1">Результаты_УК!I231*$B$4+Резиденты!I241</f>
        <v>901.39081499999998</v>
      </c>
      <c r="J121" s="407">
        <f ca="1">Результаты_УК!J231*$B$4+Резиденты!J241</f>
        <v>915.83122199268735</v>
      </c>
      <c r="K121" s="407">
        <f ca="1">Результаты_УК!K231*$B$4+Резиденты!K241</f>
        <v>930.50296632612037</v>
      </c>
      <c r="L121" s="407">
        <f ca="1">Результаты_УК!L231*$B$4+Резиденты!L241</f>
        <v>945.40975405686947</v>
      </c>
      <c r="M121" s="407">
        <f ca="1">Результаты_УК!M231*$B$4+Резиденты!M241</f>
        <v>960.55535061305125</v>
      </c>
      <c r="N121" s="407">
        <f ca="1">Результаты_УК!N231*$B$4+Резиденты!N241</f>
        <v>1461.5605004719143</v>
      </c>
      <c r="O121" s="407">
        <f ca="1">Результаты_УК!O231*$B$4+Резиденты!O241</f>
        <v>1486.2022192411489</v>
      </c>
      <c r="P121" s="407">
        <f ca="1">Результаты_УК!P231*$B$4+Резиденты!P241</f>
        <v>1511.2593941640669</v>
      </c>
      <c r="Q121" s="407">
        <f ca="1">Результаты_УК!Q231*$B$4+Резиденты!Q241</f>
        <v>1536.739029777051</v>
      </c>
      <c r="R121" s="407">
        <f ca="1">Результаты_УК!R231*$B$4+Резиденты!R241</f>
        <v>1821.4383919154309</v>
      </c>
      <c r="S121" s="407">
        <f ca="1">Результаты_УК!S231*$B$4+Резиденты!S241</f>
        <v>1851.7604799191399</v>
      </c>
      <c r="T121" s="407">
        <f ca="1">Результаты_УК!T231*$B$4+Резиденты!T241</f>
        <v>1882.5873497617436</v>
      </c>
      <c r="U121" s="407">
        <f ca="1">Результаты_УК!U231*$B$4+Резиденты!U241</f>
        <v>1913.9274047136519</v>
      </c>
      <c r="V121" s="407">
        <f ca="1">Результаты_УК!V231*$B$4+Резиденты!V241</f>
        <v>6193.4340457325516</v>
      </c>
      <c r="W121" s="407">
        <f ca="1">Результаты_УК!W231*$B$4+Резиденты!W241</f>
        <v>6298.4872688201349</v>
      </c>
      <c r="X121" s="407">
        <f ca="1">Результаты_УК!X231*$B$4+Резиденты!X241</f>
        <v>6405.3224079820002</v>
      </c>
      <c r="Y121" s="407">
        <f ca="1">Результаты_УК!Y231*$B$4+Резиденты!Y241</f>
        <v>6513.9696881346454</v>
      </c>
      <c r="Z121" s="407">
        <f ca="1">Результаты_УК!Z231*$B$4+Резиденты!Z241</f>
        <v>6623.1023821945646</v>
      </c>
      <c r="AA121" s="407">
        <f ca="1">Результаты_УК!AA231*$B$4+Резиденты!AA241</f>
        <v>6734.0634459711064</v>
      </c>
      <c r="AB121" s="407">
        <f ca="1">Результаты_УК!AB231*$B$4+Резиденты!AB241</f>
        <v>6846.8835113097439</v>
      </c>
      <c r="AC121" s="407">
        <f ca="1">Результаты_УК!AC231*$B$4+Резиденты!AC241</f>
        <v>6961.5937232508204</v>
      </c>
      <c r="AD121" s="407">
        <f ca="1">Результаты_УК!AD231*$B$4+Резиденты!AD241</f>
        <v>7077.0845694040936</v>
      </c>
      <c r="AE121" s="407">
        <f ca="1">Результаты_УК!AE231*$B$4+Резиденты!AE241</f>
        <v>7194.4913756198821</v>
      </c>
      <c r="AF121" s="407">
        <f ca="1">Результаты_УК!AF231*$B$4+Резиденты!AF241</f>
        <v>7313.8459271269157</v>
      </c>
      <c r="AG121" s="407">
        <f ca="1">Результаты_УК!AG231*$B$4+Резиденты!AG241</f>
        <v>7435.1805364617621</v>
      </c>
      <c r="AH121" s="407">
        <f ca="1">Результаты_УК!AH231*$B$4+Резиденты!AH241</f>
        <v>7558.0359917631486</v>
      </c>
      <c r="AI121" s="407">
        <f ca="1">Результаты_УК!AI231*$B$4+Резиденты!AI241</f>
        <v>7682.9214533062523</v>
      </c>
      <c r="AJ121" s="407">
        <f ca="1">Результаты_УК!AJ231*$B$4+Резиденты!AJ241</f>
        <v>7809.8704639673851</v>
      </c>
      <c r="AK121" s="407">
        <f ca="1">Результаты_УК!AK231*$B$4+Резиденты!AK241</f>
        <v>7938.9171208697007</v>
      </c>
      <c r="AL121" s="407">
        <f ca="1">Результаты_УК!AL231*$B$4+Резиденты!AL241</f>
        <v>8069.0072519798159</v>
      </c>
      <c r="AM121" s="407">
        <f ca="1">Результаты_УК!AM231*$B$4+Резиденты!AM241</f>
        <v>8201.2290897137154</v>
      </c>
      <c r="AN121" s="407">
        <f ca="1">Результаты_УК!AN231*$B$4+Резиденты!AN241</f>
        <v>8335.6175650311216</v>
      </c>
      <c r="AO121" s="407">
        <f ca="1">Результаты_УК!AO231*$B$4+Резиденты!AO241</f>
        <v>8472.2081812838169</v>
      </c>
      <c r="AP121" s="407">
        <f ca="1">Результаты_УК!AP231*$B$4+Резиденты!AP241</f>
        <v>8609.9262954154274</v>
      </c>
      <c r="AQ121" s="407">
        <f ca="1">Результаты_УК!AQ231*$B$4+Резиденты!AQ241</f>
        <v>8749.8830560196147</v>
      </c>
      <c r="AR121" s="407">
        <f ca="1">Результаты_УК!AR231*$B$4+Резиденты!AR241</f>
        <v>8892.1148529210641</v>
      </c>
      <c r="AT121" s="30">
        <f t="shared" ref="AT121" ca="1" si="215">SUM(E121:AS121)</f>
        <v>190937.74589723215</v>
      </c>
    </row>
    <row r="122" spans="1:46" outlineLevel="1" x14ac:dyDescent="0.2">
      <c r="A122" s="63" t="s">
        <v>730</v>
      </c>
      <c r="B122" s="102">
        <f ca="1">IFERROR(AVERAGEIF(Параметры!$E$46:OFFSET(Параметры!$E$46,0,Параметры!$B$24-1),"&gt;=" &amp; Деятельность_УК!$B$9,E122:OFFSET(E122,0,Параметры!$B$24-1))*Параметры!$B$13/Параметры!$B$12,0)</f>
        <v>0</v>
      </c>
      <c r="C122" s="12" t="str">
        <f>Параметры!$C$126</f>
        <v>тыс. руб.</v>
      </c>
      <c r="D122" s="40"/>
      <c r="E122" s="82">
        <f>0*Графики!$D$323</f>
        <v>0</v>
      </c>
      <c r="F122" s="82">
        <f>0*Графики!$D$323</f>
        <v>0</v>
      </c>
      <c r="G122" s="82">
        <f>0*Графики!$D$323</f>
        <v>0</v>
      </c>
      <c r="H122" s="82">
        <f>0*Графики!$D$323</f>
        <v>0</v>
      </c>
      <c r="I122" s="82">
        <f>0*Графики!$D$323</f>
        <v>0</v>
      </c>
      <c r="J122" s="82">
        <f>0*Графики!$D$323</f>
        <v>0</v>
      </c>
      <c r="K122" s="82">
        <f>0*Графики!$D$323</f>
        <v>0</v>
      </c>
      <c r="L122" s="82">
        <f>0*Графики!$D$323</f>
        <v>0</v>
      </c>
      <c r="M122" s="82">
        <f>0*Графики!$D$323</f>
        <v>0</v>
      </c>
      <c r="N122" s="82">
        <f>0*Графики!$D$323</f>
        <v>0</v>
      </c>
      <c r="O122" s="82">
        <f>0*Графики!$D$323</f>
        <v>0</v>
      </c>
      <c r="P122" s="82">
        <f>0*Графики!$D$323</f>
        <v>0</v>
      </c>
      <c r="Q122" s="82">
        <f>0*Графики!$D$323</f>
        <v>0</v>
      </c>
      <c r="R122" s="82">
        <f>0*Графики!$D$323</f>
        <v>0</v>
      </c>
      <c r="S122" s="82">
        <f>0*Графики!$D$323</f>
        <v>0</v>
      </c>
      <c r="T122" s="82">
        <f>0*Графики!$D$323</f>
        <v>0</v>
      </c>
      <c r="U122" s="82">
        <f>0*Графики!$D$323</f>
        <v>0</v>
      </c>
      <c r="V122" s="82">
        <f>0*Графики!$D$323</f>
        <v>0</v>
      </c>
      <c r="W122" s="82">
        <f>0*Графики!$D$323</f>
        <v>0</v>
      </c>
      <c r="X122" s="82">
        <f>0*Графики!$D$323</f>
        <v>0</v>
      </c>
      <c r="Y122" s="82">
        <f>0*Графики!$D$323</f>
        <v>0</v>
      </c>
      <c r="Z122" s="82">
        <f>0*Графики!$D$323</f>
        <v>0</v>
      </c>
      <c r="AA122" s="82">
        <f>0*Графики!$D$323</f>
        <v>0</v>
      </c>
      <c r="AB122" s="82">
        <f>0*Графики!$D$323</f>
        <v>0</v>
      </c>
      <c r="AC122" s="82">
        <f>0*Графики!$D$323</f>
        <v>0</v>
      </c>
      <c r="AD122" s="82">
        <f>0*Графики!$D$323</f>
        <v>0</v>
      </c>
      <c r="AE122" s="82">
        <f>0*Графики!$D$323</f>
        <v>0</v>
      </c>
      <c r="AF122" s="82">
        <f>0*Графики!$D$323</f>
        <v>0</v>
      </c>
      <c r="AG122" s="82">
        <f>0*Графики!$D$323</f>
        <v>0</v>
      </c>
      <c r="AH122" s="82">
        <f>0*Графики!$D$323</f>
        <v>0</v>
      </c>
      <c r="AI122" s="82">
        <f>0*Графики!$D$323</f>
        <v>0</v>
      </c>
      <c r="AJ122" s="82">
        <f>0*Графики!$D$323</f>
        <v>0</v>
      </c>
      <c r="AK122" s="82">
        <f>0*Графики!$D$323</f>
        <v>0</v>
      </c>
      <c r="AL122" s="82">
        <f>0*Графики!$D$323</f>
        <v>0</v>
      </c>
      <c r="AM122" s="82">
        <f>0*Графики!$D$323</f>
        <v>0</v>
      </c>
      <c r="AN122" s="82">
        <f>0*Графики!$D$323</f>
        <v>0</v>
      </c>
      <c r="AO122" s="82">
        <f>0*Графики!$D$323</f>
        <v>0</v>
      </c>
      <c r="AP122" s="82">
        <f>0*Графики!$D$323</f>
        <v>0</v>
      </c>
      <c r="AQ122" s="82">
        <f>0*Графики!$D$323</f>
        <v>0</v>
      </c>
      <c r="AR122" s="82">
        <f>0*Графики!$D$323</f>
        <v>0</v>
      </c>
      <c r="AT122" s="30">
        <f>SUM(E122:AS122)</f>
        <v>0</v>
      </c>
    </row>
    <row r="123" spans="1:46" outlineLevel="1" x14ac:dyDescent="0.2">
      <c r="A123" s="44" t="s">
        <v>330</v>
      </c>
      <c r="D123" s="40"/>
      <c r="E123" s="82">
        <f ca="1">E119</f>
        <v>0</v>
      </c>
      <c r="F123" s="82">
        <f t="shared" ref="F123:AR123" ca="1" si="216">E123+F119</f>
        <v>0</v>
      </c>
      <c r="G123" s="82">
        <f t="shared" ca="1" si="216"/>
        <v>0</v>
      </c>
      <c r="H123" s="82">
        <f t="shared" ca="1" si="216"/>
        <v>901.39081499999998</v>
      </c>
      <c r="I123" s="82">
        <f t="shared" ca="1" si="216"/>
        <v>1802.78163</v>
      </c>
      <c r="J123" s="82">
        <f t="shared" ca="1" si="216"/>
        <v>2718.6128519926874</v>
      </c>
      <c r="K123" s="82">
        <f t="shared" ca="1" si="216"/>
        <v>3649.1158183188077</v>
      </c>
      <c r="L123" s="82">
        <f t="shared" ca="1" si="216"/>
        <v>4594.5255723756773</v>
      </c>
      <c r="M123" s="82">
        <f t="shared" ca="1" si="216"/>
        <v>5555.0809229887282</v>
      </c>
      <c r="N123" s="82">
        <f t="shared" ca="1" si="216"/>
        <v>7016.6414234606427</v>
      </c>
      <c r="O123" s="82">
        <f t="shared" ca="1" si="216"/>
        <v>8502.8436427017914</v>
      </c>
      <c r="P123" s="82">
        <f t="shared" ca="1" si="216"/>
        <v>10014.103036865858</v>
      </c>
      <c r="Q123" s="82">
        <f t="shared" ca="1" si="216"/>
        <v>11550.842066642908</v>
      </c>
      <c r="R123" s="82">
        <f t="shared" ca="1" si="216"/>
        <v>13372.28045855834</v>
      </c>
      <c r="S123" s="82">
        <f t="shared" ca="1" si="216"/>
        <v>15224.040938477479</v>
      </c>
      <c r="T123" s="82">
        <f t="shared" ca="1" si="216"/>
        <v>17106.628288239222</v>
      </c>
      <c r="U123" s="82">
        <f t="shared" ca="1" si="216"/>
        <v>19020.555692952876</v>
      </c>
      <c r="V123" s="82">
        <f t="shared" ca="1" si="216"/>
        <v>25213.989738685428</v>
      </c>
      <c r="W123" s="82">
        <f t="shared" ca="1" si="216"/>
        <v>31512.477007505564</v>
      </c>
      <c r="X123" s="82">
        <f t="shared" ca="1" si="216"/>
        <v>37917.799415487563</v>
      </c>
      <c r="Y123" s="82">
        <f t="shared" ca="1" si="216"/>
        <v>44431.76910362221</v>
      </c>
      <c r="Z123" s="82">
        <f t="shared" ca="1" si="216"/>
        <v>51054.871485816773</v>
      </c>
      <c r="AA123" s="82">
        <f t="shared" ca="1" si="216"/>
        <v>57788.93493178788</v>
      </c>
      <c r="AB123" s="82">
        <f t="shared" ca="1" si="216"/>
        <v>64635.818443097625</v>
      </c>
      <c r="AC123" s="82">
        <f t="shared" ca="1" si="216"/>
        <v>71597.41216634844</v>
      </c>
      <c r="AD123" s="82">
        <f t="shared" ca="1" si="216"/>
        <v>78674.496735752531</v>
      </c>
      <c r="AE123" s="82">
        <f t="shared" ca="1" si="216"/>
        <v>85868.988111372411</v>
      </c>
      <c r="AF123" s="82">
        <f t="shared" ca="1" si="216"/>
        <v>93182.834038499321</v>
      </c>
      <c r="AG123" s="82">
        <f t="shared" ca="1" si="216"/>
        <v>100618.01457496108</v>
      </c>
      <c r="AH123" s="82">
        <f t="shared" ca="1" si="216"/>
        <v>108176.05056672423</v>
      </c>
      <c r="AI123" s="82">
        <f t="shared" ca="1" si="216"/>
        <v>115858.97202003047</v>
      </c>
      <c r="AJ123" s="82">
        <f t="shared" ca="1" si="216"/>
        <v>123668.84248399785</v>
      </c>
      <c r="AK123" s="82">
        <f t="shared" ca="1" si="216"/>
        <v>131607.75960486755</v>
      </c>
      <c r="AL123" s="82">
        <f t="shared" ca="1" si="216"/>
        <v>139676.76685684736</v>
      </c>
      <c r="AM123" s="82">
        <f t="shared" ca="1" si="216"/>
        <v>147877.99594656107</v>
      </c>
      <c r="AN123" s="82">
        <f t="shared" ca="1" si="216"/>
        <v>156213.61351159221</v>
      </c>
      <c r="AO123" s="82">
        <f t="shared" ca="1" si="216"/>
        <v>164685.82169287602</v>
      </c>
      <c r="AP123" s="82">
        <f t="shared" ca="1" si="216"/>
        <v>173295.74798829146</v>
      </c>
      <c r="AQ123" s="82">
        <f t="shared" ca="1" si="216"/>
        <v>182045.63104431107</v>
      </c>
      <c r="AR123" s="82">
        <f t="shared" ca="1" si="216"/>
        <v>190937.74589723215</v>
      </c>
      <c r="AT123" s="30"/>
    </row>
    <row r="124" spans="1:46" x14ac:dyDescent="0.2">
      <c r="A124" s="44"/>
      <c r="D124" s="40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T124" s="30"/>
    </row>
    <row r="125" spans="1:46" x14ac:dyDescent="0.2">
      <c r="A125" s="44" t="s">
        <v>136</v>
      </c>
      <c r="C125" s="12" t="str">
        <f>Параметры!$C$126</f>
        <v>тыс. руб.</v>
      </c>
      <c r="D125" s="40"/>
      <c r="E125" s="82">
        <f t="shared" ref="E125:AR125" ca="1" si="217">E119/E118</f>
        <v>0</v>
      </c>
      <c r="F125" s="82">
        <f t="shared" ca="1" si="217"/>
        <v>0</v>
      </c>
      <c r="G125" s="82">
        <f t="shared" ca="1" si="217"/>
        <v>0</v>
      </c>
      <c r="H125" s="82">
        <f t="shared" ca="1" si="217"/>
        <v>901.39081499999998</v>
      </c>
      <c r="I125" s="82">
        <f t="shared" ca="1" si="217"/>
        <v>879.91015694598775</v>
      </c>
      <c r="J125" s="82">
        <f t="shared" ca="1" si="217"/>
        <v>872.70175659257268</v>
      </c>
      <c r="K125" s="82">
        <f t="shared" ca="1" si="217"/>
        <v>865.55240889952881</v>
      </c>
      <c r="L125" s="82">
        <f t="shared" ca="1" si="217"/>
        <v>858.46163009562667</v>
      </c>
      <c r="M125" s="82">
        <f t="shared" ca="1" si="217"/>
        <v>851.42894037278916</v>
      </c>
      <c r="N125" s="82">
        <f t="shared" ca="1" si="217"/>
        <v>1264.6431975831522</v>
      </c>
      <c r="O125" s="82">
        <f t="shared" ca="1" si="217"/>
        <v>1255.3196378116879</v>
      </c>
      <c r="P125" s="82">
        <f t="shared" ca="1" si="217"/>
        <v>1246.0648158209492</v>
      </c>
      <c r="Q125" s="82">
        <f t="shared" ca="1" si="217"/>
        <v>1236.8782248428556</v>
      </c>
      <c r="R125" s="82">
        <f t="shared" ca="1" si="217"/>
        <v>1431.0885636240196</v>
      </c>
      <c r="S125" s="82">
        <f t="shared" ca="1" si="217"/>
        <v>1420.2409759000784</v>
      </c>
      <c r="T125" s="82">
        <f t="shared" ca="1" si="217"/>
        <v>1409.4756124090875</v>
      </c>
      <c r="U125" s="82">
        <f t="shared" ca="1" si="217"/>
        <v>1398.7918498950153</v>
      </c>
      <c r="V125" s="82">
        <f t="shared" ca="1" si="217"/>
        <v>4418.5965778178188</v>
      </c>
      <c r="W125" s="82">
        <f t="shared" ca="1" si="217"/>
        <v>4386.4612087425294</v>
      </c>
      <c r="X125" s="82">
        <f t="shared" ca="1" si="217"/>
        <v>4354.559552324059</v>
      </c>
      <c r="Y125" s="82">
        <f t="shared" ca="1" si="217"/>
        <v>4322.8899088275793</v>
      </c>
      <c r="Z125" s="82">
        <f t="shared" ca="1" si="217"/>
        <v>4290.5711995453994</v>
      </c>
      <c r="AA125" s="82">
        <f t="shared" ca="1" si="217"/>
        <v>4258.494110797561</v>
      </c>
      <c r="AB125" s="82">
        <f t="shared" ca="1" si="217"/>
        <v>4226.6568361851096</v>
      </c>
      <c r="AC125" s="82">
        <f t="shared" ca="1" si="217"/>
        <v>4195.0575828140591</v>
      </c>
      <c r="AD125" s="82">
        <f t="shared" ca="1" si="217"/>
        <v>4163.02328408015</v>
      </c>
      <c r="AE125" s="82">
        <f t="shared" ca="1" si="217"/>
        <v>4131.2336056583854</v>
      </c>
      <c r="AF125" s="82">
        <f t="shared" ca="1" si="217"/>
        <v>4099.6866795791384</v>
      </c>
      <c r="AG125" s="82">
        <f t="shared" ca="1" si="217"/>
        <v>4068.3806521369665</v>
      </c>
      <c r="AH125" s="82">
        <f t="shared" ca="1" si="217"/>
        <v>4037.0508545127268</v>
      </c>
      <c r="AI125" s="82">
        <f t="shared" ca="1" si="217"/>
        <v>4005.9623214856583</v>
      </c>
      <c r="AJ125" s="82">
        <f t="shared" ca="1" si="217"/>
        <v>3975.1131951246452</v>
      </c>
      <c r="AK125" s="82">
        <f t="shared" ca="1" si="217"/>
        <v>3944.501631806133</v>
      </c>
      <c r="AL125" s="82">
        <f t="shared" ca="1" si="217"/>
        <v>3913.5977008795662</v>
      </c>
      <c r="AM125" s="82">
        <f t="shared" ca="1" si="217"/>
        <v>3882.9358925418233</v>
      </c>
      <c r="AN125" s="82">
        <f t="shared" ca="1" si="217"/>
        <v>3852.514309838496</v>
      </c>
      <c r="AO125" s="82">
        <f t="shared" ca="1" si="217"/>
        <v>3822.3310706772168</v>
      </c>
      <c r="AP125" s="82">
        <f t="shared" ca="1" si="217"/>
        <v>3791.8951322371063</v>
      </c>
      <c r="AQ125" s="82">
        <f t="shared" ca="1" si="217"/>
        <v>3761.7015449517235</v>
      </c>
      <c r="AR125" s="82">
        <f t="shared" ca="1" si="217"/>
        <v>3731.7483790602259</v>
      </c>
      <c r="AT125" s="30">
        <f ca="1">SUM(E125:AS125)</f>
        <v>109526.91181741741</v>
      </c>
    </row>
    <row r="126" spans="1:46" x14ac:dyDescent="0.2">
      <c r="A126" s="44" t="s">
        <v>137</v>
      </c>
      <c r="C126" s="12" t="str">
        <f>Параметры!$C$126</f>
        <v>тыс. руб.</v>
      </c>
      <c r="D126" s="40"/>
      <c r="E126" s="82">
        <f t="shared" ref="E126" ca="1" si="218">E125+IF(E$2&gt;1,D126)</f>
        <v>0</v>
      </c>
      <c r="F126" s="82">
        <f t="shared" ref="F126" ca="1" si="219">F125+IF(F$2&gt;1,E126)</f>
        <v>0</v>
      </c>
      <c r="G126" s="82">
        <f t="shared" ref="G126" ca="1" si="220">G125+IF(G$2&gt;1,F126)</f>
        <v>0</v>
      </c>
      <c r="H126" s="82">
        <f t="shared" ref="H126" ca="1" si="221">H125+IF(H$2&gt;1,G126)</f>
        <v>901.39081499999998</v>
      </c>
      <c r="I126" s="82">
        <f t="shared" ref="I126" ca="1" si="222">I125+IF(I$2&gt;1,H126)</f>
        <v>1781.3009719459878</v>
      </c>
      <c r="J126" s="82">
        <f t="shared" ref="J126" ca="1" si="223">J125+IF(J$2&gt;1,I126)</f>
        <v>2654.0027285385604</v>
      </c>
      <c r="K126" s="82">
        <f t="shared" ref="K126" ca="1" si="224">K125+IF(K$2&gt;1,J126)</f>
        <v>3519.5551374380893</v>
      </c>
      <c r="L126" s="82">
        <f t="shared" ref="L126" ca="1" si="225">L125+IF(L$2&gt;1,K126)</f>
        <v>4378.0167675337161</v>
      </c>
      <c r="M126" s="82">
        <f t="shared" ref="M126" ca="1" si="226">M125+IF(M$2&gt;1,L126)</f>
        <v>5229.445707906505</v>
      </c>
      <c r="N126" s="82">
        <f t="shared" ref="N126" ca="1" si="227">N125+IF(N$2&gt;1,M126)</f>
        <v>6494.088905489657</v>
      </c>
      <c r="O126" s="82">
        <f t="shared" ref="O126" ca="1" si="228">O125+IF(O$2&gt;1,N126)</f>
        <v>7749.4085433013452</v>
      </c>
      <c r="P126" s="82">
        <f t="shared" ref="P126" ca="1" si="229">P125+IF(P$2&gt;1,O126)</f>
        <v>8995.4733591222939</v>
      </c>
      <c r="Q126" s="82">
        <f t="shared" ref="Q126" ca="1" si="230">Q125+IF(Q$2&gt;1,P126)</f>
        <v>10232.35158396515</v>
      </c>
      <c r="R126" s="82">
        <f t="shared" ref="R126" ca="1" si="231">R125+IF(R$2&gt;1,Q126)</f>
        <v>11663.44014758917</v>
      </c>
      <c r="S126" s="82">
        <f t="shared" ref="S126" ca="1" si="232">S125+IF(S$2&gt;1,R126)</f>
        <v>13083.681123489248</v>
      </c>
      <c r="T126" s="82">
        <f t="shared" ref="T126" ca="1" si="233">T125+IF(T$2&gt;1,S126)</f>
        <v>14493.156735898336</v>
      </c>
      <c r="U126" s="82">
        <f t="shared" ref="U126" ca="1" si="234">U125+IF(U$2&gt;1,T126)</f>
        <v>15891.948585793351</v>
      </c>
      <c r="V126" s="82">
        <f t="shared" ref="V126" ca="1" si="235">V125+IF(V$2&gt;1,U126)</f>
        <v>20310.545163611168</v>
      </c>
      <c r="W126" s="82">
        <f t="shared" ref="W126" ca="1" si="236">W125+IF(W$2&gt;1,V126)</f>
        <v>24697.006372353699</v>
      </c>
      <c r="X126" s="82">
        <f t="shared" ref="X126" ca="1" si="237">X125+IF(X$2&gt;1,W126)</f>
        <v>29051.565924677758</v>
      </c>
      <c r="Y126" s="82">
        <f t="shared" ref="Y126" ca="1" si="238">Y125+IF(Y$2&gt;1,X126)</f>
        <v>33374.455833505337</v>
      </c>
      <c r="Z126" s="82">
        <f t="shared" ref="Z126" ca="1" si="239">Z125+IF(Z$2&gt;1,Y126)</f>
        <v>37665.027033050734</v>
      </c>
      <c r="AA126" s="82">
        <f t="shared" ref="AA126" ca="1" si="240">AA125+IF(AA$2&gt;1,Z126)</f>
        <v>41923.521143848295</v>
      </c>
      <c r="AB126" s="82">
        <f t="shared" ref="AB126" ca="1" si="241">AB125+IF(AB$2&gt;1,AA126)</f>
        <v>46150.177980033404</v>
      </c>
      <c r="AC126" s="82">
        <f t="shared" ref="AC126" ca="1" si="242">AC125+IF(AC$2&gt;1,AB126)</f>
        <v>50345.235562847462</v>
      </c>
      <c r="AD126" s="82">
        <f t="shared" ref="AD126" ca="1" si="243">AD125+IF(AD$2&gt;1,AC126)</f>
        <v>54508.258846927609</v>
      </c>
      <c r="AE126" s="82">
        <f t="shared" ref="AE126" ca="1" si="244">AE125+IF(AE$2&gt;1,AD126)</f>
        <v>58639.492452585997</v>
      </c>
      <c r="AF126" s="82">
        <f t="shared" ref="AF126" ca="1" si="245">AF125+IF(AF$2&gt;1,AE126)</f>
        <v>62739.179132165133</v>
      </c>
      <c r="AG126" s="82">
        <f t="shared" ref="AG126" ca="1" si="246">AG125+IF(AG$2&gt;1,AF126)</f>
        <v>66807.559784302095</v>
      </c>
      <c r="AH126" s="82">
        <f t="shared" ref="AH126" ca="1" si="247">AH125+IF(AH$2&gt;1,AG126)</f>
        <v>70844.610638814818</v>
      </c>
      <c r="AI126" s="82">
        <f t="shared" ref="AI126" ca="1" si="248">AI125+IF(AI$2&gt;1,AH126)</f>
        <v>74850.572960300473</v>
      </c>
      <c r="AJ126" s="82">
        <f t="shared" ref="AJ126" ca="1" si="249">AJ125+IF(AJ$2&gt;1,AI126)</f>
        <v>78825.686155425123</v>
      </c>
      <c r="AK126" s="82">
        <f t="shared" ref="AK126" ca="1" si="250">AK125+IF(AK$2&gt;1,AJ126)</f>
        <v>82770.187787231262</v>
      </c>
      <c r="AL126" s="82">
        <f t="shared" ref="AL126" ca="1" si="251">AL125+IF(AL$2&gt;1,AK126)</f>
        <v>86683.785488110821</v>
      </c>
      <c r="AM126" s="82">
        <f t="shared" ref="AM126" ca="1" si="252">AM125+IF(AM$2&gt;1,AL126)</f>
        <v>90566.721380652642</v>
      </c>
      <c r="AN126" s="82">
        <f t="shared" ref="AN126" ca="1" si="253">AN125+IF(AN$2&gt;1,AM126)</f>
        <v>94419.235690491143</v>
      </c>
      <c r="AO126" s="82">
        <f t="shared" ref="AO126" ca="1" si="254">AO125+IF(AO$2&gt;1,AN126)</f>
        <v>98241.56676116836</v>
      </c>
      <c r="AP126" s="82">
        <f t="shared" ref="AP126" ca="1" si="255">AP125+IF(AP$2&gt;1,AO126)</f>
        <v>102033.46189340546</v>
      </c>
      <c r="AQ126" s="82">
        <f t="shared" ref="AQ126" ca="1" si="256">AQ125+IF(AQ$2&gt;1,AP126)</f>
        <v>105795.16343835718</v>
      </c>
      <c r="AR126" s="82">
        <f t="shared" ref="AR126" ca="1" si="257">AR125+IF(AR$2&gt;1,AQ126)</f>
        <v>109526.91181741741</v>
      </c>
      <c r="AT126" s="30"/>
    </row>
    <row r="127" spans="1:46" x14ac:dyDescent="0.2">
      <c r="A127" s="44"/>
      <c r="B127" s="5"/>
      <c r="D127" s="40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</row>
    <row r="128" spans="1:46" x14ac:dyDescent="0.2">
      <c r="A128" s="52" t="s">
        <v>138</v>
      </c>
      <c r="B128" s="179">
        <f ca="1">AT125</f>
        <v>109526.91181741741</v>
      </c>
      <c r="C128" s="12" t="str">
        <f>Параметры!$C$126</f>
        <v>тыс. руб.</v>
      </c>
      <c r="D128" s="40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</row>
    <row r="129" spans="1:46" x14ac:dyDescent="0.2">
      <c r="A129" s="44"/>
      <c r="D129" s="40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</row>
    <row r="130" spans="1:46" x14ac:dyDescent="0.2">
      <c r="A130" s="52" t="s">
        <v>139</v>
      </c>
      <c r="B130" s="177" t="str">
        <f ca="1">IFERROR(IF(POWER(1+IRR(E119:AS119,B116),360/Параметры!B$12)-1&gt;999%,"-",POWER(1+IRR(E119:AS119,B116),360/Параметры!B$12)-1),"-")</f>
        <v>-</v>
      </c>
      <c r="C130" s="12" t="s">
        <v>1</v>
      </c>
      <c r="D130" s="40"/>
      <c r="E130" s="104"/>
    </row>
    <row r="131" spans="1:46" x14ac:dyDescent="0.2">
      <c r="A131" s="49" t="s">
        <v>140</v>
      </c>
      <c r="B131" s="180" t="str">
        <f ca="1">IFERROR(POWER(1+MIRR(E119:AS119,B116,Параметры!B$249),360/Параметры!B$12)-1,"-")</f>
        <v>-</v>
      </c>
      <c r="C131" s="12" t="s">
        <v>1</v>
      </c>
      <c r="D131" s="40"/>
    </row>
    <row r="132" spans="1:46" x14ac:dyDescent="0.2">
      <c r="A132" s="49"/>
      <c r="B132" s="180"/>
      <c r="D132" s="40"/>
    </row>
    <row r="133" spans="1:46" x14ac:dyDescent="0.2">
      <c r="A133" s="50" t="s">
        <v>732</v>
      </c>
      <c r="B133" s="211" t="str">
        <f>IF(AT135&lt;0,AT134/-AT135," - ")</f>
        <v xml:space="preserve"> - </v>
      </c>
      <c r="C133" s="12" t="s">
        <v>133</v>
      </c>
      <c r="D133" s="121"/>
      <c r="E133" s="558">
        <f ca="1">ABS(IFERROR(SUM($E134:E134)/SUM($E135:E135),0))</f>
        <v>0</v>
      </c>
      <c r="F133" s="558">
        <f ca="1">ABS(IFERROR(SUM($E134:F134)/SUM($E135:F135),0))</f>
        <v>0</v>
      </c>
      <c r="G133" s="558">
        <f ca="1">ABS(IFERROR(SUM($E134:G134)/SUM($E135:G135),0))</f>
        <v>0</v>
      </c>
      <c r="H133" s="558">
        <f ca="1">ABS(IFERROR(SUM($E134:H134)/SUM($E135:H135),0))</f>
        <v>0</v>
      </c>
      <c r="I133" s="558">
        <f ca="1">ABS(IFERROR(SUM($E134:I134)/SUM($E135:I135),0))</f>
        <v>0</v>
      </c>
      <c r="J133" s="558">
        <f ca="1">ABS(IFERROR(SUM($E134:J134)/SUM($E135:J135),0))</f>
        <v>0</v>
      </c>
      <c r="K133" s="558">
        <f ca="1">ABS(IFERROR(SUM($E134:K134)/SUM($E135:K135),0))</f>
        <v>0</v>
      </c>
      <c r="L133" s="558">
        <f ca="1">ABS(IFERROR(SUM($E134:L134)/SUM($E135:L135),0))</f>
        <v>0</v>
      </c>
      <c r="M133" s="558">
        <f ca="1">ABS(IFERROR(SUM($E134:M134)/SUM($E135:M135),0))</f>
        <v>0</v>
      </c>
      <c r="N133" s="558">
        <f ca="1">ABS(IFERROR(SUM($E134:N134)/SUM($E135:N135),0))</f>
        <v>0</v>
      </c>
      <c r="O133" s="558">
        <f ca="1">ABS(IFERROR(SUM($E134:O134)/SUM($E135:O135),0))</f>
        <v>0</v>
      </c>
      <c r="P133" s="558">
        <f ca="1">ABS(IFERROR(SUM($E134:P134)/SUM($E135:P135),0))</f>
        <v>0</v>
      </c>
      <c r="Q133" s="558">
        <f ca="1">ABS(IFERROR(SUM($E134:Q134)/SUM($E135:Q135),0))</f>
        <v>0</v>
      </c>
      <c r="R133" s="558">
        <f ca="1">ABS(IFERROR(SUM($E134:R134)/SUM($E135:R135),0))</f>
        <v>0</v>
      </c>
      <c r="S133" s="558">
        <f ca="1">ABS(IFERROR(SUM($E134:S134)/SUM($E135:S135),0))</f>
        <v>0</v>
      </c>
      <c r="T133" s="558">
        <f ca="1">ABS(IFERROR(SUM($E134:T134)/SUM($E135:T135),0))</f>
        <v>0</v>
      </c>
      <c r="U133" s="558">
        <f ca="1">ABS(IFERROR(SUM($E134:U134)/SUM($E135:U135),0))</f>
        <v>0</v>
      </c>
      <c r="V133" s="558">
        <f ca="1">ABS(IFERROR(SUM($E134:V134)/SUM($E135:V135),0))</f>
        <v>0</v>
      </c>
      <c r="W133" s="558">
        <f ca="1">ABS(IFERROR(SUM($E134:W134)/SUM($E135:W135),0))</f>
        <v>0</v>
      </c>
      <c r="X133" s="558">
        <f ca="1">ABS(IFERROR(SUM($E134:X134)/SUM($E135:X135),0))</f>
        <v>0</v>
      </c>
      <c r="Y133" s="558">
        <f ca="1">ABS(IFERROR(SUM($E134:Y134)/SUM($E135:Y135),0))</f>
        <v>0</v>
      </c>
      <c r="Z133" s="558">
        <f ca="1">ABS(IFERROR(SUM($E134:Z134)/SUM($E135:Z135),0))</f>
        <v>0</v>
      </c>
      <c r="AA133" s="558">
        <f ca="1">ABS(IFERROR(SUM($E134:AA134)/SUM($E135:AA135),0))</f>
        <v>0</v>
      </c>
      <c r="AB133" s="558">
        <f ca="1">ABS(IFERROR(SUM($E134:AB134)/SUM($E135:AB135),0))</f>
        <v>0</v>
      </c>
      <c r="AC133" s="558">
        <f ca="1">ABS(IFERROR(SUM($E134:AC134)/SUM($E135:AC135),0))</f>
        <v>0</v>
      </c>
      <c r="AD133" s="558">
        <f ca="1">ABS(IFERROR(SUM($E134:AD134)/SUM($E135:AD135),0))</f>
        <v>0</v>
      </c>
      <c r="AE133" s="558">
        <f ca="1">ABS(IFERROR(SUM($E134:AE134)/SUM($E135:AE135),0))</f>
        <v>0</v>
      </c>
      <c r="AF133" s="558">
        <f ca="1">ABS(IFERROR(SUM($E134:AF134)/SUM($E135:AF135),0))</f>
        <v>0</v>
      </c>
      <c r="AG133" s="558">
        <f ca="1">ABS(IFERROR(SUM($E134:AG134)/SUM($E135:AG135),0))</f>
        <v>0</v>
      </c>
      <c r="AH133" s="558">
        <f ca="1">ABS(IFERROR(SUM($E134:AH134)/SUM($E135:AH135),0))</f>
        <v>0</v>
      </c>
      <c r="AI133" s="558">
        <f ca="1">ABS(IFERROR(SUM($E134:AI134)/SUM($E135:AI135),0))</f>
        <v>0</v>
      </c>
      <c r="AJ133" s="558">
        <f ca="1">ABS(IFERROR(SUM($E134:AJ134)/SUM($E135:AJ135),0))</f>
        <v>0</v>
      </c>
      <c r="AK133" s="558">
        <f ca="1">ABS(IFERROR(SUM($E134:AK134)/SUM($E135:AK135),0))</f>
        <v>0</v>
      </c>
      <c r="AL133" s="558">
        <f ca="1">ABS(IFERROR(SUM($E134:AL134)/SUM($E135:AL135),0))</f>
        <v>0</v>
      </c>
      <c r="AM133" s="558">
        <f ca="1">ABS(IFERROR(SUM($E134:AM134)/SUM($E135:AM135),0))</f>
        <v>0</v>
      </c>
      <c r="AN133" s="558">
        <f ca="1">ABS(IFERROR(SUM($E134:AN134)/SUM($E135:AN135),0))</f>
        <v>0</v>
      </c>
      <c r="AO133" s="558">
        <f ca="1">ABS(IFERROR(SUM($E134:AO134)/SUM($E135:AO135),0))</f>
        <v>0</v>
      </c>
      <c r="AP133" s="558">
        <f ca="1">ABS(IFERROR(SUM($E134:AP134)/SUM($E135:AP135),0))</f>
        <v>0</v>
      </c>
      <c r="AQ133" s="558">
        <f ca="1">ABS(IFERROR(SUM($E134:AQ134)/SUM($E135:AQ135),0))</f>
        <v>0</v>
      </c>
      <c r="AR133" s="558">
        <f ca="1">ABS(IFERROR(SUM($E134:AR134)/SUM($E135:AR135),0))</f>
        <v>0</v>
      </c>
    </row>
    <row r="134" spans="1:46" s="82" customFormat="1" outlineLevel="1" x14ac:dyDescent="0.2">
      <c r="A134" s="212" t="str">
        <f>$A$31</f>
        <v>Притоки</v>
      </c>
      <c r="B134" s="213"/>
      <c r="C134" s="214" t="str">
        <f>Параметры!$C$126</f>
        <v>тыс. руб.</v>
      </c>
      <c r="D134" s="121"/>
      <c r="E134" s="82">
        <f t="shared" ref="E134:AR134" ca="1" si="258">MAX(0,E120)</f>
        <v>0</v>
      </c>
      <c r="F134" s="82">
        <f t="shared" ca="1" si="258"/>
        <v>0</v>
      </c>
      <c r="G134" s="82">
        <f t="shared" ca="1" si="258"/>
        <v>0</v>
      </c>
      <c r="H134" s="82">
        <f t="shared" ca="1" si="258"/>
        <v>901.39081499999998</v>
      </c>
      <c r="I134" s="82">
        <f t="shared" ca="1" si="258"/>
        <v>901.39081499999998</v>
      </c>
      <c r="J134" s="82">
        <f t="shared" ca="1" si="258"/>
        <v>915.83122199268735</v>
      </c>
      <c r="K134" s="82">
        <f t="shared" ca="1" si="258"/>
        <v>930.50296632612037</v>
      </c>
      <c r="L134" s="82">
        <f t="shared" ca="1" si="258"/>
        <v>945.40975405686947</v>
      </c>
      <c r="M134" s="82">
        <f t="shared" ca="1" si="258"/>
        <v>960.55535061305125</v>
      </c>
      <c r="N134" s="82">
        <f t="shared" ca="1" si="258"/>
        <v>1461.5605004719143</v>
      </c>
      <c r="O134" s="82">
        <f t="shared" ca="1" si="258"/>
        <v>1486.2022192411489</v>
      </c>
      <c r="P134" s="82">
        <f t="shared" ca="1" si="258"/>
        <v>1511.2593941640669</v>
      </c>
      <c r="Q134" s="82">
        <f t="shared" ca="1" si="258"/>
        <v>1536.739029777051</v>
      </c>
      <c r="R134" s="82">
        <f t="shared" ca="1" si="258"/>
        <v>1821.4383919154309</v>
      </c>
      <c r="S134" s="82">
        <f t="shared" ca="1" si="258"/>
        <v>1851.7604799191399</v>
      </c>
      <c r="T134" s="82">
        <f t="shared" ca="1" si="258"/>
        <v>1882.5873497617436</v>
      </c>
      <c r="U134" s="82">
        <f t="shared" ca="1" si="258"/>
        <v>1913.9274047136519</v>
      </c>
      <c r="V134" s="82">
        <f t="shared" ca="1" si="258"/>
        <v>6193.4340457325516</v>
      </c>
      <c r="W134" s="82">
        <f t="shared" ca="1" si="258"/>
        <v>6298.4872688201349</v>
      </c>
      <c r="X134" s="82">
        <f t="shared" ca="1" si="258"/>
        <v>6405.3224079820002</v>
      </c>
      <c r="Y134" s="82">
        <f t="shared" ca="1" si="258"/>
        <v>6513.9696881346454</v>
      </c>
      <c r="Z134" s="82">
        <f t="shared" ca="1" si="258"/>
        <v>6623.1023821945646</v>
      </c>
      <c r="AA134" s="82">
        <f t="shared" ca="1" si="258"/>
        <v>6734.0634459711064</v>
      </c>
      <c r="AB134" s="82">
        <f t="shared" ca="1" si="258"/>
        <v>6846.8835113097439</v>
      </c>
      <c r="AC134" s="82">
        <f t="shared" ca="1" si="258"/>
        <v>6961.5937232508204</v>
      </c>
      <c r="AD134" s="82">
        <f t="shared" ca="1" si="258"/>
        <v>7077.0845694040936</v>
      </c>
      <c r="AE134" s="82">
        <f t="shared" ca="1" si="258"/>
        <v>7194.4913756198821</v>
      </c>
      <c r="AF134" s="82">
        <f t="shared" ca="1" si="258"/>
        <v>7313.8459271269157</v>
      </c>
      <c r="AG134" s="82">
        <f t="shared" ca="1" si="258"/>
        <v>7435.1805364617621</v>
      </c>
      <c r="AH134" s="82">
        <f t="shared" ca="1" si="258"/>
        <v>7558.0359917631486</v>
      </c>
      <c r="AI134" s="82">
        <f t="shared" ca="1" si="258"/>
        <v>7682.9214533062523</v>
      </c>
      <c r="AJ134" s="82">
        <f t="shared" ca="1" si="258"/>
        <v>7809.8704639673851</v>
      </c>
      <c r="AK134" s="82">
        <f t="shared" ca="1" si="258"/>
        <v>7938.9171208697007</v>
      </c>
      <c r="AL134" s="82">
        <f t="shared" ca="1" si="258"/>
        <v>8069.0072519798159</v>
      </c>
      <c r="AM134" s="82">
        <f t="shared" ca="1" si="258"/>
        <v>8201.2290897137154</v>
      </c>
      <c r="AN134" s="82">
        <f t="shared" ca="1" si="258"/>
        <v>8335.6175650311216</v>
      </c>
      <c r="AO134" s="82">
        <f t="shared" ca="1" si="258"/>
        <v>8472.2081812838169</v>
      </c>
      <c r="AP134" s="82">
        <f t="shared" ca="1" si="258"/>
        <v>8609.9262954154274</v>
      </c>
      <c r="AQ134" s="82">
        <f t="shared" ca="1" si="258"/>
        <v>8749.8830560196147</v>
      </c>
      <c r="AR134" s="82">
        <f t="shared" ca="1" si="258"/>
        <v>8892.1148529210641</v>
      </c>
      <c r="AT134" s="30">
        <f ca="1">SUM(E134:AS134)</f>
        <v>190937.74589723215</v>
      </c>
    </row>
    <row r="135" spans="1:46" s="82" customFormat="1" outlineLevel="1" x14ac:dyDescent="0.2">
      <c r="A135" s="212" t="str">
        <f>$A$32</f>
        <v>Оттоки</v>
      </c>
      <c r="B135" s="213"/>
      <c r="C135" s="214" t="str">
        <f>Параметры!$C$126</f>
        <v>тыс. руб.</v>
      </c>
      <c r="D135" s="121"/>
      <c r="E135" s="82">
        <f>MIN(0,E122)</f>
        <v>0</v>
      </c>
      <c r="F135" s="82">
        <f t="shared" ref="F135:AR135" si="259">MIN(0,F122)</f>
        <v>0</v>
      </c>
      <c r="G135" s="82">
        <f t="shared" si="259"/>
        <v>0</v>
      </c>
      <c r="H135" s="82">
        <f t="shared" si="259"/>
        <v>0</v>
      </c>
      <c r="I135" s="82">
        <f t="shared" si="259"/>
        <v>0</v>
      </c>
      <c r="J135" s="82">
        <f t="shared" si="259"/>
        <v>0</v>
      </c>
      <c r="K135" s="82">
        <f t="shared" si="259"/>
        <v>0</v>
      </c>
      <c r="L135" s="82">
        <f t="shared" si="259"/>
        <v>0</v>
      </c>
      <c r="M135" s="82">
        <f t="shared" si="259"/>
        <v>0</v>
      </c>
      <c r="N135" s="82">
        <f t="shared" si="259"/>
        <v>0</v>
      </c>
      <c r="O135" s="82">
        <f t="shared" si="259"/>
        <v>0</v>
      </c>
      <c r="P135" s="82">
        <f t="shared" si="259"/>
        <v>0</v>
      </c>
      <c r="Q135" s="82">
        <f t="shared" si="259"/>
        <v>0</v>
      </c>
      <c r="R135" s="82">
        <f t="shared" si="259"/>
        <v>0</v>
      </c>
      <c r="S135" s="82">
        <f t="shared" si="259"/>
        <v>0</v>
      </c>
      <c r="T135" s="82">
        <f t="shared" si="259"/>
        <v>0</v>
      </c>
      <c r="U135" s="82">
        <f t="shared" si="259"/>
        <v>0</v>
      </c>
      <c r="V135" s="82">
        <f t="shared" si="259"/>
        <v>0</v>
      </c>
      <c r="W135" s="82">
        <f t="shared" si="259"/>
        <v>0</v>
      </c>
      <c r="X135" s="82">
        <f t="shared" si="259"/>
        <v>0</v>
      </c>
      <c r="Y135" s="82">
        <f t="shared" si="259"/>
        <v>0</v>
      </c>
      <c r="Z135" s="82">
        <f t="shared" si="259"/>
        <v>0</v>
      </c>
      <c r="AA135" s="82">
        <f t="shared" si="259"/>
        <v>0</v>
      </c>
      <c r="AB135" s="82">
        <f t="shared" si="259"/>
        <v>0</v>
      </c>
      <c r="AC135" s="82">
        <f t="shared" si="259"/>
        <v>0</v>
      </c>
      <c r="AD135" s="82">
        <f t="shared" si="259"/>
        <v>0</v>
      </c>
      <c r="AE135" s="82">
        <f t="shared" si="259"/>
        <v>0</v>
      </c>
      <c r="AF135" s="82">
        <f t="shared" si="259"/>
        <v>0</v>
      </c>
      <c r="AG135" s="82">
        <f t="shared" si="259"/>
        <v>0</v>
      </c>
      <c r="AH135" s="82">
        <f t="shared" si="259"/>
        <v>0</v>
      </c>
      <c r="AI135" s="82">
        <f t="shared" si="259"/>
        <v>0</v>
      </c>
      <c r="AJ135" s="82">
        <f t="shared" si="259"/>
        <v>0</v>
      </c>
      <c r="AK135" s="82">
        <f t="shared" si="259"/>
        <v>0</v>
      </c>
      <c r="AL135" s="82">
        <f t="shared" si="259"/>
        <v>0</v>
      </c>
      <c r="AM135" s="82">
        <f t="shared" si="259"/>
        <v>0</v>
      </c>
      <c r="AN135" s="82">
        <f t="shared" si="259"/>
        <v>0</v>
      </c>
      <c r="AO135" s="82">
        <f t="shared" si="259"/>
        <v>0</v>
      </c>
      <c r="AP135" s="82">
        <f t="shared" si="259"/>
        <v>0</v>
      </c>
      <c r="AQ135" s="82">
        <f t="shared" si="259"/>
        <v>0</v>
      </c>
      <c r="AR135" s="82">
        <f t="shared" si="259"/>
        <v>0</v>
      </c>
      <c r="AT135" s="30">
        <f>SUM(E135:AS135)</f>
        <v>0</v>
      </c>
    </row>
    <row r="136" spans="1:46" x14ac:dyDescent="0.2">
      <c r="A136" s="44"/>
      <c r="D136" s="40"/>
    </row>
    <row r="137" spans="1:46" x14ac:dyDescent="0.2">
      <c r="A137" s="52" t="s">
        <v>417</v>
      </c>
      <c r="B137" s="181" t="str">
        <f ca="1">IF(B138&gt;0, AT139/12, "-")</f>
        <v>-</v>
      </c>
      <c r="C137" s="12" t="str">
        <f>C141</f>
        <v>лет</v>
      </c>
      <c r="D137" s="40"/>
    </row>
    <row r="138" spans="1:46" outlineLevel="1" x14ac:dyDescent="0.2">
      <c r="A138" s="49" t="s">
        <v>472</v>
      </c>
      <c r="B138" s="182">
        <f ca="1">MAX(E138:AS138)</f>
        <v>0</v>
      </c>
      <c r="C138" s="12" t="s">
        <v>19</v>
      </c>
      <c r="D138" s="40"/>
      <c r="E138" s="183">
        <f>IF(E$2&gt;1,IF(AND(D123&lt;0,E123&gt;=0),E$2,0),0)</f>
        <v>0</v>
      </c>
      <c r="F138" s="183">
        <f t="shared" ref="F138:AR138" ca="1" si="260">IF(F$2&gt;1,IF(AND(E123&lt;0,F123&gt;=0),F$2,0),0)</f>
        <v>0</v>
      </c>
      <c r="G138" s="183">
        <f t="shared" ca="1" si="260"/>
        <v>0</v>
      </c>
      <c r="H138" s="183">
        <f t="shared" ca="1" si="260"/>
        <v>0</v>
      </c>
      <c r="I138" s="183">
        <f t="shared" ca="1" si="260"/>
        <v>0</v>
      </c>
      <c r="J138" s="183">
        <f t="shared" ca="1" si="260"/>
        <v>0</v>
      </c>
      <c r="K138" s="183">
        <f t="shared" ca="1" si="260"/>
        <v>0</v>
      </c>
      <c r="L138" s="183">
        <f t="shared" ca="1" si="260"/>
        <v>0</v>
      </c>
      <c r="M138" s="183">
        <f t="shared" ca="1" si="260"/>
        <v>0</v>
      </c>
      <c r="N138" s="183">
        <f t="shared" ca="1" si="260"/>
        <v>0</v>
      </c>
      <c r="O138" s="183">
        <f t="shared" ca="1" si="260"/>
        <v>0</v>
      </c>
      <c r="P138" s="183">
        <f t="shared" ca="1" si="260"/>
        <v>0</v>
      </c>
      <c r="Q138" s="183">
        <f t="shared" ca="1" si="260"/>
        <v>0</v>
      </c>
      <c r="R138" s="183">
        <f t="shared" ca="1" si="260"/>
        <v>0</v>
      </c>
      <c r="S138" s="183">
        <f t="shared" ca="1" si="260"/>
        <v>0</v>
      </c>
      <c r="T138" s="183">
        <f t="shared" ca="1" si="260"/>
        <v>0</v>
      </c>
      <c r="U138" s="183">
        <f t="shared" ca="1" si="260"/>
        <v>0</v>
      </c>
      <c r="V138" s="183">
        <f t="shared" ca="1" si="260"/>
        <v>0</v>
      </c>
      <c r="W138" s="183">
        <f t="shared" ca="1" si="260"/>
        <v>0</v>
      </c>
      <c r="X138" s="183">
        <f t="shared" ca="1" si="260"/>
        <v>0</v>
      </c>
      <c r="Y138" s="183">
        <f t="shared" ca="1" si="260"/>
        <v>0</v>
      </c>
      <c r="Z138" s="183">
        <f t="shared" ca="1" si="260"/>
        <v>0</v>
      </c>
      <c r="AA138" s="183">
        <f t="shared" ca="1" si="260"/>
        <v>0</v>
      </c>
      <c r="AB138" s="183">
        <f t="shared" ca="1" si="260"/>
        <v>0</v>
      </c>
      <c r="AC138" s="183">
        <f t="shared" ca="1" si="260"/>
        <v>0</v>
      </c>
      <c r="AD138" s="183">
        <f t="shared" ca="1" si="260"/>
        <v>0</v>
      </c>
      <c r="AE138" s="183">
        <f t="shared" ca="1" si="260"/>
        <v>0</v>
      </c>
      <c r="AF138" s="183">
        <f t="shared" ca="1" si="260"/>
        <v>0</v>
      </c>
      <c r="AG138" s="183">
        <f t="shared" ca="1" si="260"/>
        <v>0</v>
      </c>
      <c r="AH138" s="183">
        <f t="shared" ca="1" si="260"/>
        <v>0</v>
      </c>
      <c r="AI138" s="183">
        <f t="shared" ca="1" si="260"/>
        <v>0</v>
      </c>
      <c r="AJ138" s="183">
        <f t="shared" ca="1" si="260"/>
        <v>0</v>
      </c>
      <c r="AK138" s="183">
        <f t="shared" ca="1" si="260"/>
        <v>0</v>
      </c>
      <c r="AL138" s="183">
        <f t="shared" ca="1" si="260"/>
        <v>0</v>
      </c>
      <c r="AM138" s="183">
        <f t="shared" ca="1" si="260"/>
        <v>0</v>
      </c>
      <c r="AN138" s="183">
        <f t="shared" ca="1" si="260"/>
        <v>0</v>
      </c>
      <c r="AO138" s="183">
        <f t="shared" ca="1" si="260"/>
        <v>0</v>
      </c>
      <c r="AP138" s="183">
        <f t="shared" ca="1" si="260"/>
        <v>0</v>
      </c>
      <c r="AQ138" s="183">
        <f t="shared" ca="1" si="260"/>
        <v>0</v>
      </c>
      <c r="AR138" s="183">
        <f t="shared" ca="1" si="260"/>
        <v>0</v>
      </c>
      <c r="AS138" s="184"/>
      <c r="AT138" s="184"/>
    </row>
    <row r="139" spans="1:46" outlineLevel="1" x14ac:dyDescent="0.2">
      <c r="A139" s="70" t="s">
        <v>192</v>
      </c>
      <c r="B139" s="185">
        <f>AT139</f>
        <v>0</v>
      </c>
      <c r="C139" s="12" t="str">
        <f>C143</f>
        <v>мес.</v>
      </c>
      <c r="D139" s="40"/>
      <c r="E139" s="184">
        <f ca="1">IF(E$2&lt;$B138,Параметры!E$40,IF(E$2=$B138,-D123/(E123-D123)*Параметры!E$40,0))</f>
        <v>0</v>
      </c>
      <c r="F139" s="184">
        <f ca="1">IF(F$2&lt;$B138,Параметры!F$40,IF(F$2=$B138,-E123/(F123-E123)*Параметры!F$40,0))</f>
        <v>0</v>
      </c>
      <c r="G139" s="184">
        <f ca="1">IF(G$2&lt;$B138,Параметры!G$40,IF(G$2=$B138,-F123/(G123-F123)*Параметры!G$40,0))</f>
        <v>0</v>
      </c>
      <c r="H139" s="184">
        <f ca="1">IF(H$2&lt;$B138,Параметры!H$40,IF(H$2=$B138,-G123/(H123-G123)*Параметры!H$40,0))</f>
        <v>0</v>
      </c>
      <c r="I139" s="184">
        <f ca="1">IF(I$2&lt;$B138,Параметры!I$40,IF(I$2=$B138,-H123/(I123-H123)*Параметры!I$40,0))</f>
        <v>0</v>
      </c>
      <c r="J139" s="184">
        <f ca="1">IF(J$2&lt;$B138,Параметры!J$40,IF(J$2=$B138,-I123/(J123-I123)*Параметры!J$40,0))</f>
        <v>0</v>
      </c>
      <c r="K139" s="184">
        <f ca="1">IF(K$2&lt;$B138,Параметры!K$40,IF(K$2=$B138,-J123/(K123-J123)*Параметры!K$40,0))</f>
        <v>0</v>
      </c>
      <c r="L139" s="184">
        <f ca="1">IF(L$2&lt;$B138,Параметры!L$40,IF(L$2=$B138,-K123/(L123-K123)*Параметры!L$40,0))</f>
        <v>0</v>
      </c>
      <c r="M139" s="184">
        <f ca="1">IF(M$2&lt;$B138,Параметры!M$40,IF(M$2=$B138,-L123/(M123-L123)*Параметры!M$40,0))</f>
        <v>0</v>
      </c>
      <c r="N139" s="184">
        <f ca="1">IF(N$2&lt;$B138,Параметры!N$40,IF(N$2=$B138,-M123/(N123-M123)*Параметры!N$40,0))</f>
        <v>0</v>
      </c>
      <c r="O139" s="184">
        <f ca="1">IF(O$2&lt;$B138,Параметры!O$40,IF(O$2=$B138,-N123/(O123-N123)*Параметры!O$40,0))</f>
        <v>0</v>
      </c>
      <c r="P139" s="184">
        <f ca="1">IF(P$2&lt;$B138,Параметры!P$40,IF(P$2=$B138,-O123/(P123-O123)*Параметры!P$40,0))</f>
        <v>0</v>
      </c>
      <c r="Q139" s="184">
        <f ca="1">IF(Q$2&lt;$B138,Параметры!Q$40,IF(Q$2=$B138,-P123/(Q123-P123)*Параметры!Q$40,0))</f>
        <v>0</v>
      </c>
      <c r="R139" s="184">
        <f ca="1">IF(R$2&lt;$B138,Параметры!R$40,IF(R$2=$B138,-Q123/(R123-Q123)*Параметры!R$40,0))</f>
        <v>0</v>
      </c>
      <c r="S139" s="184">
        <f ca="1">IF(S$2&lt;$B138,Параметры!S$40,IF(S$2=$B138,-R123/(S123-R123)*Параметры!S$40,0))</f>
        <v>0</v>
      </c>
      <c r="T139" s="184">
        <f ca="1">IF(T$2&lt;$B138,Параметры!T$40,IF(T$2=$B138,-S123/(T123-S123)*Параметры!T$40,0))</f>
        <v>0</v>
      </c>
      <c r="U139" s="184">
        <f ca="1">IF(U$2&lt;$B138,Параметры!U$40,IF(U$2=$B138,-T123/(U123-T123)*Параметры!U$40,0))</f>
        <v>0</v>
      </c>
      <c r="V139" s="184">
        <f ca="1">IF(V$2&lt;$B138,Параметры!V$40,IF(V$2=$B138,-U123/(V123-U123)*Параметры!V$40,0))</f>
        <v>0</v>
      </c>
      <c r="W139" s="184">
        <f ca="1">IF(W$2&lt;$B138,Параметры!W$40,IF(W$2=$B138,-V123/(W123-V123)*Параметры!W$40,0))</f>
        <v>0</v>
      </c>
      <c r="X139" s="184">
        <f ca="1">IF(X$2&lt;$B138,Параметры!X$40,IF(X$2=$B138,-W123/(X123-W123)*Параметры!X$40,0))</f>
        <v>0</v>
      </c>
      <c r="Y139" s="184">
        <f ca="1">IF(Y$2&lt;$B138,Параметры!Y$40,IF(Y$2=$B138,-X123/(Y123-X123)*Параметры!Y$40,0))</f>
        <v>0</v>
      </c>
      <c r="Z139" s="184">
        <f ca="1">IF(Z$2&lt;$B138,Параметры!Z$40,IF(Z$2=$B138,-Y123/(Z123-Y123)*Параметры!Z$40,0))</f>
        <v>0</v>
      </c>
      <c r="AA139" s="184">
        <f ca="1">IF(AA$2&lt;$B138,Параметры!AA$40,IF(AA$2=$B138,-Z123/(AA123-Z123)*Параметры!AA$40,0))</f>
        <v>0</v>
      </c>
      <c r="AB139" s="184">
        <f ca="1">IF(AB$2&lt;$B138,Параметры!AB$40,IF(AB$2=$B138,-AA123/(AB123-AA123)*Параметры!AB$40,0))</f>
        <v>0</v>
      </c>
      <c r="AC139" s="184">
        <f ca="1">IF(AC$2&lt;$B138,Параметры!AC$40,IF(AC$2=$B138,-AB123/(AC123-AB123)*Параметры!AC$40,0))</f>
        <v>0</v>
      </c>
      <c r="AD139" s="184">
        <f ca="1">IF(AD$2&lt;$B138,Параметры!AD$40,IF(AD$2=$B138,-AC123/(AD123-AC123)*Параметры!AD$40,0))</f>
        <v>0</v>
      </c>
      <c r="AE139" s="184">
        <f ca="1">IF(AE$2&lt;$B138,Параметры!AE$40,IF(AE$2=$B138,-AD123/(AE123-AD123)*Параметры!AE$40,0))</f>
        <v>0</v>
      </c>
      <c r="AF139" s="184">
        <f ca="1">IF(AF$2&lt;$B138,Параметры!AF$40,IF(AF$2=$B138,-AE123/(AF123-AE123)*Параметры!AF$40,0))</f>
        <v>0</v>
      </c>
      <c r="AG139" s="184">
        <f ca="1">IF(AG$2&lt;$B138,Параметры!AG$40,IF(AG$2=$B138,-AF123/(AG123-AF123)*Параметры!AG$40,0))</f>
        <v>0</v>
      </c>
      <c r="AH139" s="184">
        <f ca="1">IF(AH$2&lt;$B138,Параметры!AH$40,IF(AH$2=$B138,-AG123/(AH123-AG123)*Параметры!AH$40,0))</f>
        <v>0</v>
      </c>
      <c r="AI139" s="184">
        <f ca="1">IF(AI$2&lt;$B138,Параметры!AI$40,IF(AI$2=$B138,-AH123/(AI123-AH123)*Параметры!AI$40,0))</f>
        <v>0</v>
      </c>
      <c r="AJ139" s="184">
        <f ca="1">IF(AJ$2&lt;$B138,Параметры!AJ$40,IF(AJ$2=$B138,-AI123/(AJ123-AI123)*Параметры!AJ$40,0))</f>
        <v>0</v>
      </c>
      <c r="AK139" s="184">
        <f ca="1">IF(AK$2&lt;$B138,Параметры!AK$40,IF(AK$2=$B138,-AJ123/(AK123-AJ123)*Параметры!AK$40,0))</f>
        <v>0</v>
      </c>
      <c r="AL139" s="184">
        <f ca="1">IF(AL$2&lt;$B138,Параметры!AL$40,IF(AL$2=$B138,-AK123/(AL123-AK123)*Параметры!AL$40,0))</f>
        <v>0</v>
      </c>
      <c r="AM139" s="184">
        <f ca="1">IF(AM$2&lt;$B138,Параметры!AM$40,IF(AM$2=$B138,-AL123/(AM123-AL123)*Параметры!AM$40,0))</f>
        <v>0</v>
      </c>
      <c r="AN139" s="184">
        <f ca="1">IF(AN$2&lt;$B138,Параметры!AN$40,IF(AN$2=$B138,-AM123/(AN123-AM123)*Параметры!AN$40,0))</f>
        <v>0</v>
      </c>
      <c r="AO139" s="184">
        <f ca="1">IF(AO$2&lt;$B138,Параметры!AO$40,IF(AO$2=$B138,-AN123/(AO123-AN123)*Параметры!AO$40,0))</f>
        <v>0</v>
      </c>
      <c r="AP139" s="184">
        <f ca="1">IF(AP$2&lt;$B138,Параметры!AP$40,IF(AP$2=$B138,-AO123/(AP123-AO123)*Параметры!AP$40,0))</f>
        <v>0</v>
      </c>
      <c r="AQ139" s="184">
        <f ca="1">IF(AQ$2&lt;$B138,Параметры!AQ$40,IF(AQ$2=$B138,-AP123/(AQ123-AP123)*Параметры!AQ$40,0))</f>
        <v>0</v>
      </c>
      <c r="AR139" s="184">
        <f ca="1">IF(AR$2&lt;$B138,Параметры!AR$40,IF(AR$2=$B138,-AQ123/(AR123-AQ123)*Параметры!AR$40,0))</f>
        <v>0</v>
      </c>
      <c r="AS139" s="184"/>
      <c r="AT139" s="186"/>
    </row>
    <row r="140" spans="1:46" x14ac:dyDescent="0.2">
      <c r="A140" s="44"/>
      <c r="D140" s="40"/>
    </row>
    <row r="141" spans="1:46" x14ac:dyDescent="0.2">
      <c r="A141" s="52" t="s">
        <v>418</v>
      </c>
      <c r="B141" s="181" t="str">
        <f ca="1">IF(B142&gt;0, AT143/12, "-")</f>
        <v>-</v>
      </c>
      <c r="C141" s="12" t="s">
        <v>2</v>
      </c>
      <c r="D141" s="40"/>
    </row>
    <row r="142" spans="1:46" outlineLevel="1" x14ac:dyDescent="0.2">
      <c r="A142" s="49" t="s">
        <v>472</v>
      </c>
      <c r="B142" s="182">
        <f ca="1">MAX(E142:AS142)</f>
        <v>0</v>
      </c>
      <c r="C142" s="12" t="s">
        <v>19</v>
      </c>
      <c r="D142" s="40"/>
      <c r="E142" s="183">
        <f>IF(E$2&gt;1,IF(AND(D126&lt;0,E126&gt;=0),E$2,0),0)</f>
        <v>0</v>
      </c>
      <c r="F142" s="183">
        <f t="shared" ref="F142:AR142" ca="1" si="261">IF(F$2&gt;1,IF(AND(E126&lt;0,F126&gt;=0),F$2,0),0)</f>
        <v>0</v>
      </c>
      <c r="G142" s="183">
        <f t="shared" ca="1" si="261"/>
        <v>0</v>
      </c>
      <c r="H142" s="183">
        <f t="shared" ca="1" si="261"/>
        <v>0</v>
      </c>
      <c r="I142" s="183">
        <f t="shared" ca="1" si="261"/>
        <v>0</v>
      </c>
      <c r="J142" s="183">
        <f t="shared" ca="1" si="261"/>
        <v>0</v>
      </c>
      <c r="K142" s="183">
        <f t="shared" ca="1" si="261"/>
        <v>0</v>
      </c>
      <c r="L142" s="183">
        <f t="shared" ca="1" si="261"/>
        <v>0</v>
      </c>
      <c r="M142" s="183">
        <f t="shared" ca="1" si="261"/>
        <v>0</v>
      </c>
      <c r="N142" s="183">
        <f t="shared" ca="1" si="261"/>
        <v>0</v>
      </c>
      <c r="O142" s="183">
        <f t="shared" ca="1" si="261"/>
        <v>0</v>
      </c>
      <c r="P142" s="183">
        <f t="shared" ca="1" si="261"/>
        <v>0</v>
      </c>
      <c r="Q142" s="183">
        <f t="shared" ca="1" si="261"/>
        <v>0</v>
      </c>
      <c r="R142" s="183">
        <f t="shared" ca="1" si="261"/>
        <v>0</v>
      </c>
      <c r="S142" s="183">
        <f t="shared" ca="1" si="261"/>
        <v>0</v>
      </c>
      <c r="T142" s="183">
        <f t="shared" ca="1" si="261"/>
        <v>0</v>
      </c>
      <c r="U142" s="183">
        <f t="shared" ca="1" si="261"/>
        <v>0</v>
      </c>
      <c r="V142" s="183">
        <f t="shared" ca="1" si="261"/>
        <v>0</v>
      </c>
      <c r="W142" s="183">
        <f t="shared" ca="1" si="261"/>
        <v>0</v>
      </c>
      <c r="X142" s="183">
        <f t="shared" ca="1" si="261"/>
        <v>0</v>
      </c>
      <c r="Y142" s="183">
        <f t="shared" ca="1" si="261"/>
        <v>0</v>
      </c>
      <c r="Z142" s="183">
        <f t="shared" ca="1" si="261"/>
        <v>0</v>
      </c>
      <c r="AA142" s="183">
        <f t="shared" ca="1" si="261"/>
        <v>0</v>
      </c>
      <c r="AB142" s="183">
        <f t="shared" ca="1" si="261"/>
        <v>0</v>
      </c>
      <c r="AC142" s="183">
        <f t="shared" ca="1" si="261"/>
        <v>0</v>
      </c>
      <c r="AD142" s="183">
        <f t="shared" ca="1" si="261"/>
        <v>0</v>
      </c>
      <c r="AE142" s="183">
        <f t="shared" ca="1" si="261"/>
        <v>0</v>
      </c>
      <c r="AF142" s="183">
        <f t="shared" ca="1" si="261"/>
        <v>0</v>
      </c>
      <c r="AG142" s="183">
        <f t="shared" ca="1" si="261"/>
        <v>0</v>
      </c>
      <c r="AH142" s="183">
        <f t="shared" ca="1" si="261"/>
        <v>0</v>
      </c>
      <c r="AI142" s="183">
        <f t="shared" ca="1" si="261"/>
        <v>0</v>
      </c>
      <c r="AJ142" s="183">
        <f t="shared" ca="1" si="261"/>
        <v>0</v>
      </c>
      <c r="AK142" s="183">
        <f t="shared" ca="1" si="261"/>
        <v>0</v>
      </c>
      <c r="AL142" s="183">
        <f t="shared" ca="1" si="261"/>
        <v>0</v>
      </c>
      <c r="AM142" s="183">
        <f t="shared" ca="1" si="261"/>
        <v>0</v>
      </c>
      <c r="AN142" s="183">
        <f t="shared" ca="1" si="261"/>
        <v>0</v>
      </c>
      <c r="AO142" s="183">
        <f t="shared" ca="1" si="261"/>
        <v>0</v>
      </c>
      <c r="AP142" s="183">
        <f t="shared" ca="1" si="261"/>
        <v>0</v>
      </c>
      <c r="AQ142" s="183">
        <f t="shared" ca="1" si="261"/>
        <v>0</v>
      </c>
      <c r="AR142" s="183">
        <f t="shared" ca="1" si="261"/>
        <v>0</v>
      </c>
      <c r="AS142" s="184"/>
      <c r="AT142" s="184"/>
    </row>
    <row r="143" spans="1:46" outlineLevel="1" x14ac:dyDescent="0.2">
      <c r="A143" s="70" t="s">
        <v>192</v>
      </c>
      <c r="B143" s="185">
        <f ca="1">AT143</f>
        <v>0</v>
      </c>
      <c r="C143" s="12" t="s">
        <v>17</v>
      </c>
      <c r="D143" s="40"/>
      <c r="E143" s="184">
        <f ca="1">IF(E$2&lt;$B142,Параметры!E$40,IF(E$2=$B142,-D126/(E126-D126)*Параметры!E$40,0))</f>
        <v>0</v>
      </c>
      <c r="F143" s="184">
        <f ca="1">IF(F$2&lt;$B142,Параметры!F$40,IF(F$2=$B142,-E126/(F126-E126)*Параметры!F$40,0))</f>
        <v>0</v>
      </c>
      <c r="G143" s="184">
        <f ca="1">IF(G$2&lt;$B142,Параметры!G$40,IF(G$2=$B142,-F126/(G126-F126)*Параметры!G$40,0))</f>
        <v>0</v>
      </c>
      <c r="H143" s="184">
        <f ca="1">IF(H$2&lt;$B142,Параметры!H$40,IF(H$2=$B142,-G126/(H126-G126)*Параметры!H$40,0))</f>
        <v>0</v>
      </c>
      <c r="I143" s="184">
        <f ca="1">IF(I$2&lt;$B142,Параметры!I$40,IF(I$2=$B142,-H126/(I126-H126)*Параметры!I$40,0))</f>
        <v>0</v>
      </c>
      <c r="J143" s="184">
        <f ca="1">IF(J$2&lt;$B142,Параметры!J$40,IF(J$2=$B142,-I126/(J126-I126)*Параметры!J$40,0))</f>
        <v>0</v>
      </c>
      <c r="K143" s="184">
        <f ca="1">IF(K$2&lt;$B142,Параметры!K$40,IF(K$2=$B142,-J126/(K126-J126)*Параметры!K$40,0))</f>
        <v>0</v>
      </c>
      <c r="L143" s="184">
        <f ca="1">IF(L$2&lt;$B142,Параметры!L$40,IF(L$2=$B142,-K126/(L126-K126)*Параметры!L$40,0))</f>
        <v>0</v>
      </c>
      <c r="M143" s="184">
        <f ca="1">IF(M$2&lt;$B142,Параметры!M$40,IF(M$2=$B142,-L126/(M126-L126)*Параметры!M$40,0))</f>
        <v>0</v>
      </c>
      <c r="N143" s="184">
        <f ca="1">IF(N$2&lt;$B142,Параметры!N$40,IF(N$2=$B142,-M126/(N126-M126)*Параметры!N$40,0))</f>
        <v>0</v>
      </c>
      <c r="O143" s="184">
        <f ca="1">IF(O$2&lt;$B142,Параметры!O$40,IF(O$2=$B142,-N126/(O126-N126)*Параметры!O$40,0))</f>
        <v>0</v>
      </c>
      <c r="P143" s="184">
        <f ca="1">IF(P$2&lt;$B142,Параметры!P$40,IF(P$2=$B142,-O126/(P126-O126)*Параметры!P$40,0))</f>
        <v>0</v>
      </c>
      <c r="Q143" s="184">
        <f ca="1">IF(Q$2&lt;$B142,Параметры!Q$40,IF(Q$2=$B142,-P126/(Q126-P126)*Параметры!Q$40,0))</f>
        <v>0</v>
      </c>
      <c r="R143" s="184">
        <f ca="1">IF(R$2&lt;$B142,Параметры!R$40,IF(R$2=$B142,-Q126/(R126-Q126)*Параметры!R$40,0))</f>
        <v>0</v>
      </c>
      <c r="S143" s="184">
        <f ca="1">IF(S$2&lt;$B142,Параметры!S$40,IF(S$2=$B142,-R126/(S126-R126)*Параметры!S$40,0))</f>
        <v>0</v>
      </c>
      <c r="T143" s="184">
        <f ca="1">IF(T$2&lt;$B142,Параметры!T$40,IF(T$2=$B142,-S126/(T126-S126)*Параметры!T$40,0))</f>
        <v>0</v>
      </c>
      <c r="U143" s="184">
        <f ca="1">IF(U$2&lt;$B142,Параметры!U$40,IF(U$2=$B142,-T126/(U126-T126)*Параметры!U$40,0))</f>
        <v>0</v>
      </c>
      <c r="V143" s="184">
        <f ca="1">IF(V$2&lt;$B142,Параметры!V$40,IF(V$2=$B142,-U126/(V126-U126)*Параметры!V$40,0))</f>
        <v>0</v>
      </c>
      <c r="W143" s="184">
        <f ca="1">IF(W$2&lt;$B142,Параметры!W$40,IF(W$2=$B142,-V126/(W126-V126)*Параметры!W$40,0))</f>
        <v>0</v>
      </c>
      <c r="X143" s="184">
        <f ca="1">IF(X$2&lt;$B142,Параметры!X$40,IF(X$2=$B142,-W126/(X126-W126)*Параметры!X$40,0))</f>
        <v>0</v>
      </c>
      <c r="Y143" s="184">
        <f ca="1">IF(Y$2&lt;$B142,Параметры!Y$40,IF(Y$2=$B142,-X126/(Y126-X126)*Параметры!Y$40,0))</f>
        <v>0</v>
      </c>
      <c r="Z143" s="184">
        <f ca="1">IF(Z$2&lt;$B142,Параметры!Z$40,IF(Z$2=$B142,-Y126/(Z126-Y126)*Параметры!Z$40,0))</f>
        <v>0</v>
      </c>
      <c r="AA143" s="184">
        <f ca="1">IF(AA$2&lt;$B142,Параметры!AA$40,IF(AA$2=$B142,-Z126/(AA126-Z126)*Параметры!AA$40,0))</f>
        <v>0</v>
      </c>
      <c r="AB143" s="184">
        <f ca="1">IF(AB$2&lt;$B142,Параметры!AB$40,IF(AB$2=$B142,-AA126/(AB126-AA126)*Параметры!AB$40,0))</f>
        <v>0</v>
      </c>
      <c r="AC143" s="184">
        <f ca="1">IF(AC$2&lt;$B142,Параметры!AC$40,IF(AC$2=$B142,-AB126/(AC126-AB126)*Параметры!AC$40,0))</f>
        <v>0</v>
      </c>
      <c r="AD143" s="184">
        <f ca="1">IF(AD$2&lt;$B142,Параметры!AD$40,IF(AD$2=$B142,-AC126/(AD126-AC126)*Параметры!AD$40,0))</f>
        <v>0</v>
      </c>
      <c r="AE143" s="184">
        <f ca="1">IF(AE$2&lt;$B142,Параметры!AE$40,IF(AE$2=$B142,-AD126/(AE126-AD126)*Параметры!AE$40,0))</f>
        <v>0</v>
      </c>
      <c r="AF143" s="184">
        <f ca="1">IF(AF$2&lt;$B142,Параметры!AF$40,IF(AF$2=$B142,-AE126/(AF126-AE126)*Параметры!AF$40,0))</f>
        <v>0</v>
      </c>
      <c r="AG143" s="184">
        <f ca="1">IF(AG$2&lt;$B142,Параметры!AG$40,IF(AG$2=$B142,-AF126/(AG126-AF126)*Параметры!AG$40,0))</f>
        <v>0</v>
      </c>
      <c r="AH143" s="184">
        <f ca="1">IF(AH$2&lt;$B142,Параметры!AH$40,IF(AH$2=$B142,-AG126/(AH126-AG126)*Параметры!AH$40,0))</f>
        <v>0</v>
      </c>
      <c r="AI143" s="184">
        <f ca="1">IF(AI$2&lt;$B142,Параметры!AI$40,IF(AI$2=$B142,-AH126/(AI126-AH126)*Параметры!AI$40,0))</f>
        <v>0</v>
      </c>
      <c r="AJ143" s="184">
        <f ca="1">IF(AJ$2&lt;$B142,Параметры!AJ$40,IF(AJ$2=$B142,-AI126/(AJ126-AI126)*Параметры!AJ$40,0))</f>
        <v>0</v>
      </c>
      <c r="AK143" s="184">
        <f ca="1">IF(AK$2&lt;$B142,Параметры!AK$40,IF(AK$2=$B142,-AJ126/(AK126-AJ126)*Параметры!AK$40,0))</f>
        <v>0</v>
      </c>
      <c r="AL143" s="184">
        <f ca="1">IF(AL$2&lt;$B142,Параметры!AL$40,IF(AL$2=$B142,-AK126/(AL126-AK126)*Параметры!AL$40,0))</f>
        <v>0</v>
      </c>
      <c r="AM143" s="184">
        <f ca="1">IF(AM$2&lt;$B142,Параметры!AM$40,IF(AM$2=$B142,-AL126/(AM126-AL126)*Параметры!AM$40,0))</f>
        <v>0</v>
      </c>
      <c r="AN143" s="184">
        <f ca="1">IF(AN$2&lt;$B142,Параметры!AN$40,IF(AN$2=$B142,-AM126/(AN126-AM126)*Параметры!AN$40,0))</f>
        <v>0</v>
      </c>
      <c r="AO143" s="184">
        <f ca="1">IF(AO$2&lt;$B142,Параметры!AO$40,IF(AO$2=$B142,-AN126/(AO126-AN126)*Параметры!AO$40,0))</f>
        <v>0</v>
      </c>
      <c r="AP143" s="184">
        <f ca="1">IF(AP$2&lt;$B142,Параметры!AP$40,IF(AP$2=$B142,-AO126/(AP126-AO126)*Параметры!AP$40,0))</f>
        <v>0</v>
      </c>
      <c r="AQ143" s="184">
        <f ca="1">IF(AQ$2&lt;$B142,Параметры!AQ$40,IF(AQ$2=$B142,-AP126/(AQ126-AP126)*Параметры!AQ$40,0))</f>
        <v>0</v>
      </c>
      <c r="AR143" s="184">
        <f ca="1">IF(AR$2&lt;$B142,Параметры!AR$40,IF(AR$2=$B142,-AQ126/(AR126-AQ126)*Параметры!AR$40,0))</f>
        <v>0</v>
      </c>
      <c r="AS143" s="184"/>
      <c r="AT143" s="186">
        <f ca="1">SUM(E143:AS143)</f>
        <v>0</v>
      </c>
    </row>
    <row r="144" spans="1:46" x14ac:dyDescent="0.2">
      <c r="A144" s="45"/>
      <c r="B144" s="170"/>
      <c r="C144" s="14"/>
      <c r="D144" s="47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</row>
  </sheetData>
  <sheetProtection selectLockedCells="1" selectUnlockedCells="1"/>
  <mergeCells count="1">
    <mergeCell ref="A1:C2"/>
  </mergeCells>
  <conditionalFormatting sqref="E6:AB6">
    <cfRule type="expression" dxfId="120" priority="226">
      <formula>E$2&lt;=$D$1</formula>
    </cfRule>
  </conditionalFormatting>
  <conditionalFormatting sqref="AC6">
    <cfRule type="expression" dxfId="119" priority="184">
      <formula>AC$2&lt;=$D$1</formula>
    </cfRule>
  </conditionalFormatting>
  <conditionalFormatting sqref="AD6">
    <cfRule type="expression" dxfId="118" priority="177">
      <formula>AD$2&lt;=$D$1</formula>
    </cfRule>
  </conditionalFormatting>
  <conditionalFormatting sqref="AE6">
    <cfRule type="expression" dxfId="117" priority="170">
      <formula>AE$2&lt;=$D$1</formula>
    </cfRule>
  </conditionalFormatting>
  <conditionalFormatting sqref="AF6">
    <cfRule type="expression" dxfId="116" priority="163">
      <formula>AF$2&lt;=$D$1</formula>
    </cfRule>
  </conditionalFormatting>
  <conditionalFormatting sqref="AG6">
    <cfRule type="expression" dxfId="115" priority="156">
      <formula>AG$2&lt;=$D$1</formula>
    </cfRule>
  </conditionalFormatting>
  <conditionalFormatting sqref="AH6">
    <cfRule type="expression" dxfId="114" priority="149">
      <formula>AH$2&lt;=$D$1</formula>
    </cfRule>
  </conditionalFormatting>
  <conditionalFormatting sqref="AI6">
    <cfRule type="expression" dxfId="113" priority="142">
      <formula>AI$2&lt;=$D$1</formula>
    </cfRule>
  </conditionalFormatting>
  <conditionalFormatting sqref="AJ6">
    <cfRule type="expression" dxfId="112" priority="135">
      <formula>AJ$2&lt;=$D$1</formula>
    </cfRule>
  </conditionalFormatting>
  <conditionalFormatting sqref="AK6">
    <cfRule type="expression" dxfId="111" priority="128">
      <formula>AK$2&lt;=$D$1</formula>
    </cfRule>
  </conditionalFormatting>
  <conditionalFormatting sqref="AL6">
    <cfRule type="expression" dxfId="110" priority="121">
      <formula>AL$2&lt;=$D$1</formula>
    </cfRule>
  </conditionalFormatting>
  <conditionalFormatting sqref="AM6">
    <cfRule type="expression" dxfId="109" priority="114">
      <formula>AM$2&lt;=$D$1</formula>
    </cfRule>
  </conditionalFormatting>
  <conditionalFormatting sqref="AN6">
    <cfRule type="expression" dxfId="108" priority="107">
      <formula>AN$2&lt;=$D$1</formula>
    </cfRule>
  </conditionalFormatting>
  <conditionalFormatting sqref="AO6">
    <cfRule type="expression" dxfId="107" priority="100">
      <formula>AO$2&lt;=$D$1</formula>
    </cfRule>
  </conditionalFormatting>
  <conditionalFormatting sqref="AP6">
    <cfRule type="expression" dxfId="106" priority="93">
      <formula>AP$2&lt;=$D$1</formula>
    </cfRule>
  </conditionalFormatting>
  <conditionalFormatting sqref="AQ6">
    <cfRule type="expression" dxfId="105" priority="86">
      <formula>AQ$2&lt;=$D$1</formula>
    </cfRule>
  </conditionalFormatting>
  <conditionalFormatting sqref="AR6">
    <cfRule type="expression" dxfId="104" priority="79">
      <formula>AR$2&lt;=$D$1</formula>
    </cfRule>
  </conditionalFormatting>
  <conditionalFormatting sqref="E44:AB44">
    <cfRule type="expression" dxfId="103" priority="54">
      <formula>E$2&lt;=$D$1</formula>
    </cfRule>
  </conditionalFormatting>
  <conditionalFormatting sqref="AC44">
    <cfRule type="expression" dxfId="102" priority="52">
      <formula>AC$2&lt;=$D$1</formula>
    </cfRule>
  </conditionalFormatting>
  <conditionalFormatting sqref="AD44">
    <cfRule type="expression" dxfId="101" priority="51">
      <formula>AD$2&lt;=$D$1</formula>
    </cfRule>
  </conditionalFormatting>
  <conditionalFormatting sqref="AE44">
    <cfRule type="expression" dxfId="100" priority="50">
      <formula>AE$2&lt;=$D$1</formula>
    </cfRule>
  </conditionalFormatting>
  <conditionalFormatting sqref="AF44">
    <cfRule type="expression" dxfId="99" priority="49">
      <formula>AF$2&lt;=$D$1</formula>
    </cfRule>
  </conditionalFormatting>
  <conditionalFormatting sqref="AG44">
    <cfRule type="expression" dxfId="98" priority="48">
      <formula>AG$2&lt;=$D$1</formula>
    </cfRule>
  </conditionalFormatting>
  <conditionalFormatting sqref="AH44">
    <cfRule type="expression" dxfId="97" priority="47">
      <formula>AH$2&lt;=$D$1</formula>
    </cfRule>
  </conditionalFormatting>
  <conditionalFormatting sqref="AI44">
    <cfRule type="expression" dxfId="96" priority="46">
      <formula>AI$2&lt;=$D$1</formula>
    </cfRule>
  </conditionalFormatting>
  <conditionalFormatting sqref="AJ44">
    <cfRule type="expression" dxfId="95" priority="45">
      <formula>AJ$2&lt;=$D$1</formula>
    </cfRule>
  </conditionalFormatting>
  <conditionalFormatting sqref="AK44">
    <cfRule type="expression" dxfId="94" priority="44">
      <formula>AK$2&lt;=$D$1</formula>
    </cfRule>
  </conditionalFormatting>
  <conditionalFormatting sqref="AL44">
    <cfRule type="expression" dxfId="93" priority="43">
      <formula>AL$2&lt;=$D$1</formula>
    </cfRule>
  </conditionalFormatting>
  <conditionalFormatting sqref="AM44">
    <cfRule type="expression" dxfId="92" priority="42">
      <formula>AM$2&lt;=$D$1</formula>
    </cfRule>
  </conditionalFormatting>
  <conditionalFormatting sqref="AN44">
    <cfRule type="expression" dxfId="91" priority="41">
      <formula>AN$2&lt;=$D$1</formula>
    </cfRule>
  </conditionalFormatting>
  <conditionalFormatting sqref="AO44">
    <cfRule type="expression" dxfId="90" priority="40">
      <formula>AO$2&lt;=$D$1</formula>
    </cfRule>
  </conditionalFormatting>
  <conditionalFormatting sqref="AP44">
    <cfRule type="expression" dxfId="89" priority="39">
      <formula>AP$2&lt;=$D$1</formula>
    </cfRule>
  </conditionalFormatting>
  <conditionalFormatting sqref="AQ44">
    <cfRule type="expression" dxfId="88" priority="38">
      <formula>AQ$2&lt;=$D$1</formula>
    </cfRule>
  </conditionalFormatting>
  <conditionalFormatting sqref="AR44">
    <cfRule type="expression" dxfId="87" priority="37">
      <formula>AR$2&lt;=$D$1</formula>
    </cfRule>
  </conditionalFormatting>
  <conditionalFormatting sqref="E79:AB79">
    <cfRule type="expression" dxfId="86" priority="36">
      <formula>E$2&lt;=$D$1</formula>
    </cfRule>
  </conditionalFormatting>
  <conditionalFormatting sqref="AC79">
    <cfRule type="expression" dxfId="85" priority="34">
      <formula>AC$2&lt;=$D$1</formula>
    </cfRule>
  </conditionalFormatting>
  <conditionalFormatting sqref="AD79">
    <cfRule type="expression" dxfId="84" priority="33">
      <formula>AD$2&lt;=$D$1</formula>
    </cfRule>
  </conditionalFormatting>
  <conditionalFormatting sqref="AE79">
    <cfRule type="expression" dxfId="83" priority="32">
      <formula>AE$2&lt;=$D$1</formula>
    </cfRule>
  </conditionalFormatting>
  <conditionalFormatting sqref="AF79">
    <cfRule type="expression" dxfId="82" priority="31">
      <formula>AF$2&lt;=$D$1</formula>
    </cfRule>
  </conditionalFormatting>
  <conditionalFormatting sqref="AG79">
    <cfRule type="expression" dxfId="81" priority="30">
      <formula>AG$2&lt;=$D$1</formula>
    </cfRule>
  </conditionalFormatting>
  <conditionalFormatting sqref="AH79">
    <cfRule type="expression" dxfId="80" priority="29">
      <formula>AH$2&lt;=$D$1</formula>
    </cfRule>
  </conditionalFormatting>
  <conditionalFormatting sqref="AI79">
    <cfRule type="expression" dxfId="79" priority="28">
      <formula>AI$2&lt;=$D$1</formula>
    </cfRule>
  </conditionalFormatting>
  <conditionalFormatting sqref="AJ79">
    <cfRule type="expression" dxfId="78" priority="27">
      <formula>AJ$2&lt;=$D$1</formula>
    </cfRule>
  </conditionalFormatting>
  <conditionalFormatting sqref="AK79">
    <cfRule type="expression" dxfId="77" priority="26">
      <formula>AK$2&lt;=$D$1</formula>
    </cfRule>
  </conditionalFormatting>
  <conditionalFormatting sqref="AL79">
    <cfRule type="expression" dxfId="76" priority="25">
      <formula>AL$2&lt;=$D$1</formula>
    </cfRule>
  </conditionalFormatting>
  <conditionalFormatting sqref="AM79">
    <cfRule type="expression" dxfId="75" priority="24">
      <formula>AM$2&lt;=$D$1</formula>
    </cfRule>
  </conditionalFormatting>
  <conditionalFormatting sqref="AN79">
    <cfRule type="expression" dxfId="74" priority="23">
      <formula>AN$2&lt;=$D$1</formula>
    </cfRule>
  </conditionalFormatting>
  <conditionalFormatting sqref="AO79">
    <cfRule type="expression" dxfId="73" priority="22">
      <formula>AO$2&lt;=$D$1</formula>
    </cfRule>
  </conditionalFormatting>
  <conditionalFormatting sqref="AP79">
    <cfRule type="expression" dxfId="72" priority="21">
      <formula>AP$2&lt;=$D$1</formula>
    </cfRule>
  </conditionalFormatting>
  <conditionalFormatting sqref="AQ79">
    <cfRule type="expression" dxfId="71" priority="20">
      <formula>AQ$2&lt;=$D$1</formula>
    </cfRule>
  </conditionalFormatting>
  <conditionalFormatting sqref="AR79">
    <cfRule type="expression" dxfId="70" priority="19">
      <formula>AR$2&lt;=$D$1</formula>
    </cfRule>
  </conditionalFormatting>
  <conditionalFormatting sqref="E114:AB114">
    <cfRule type="expression" dxfId="69" priority="18">
      <formula>E$2&lt;=$D$1</formula>
    </cfRule>
  </conditionalFormatting>
  <conditionalFormatting sqref="AC114">
    <cfRule type="expression" dxfId="68" priority="16">
      <formula>AC$2&lt;=$D$1</formula>
    </cfRule>
  </conditionalFormatting>
  <conditionalFormatting sqref="AD114">
    <cfRule type="expression" dxfId="67" priority="15">
      <formula>AD$2&lt;=$D$1</formula>
    </cfRule>
  </conditionalFormatting>
  <conditionalFormatting sqref="AE114">
    <cfRule type="expression" dxfId="66" priority="14">
      <formula>AE$2&lt;=$D$1</formula>
    </cfRule>
  </conditionalFormatting>
  <conditionalFormatting sqref="AF114">
    <cfRule type="expression" dxfId="65" priority="13">
      <formula>AF$2&lt;=$D$1</formula>
    </cfRule>
  </conditionalFormatting>
  <conditionalFormatting sqref="AG114">
    <cfRule type="expression" dxfId="64" priority="12">
      <formula>AG$2&lt;=$D$1</formula>
    </cfRule>
  </conditionalFormatting>
  <conditionalFormatting sqref="AH114">
    <cfRule type="expression" dxfId="63" priority="11">
      <formula>AH$2&lt;=$D$1</formula>
    </cfRule>
  </conditionalFormatting>
  <conditionalFormatting sqref="AI114">
    <cfRule type="expression" dxfId="62" priority="10">
      <formula>AI$2&lt;=$D$1</formula>
    </cfRule>
  </conditionalFormatting>
  <conditionalFormatting sqref="AJ114">
    <cfRule type="expression" dxfId="61" priority="9">
      <formula>AJ$2&lt;=$D$1</formula>
    </cfRule>
  </conditionalFormatting>
  <conditionalFormatting sqref="AK114">
    <cfRule type="expression" dxfId="60" priority="8">
      <formula>AK$2&lt;=$D$1</formula>
    </cfRule>
  </conditionalFormatting>
  <conditionalFormatting sqref="AL114">
    <cfRule type="expression" dxfId="59" priority="7">
      <formula>AL$2&lt;=$D$1</formula>
    </cfRule>
  </conditionalFormatting>
  <conditionalFormatting sqref="AM114">
    <cfRule type="expression" dxfId="58" priority="6">
      <formula>AM$2&lt;=$D$1</formula>
    </cfRule>
  </conditionalFormatting>
  <conditionalFormatting sqref="AN114">
    <cfRule type="expression" dxfId="57" priority="5">
      <formula>AN$2&lt;=$D$1</formula>
    </cfRule>
  </conditionalFormatting>
  <conditionalFormatting sqref="AO114">
    <cfRule type="expression" dxfId="56" priority="4">
      <formula>AO$2&lt;=$D$1</formula>
    </cfRule>
  </conditionalFormatting>
  <conditionalFormatting sqref="AP114">
    <cfRule type="expression" dxfId="55" priority="3">
      <formula>AP$2&lt;=$D$1</formula>
    </cfRule>
  </conditionalFormatting>
  <conditionalFormatting sqref="AQ114">
    <cfRule type="expression" dxfId="54" priority="2">
      <formula>AQ$2&lt;=$D$1</formula>
    </cfRule>
  </conditionalFormatting>
  <conditionalFormatting sqref="AR114">
    <cfRule type="expression" dxfId="53" priority="1">
      <formula>AR$2&lt;=$D$1</formula>
    </cfRule>
  </conditionalFormatting>
  <conditionalFormatting sqref="B6">
    <cfRule type="cellIs" dxfId="52" priority="192" operator="equal">
      <formula>#REF!</formula>
    </cfRule>
  </conditionalFormatting>
  <conditionalFormatting sqref="B44">
    <cfRule type="cellIs" dxfId="51" priority="53" operator="equal">
      <formula>#REF!</formula>
    </cfRule>
  </conditionalFormatting>
  <conditionalFormatting sqref="B79">
    <cfRule type="cellIs" dxfId="50" priority="35" operator="equal">
      <formula>#REF!</formula>
    </cfRule>
  </conditionalFormatting>
  <conditionalFormatting sqref="B114">
    <cfRule type="cellIs" dxfId="49" priority="17" operator="equal">
      <formula>#REF!</formula>
    </cfRule>
  </conditionalFormatting>
  <dataValidations disablePrompts="1" count="2">
    <dataValidation type="list" allowBlank="1" showInputMessage="1" showErrorMessage="1" sqref="B4" xr:uid="{00000000-0002-0000-0700-000000000000}">
      <formula1>"0,1"</formula1>
    </dataValidation>
    <dataValidation type="list" showInputMessage="1" showErrorMessage="1" sqref="B6 B44 B79 B114" xr:uid="{00000000-0002-0000-0700-000001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5">
    <outlinePr summaryBelow="0" summaryRight="0"/>
  </sheetPr>
  <dimension ref="A1:V426"/>
  <sheetViews>
    <sheetView workbookViewId="0"/>
  </sheetViews>
  <sheetFormatPr defaultRowHeight="11.25" x14ac:dyDescent="0.2"/>
  <cols>
    <col min="1" max="1" width="2.28515625" style="29" customWidth="1"/>
    <col min="2" max="2" width="2.140625" style="29" customWidth="1"/>
    <col min="3" max="3" width="39.85546875" style="29" customWidth="1"/>
    <col min="4" max="4" width="10.85546875" style="29" customWidth="1"/>
    <col min="5" max="10" width="9.42578125" style="29" customWidth="1"/>
    <col min="11" max="16384" width="9.140625" style="29"/>
  </cols>
  <sheetData>
    <row r="1" spans="1:22" x14ac:dyDescent="0.2">
      <c r="A1" s="190"/>
      <c r="B1" s="40"/>
    </row>
    <row r="2" spans="1:22" ht="12" thickBot="1" x14ac:dyDescent="0.25">
      <c r="A2" s="190"/>
      <c r="B2" s="40" t="s">
        <v>30</v>
      </c>
    </row>
    <row r="3" spans="1:22" ht="25.5" customHeight="1" thickBot="1" x14ac:dyDescent="0.25">
      <c r="A3" s="493" t="s">
        <v>916</v>
      </c>
      <c r="B3" s="486"/>
      <c r="C3" s="492"/>
      <c r="D3" s="492"/>
      <c r="E3" s="492"/>
      <c r="F3" s="492"/>
      <c r="G3" s="492"/>
      <c r="H3" s="492"/>
      <c r="I3" s="492"/>
      <c r="J3" s="492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</row>
    <row r="4" spans="1:22" x14ac:dyDescent="0.2">
      <c r="B4" s="40"/>
    </row>
    <row r="5" spans="1:22" x14ac:dyDescent="0.2">
      <c r="B5" s="40"/>
    </row>
    <row r="6" spans="1:22" x14ac:dyDescent="0.2">
      <c r="B6" s="40"/>
    </row>
    <row r="7" spans="1:22" x14ac:dyDescent="0.2">
      <c r="B7" s="40"/>
    </row>
    <row r="8" spans="1:22" x14ac:dyDescent="0.2">
      <c r="B8" s="40"/>
    </row>
    <row r="9" spans="1:22" x14ac:dyDescent="0.2">
      <c r="B9" s="40"/>
    </row>
    <row r="10" spans="1:22" x14ac:dyDescent="0.2">
      <c r="B10" s="40"/>
    </row>
    <row r="11" spans="1:22" x14ac:dyDescent="0.2">
      <c r="B11" s="40"/>
    </row>
    <row r="12" spans="1:22" x14ac:dyDescent="0.2">
      <c r="B12" s="40"/>
    </row>
    <row r="13" spans="1:22" x14ac:dyDescent="0.2">
      <c r="B13" s="40"/>
    </row>
    <row r="14" spans="1:22" x14ac:dyDescent="0.2">
      <c r="B14" s="40"/>
    </row>
    <row r="15" spans="1:22" x14ac:dyDescent="0.2">
      <c r="B15" s="40"/>
    </row>
    <row r="16" spans="1:22" x14ac:dyDescent="0.2">
      <c r="B16" s="40"/>
    </row>
    <row r="17" spans="1:22" x14ac:dyDescent="0.2">
      <c r="B17" s="40"/>
    </row>
    <row r="18" spans="1:22" x14ac:dyDescent="0.2">
      <c r="B18" s="40"/>
    </row>
    <row r="19" spans="1:22" x14ac:dyDescent="0.2">
      <c r="B19" s="40"/>
    </row>
    <row r="20" spans="1:22" x14ac:dyDescent="0.2">
      <c r="B20" s="40"/>
    </row>
    <row r="21" spans="1:22" x14ac:dyDescent="0.2">
      <c r="B21" s="40"/>
    </row>
    <row r="22" spans="1:22" x14ac:dyDescent="0.2">
      <c r="B22" s="40"/>
    </row>
    <row r="23" spans="1:22" x14ac:dyDescent="0.2">
      <c r="B23" s="40"/>
    </row>
    <row r="24" spans="1:22" x14ac:dyDescent="0.2">
      <c r="B24" s="40"/>
    </row>
    <row r="25" spans="1:22" x14ac:dyDescent="0.2">
      <c r="B25" s="40"/>
    </row>
    <row r="26" spans="1:22" x14ac:dyDescent="0.2">
      <c r="B26" s="40"/>
    </row>
    <row r="27" spans="1:22" x14ac:dyDescent="0.2">
      <c r="B27" s="40"/>
    </row>
    <row r="28" spans="1:22" ht="12" thickBot="1" x14ac:dyDescent="0.25">
      <c r="B28" s="40"/>
    </row>
    <row r="29" spans="1:22" ht="25.5" customHeight="1" thickBot="1" x14ac:dyDescent="0.25">
      <c r="A29" s="493" t="s">
        <v>917</v>
      </c>
      <c r="B29" s="486"/>
      <c r="C29" s="492"/>
      <c r="D29" s="492"/>
      <c r="E29" s="492"/>
      <c r="F29" s="492"/>
      <c r="G29" s="492"/>
      <c r="H29" s="492"/>
      <c r="I29" s="492"/>
      <c r="J29" s="492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</row>
    <row r="30" spans="1:22" x14ac:dyDescent="0.2">
      <c r="B30" s="40"/>
    </row>
    <row r="31" spans="1:22" x14ac:dyDescent="0.2">
      <c r="B31" s="40"/>
    </row>
    <row r="32" spans="1:22" x14ac:dyDescent="0.2">
      <c r="B32" s="40"/>
    </row>
    <row r="33" spans="2:2" x14ac:dyDescent="0.2">
      <c r="B33" s="40"/>
    </row>
    <row r="34" spans="2:2" x14ac:dyDescent="0.2">
      <c r="B34" s="40"/>
    </row>
    <row r="35" spans="2:2" x14ac:dyDescent="0.2">
      <c r="B35" s="40"/>
    </row>
    <row r="36" spans="2:2" x14ac:dyDescent="0.2">
      <c r="B36" s="40"/>
    </row>
    <row r="37" spans="2:2" x14ac:dyDescent="0.2">
      <c r="B37" s="40"/>
    </row>
    <row r="38" spans="2:2" x14ac:dyDescent="0.2">
      <c r="B38" s="40"/>
    </row>
    <row r="39" spans="2:2" x14ac:dyDescent="0.2">
      <c r="B39" s="40"/>
    </row>
    <row r="40" spans="2:2" x14ac:dyDescent="0.2">
      <c r="B40" s="40"/>
    </row>
    <row r="41" spans="2:2" x14ac:dyDescent="0.2">
      <c r="B41" s="40"/>
    </row>
    <row r="42" spans="2:2" x14ac:dyDescent="0.2">
      <c r="B42" s="40"/>
    </row>
    <row r="43" spans="2:2" x14ac:dyDescent="0.2">
      <c r="B43" s="40"/>
    </row>
    <row r="44" spans="2:2" x14ac:dyDescent="0.2">
      <c r="B44" s="40"/>
    </row>
    <row r="45" spans="2:2" x14ac:dyDescent="0.2">
      <c r="B45" s="40"/>
    </row>
    <row r="46" spans="2:2" x14ac:dyDescent="0.2">
      <c r="B46" s="40"/>
    </row>
    <row r="47" spans="2:2" x14ac:dyDescent="0.2">
      <c r="B47" s="40"/>
    </row>
    <row r="48" spans="2:2" x14ac:dyDescent="0.2">
      <c r="B48" s="40"/>
    </row>
    <row r="49" spans="1:22" x14ac:dyDescent="0.2">
      <c r="B49" s="40"/>
    </row>
    <row r="50" spans="1:22" x14ac:dyDescent="0.2">
      <c r="B50" s="40"/>
    </row>
    <row r="51" spans="1:22" x14ac:dyDescent="0.2">
      <c r="B51" s="40"/>
    </row>
    <row r="52" spans="1:22" x14ac:dyDescent="0.2">
      <c r="B52" s="40"/>
    </row>
    <row r="53" spans="1:22" x14ac:dyDescent="0.2">
      <c r="B53" s="40"/>
    </row>
    <row r="54" spans="1:22" ht="12" thickBot="1" x14ac:dyDescent="0.25">
      <c r="B54" s="40"/>
    </row>
    <row r="55" spans="1:22" ht="25.5" customHeight="1" thickBot="1" x14ac:dyDescent="0.25">
      <c r="A55" s="493" t="s">
        <v>918</v>
      </c>
      <c r="B55" s="486"/>
      <c r="C55" s="492"/>
      <c r="D55" s="492"/>
      <c r="E55" s="492"/>
      <c r="F55" s="492"/>
      <c r="G55" s="492"/>
      <c r="H55" s="492"/>
      <c r="I55" s="492"/>
      <c r="J55" s="492"/>
      <c r="K55" s="494"/>
      <c r="L55" s="494"/>
      <c r="M55" s="494"/>
      <c r="N55" s="494"/>
      <c r="O55" s="494"/>
      <c r="P55" s="494"/>
      <c r="Q55" s="494"/>
      <c r="R55" s="494"/>
      <c r="S55" s="494"/>
      <c r="T55" s="494"/>
      <c r="U55" s="494"/>
      <c r="V55" s="494"/>
    </row>
    <row r="56" spans="1:22" x14ac:dyDescent="0.2">
      <c r="B56" s="40"/>
    </row>
    <row r="57" spans="1:22" x14ac:dyDescent="0.2">
      <c r="B57" s="40"/>
    </row>
    <row r="58" spans="1:22" x14ac:dyDescent="0.2">
      <c r="B58" s="40"/>
    </row>
    <row r="59" spans="1:22" x14ac:dyDescent="0.2">
      <c r="B59" s="40"/>
    </row>
    <row r="60" spans="1:22" x14ac:dyDescent="0.2">
      <c r="B60" s="40"/>
    </row>
    <row r="61" spans="1:22" x14ac:dyDescent="0.2">
      <c r="B61" s="40"/>
    </row>
    <row r="62" spans="1:22" x14ac:dyDescent="0.2">
      <c r="B62" s="40"/>
    </row>
    <row r="63" spans="1:22" x14ac:dyDescent="0.2">
      <c r="B63" s="40"/>
    </row>
    <row r="64" spans="1:22" x14ac:dyDescent="0.2">
      <c r="B64" s="40"/>
    </row>
    <row r="65" spans="2:2" x14ac:dyDescent="0.2">
      <c r="B65" s="40"/>
    </row>
    <row r="66" spans="2:2" x14ac:dyDescent="0.2">
      <c r="B66" s="40"/>
    </row>
    <row r="67" spans="2:2" x14ac:dyDescent="0.2">
      <c r="B67" s="40"/>
    </row>
    <row r="68" spans="2:2" x14ac:dyDescent="0.2">
      <c r="B68" s="40"/>
    </row>
    <row r="69" spans="2:2" x14ac:dyDescent="0.2">
      <c r="B69" s="40"/>
    </row>
    <row r="70" spans="2:2" x14ac:dyDescent="0.2">
      <c r="B70" s="40"/>
    </row>
    <row r="71" spans="2:2" x14ac:dyDescent="0.2">
      <c r="B71" s="40"/>
    </row>
    <row r="72" spans="2:2" x14ac:dyDescent="0.2">
      <c r="B72" s="40"/>
    </row>
    <row r="73" spans="2:2" x14ac:dyDescent="0.2">
      <c r="B73" s="40"/>
    </row>
    <row r="74" spans="2:2" x14ac:dyDescent="0.2">
      <c r="B74" s="40"/>
    </row>
    <row r="75" spans="2:2" x14ac:dyDescent="0.2">
      <c r="B75" s="40"/>
    </row>
    <row r="76" spans="2:2" x14ac:dyDescent="0.2">
      <c r="B76" s="40"/>
    </row>
    <row r="77" spans="2:2" x14ac:dyDescent="0.2">
      <c r="B77" s="40"/>
    </row>
    <row r="78" spans="2:2" x14ac:dyDescent="0.2">
      <c r="B78" s="40"/>
    </row>
    <row r="79" spans="2:2" x14ac:dyDescent="0.2">
      <c r="B79" s="40"/>
    </row>
    <row r="80" spans="2:2" ht="12" thickBot="1" x14ac:dyDescent="0.25">
      <c r="B80" s="40"/>
    </row>
    <row r="81" spans="1:22" ht="25.5" customHeight="1" thickBot="1" x14ac:dyDescent="0.25">
      <c r="A81" s="493" t="s">
        <v>919</v>
      </c>
      <c r="B81" s="486"/>
      <c r="C81" s="492"/>
      <c r="D81" s="492"/>
      <c r="E81" s="492"/>
      <c r="F81" s="492"/>
      <c r="G81" s="492"/>
      <c r="H81" s="492"/>
      <c r="I81" s="492"/>
      <c r="J81" s="492"/>
      <c r="K81" s="494"/>
      <c r="L81" s="494"/>
      <c r="M81" s="494"/>
      <c r="N81" s="494"/>
      <c r="O81" s="494"/>
      <c r="P81" s="494"/>
      <c r="Q81" s="494"/>
      <c r="R81" s="494"/>
      <c r="S81" s="494"/>
      <c r="T81" s="494"/>
      <c r="U81" s="494"/>
      <c r="V81" s="494"/>
    </row>
    <row r="82" spans="1:22" x14ac:dyDescent="0.2">
      <c r="B82" s="40"/>
    </row>
    <row r="83" spans="1:22" x14ac:dyDescent="0.2">
      <c r="B83" s="40"/>
    </row>
    <row r="84" spans="1:22" x14ac:dyDescent="0.2">
      <c r="B84" s="40"/>
      <c r="C84" s="941" t="s">
        <v>920</v>
      </c>
    </row>
    <row r="85" spans="1:22" x14ac:dyDescent="0.2">
      <c r="B85" s="40"/>
      <c r="C85" s="941"/>
    </row>
    <row r="86" spans="1:22" x14ac:dyDescent="0.2">
      <c r="B86" s="40"/>
      <c r="C86" s="941" t="s">
        <v>921</v>
      </c>
    </row>
    <row r="87" spans="1:22" x14ac:dyDescent="0.2">
      <c r="B87" s="40"/>
    </row>
    <row r="88" spans="1:22" x14ac:dyDescent="0.2">
      <c r="B88" s="40"/>
    </row>
    <row r="89" spans="1:22" x14ac:dyDescent="0.2">
      <c r="B89" s="40"/>
    </row>
    <row r="90" spans="1:22" x14ac:dyDescent="0.2">
      <c r="B90" s="40"/>
    </row>
    <row r="91" spans="1:22" x14ac:dyDescent="0.2">
      <c r="B91" s="40"/>
    </row>
    <row r="92" spans="1:22" x14ac:dyDescent="0.2">
      <c r="B92" s="40"/>
    </row>
    <row r="93" spans="1:22" x14ac:dyDescent="0.2">
      <c r="B93" s="40"/>
    </row>
    <row r="94" spans="1:22" x14ac:dyDescent="0.2">
      <c r="B94" s="40"/>
    </row>
    <row r="95" spans="1:22" x14ac:dyDescent="0.2">
      <c r="B95" s="40"/>
    </row>
    <row r="96" spans="1:22" x14ac:dyDescent="0.2">
      <c r="B96" s="40"/>
    </row>
    <row r="97" spans="1:22" x14ac:dyDescent="0.2">
      <c r="B97" s="40"/>
    </row>
    <row r="98" spans="1:22" x14ac:dyDescent="0.2">
      <c r="B98" s="40"/>
    </row>
    <row r="99" spans="1:22" x14ac:dyDescent="0.2">
      <c r="B99" s="40"/>
    </row>
    <row r="100" spans="1:22" x14ac:dyDescent="0.2">
      <c r="B100" s="40"/>
    </row>
    <row r="101" spans="1:22" x14ac:dyDescent="0.2">
      <c r="B101" s="40"/>
    </row>
    <row r="102" spans="1:22" x14ac:dyDescent="0.2">
      <c r="B102" s="40"/>
    </row>
    <row r="103" spans="1:22" x14ac:dyDescent="0.2">
      <c r="B103" s="40"/>
    </row>
    <row r="104" spans="1:22" x14ac:dyDescent="0.2">
      <c r="B104" s="40"/>
    </row>
    <row r="105" spans="1:22" x14ac:dyDescent="0.2">
      <c r="B105" s="40"/>
    </row>
    <row r="106" spans="1:22" ht="12" thickBot="1" x14ac:dyDescent="0.25">
      <c r="B106" s="40"/>
    </row>
    <row r="107" spans="1:22" ht="25.5" customHeight="1" thickBot="1" x14ac:dyDescent="0.25">
      <c r="A107" s="493" t="s">
        <v>928</v>
      </c>
      <c r="B107" s="486"/>
      <c r="C107" s="492"/>
      <c r="D107" s="492"/>
      <c r="E107" s="492"/>
      <c r="F107" s="492"/>
      <c r="G107" s="492"/>
      <c r="H107" s="492"/>
      <c r="I107" s="492"/>
      <c r="J107" s="492"/>
      <c r="K107" s="494"/>
      <c r="L107" s="494"/>
      <c r="M107" s="494"/>
      <c r="N107" s="494"/>
      <c r="O107" s="494"/>
      <c r="P107" s="494"/>
      <c r="Q107" s="494"/>
      <c r="R107" s="494"/>
      <c r="S107" s="494"/>
      <c r="T107" s="494"/>
      <c r="U107" s="494"/>
      <c r="V107" s="494"/>
    </row>
    <row r="108" spans="1:22" x14ac:dyDescent="0.2">
      <c r="B108" s="40"/>
    </row>
    <row r="109" spans="1:22" x14ac:dyDescent="0.2">
      <c r="B109" s="40"/>
    </row>
    <row r="110" spans="1:22" x14ac:dyDescent="0.2">
      <c r="B110" s="40"/>
    </row>
    <row r="111" spans="1:22" x14ac:dyDescent="0.2">
      <c r="B111" s="40"/>
    </row>
    <row r="112" spans="1:22" x14ac:dyDescent="0.2">
      <c r="B112" s="40"/>
    </row>
    <row r="113" spans="2:2" x14ac:dyDescent="0.2">
      <c r="B113" s="40"/>
    </row>
    <row r="114" spans="2:2" x14ac:dyDescent="0.2">
      <c r="B114" s="40"/>
    </row>
    <row r="115" spans="2:2" x14ac:dyDescent="0.2">
      <c r="B115" s="40"/>
    </row>
    <row r="116" spans="2:2" x14ac:dyDescent="0.2">
      <c r="B116" s="40"/>
    </row>
    <row r="117" spans="2:2" x14ac:dyDescent="0.2">
      <c r="B117" s="40"/>
    </row>
    <row r="118" spans="2:2" x14ac:dyDescent="0.2">
      <c r="B118" s="40"/>
    </row>
    <row r="119" spans="2:2" x14ac:dyDescent="0.2">
      <c r="B119" s="40"/>
    </row>
    <row r="120" spans="2:2" x14ac:dyDescent="0.2">
      <c r="B120" s="40"/>
    </row>
    <row r="121" spans="2:2" x14ac:dyDescent="0.2">
      <c r="B121" s="40"/>
    </row>
    <row r="122" spans="2:2" x14ac:dyDescent="0.2">
      <c r="B122" s="40"/>
    </row>
    <row r="123" spans="2:2" x14ac:dyDescent="0.2">
      <c r="B123" s="40"/>
    </row>
    <row r="124" spans="2:2" x14ac:dyDescent="0.2">
      <c r="B124" s="40"/>
    </row>
    <row r="125" spans="2:2" x14ac:dyDescent="0.2">
      <c r="B125" s="40"/>
    </row>
    <row r="126" spans="2:2" x14ac:dyDescent="0.2">
      <c r="B126" s="40"/>
    </row>
    <row r="127" spans="2:2" x14ac:dyDescent="0.2">
      <c r="B127" s="40"/>
    </row>
    <row r="128" spans="2:2" x14ac:dyDescent="0.2">
      <c r="B128" s="40"/>
    </row>
    <row r="129" spans="1:22" x14ac:dyDescent="0.2">
      <c r="B129" s="40"/>
    </row>
    <row r="130" spans="1:22" x14ac:dyDescent="0.2">
      <c r="B130" s="40"/>
    </row>
    <row r="131" spans="1:22" x14ac:dyDescent="0.2">
      <c r="B131" s="40"/>
    </row>
    <row r="132" spans="1:22" ht="12" thickBot="1" x14ac:dyDescent="0.25">
      <c r="B132" s="40"/>
    </row>
    <row r="133" spans="1:22" ht="25.5" customHeight="1" thickBot="1" x14ac:dyDescent="0.25">
      <c r="A133" s="493" t="s">
        <v>381</v>
      </c>
      <c r="B133" s="486"/>
      <c r="C133" s="492"/>
      <c r="D133" s="492"/>
      <c r="E133" s="492"/>
      <c r="F133" s="492"/>
      <c r="G133" s="492"/>
      <c r="H133" s="492"/>
      <c r="I133" s="492"/>
      <c r="J133" s="495" t="str">
        <f>"NPV, " &amp;Параметры!$C$126</f>
        <v>NPV, тыс. руб.</v>
      </c>
      <c r="K133" s="494"/>
      <c r="L133" s="494"/>
      <c r="M133" s="494"/>
      <c r="N133" s="494"/>
      <c r="O133" s="494"/>
      <c r="P133" s="494"/>
      <c r="Q133" s="494"/>
      <c r="R133" s="494"/>
      <c r="S133" s="494"/>
      <c r="T133" s="494"/>
      <c r="U133" s="494"/>
      <c r="V133" s="494"/>
    </row>
    <row r="134" spans="1:22" x14ac:dyDescent="0.2">
      <c r="B134" s="40"/>
    </row>
    <row r="135" spans="1:22" x14ac:dyDescent="0.2">
      <c r="B135" s="40"/>
    </row>
    <row r="136" spans="1:22" x14ac:dyDescent="0.2">
      <c r="B136" s="40"/>
      <c r="C136" s="29" t="str">
        <f>Графики!$C$319</f>
        <v>Анализ чувствительности</v>
      </c>
      <c r="D136" s="12">
        <v>0</v>
      </c>
      <c r="E136" s="12">
        <v>1</v>
      </c>
      <c r="F136" s="12">
        <v>2</v>
      </c>
      <c r="G136" s="12">
        <v>3</v>
      </c>
      <c r="H136" s="12">
        <v>4</v>
      </c>
      <c r="I136" s="12">
        <v>5</v>
      </c>
      <c r="J136" s="12">
        <v>6</v>
      </c>
    </row>
    <row r="137" spans="1:22" x14ac:dyDescent="0.2">
      <c r="B137" s="40"/>
      <c r="D137" s="266"/>
      <c r="E137" s="266"/>
      <c r="F137" s="266"/>
      <c r="G137" s="266"/>
      <c r="H137" s="266"/>
      <c r="I137" s="266"/>
      <c r="J137" s="266"/>
    </row>
    <row r="138" spans="1:22" x14ac:dyDescent="0.2">
      <c r="B138" s="40"/>
      <c r="C138" s="29" t="str">
        <f>Графики!$C$340</f>
        <v>К капвложениям резидентов</v>
      </c>
      <c r="D138" s="26">
        <f ca="1">OFFSET(Графики!$D$340,D$136,0)</f>
        <v>0.7</v>
      </c>
      <c r="E138" s="26">
        <f ca="1">OFFSET(Графики!$D$340,E$136,0)</f>
        <v>0.79999999999999993</v>
      </c>
      <c r="F138" s="26">
        <f ca="1">OFFSET(Графики!$D$340,F$136,0)</f>
        <v>0.89999999999999991</v>
      </c>
      <c r="G138" s="26">
        <f ca="1">OFFSET(Графики!$D$340,G$136,0)</f>
        <v>0.99999999999999989</v>
      </c>
      <c r="H138" s="26">
        <f ca="1">OFFSET(Графики!$D$340,H$136,0)</f>
        <v>1.0999999999999999</v>
      </c>
      <c r="I138" s="26">
        <f ca="1">OFFSET(Графики!$D$340,I$136,0)</f>
        <v>1.2</v>
      </c>
      <c r="J138" s="26">
        <f ca="1">OFFSET(Графики!$D$340,J$136,0)</f>
        <v>1.3</v>
      </c>
    </row>
    <row r="139" spans="1:22" x14ac:dyDescent="0.2">
      <c r="B139" s="40"/>
      <c r="D139" s="243">
        <f ca="1">OFFSET(Графики!$E$340,D$136,0)</f>
        <v>987107.25566332787</v>
      </c>
      <c r="E139" s="243">
        <f ca="1">OFFSET(Графики!$E$340,E$136,0)</f>
        <v>1106718.6758467481</v>
      </c>
      <c r="F139" s="243">
        <f ca="1">OFFSET(Графики!$E$340,F$136,0)</f>
        <v>1259481.7143149117</v>
      </c>
      <c r="G139" s="243">
        <f ca="1">OFFSET(Графики!$E$340,G$136,0)</f>
        <v>1413734.4105973542</v>
      </c>
      <c r="H139" s="243">
        <f ca="1">OFFSET(Графики!$E$340,H$136,0)</f>
        <v>1569378.8620321108</v>
      </c>
      <c r="I139" s="243">
        <f ca="1">OFFSET(Графики!$E$340,I$136,0)</f>
        <v>1726159.9846181634</v>
      </c>
      <c r="J139" s="243">
        <f ca="1">OFFSET(Графики!$E$340,J$136,0)</f>
        <v>1884320.3401464513</v>
      </c>
    </row>
    <row r="140" spans="1:22" x14ac:dyDescent="0.2">
      <c r="B140" s="40"/>
      <c r="D140" s="266"/>
      <c r="E140" s="266"/>
      <c r="F140" s="266"/>
      <c r="G140" s="266"/>
      <c r="H140" s="266"/>
      <c r="I140" s="266"/>
      <c r="J140" s="266"/>
    </row>
    <row r="141" spans="1:22" x14ac:dyDescent="0.2">
      <c r="B141" s="40"/>
      <c r="C141" s="29" t="str">
        <f>Графики!$C$351</f>
        <v>К рентабельности деятельности резидентов</v>
      </c>
      <c r="D141" s="26">
        <f ca="1">OFFSET(Графики!$D$351,D$136,0)</f>
        <v>0.7</v>
      </c>
      <c r="E141" s="26">
        <f ca="1">OFFSET(Графики!$D$351,E$136,0)</f>
        <v>0.79999999999999993</v>
      </c>
      <c r="F141" s="26">
        <f ca="1">OFFSET(Графики!$D$351,F$136,0)</f>
        <v>0.89999999999999991</v>
      </c>
      <c r="G141" s="26">
        <f ca="1">OFFSET(Графики!$D$351,G$136,0)</f>
        <v>0.99999999999999989</v>
      </c>
      <c r="H141" s="26">
        <f ca="1">OFFSET(Графики!$D$351,H$136,0)</f>
        <v>1.0999999999999999</v>
      </c>
      <c r="I141" s="26">
        <f ca="1">OFFSET(Графики!$D$351,I$136,0)</f>
        <v>1.2</v>
      </c>
      <c r="J141" s="26">
        <f ca="1">OFFSET(Графики!$D$351,J$136,0)</f>
        <v>1.3</v>
      </c>
    </row>
    <row r="142" spans="1:22" x14ac:dyDescent="0.2">
      <c r="B142" s="40"/>
      <c r="D142" s="243">
        <f ca="1">OFFSET(Графики!$E$351,D$136,0)</f>
        <v>1228397.5377888305</v>
      </c>
      <c r="E142" s="243">
        <f ca="1">OFFSET(Графики!$E$351,E$136,0)</f>
        <v>1289913.1599417033</v>
      </c>
      <c r="F142" s="243">
        <f ca="1">OFFSET(Графики!$E$351,F$136,0)</f>
        <v>1351572.987916566</v>
      </c>
      <c r="G142" s="243">
        <f ca="1">OFFSET(Графики!$E$351,G$136,0)</f>
        <v>1413734.4105973542</v>
      </c>
      <c r="H142" s="243">
        <f ca="1">OFFSET(Графики!$E$351,H$136,0)</f>
        <v>1475999.4147108814</v>
      </c>
      <c r="I142" s="243">
        <f ca="1">OFFSET(Графики!$E$351,I$136,0)</f>
        <v>1538291.6514384206</v>
      </c>
      <c r="J142" s="243">
        <f ca="1">OFFSET(Графики!$E$351,J$136,0)</f>
        <v>1600778.5440018333</v>
      </c>
    </row>
    <row r="143" spans="1:22" x14ac:dyDescent="0.2">
      <c r="B143" s="40"/>
      <c r="D143" s="266"/>
      <c r="E143" s="266"/>
      <c r="F143" s="266"/>
      <c r="G143" s="266"/>
      <c r="H143" s="266"/>
      <c r="I143" s="266"/>
      <c r="J143" s="266"/>
    </row>
    <row r="144" spans="1:22" x14ac:dyDescent="0.2">
      <c r="B144" s="40"/>
      <c r="C144" s="29" t="str">
        <f>Графики!$C$362</f>
        <v>К объему бюджетного финансирования проекта</v>
      </c>
      <c r="D144" s="26">
        <f ca="1">OFFSET(Графики!$D$362,D$136,0)</f>
        <v>0.7</v>
      </c>
      <c r="E144" s="26">
        <f ca="1">OFFSET(Графики!$D$362,E$136,0)</f>
        <v>0.79999999999999993</v>
      </c>
      <c r="F144" s="26">
        <f ca="1">OFFSET(Графики!$D$362,F$136,0)</f>
        <v>0.89999999999999991</v>
      </c>
      <c r="G144" s="26">
        <f ca="1">OFFSET(Графики!$D$362,G$136,0)</f>
        <v>0.99999999999999989</v>
      </c>
      <c r="H144" s="26">
        <f ca="1">OFFSET(Графики!$D$362,H$136,0)</f>
        <v>1.0999999999999999</v>
      </c>
      <c r="I144" s="26">
        <f ca="1">OFFSET(Графики!$D$362,I$136,0)</f>
        <v>1.2</v>
      </c>
      <c r="J144" s="26">
        <f ca="1">OFFSET(Графики!$D$362,J$136,0)</f>
        <v>1.3</v>
      </c>
    </row>
    <row r="145" spans="1:22" x14ac:dyDescent="0.2">
      <c r="B145" s="40"/>
      <c r="D145" s="243">
        <f ca="1">OFFSET(Графики!$E$362,D$136,0)</f>
        <v>1498552.029193403</v>
      </c>
      <c r="E145" s="243">
        <f ca="1">OFFSET(Графики!$E$362,E$136,0)</f>
        <v>1470279.4896613865</v>
      </c>
      <c r="F145" s="243">
        <f ca="1">OFFSET(Графики!$E$362,F$136,0)</f>
        <v>1442006.9501293704</v>
      </c>
      <c r="G145" s="243">
        <f ca="1">OFFSET(Графики!$E$362,G$136,0)</f>
        <v>1413734.4105973544</v>
      </c>
      <c r="H145" s="243">
        <f ca="1">OFFSET(Графики!$E$362,H$136,0)</f>
        <v>1385461.8710653381</v>
      </c>
      <c r="I145" s="243">
        <f ca="1">OFFSET(Графики!$E$362,I$136,0)</f>
        <v>1357189.3315333219</v>
      </c>
      <c r="J145" s="243">
        <f ca="1">OFFSET(Графики!$E$362,J$136,0)</f>
        <v>1328916.7920013056</v>
      </c>
    </row>
    <row r="146" spans="1:22" x14ac:dyDescent="0.2">
      <c r="B146" s="40"/>
      <c r="D146" s="266"/>
      <c r="E146" s="266"/>
      <c r="F146" s="266"/>
      <c r="G146" s="266"/>
      <c r="H146" s="266"/>
      <c r="I146" s="266"/>
      <c r="J146" s="266"/>
    </row>
    <row r="147" spans="1:22" x14ac:dyDescent="0.2">
      <c r="B147" s="40"/>
      <c r="C147" s="29" t="str">
        <f>Графики!$C$373</f>
        <v>К заполненности площадей</v>
      </c>
      <c r="D147" s="26">
        <f ca="1">OFFSET(Графики!$D$373,D$136,0)</f>
        <v>0.7</v>
      </c>
      <c r="E147" s="26">
        <f ca="1">OFFSET(Графики!$D$373,E$136,0)</f>
        <v>0.79999999999999993</v>
      </c>
      <c r="F147" s="26">
        <f ca="1">OFFSET(Графики!$D$373,F$136,0)</f>
        <v>0.89999999999999991</v>
      </c>
      <c r="G147" s="26">
        <f ca="1">OFFSET(Графики!$D$373,G$136,0)</f>
        <v>0.99999999999999989</v>
      </c>
      <c r="H147" s="26">
        <f ca="1">OFFSET(Графики!$D$373,H$136,0)</f>
        <v>1.0999999999999999</v>
      </c>
      <c r="I147" s="26">
        <f ca="1">OFFSET(Графики!$D$373,I$136,0)</f>
        <v>1.2</v>
      </c>
      <c r="J147" s="26">
        <f ca="1">OFFSET(Графики!$D$373,J$136,0)</f>
        <v>1.3</v>
      </c>
    </row>
    <row r="148" spans="1:22" x14ac:dyDescent="0.2">
      <c r="B148" s="40"/>
      <c r="D148" s="243">
        <f ca="1">OFFSET(Графики!$E$373,D$136,0)</f>
        <v>921885.07668891619</v>
      </c>
      <c r="E148" s="243">
        <f ca="1">OFFSET(Графики!$E$373,E$136,0)</f>
        <v>1073343.123685708</v>
      </c>
      <c r="F148" s="243">
        <f ca="1">OFFSET(Графики!$E$373,F$136,0)</f>
        <v>1243673.5967000967</v>
      </c>
      <c r="G148" s="243">
        <f ca="1">OFFSET(Графики!$E$373,G$136,0)</f>
        <v>1413734.4105973539</v>
      </c>
      <c r="H148" s="243">
        <f ca="1">OFFSET(Графики!$E$373,H$136,0)</f>
        <v>1584686.1276199808</v>
      </c>
      <c r="I148" s="243">
        <f ca="1">OFFSET(Графики!$E$373,I$136,0)</f>
        <v>1756774.0432647867</v>
      </c>
      <c r="J148" s="243">
        <f ca="1">OFFSET(Графики!$E$373,J$136,0)</f>
        <v>1929231.2539490708</v>
      </c>
    </row>
    <row r="149" spans="1:22" x14ac:dyDescent="0.2">
      <c r="B149" s="40"/>
      <c r="D149" s="266"/>
      <c r="E149" s="266"/>
      <c r="F149" s="266"/>
      <c r="G149" s="266"/>
      <c r="H149" s="266"/>
      <c r="I149" s="266"/>
      <c r="J149" s="266"/>
    </row>
    <row r="150" spans="1:22" x14ac:dyDescent="0.2">
      <c r="B150" s="40"/>
      <c r="C150" s="29" t="str">
        <f>Графики!$C$395</f>
        <v xml:space="preserve"> - </v>
      </c>
      <c r="D150" s="26">
        <f ca="1">OFFSET(Графики!$D$395,D$136,0)</f>
        <v>0.7</v>
      </c>
      <c r="E150" s="26">
        <f ca="1">OFFSET(Графики!$D$395,E$136,0)</f>
        <v>0.79999999999999993</v>
      </c>
      <c r="F150" s="26">
        <f ca="1">OFFSET(Графики!$D$395,F$136,0)</f>
        <v>0.89999999999999991</v>
      </c>
      <c r="G150" s="26">
        <f ca="1">OFFSET(Графики!$D$395,G$136,0)</f>
        <v>0.99999999999999989</v>
      </c>
      <c r="H150" s="26">
        <f ca="1">OFFSET(Графики!$D$395,H$136,0)</f>
        <v>1.0999999999999999</v>
      </c>
      <c r="I150" s="26">
        <f ca="1">OFFSET(Графики!$D$395,I$136,0)</f>
        <v>1.2</v>
      </c>
      <c r="J150" s="26">
        <f ca="1">OFFSET(Графики!$D$395,J$136,0)</f>
        <v>1.3</v>
      </c>
    </row>
    <row r="151" spans="1:22" x14ac:dyDescent="0.2">
      <c r="B151" s="40"/>
      <c r="D151" s="243">
        <f ca="1">OFFSET(Графики!$E$395,D$136,0)</f>
        <v>1413734.4105973544</v>
      </c>
      <c r="E151" s="243">
        <f ca="1">OFFSET(Графики!$E$395,E$136,0)</f>
        <v>1413734.4105973544</v>
      </c>
      <c r="F151" s="243">
        <f ca="1">OFFSET(Графики!$E$395,F$136,0)</f>
        <v>1413734.4105973544</v>
      </c>
      <c r="G151" s="243">
        <f ca="1">OFFSET(Графики!$E$395,G$136,0)</f>
        <v>1413734.4105973544</v>
      </c>
      <c r="H151" s="243">
        <f ca="1">OFFSET(Графики!$E$395,H$136,0)</f>
        <v>1413734.4105973544</v>
      </c>
      <c r="I151" s="243">
        <f ca="1">OFFSET(Графики!$E$395,I$136,0)</f>
        <v>1413734.4105973544</v>
      </c>
      <c r="J151" s="243">
        <f ca="1">OFFSET(Графики!$E$395,J$136,0)</f>
        <v>1413734.4105973544</v>
      </c>
    </row>
    <row r="152" spans="1:22" x14ac:dyDescent="0.2">
      <c r="B152" s="40"/>
    </row>
    <row r="153" spans="1:22" x14ac:dyDescent="0.2">
      <c r="B153" s="40"/>
    </row>
    <row r="154" spans="1:22" x14ac:dyDescent="0.2">
      <c r="B154" s="40"/>
    </row>
    <row r="155" spans="1:22" x14ac:dyDescent="0.2">
      <c r="B155" s="40"/>
    </row>
    <row r="156" spans="1:22" x14ac:dyDescent="0.2">
      <c r="B156" s="40"/>
    </row>
    <row r="157" spans="1:22" x14ac:dyDescent="0.2">
      <c r="B157" s="40"/>
    </row>
    <row r="158" spans="1:22" ht="12" thickBot="1" x14ac:dyDescent="0.25">
      <c r="B158" s="40"/>
    </row>
    <row r="159" spans="1:22" ht="25.5" customHeight="1" thickBot="1" x14ac:dyDescent="0.25">
      <c r="A159" s="493" t="s">
        <v>382</v>
      </c>
      <c r="B159" s="486"/>
      <c r="C159" s="492"/>
      <c r="D159" s="492"/>
      <c r="E159" s="492"/>
      <c r="F159" s="492"/>
      <c r="G159" s="492"/>
      <c r="H159" s="492"/>
      <c r="I159" s="492"/>
      <c r="J159" s="495" t="str">
        <f>"IRR, %"</f>
        <v>IRR, %</v>
      </c>
      <c r="K159" s="494"/>
      <c r="L159" s="494"/>
      <c r="M159" s="494"/>
      <c r="N159" s="494"/>
      <c r="O159" s="494"/>
      <c r="P159" s="494"/>
      <c r="Q159" s="494"/>
      <c r="R159" s="494"/>
      <c r="S159" s="494"/>
      <c r="T159" s="494"/>
      <c r="U159" s="494"/>
      <c r="V159" s="494"/>
    </row>
    <row r="160" spans="1:22" x14ac:dyDescent="0.2">
      <c r="B160" s="40"/>
    </row>
    <row r="161" spans="2:22" x14ac:dyDescent="0.2">
      <c r="B161" s="40"/>
    </row>
    <row r="162" spans="2:22" x14ac:dyDescent="0.2">
      <c r="B162" s="40"/>
      <c r="C162" s="29" t="str">
        <f>Графики!$C$319</f>
        <v>Анализ чувствительности</v>
      </c>
      <c r="D162" s="12">
        <v>0</v>
      </c>
      <c r="E162" s="12">
        <v>1</v>
      </c>
      <c r="F162" s="12">
        <v>2</v>
      </c>
      <c r="G162" s="12">
        <v>3</v>
      </c>
      <c r="H162" s="12">
        <v>4</v>
      </c>
      <c r="I162" s="12">
        <v>5</v>
      </c>
      <c r="J162" s="12">
        <v>6</v>
      </c>
      <c r="N162" s="82"/>
      <c r="P162" s="82"/>
      <c r="Q162" s="82"/>
      <c r="R162" s="82"/>
      <c r="S162" s="82"/>
      <c r="T162" s="82"/>
      <c r="U162" s="82"/>
      <c r="V162" s="82"/>
    </row>
    <row r="163" spans="2:22" x14ac:dyDescent="0.2">
      <c r="B163" s="40"/>
      <c r="D163" s="266"/>
      <c r="E163" s="266"/>
      <c r="F163" s="266"/>
      <c r="G163" s="266"/>
      <c r="H163" s="266"/>
      <c r="I163" s="266"/>
      <c r="J163" s="266"/>
      <c r="N163" s="82"/>
    </row>
    <row r="164" spans="2:22" x14ac:dyDescent="0.2">
      <c r="B164" s="40"/>
      <c r="C164" s="29" t="str">
        <f>Графики!$C$340</f>
        <v>К капвложениям резидентов</v>
      </c>
      <c r="D164" s="26">
        <f ca="1">OFFSET(Графики!$D$340,D$136,0)</f>
        <v>0.7</v>
      </c>
      <c r="E164" s="26">
        <f ca="1">OFFSET(Графики!$D$340,E$136,0)</f>
        <v>0.79999999999999993</v>
      </c>
      <c r="F164" s="26">
        <f ca="1">OFFSET(Графики!$D$340,F$136,0)</f>
        <v>0.89999999999999991</v>
      </c>
      <c r="G164" s="26">
        <f ca="1">OFFSET(Графики!$D$340,G$136,0)</f>
        <v>0.99999999999999989</v>
      </c>
      <c r="H164" s="26">
        <f ca="1">OFFSET(Графики!$D$340,H$136,0)</f>
        <v>1.0999999999999999</v>
      </c>
      <c r="I164" s="26">
        <f ca="1">OFFSET(Графики!$D$340,I$136,0)</f>
        <v>1.2</v>
      </c>
      <c r="J164" s="26">
        <f ca="1">OFFSET(Графики!$D$340,J$136,0)</f>
        <v>1.3</v>
      </c>
      <c r="N164" s="82"/>
    </row>
    <row r="165" spans="2:22" x14ac:dyDescent="0.2">
      <c r="B165" s="40"/>
      <c r="D165" s="320">
        <f ca="1">OFFSET(Графики!$F$340,D$136,0)</f>
        <v>1106474.7214560679</v>
      </c>
      <c r="E165" s="320">
        <f ca="1">OFFSET(Графики!$F$340,E$136,0)</f>
        <v>1176441.2101369626</v>
      </c>
      <c r="F165" s="320">
        <f ca="1">OFFSET(Графики!$F$340,F$136,0)</f>
        <v>1246470.1601335788</v>
      </c>
      <c r="G165" s="320">
        <f ca="1">OFFSET(Графики!$F$340,G$136,0)</f>
        <v>1316555.864187059</v>
      </c>
      <c r="H165" s="320">
        <f ca="1">OFFSET(Графики!$F$340,H$136,0)</f>
        <v>1386701.35700886</v>
      </c>
      <c r="I165" s="320">
        <f ca="1">OFFSET(Графики!$F$340,I$136,0)</f>
        <v>1456907.1325597765</v>
      </c>
      <c r="J165" s="320">
        <f ca="1">OFFSET(Графики!$F$340,J$136,0)</f>
        <v>1527173.6902459331</v>
      </c>
      <c r="N165" s="82"/>
    </row>
    <row r="166" spans="2:22" x14ac:dyDescent="0.2">
      <c r="B166" s="40"/>
      <c r="D166" s="266"/>
      <c r="E166" s="266"/>
      <c r="F166" s="266"/>
      <c r="G166" s="266"/>
      <c r="H166" s="266"/>
      <c r="I166" s="266"/>
      <c r="J166" s="266"/>
      <c r="N166" s="82"/>
    </row>
    <row r="167" spans="2:22" x14ac:dyDescent="0.2">
      <c r="B167" s="40"/>
      <c r="C167" s="29" t="str">
        <f>Графики!$C$351</f>
        <v>К рентабельности деятельности резидентов</v>
      </c>
      <c r="D167" s="26">
        <f ca="1">OFFSET(Графики!$D$351,D$136,0)</f>
        <v>0.7</v>
      </c>
      <c r="E167" s="26">
        <f ca="1">OFFSET(Графики!$D$351,E$136,0)</f>
        <v>0.79999999999999993</v>
      </c>
      <c r="F167" s="26">
        <f ca="1">OFFSET(Графики!$D$351,F$136,0)</f>
        <v>0.89999999999999991</v>
      </c>
      <c r="G167" s="26">
        <f ca="1">OFFSET(Графики!$D$351,G$136,0)</f>
        <v>0.99999999999999989</v>
      </c>
      <c r="H167" s="26">
        <f ca="1">OFFSET(Графики!$D$351,H$136,0)</f>
        <v>1.0999999999999999</v>
      </c>
      <c r="I167" s="26">
        <f ca="1">OFFSET(Графики!$D$351,I$136,0)</f>
        <v>1.2</v>
      </c>
      <c r="J167" s="26">
        <f ca="1">OFFSET(Графики!$D$351,J$136,0)</f>
        <v>1.3</v>
      </c>
      <c r="N167" s="82"/>
    </row>
    <row r="168" spans="2:22" x14ac:dyDescent="0.2">
      <c r="B168" s="40"/>
      <c r="D168" s="320">
        <f ca="1">OFFSET(Графики!$F$351,D$136,0)</f>
        <v>1112995.7508293041</v>
      </c>
      <c r="E168" s="320">
        <f ca="1">OFFSET(Графики!$F$351,E$136,0)</f>
        <v>1180824.7325942223</v>
      </c>
      <c r="F168" s="320">
        <f ca="1">OFFSET(Графики!$F$351,F$136,0)</f>
        <v>1248678.0743977188</v>
      </c>
      <c r="G168" s="320">
        <f ca="1">OFFSET(Графики!$F$351,G$136,0)</f>
        <v>1316555.864187059</v>
      </c>
      <c r="H168" s="320">
        <f ca="1">OFFSET(Графики!$F$351,H$136,0)</f>
        <v>1384458.1903325368</v>
      </c>
      <c r="I168" s="320">
        <f ca="1">OFFSET(Графики!$F$351,I$136,0)</f>
        <v>1452385.1416300512</v>
      </c>
      <c r="J168" s="320">
        <f ca="1">OFFSET(Графики!$F$351,J$136,0)</f>
        <v>1520336.80730362</v>
      </c>
      <c r="N168" s="82"/>
    </row>
    <row r="169" spans="2:22" x14ac:dyDescent="0.2">
      <c r="B169" s="40"/>
      <c r="D169" s="266"/>
      <c r="E169" s="266"/>
      <c r="F169" s="266"/>
      <c r="G169" s="266"/>
      <c r="H169" s="266"/>
      <c r="I169" s="266"/>
      <c r="J169" s="266"/>
      <c r="N169" s="82"/>
    </row>
    <row r="170" spans="2:22" x14ac:dyDescent="0.2">
      <c r="B170" s="40"/>
      <c r="C170" s="29" t="str">
        <f>Графики!$C$362</f>
        <v>К объему бюджетного финансирования проекта</v>
      </c>
      <c r="D170" s="26">
        <f ca="1">OFFSET(Графики!$D$362,D$136,0)</f>
        <v>0.7</v>
      </c>
      <c r="E170" s="26">
        <f ca="1">OFFSET(Графики!$D$362,E$136,0)</f>
        <v>0.79999999999999993</v>
      </c>
      <c r="F170" s="26">
        <f ca="1">OFFSET(Графики!$D$362,F$136,0)</f>
        <v>0.89999999999999991</v>
      </c>
      <c r="G170" s="26">
        <f ca="1">OFFSET(Графики!$D$362,G$136,0)</f>
        <v>0.99999999999999989</v>
      </c>
      <c r="H170" s="26">
        <f ca="1">OFFSET(Графики!$D$362,H$136,0)</f>
        <v>1.0999999999999999</v>
      </c>
      <c r="I170" s="26">
        <f ca="1">OFFSET(Графики!$D$362,I$136,0)</f>
        <v>1.2</v>
      </c>
      <c r="J170" s="26">
        <f ca="1">OFFSET(Графики!$D$362,J$136,0)</f>
        <v>1.3</v>
      </c>
    </row>
    <row r="171" spans="2:22" x14ac:dyDescent="0.2">
      <c r="B171" s="40"/>
      <c r="D171" s="320">
        <f ca="1">OFFSET(Графики!$F$362,D$136,0)</f>
        <v>1316555.8641870592</v>
      </c>
      <c r="E171" s="320">
        <f ca="1">OFFSET(Графики!$F$362,E$136,0)</f>
        <v>1316555.8641870592</v>
      </c>
      <c r="F171" s="320">
        <f ca="1">OFFSET(Графики!$F$362,F$136,0)</f>
        <v>1316555.8641870592</v>
      </c>
      <c r="G171" s="320">
        <f ca="1">OFFSET(Графики!$F$362,G$136,0)</f>
        <v>1316555.8641870592</v>
      </c>
      <c r="H171" s="320">
        <f ca="1">OFFSET(Графики!$F$362,H$136,0)</f>
        <v>1316555.8641870592</v>
      </c>
      <c r="I171" s="320">
        <f ca="1">OFFSET(Графики!$F$362,I$136,0)</f>
        <v>1316555.8641870592</v>
      </c>
      <c r="J171" s="320">
        <f ca="1">OFFSET(Графики!$F$362,J$136,0)</f>
        <v>1316555.8641870592</v>
      </c>
    </row>
    <row r="172" spans="2:22" x14ac:dyDescent="0.2">
      <c r="B172" s="40"/>
      <c r="D172" s="266"/>
      <c r="E172" s="266"/>
      <c r="F172" s="266"/>
      <c r="G172" s="266"/>
      <c r="H172" s="266"/>
      <c r="I172" s="266"/>
      <c r="J172" s="266"/>
    </row>
    <row r="173" spans="2:22" x14ac:dyDescent="0.2">
      <c r="B173" s="40"/>
      <c r="C173" s="29" t="str">
        <f>Графики!$C$373</f>
        <v>К заполненности площадей</v>
      </c>
      <c r="D173" s="26">
        <f ca="1">OFFSET(Графики!$D$373,D$136,0)</f>
        <v>0.7</v>
      </c>
      <c r="E173" s="26">
        <f ca="1">OFFSET(Графики!$D$373,E$136,0)</f>
        <v>0.79999999999999993</v>
      </c>
      <c r="F173" s="26">
        <f ca="1">OFFSET(Графики!$D$373,F$136,0)</f>
        <v>0.89999999999999991</v>
      </c>
      <c r="G173" s="26">
        <f ca="1">OFFSET(Графики!$D$373,G$136,0)</f>
        <v>0.99999999999999989</v>
      </c>
      <c r="H173" s="26">
        <f ca="1">OFFSET(Графики!$D$373,H$136,0)</f>
        <v>1.0999999999999999</v>
      </c>
      <c r="I173" s="26">
        <f ca="1">OFFSET(Графики!$D$373,I$136,0)</f>
        <v>1.2</v>
      </c>
      <c r="J173" s="26">
        <f ca="1">OFFSET(Графики!$D$373,J$136,0)</f>
        <v>1.3</v>
      </c>
    </row>
    <row r="174" spans="2:22" x14ac:dyDescent="0.2">
      <c r="B174" s="40"/>
      <c r="D174" s="320">
        <f ca="1">OFFSET(Графики!$F$373,D$136,0)</f>
        <v>928138.50273384398</v>
      </c>
      <c r="E174" s="320">
        <f ca="1">OFFSET(Графики!$F$373,E$136,0)</f>
        <v>1058065.9832039683</v>
      </c>
      <c r="F174" s="320">
        <f ca="1">OFFSET(Графики!$F$373,F$136,0)</f>
        <v>1187658.6169984017</v>
      </c>
      <c r="G174" s="320">
        <f ca="1">OFFSET(Графики!$F$373,G$136,0)</f>
        <v>1316555.864187059</v>
      </c>
      <c r="H174" s="320">
        <f ca="1">OFFSET(Графики!$F$373,H$136,0)</f>
        <v>1445728.3709545461</v>
      </c>
      <c r="I174" s="320">
        <f ca="1">OFFSET(Графики!$F$373,I$136,0)</f>
        <v>1575323.6931178449</v>
      </c>
      <c r="J174" s="320">
        <f ca="1">OFFSET(Графики!$F$373,J$136,0)</f>
        <v>1705118.2991632244</v>
      </c>
    </row>
    <row r="175" spans="2:22" x14ac:dyDescent="0.2">
      <c r="B175" s="40"/>
      <c r="D175" s="266"/>
      <c r="E175" s="266"/>
      <c r="F175" s="266"/>
      <c r="G175" s="266"/>
      <c r="H175" s="266"/>
      <c r="I175" s="266"/>
      <c r="J175" s="266"/>
    </row>
    <row r="176" spans="2:22" x14ac:dyDescent="0.2">
      <c r="B176" s="40"/>
      <c r="C176" s="29" t="str">
        <f>Графики!$C$395</f>
        <v xml:space="preserve"> - </v>
      </c>
      <c r="D176" s="26">
        <f ca="1">OFFSET(Графики!$D$395,D$136,0)</f>
        <v>0.7</v>
      </c>
      <c r="E176" s="26">
        <f ca="1">OFFSET(Графики!$D$395,E$136,0)</f>
        <v>0.79999999999999993</v>
      </c>
      <c r="F176" s="26">
        <f ca="1">OFFSET(Графики!$D$395,F$136,0)</f>
        <v>0.89999999999999991</v>
      </c>
      <c r="G176" s="26">
        <f ca="1">OFFSET(Графики!$D$395,G$136,0)</f>
        <v>0.99999999999999989</v>
      </c>
      <c r="H176" s="26">
        <f ca="1">OFFSET(Графики!$D$395,H$136,0)</f>
        <v>1.0999999999999999</v>
      </c>
      <c r="I176" s="26">
        <f ca="1">OFFSET(Графики!$D$395,I$136,0)</f>
        <v>1.2</v>
      </c>
      <c r="J176" s="26">
        <f ca="1">OFFSET(Графики!$D$395,J$136,0)</f>
        <v>1.3</v>
      </c>
    </row>
    <row r="177" spans="1:22" x14ac:dyDescent="0.2">
      <c r="B177" s="40"/>
      <c r="D177" s="320">
        <f ca="1">OFFSET(Графики!$F$395,D$136,0)</f>
        <v>1316555.8641870592</v>
      </c>
      <c r="E177" s="320">
        <f ca="1">OFFSET(Графики!$F$395,E$136,0)</f>
        <v>1316555.8641870592</v>
      </c>
      <c r="F177" s="320">
        <f ca="1">OFFSET(Графики!$F$395,F$136,0)</f>
        <v>1316555.8641870592</v>
      </c>
      <c r="G177" s="320">
        <f ca="1">OFFSET(Графики!$F$395,G$136,0)</f>
        <v>1316555.8641870592</v>
      </c>
      <c r="H177" s="320">
        <f ca="1">OFFSET(Графики!$F$395,H$136,0)</f>
        <v>1316555.8641870592</v>
      </c>
      <c r="I177" s="320">
        <f ca="1">OFFSET(Графики!$F$395,I$136,0)</f>
        <v>1316555.8641870592</v>
      </c>
      <c r="J177" s="320">
        <f ca="1">OFFSET(Графики!$F$395,J$136,0)</f>
        <v>1316555.8641870592</v>
      </c>
    </row>
    <row r="178" spans="1:22" x14ac:dyDescent="0.2">
      <c r="B178" s="40"/>
    </row>
    <row r="179" spans="1:22" x14ac:dyDescent="0.2">
      <c r="B179" s="40"/>
    </row>
    <row r="180" spans="1:22" x14ac:dyDescent="0.2">
      <c r="B180" s="40"/>
    </row>
    <row r="181" spans="1:22" x14ac:dyDescent="0.2">
      <c r="B181" s="40"/>
    </row>
    <row r="182" spans="1:22" x14ac:dyDescent="0.2">
      <c r="B182" s="40"/>
    </row>
    <row r="183" spans="1:22" x14ac:dyDescent="0.2">
      <c r="B183" s="40"/>
    </row>
    <row r="184" spans="1:22" ht="12" thickBot="1" x14ac:dyDescent="0.25">
      <c r="B184" s="40"/>
    </row>
    <row r="185" spans="1:22" ht="25.5" customHeight="1" thickBot="1" x14ac:dyDescent="0.25">
      <c r="A185" s="493" t="s">
        <v>383</v>
      </c>
      <c r="B185" s="486"/>
      <c r="C185" s="492"/>
      <c r="D185" s="492"/>
      <c r="E185" s="492"/>
      <c r="F185" s="492"/>
      <c r="G185" s="492"/>
      <c r="H185" s="492"/>
      <c r="I185" s="492"/>
      <c r="J185" s="495" t="str">
        <f>"DPBP, лет / year"</f>
        <v>DPBP, лет / year</v>
      </c>
      <c r="K185" s="494"/>
      <c r="L185" s="494"/>
      <c r="M185" s="494"/>
      <c r="N185" s="494"/>
      <c r="O185" s="494"/>
      <c r="P185" s="494"/>
      <c r="Q185" s="494"/>
      <c r="R185" s="494"/>
      <c r="S185" s="494"/>
      <c r="T185" s="494"/>
      <c r="U185" s="494"/>
      <c r="V185" s="494"/>
    </row>
    <row r="186" spans="1:22" x14ac:dyDescent="0.2">
      <c r="B186" s="40"/>
    </row>
    <row r="187" spans="1:22" x14ac:dyDescent="0.2">
      <c r="B187" s="40"/>
    </row>
    <row r="188" spans="1:22" x14ac:dyDescent="0.2">
      <c r="B188" s="40"/>
      <c r="C188" s="29" t="str">
        <f>Графики!$C$319</f>
        <v>Анализ чувствительности</v>
      </c>
      <c r="D188" s="12">
        <v>0</v>
      </c>
      <c r="E188" s="12">
        <v>1</v>
      </c>
      <c r="F188" s="12">
        <v>2</v>
      </c>
      <c r="G188" s="12">
        <v>3</v>
      </c>
      <c r="H188" s="12">
        <v>4</v>
      </c>
      <c r="I188" s="12">
        <v>5</v>
      </c>
      <c r="J188" s="12">
        <v>6</v>
      </c>
    </row>
    <row r="189" spans="1:22" x14ac:dyDescent="0.2">
      <c r="B189" s="40"/>
      <c r="D189" s="266"/>
      <c r="E189" s="266"/>
      <c r="F189" s="266"/>
      <c r="G189" s="266"/>
      <c r="H189" s="266"/>
      <c r="I189" s="266"/>
      <c r="J189" s="266"/>
    </row>
    <row r="190" spans="1:22" x14ac:dyDescent="0.2">
      <c r="B190" s="40"/>
      <c r="C190" s="29" t="str">
        <f>Графики!$C$340</f>
        <v>К капвложениям резидентов</v>
      </c>
      <c r="D190" s="26">
        <f ca="1">OFFSET(Графики!$D$340,D$136,0)</f>
        <v>0.7</v>
      </c>
      <c r="E190" s="26">
        <f ca="1">OFFSET(Графики!$D$340,E$136,0)</f>
        <v>0.79999999999999993</v>
      </c>
      <c r="F190" s="26">
        <f ca="1">OFFSET(Графики!$D$340,F$136,0)</f>
        <v>0.89999999999999991</v>
      </c>
      <c r="G190" s="26">
        <f ca="1">OFFSET(Графики!$D$340,G$136,0)</f>
        <v>0.99999999999999989</v>
      </c>
      <c r="H190" s="26">
        <f ca="1">OFFSET(Графики!$D$340,H$136,0)</f>
        <v>1.0999999999999999</v>
      </c>
      <c r="I190" s="26">
        <f ca="1">OFFSET(Графики!$D$340,I$136,0)</f>
        <v>1.2</v>
      </c>
      <c r="J190" s="26">
        <f ca="1">OFFSET(Графики!$D$340,J$136,0)</f>
        <v>1.3</v>
      </c>
    </row>
    <row r="191" spans="1:22" x14ac:dyDescent="0.2">
      <c r="B191" s="40"/>
      <c r="D191" s="376">
        <f ca="1">OFFSET(Графики!$G$340,D$136,0)</f>
        <v>109400.42846929323</v>
      </c>
      <c r="E191" s="376">
        <f ca="1">OFFSET(Графики!$G$340,E$136,0)</f>
        <v>109442.22314482387</v>
      </c>
      <c r="F191" s="376">
        <f ca="1">OFFSET(Графики!$G$340,F$136,0)</f>
        <v>109484.56791797475</v>
      </c>
      <c r="G191" s="376">
        <f ca="1">OFFSET(Графики!$G$340,G$136,0)</f>
        <v>109526.91181741741</v>
      </c>
      <c r="H191" s="376">
        <f ca="1">OFFSET(Графики!$G$340,H$136,0)</f>
        <v>109569.48760031397</v>
      </c>
      <c r="I191" s="376">
        <f ca="1">OFFSET(Графики!$G$340,I$136,0)</f>
        <v>109612.2971731141</v>
      </c>
      <c r="J191" s="376">
        <f ca="1">OFFSET(Графики!$G$340,J$136,0)</f>
        <v>109655.34246318616</v>
      </c>
    </row>
    <row r="192" spans="1:22" x14ac:dyDescent="0.2">
      <c r="B192" s="40"/>
      <c r="D192" s="266"/>
      <c r="E192" s="266"/>
      <c r="F192" s="266"/>
      <c r="G192" s="266"/>
      <c r="H192" s="266"/>
      <c r="I192" s="266"/>
      <c r="J192" s="266"/>
    </row>
    <row r="193" spans="2:10" x14ac:dyDescent="0.2">
      <c r="B193" s="40"/>
      <c r="C193" s="29" t="str">
        <f>Графики!$C$351</f>
        <v>К рентабельности деятельности резидентов</v>
      </c>
      <c r="D193" s="26">
        <f ca="1">OFFSET(Графики!$D$351,D$136,0)</f>
        <v>0.7</v>
      </c>
      <c r="E193" s="26">
        <f ca="1">OFFSET(Графики!$D$351,E$136,0)</f>
        <v>0.79999999999999993</v>
      </c>
      <c r="F193" s="26">
        <f ca="1">OFFSET(Графики!$D$351,F$136,0)</f>
        <v>0.89999999999999991</v>
      </c>
      <c r="G193" s="26">
        <f ca="1">OFFSET(Графики!$D$351,G$136,0)</f>
        <v>0.99999999999999989</v>
      </c>
      <c r="H193" s="26">
        <f ca="1">OFFSET(Графики!$D$351,H$136,0)</f>
        <v>1.0999999999999999</v>
      </c>
      <c r="I193" s="26">
        <f ca="1">OFFSET(Графики!$D$351,I$136,0)</f>
        <v>1.2</v>
      </c>
      <c r="J193" s="26">
        <f ca="1">OFFSET(Графики!$D$351,J$136,0)</f>
        <v>1.3</v>
      </c>
    </row>
    <row r="194" spans="2:10" x14ac:dyDescent="0.2">
      <c r="B194" s="40"/>
      <c r="D194" s="376">
        <f ca="1">OFFSET(Графики!$G$351,D$136,0)</f>
        <v>109471.08085818522</v>
      </c>
      <c r="E194" s="376">
        <f ca="1">OFFSET(Графики!$G$351,E$136,0)</f>
        <v>109489.6465764968</v>
      </c>
      <c r="F194" s="376">
        <f ca="1">OFFSET(Графики!$G$351,F$136,0)</f>
        <v>109508.2568428286</v>
      </c>
      <c r="G194" s="376">
        <f ca="1">OFFSET(Графики!$G$351,G$136,0)</f>
        <v>109526.91181741741</v>
      </c>
      <c r="H194" s="376">
        <f ca="1">OFFSET(Графики!$G$351,H$136,0)</f>
        <v>109545.61166126665</v>
      </c>
      <c r="I194" s="376">
        <f ca="1">OFFSET(Графики!$G$351,I$136,0)</f>
        <v>109564.35653615402</v>
      </c>
      <c r="J194" s="376">
        <f ca="1">OFFSET(Графики!$G$351,J$136,0)</f>
        <v>109583.14660463258</v>
      </c>
    </row>
    <row r="195" spans="2:10" x14ac:dyDescent="0.2">
      <c r="B195" s="40"/>
      <c r="D195" s="266"/>
      <c r="E195" s="266"/>
      <c r="F195" s="266"/>
      <c r="G195" s="266"/>
      <c r="H195" s="266"/>
      <c r="I195" s="266"/>
      <c r="J195" s="266"/>
    </row>
    <row r="196" spans="2:10" x14ac:dyDescent="0.2">
      <c r="B196" s="40"/>
      <c r="C196" s="29" t="str">
        <f>Графики!$C$362</f>
        <v>К объему бюджетного финансирования проекта</v>
      </c>
      <c r="D196" s="26">
        <f ca="1">OFFSET(Графики!$D$362,D$136,0)</f>
        <v>0.7</v>
      </c>
      <c r="E196" s="26">
        <f ca="1">OFFSET(Графики!$D$362,E$136,0)</f>
        <v>0.79999999999999993</v>
      </c>
      <c r="F196" s="26">
        <f ca="1">OFFSET(Графики!$D$362,F$136,0)</f>
        <v>0.89999999999999991</v>
      </c>
      <c r="G196" s="26">
        <f ca="1">OFFSET(Графики!$D$362,G$136,0)</f>
        <v>0.99999999999999989</v>
      </c>
      <c r="H196" s="26">
        <f ca="1">OFFSET(Графики!$D$362,H$136,0)</f>
        <v>1.0999999999999999</v>
      </c>
      <c r="I196" s="26">
        <f ca="1">OFFSET(Графики!$D$362,I$136,0)</f>
        <v>1.2</v>
      </c>
      <c r="J196" s="26">
        <f ca="1">OFFSET(Графики!$D$362,J$136,0)</f>
        <v>1.3</v>
      </c>
    </row>
    <row r="197" spans="2:10" x14ac:dyDescent="0.2">
      <c r="B197" s="40"/>
      <c r="D197" s="376">
        <f ca="1">OFFSET(Графики!$G$362,D$136,0)</f>
        <v>109526.91181741741</v>
      </c>
      <c r="E197" s="376">
        <f ca="1">OFFSET(Графики!$G$362,E$136,0)</f>
        <v>109526.91181741741</v>
      </c>
      <c r="F197" s="376">
        <f ca="1">OFFSET(Графики!$G$362,F$136,0)</f>
        <v>109526.91181741741</v>
      </c>
      <c r="G197" s="376">
        <f ca="1">OFFSET(Графики!$G$362,G$136,0)</f>
        <v>109526.91181741741</v>
      </c>
      <c r="H197" s="376">
        <f ca="1">OFFSET(Графики!$G$362,H$136,0)</f>
        <v>109526.91181741741</v>
      </c>
      <c r="I197" s="376">
        <f ca="1">OFFSET(Графики!$G$362,I$136,0)</f>
        <v>109526.91181741741</v>
      </c>
      <c r="J197" s="376">
        <f ca="1">OFFSET(Графики!$G$362,J$136,0)</f>
        <v>109526.91181741741</v>
      </c>
    </row>
    <row r="198" spans="2:10" x14ac:dyDescent="0.2">
      <c r="B198" s="40"/>
      <c r="D198" s="266"/>
      <c r="E198" s="266"/>
      <c r="F198" s="266"/>
      <c r="G198" s="266"/>
      <c r="H198" s="266"/>
      <c r="I198" s="266"/>
      <c r="J198" s="266"/>
    </row>
    <row r="199" spans="2:10" x14ac:dyDescent="0.2">
      <c r="B199" s="40"/>
      <c r="C199" s="29" t="str">
        <f>Графики!$C$373</f>
        <v>К заполненности площадей</v>
      </c>
      <c r="D199" s="26">
        <f ca="1">OFFSET(Графики!$D$373,D$136,0)</f>
        <v>0.7</v>
      </c>
      <c r="E199" s="26">
        <f ca="1">OFFSET(Графики!$D$373,E$136,0)</f>
        <v>0.79999999999999993</v>
      </c>
      <c r="F199" s="26">
        <f ca="1">OFFSET(Графики!$D$373,F$136,0)</f>
        <v>0.89999999999999991</v>
      </c>
      <c r="G199" s="26">
        <f ca="1">OFFSET(Графики!$D$373,G$136,0)</f>
        <v>0.99999999999999989</v>
      </c>
      <c r="H199" s="26">
        <f ca="1">OFFSET(Графики!$D$373,H$136,0)</f>
        <v>1.0999999999999999</v>
      </c>
      <c r="I199" s="26">
        <f ca="1">OFFSET(Графики!$D$373,I$136,0)</f>
        <v>1.2</v>
      </c>
      <c r="J199" s="26">
        <f ca="1">OFFSET(Графики!$D$373,J$136,0)</f>
        <v>1.3</v>
      </c>
    </row>
    <row r="200" spans="2:10" x14ac:dyDescent="0.2">
      <c r="B200" s="40"/>
      <c r="D200" s="376">
        <f ca="1">OFFSET(Графики!$G$373,D$136,0)</f>
        <v>76244.801252871213</v>
      </c>
      <c r="E200" s="376">
        <f ca="1">OFFSET(Графики!$G$373,E$136,0)</f>
        <v>87371.380777976781</v>
      </c>
      <c r="F200" s="376">
        <f ca="1">OFFSET(Графики!$G$373,F$136,0)</f>
        <v>98484.659562666871</v>
      </c>
      <c r="G200" s="376">
        <f ca="1">OFFSET(Графики!$G$373,G$136,0)</f>
        <v>109526.91181741741</v>
      </c>
      <c r="H200" s="376">
        <f ca="1">OFFSET(Графики!$G$373,H$136,0)</f>
        <v>120598.98370477215</v>
      </c>
      <c r="I200" s="376">
        <f ca="1">OFFSET(Графики!$G$373,I$136,0)</f>
        <v>131716.72882566298</v>
      </c>
      <c r="J200" s="376">
        <f ca="1">OFFSET(Графики!$G$373,J$136,0)</f>
        <v>142841.40713780094</v>
      </c>
    </row>
    <row r="201" spans="2:10" x14ac:dyDescent="0.2">
      <c r="B201" s="40"/>
      <c r="D201" s="266"/>
      <c r="E201" s="266"/>
      <c r="F201" s="266"/>
      <c r="G201" s="266"/>
      <c r="H201" s="266"/>
      <c r="I201" s="266"/>
      <c r="J201" s="266"/>
    </row>
    <row r="202" spans="2:10" x14ac:dyDescent="0.2">
      <c r="B202" s="40"/>
      <c r="C202" s="29" t="str">
        <f>Графики!$C$395</f>
        <v xml:space="preserve"> - </v>
      </c>
      <c r="D202" s="26">
        <f ca="1">OFFSET(Графики!$D$395,D$136,0)</f>
        <v>0.7</v>
      </c>
      <c r="E202" s="26">
        <f ca="1">OFFSET(Графики!$D$395,E$136,0)</f>
        <v>0.79999999999999993</v>
      </c>
      <c r="F202" s="26">
        <f ca="1">OFFSET(Графики!$D$395,F$136,0)</f>
        <v>0.89999999999999991</v>
      </c>
      <c r="G202" s="26">
        <f ca="1">OFFSET(Графики!$D$395,G$136,0)</f>
        <v>0.99999999999999989</v>
      </c>
      <c r="H202" s="26">
        <f ca="1">OFFSET(Графики!$D$395,H$136,0)</f>
        <v>1.0999999999999999</v>
      </c>
      <c r="I202" s="26">
        <f ca="1">OFFSET(Графики!$D$395,I$136,0)</f>
        <v>1.2</v>
      </c>
      <c r="J202" s="26">
        <f ca="1">OFFSET(Графики!$D$395,J$136,0)</f>
        <v>1.3</v>
      </c>
    </row>
    <row r="203" spans="2:10" x14ac:dyDescent="0.2">
      <c r="B203" s="40"/>
      <c r="D203" s="376">
        <f ca="1">OFFSET(Графики!$G$395,D$136,0)</f>
        <v>109526.91181741741</v>
      </c>
      <c r="E203" s="376">
        <f ca="1">OFFSET(Графики!$G$395,E$136,0)</f>
        <v>109526.91181741741</v>
      </c>
      <c r="F203" s="376">
        <f ca="1">OFFSET(Графики!$G$395,F$136,0)</f>
        <v>109526.91181741741</v>
      </c>
      <c r="G203" s="376">
        <f ca="1">OFFSET(Графики!$G$395,G$136,0)</f>
        <v>109526.91181741741</v>
      </c>
      <c r="H203" s="376">
        <f ca="1">OFFSET(Графики!$G$395,H$136,0)</f>
        <v>109526.91181741741</v>
      </c>
      <c r="I203" s="376">
        <f ca="1">OFFSET(Графики!$G$395,I$136,0)</f>
        <v>109526.91181741741</v>
      </c>
      <c r="J203" s="376">
        <f ca="1">OFFSET(Графики!$G$395,J$136,0)</f>
        <v>109526.91181741741</v>
      </c>
    </row>
    <row r="204" spans="2:10" x14ac:dyDescent="0.2">
      <c r="B204" s="40"/>
    </row>
    <row r="205" spans="2:10" x14ac:dyDescent="0.2">
      <c r="B205" s="40"/>
    </row>
    <row r="206" spans="2:10" x14ac:dyDescent="0.2">
      <c r="B206" s="40"/>
    </row>
    <row r="207" spans="2:10" x14ac:dyDescent="0.2">
      <c r="B207" s="40"/>
    </row>
    <row r="208" spans="2:10" x14ac:dyDescent="0.2">
      <c r="B208" s="40"/>
    </row>
    <row r="209" spans="1:22" x14ac:dyDescent="0.2">
      <c r="B209" s="40"/>
    </row>
    <row r="210" spans="1:22" x14ac:dyDescent="0.2">
      <c r="B210" s="40"/>
    </row>
    <row r="211" spans="1:22" ht="12" thickBot="1" x14ac:dyDescent="0.25">
      <c r="B211" s="40"/>
    </row>
    <row r="212" spans="1:22" ht="25.5" customHeight="1" thickBot="1" x14ac:dyDescent="0.25">
      <c r="A212" s="493" t="s">
        <v>396</v>
      </c>
      <c r="B212" s="486"/>
      <c r="C212" s="492"/>
      <c r="D212" s="492"/>
      <c r="E212" s="492"/>
      <c r="F212" s="492"/>
      <c r="G212" s="492"/>
      <c r="H212" s="492"/>
      <c r="I212" s="492"/>
      <c r="J212" s="495" t="str">
        <f>"NPV, " &amp;Параметры!$C$126</f>
        <v>NPV, тыс. руб.</v>
      </c>
      <c r="K212" s="494"/>
      <c r="L212" s="494"/>
      <c r="M212" s="494"/>
      <c r="N212" s="494"/>
      <c r="O212" s="494"/>
      <c r="P212" s="494"/>
      <c r="Q212" s="494"/>
      <c r="R212" s="494"/>
      <c r="S212" s="494"/>
      <c r="T212" s="494"/>
      <c r="U212" s="494"/>
      <c r="V212" s="494"/>
    </row>
    <row r="213" spans="1:22" x14ac:dyDescent="0.2">
      <c r="B213" s="40"/>
    </row>
    <row r="214" spans="1:22" x14ac:dyDescent="0.2">
      <c r="B214" s="40"/>
    </row>
    <row r="215" spans="1:22" x14ac:dyDescent="0.2">
      <c r="B215" s="40"/>
      <c r="C215" s="29" t="str">
        <f>Графики!$C$319</f>
        <v>Анализ чувствительности</v>
      </c>
      <c r="D215" s="12">
        <v>0</v>
      </c>
      <c r="E215" s="12">
        <v>1</v>
      </c>
      <c r="F215" s="12">
        <v>2</v>
      </c>
      <c r="G215" s="12">
        <v>3</v>
      </c>
      <c r="H215" s="12">
        <v>4</v>
      </c>
      <c r="I215" s="12">
        <v>5</v>
      </c>
      <c r="J215" s="12">
        <v>6</v>
      </c>
    </row>
    <row r="216" spans="1:22" x14ac:dyDescent="0.2">
      <c r="B216" s="40"/>
      <c r="D216" s="266"/>
      <c r="E216" s="266"/>
      <c r="F216" s="266"/>
      <c r="G216" s="266"/>
      <c r="H216" s="266"/>
      <c r="I216" s="266"/>
      <c r="J216" s="266"/>
    </row>
    <row r="217" spans="1:22" x14ac:dyDescent="0.2">
      <c r="B217" s="40"/>
      <c r="C217" s="29" t="str">
        <f>Графики!C384</f>
        <v>К ставке дисконтирования</v>
      </c>
      <c r="D217" s="377">
        <f ca="1">OFFSET(Графики!$E$384,D$136,0)</f>
        <v>7.0898552293001363E-2</v>
      </c>
      <c r="E217" s="377">
        <f ca="1">OFFSET(Графики!$E$384,E$136,0)</f>
        <v>8.1026916906287272E-2</v>
      </c>
      <c r="F217" s="377">
        <f ca="1">OFFSET(Графики!$E$384,F$136,0)</f>
        <v>9.1155281519573167E-2</v>
      </c>
      <c r="G217" s="377">
        <f ca="1">OFFSET(Графики!$E$384,G$136,0)</f>
        <v>0.10128364613285908</v>
      </c>
      <c r="H217" s="377">
        <f ca="1">OFFSET(Графики!$E$384,H$136,0)</f>
        <v>0.11141201074614498</v>
      </c>
      <c r="I217" s="377">
        <f ca="1">OFFSET(Графики!$E$384,I$136,0)</f>
        <v>0.12154037535943091</v>
      </c>
      <c r="J217" s="377">
        <f ca="1">OFFSET(Графики!$E$384,J$136,0)</f>
        <v>0.13166873997271683</v>
      </c>
    </row>
    <row r="218" spans="1:22" x14ac:dyDescent="0.2">
      <c r="B218" s="40"/>
      <c r="D218" s="376">
        <f ca="1">OFFSET(Графики!$F$384,D$136,0)</f>
        <v>1712063.0077884365</v>
      </c>
      <c r="E218" s="376">
        <f ca="1">OFFSET(Графики!$F$384,E$136,0)</f>
        <v>1604948.057718341</v>
      </c>
      <c r="F218" s="376">
        <f ca="1">OFFSET(Графики!$F$384,F$136,0)</f>
        <v>1505724.9452402382</v>
      </c>
      <c r="G218" s="376">
        <f ca="1">OFFSET(Графики!$F$384,G$136,0)</f>
        <v>1413734.4105973544</v>
      </c>
      <c r="H218" s="376">
        <f ca="1">OFFSET(Графики!$F$384,H$136,0)</f>
        <v>1328378.3558408578</v>
      </c>
      <c r="I218" s="376">
        <f ca="1">OFFSET(Графики!$F$384,I$136,0)</f>
        <v>1249113.6310571004</v>
      </c>
      <c r="J218" s="376">
        <f ca="1">OFFSET(Графики!$F$384,J$136,0)</f>
        <v>1175446.504739302</v>
      </c>
    </row>
    <row r="219" spans="1:22" x14ac:dyDescent="0.2">
      <c r="B219" s="40"/>
      <c r="C219" s="29" t="str">
        <f>Графики!E382</f>
        <v xml:space="preserve">Ставка дисконтирования </v>
      </c>
      <c r="D219" s="266"/>
      <c r="E219" s="266"/>
      <c r="F219" s="266"/>
      <c r="G219" s="266"/>
      <c r="H219" s="266"/>
      <c r="I219" s="266"/>
      <c r="J219" s="266"/>
    </row>
    <row r="220" spans="1:22" x14ac:dyDescent="0.2">
      <c r="B220" s="40"/>
      <c r="D220" s="26"/>
      <c r="E220" s="26"/>
      <c r="F220" s="26"/>
      <c r="G220" s="26"/>
      <c r="H220" s="26"/>
      <c r="I220" s="26"/>
      <c r="J220" s="26"/>
    </row>
    <row r="221" spans="1:22" x14ac:dyDescent="0.2">
      <c r="B221" s="40"/>
      <c r="D221" s="376"/>
      <c r="E221" s="376"/>
      <c r="F221" s="376"/>
      <c r="G221" s="376"/>
      <c r="H221" s="376"/>
      <c r="I221" s="376"/>
      <c r="J221" s="376"/>
    </row>
    <row r="222" spans="1:22" x14ac:dyDescent="0.2">
      <c r="B222" s="40"/>
      <c r="D222" s="266"/>
      <c r="E222" s="266"/>
      <c r="F222" s="266"/>
      <c r="G222" s="266"/>
      <c r="H222" s="266"/>
      <c r="I222" s="266"/>
      <c r="J222" s="266"/>
    </row>
    <row r="223" spans="1:22" x14ac:dyDescent="0.2">
      <c r="B223" s="40"/>
      <c r="D223" s="26"/>
      <c r="E223" s="26"/>
      <c r="F223" s="26"/>
      <c r="G223" s="26"/>
      <c r="H223" s="26"/>
      <c r="I223" s="26"/>
      <c r="J223" s="26"/>
    </row>
    <row r="224" spans="1:22" x14ac:dyDescent="0.2">
      <c r="B224" s="40"/>
      <c r="D224" s="376"/>
      <c r="E224" s="376"/>
      <c r="F224" s="376"/>
      <c r="G224" s="376"/>
      <c r="H224" s="376"/>
      <c r="I224" s="376"/>
      <c r="J224" s="376"/>
    </row>
    <row r="225" spans="1:22" x14ac:dyDescent="0.2">
      <c r="B225" s="40"/>
      <c r="D225" s="266"/>
      <c r="E225" s="266"/>
      <c r="F225" s="266"/>
      <c r="G225" s="266"/>
      <c r="H225" s="266"/>
      <c r="I225" s="266"/>
      <c r="J225" s="266"/>
    </row>
    <row r="226" spans="1:22" x14ac:dyDescent="0.2">
      <c r="B226" s="40"/>
      <c r="D226" s="26"/>
      <c r="E226" s="26"/>
      <c r="F226" s="26"/>
      <c r="G226" s="26"/>
      <c r="H226" s="26"/>
      <c r="I226" s="26"/>
      <c r="J226" s="26"/>
    </row>
    <row r="227" spans="1:22" x14ac:dyDescent="0.2">
      <c r="B227" s="40"/>
      <c r="D227" s="376"/>
      <c r="E227" s="376"/>
      <c r="F227" s="376"/>
      <c r="G227" s="376"/>
      <c r="H227" s="376"/>
      <c r="I227" s="376"/>
      <c r="J227" s="376"/>
    </row>
    <row r="228" spans="1:22" x14ac:dyDescent="0.2">
      <c r="B228" s="40"/>
      <c r="D228" s="266"/>
      <c r="E228" s="266"/>
      <c r="F228" s="266"/>
      <c r="G228" s="266"/>
      <c r="H228" s="266"/>
      <c r="I228" s="266"/>
      <c r="J228" s="266"/>
    </row>
    <row r="229" spans="1:22" x14ac:dyDescent="0.2">
      <c r="B229" s="40"/>
      <c r="D229" s="26"/>
      <c r="E229" s="26"/>
      <c r="F229" s="26"/>
      <c r="G229" s="26"/>
      <c r="H229" s="26"/>
      <c r="I229" s="26"/>
      <c r="J229" s="26"/>
    </row>
    <row r="230" spans="1:22" x14ac:dyDescent="0.2">
      <c r="B230" s="40"/>
      <c r="D230" s="376"/>
      <c r="E230" s="376"/>
      <c r="F230" s="376"/>
      <c r="G230" s="376"/>
      <c r="H230" s="376"/>
      <c r="I230" s="376"/>
      <c r="J230" s="376"/>
    </row>
    <row r="231" spans="1:22" x14ac:dyDescent="0.2">
      <c r="B231" s="40"/>
    </row>
    <row r="232" spans="1:22" x14ac:dyDescent="0.2">
      <c r="B232" s="40"/>
    </row>
    <row r="233" spans="1:22" x14ac:dyDescent="0.2">
      <c r="B233" s="40"/>
    </row>
    <row r="234" spans="1:22" x14ac:dyDescent="0.2">
      <c r="B234" s="40"/>
    </row>
    <row r="235" spans="1:22" x14ac:dyDescent="0.2">
      <c r="B235" s="40"/>
    </row>
    <row r="236" spans="1:22" x14ac:dyDescent="0.2">
      <c r="B236" s="40"/>
    </row>
    <row r="237" spans="1:22" ht="12" thickBot="1" x14ac:dyDescent="0.25">
      <c r="B237" s="40"/>
    </row>
    <row r="238" spans="1:22" ht="25.5" customHeight="1" thickBot="1" x14ac:dyDescent="0.25">
      <c r="A238" s="493" t="s">
        <v>397</v>
      </c>
      <c r="B238" s="486"/>
      <c r="C238" s="492"/>
      <c r="D238" s="492"/>
      <c r="E238" s="492"/>
      <c r="F238" s="492"/>
      <c r="G238" s="492"/>
      <c r="H238" s="492"/>
      <c r="I238" s="492"/>
      <c r="J238" s="495" t="str">
        <f>"DPBP, лет / year"</f>
        <v>DPBP, лет / year</v>
      </c>
      <c r="K238" s="494"/>
      <c r="L238" s="494"/>
      <c r="M238" s="494"/>
      <c r="N238" s="494"/>
      <c r="O238" s="494"/>
      <c r="P238" s="494"/>
      <c r="Q238" s="494"/>
      <c r="R238" s="494"/>
      <c r="S238" s="494"/>
      <c r="T238" s="494"/>
      <c r="U238" s="494"/>
      <c r="V238" s="494"/>
    </row>
    <row r="239" spans="1:22" x14ac:dyDescent="0.2">
      <c r="B239" s="40"/>
    </row>
    <row r="240" spans="1:22" x14ac:dyDescent="0.2">
      <c r="B240" s="40"/>
    </row>
    <row r="241" spans="2:10" x14ac:dyDescent="0.2">
      <c r="B241" s="40"/>
      <c r="C241" s="29" t="str">
        <f>Графики!$C$319</f>
        <v>Анализ чувствительности</v>
      </c>
      <c r="D241" s="12">
        <v>0</v>
      </c>
      <c r="E241" s="12">
        <v>1</v>
      </c>
      <c r="F241" s="12">
        <v>2</v>
      </c>
      <c r="G241" s="12">
        <v>3</v>
      </c>
      <c r="H241" s="12">
        <v>4</v>
      </c>
      <c r="I241" s="12">
        <v>5</v>
      </c>
      <c r="J241" s="12">
        <v>6</v>
      </c>
    </row>
    <row r="242" spans="2:10" x14ac:dyDescent="0.2">
      <c r="B242" s="40"/>
      <c r="D242" s="266"/>
      <c r="E242" s="266"/>
      <c r="F242" s="266"/>
      <c r="G242" s="266"/>
      <c r="H242" s="266"/>
      <c r="I242" s="266"/>
      <c r="J242" s="266"/>
    </row>
    <row r="243" spans="2:10" x14ac:dyDescent="0.2">
      <c r="B243" s="40"/>
      <c r="C243" s="29" t="str">
        <f>Графики!C384</f>
        <v>К ставке дисконтирования</v>
      </c>
      <c r="D243" s="377">
        <f ca="1">OFFSET(Графики!$E$384,D$136,0)</f>
        <v>7.0898552293001363E-2</v>
      </c>
      <c r="E243" s="377">
        <f ca="1">OFFSET(Графики!$E$384,E$136,0)</f>
        <v>8.1026916906287272E-2</v>
      </c>
      <c r="F243" s="377">
        <f ca="1">OFFSET(Графики!$E$384,F$136,0)</f>
        <v>9.1155281519573167E-2</v>
      </c>
      <c r="G243" s="377">
        <f ca="1">OFFSET(Графики!$E$384,G$136,0)</f>
        <v>0.10128364613285908</v>
      </c>
      <c r="H243" s="377">
        <f ca="1">OFFSET(Графики!$E$384,H$136,0)</f>
        <v>0.11141201074614498</v>
      </c>
      <c r="I243" s="377">
        <f ca="1">OFFSET(Графики!$E$384,I$136,0)</f>
        <v>0.12154037535943091</v>
      </c>
      <c r="J243" s="377">
        <f ca="1">OFFSET(Графики!$E$384,J$136,0)</f>
        <v>0.13166873997271683</v>
      </c>
    </row>
    <row r="244" spans="2:10" x14ac:dyDescent="0.2">
      <c r="B244" s="40"/>
      <c r="D244" s="376">
        <f ca="1">OFFSET(Графики!$H$384,D$136,0)</f>
        <v>128110.1822561372</v>
      </c>
      <c r="E244" s="376">
        <f ca="1">OFFSET(Графики!$H$384,E$136,0)</f>
        <v>121479.45204014478</v>
      </c>
      <c r="F244" s="376">
        <f ca="1">OFFSET(Графики!$H$384,F$136,0)</f>
        <v>115296.92070813473</v>
      </c>
      <c r="G244" s="376">
        <f ca="1">OFFSET(Графики!$H$384,G$136,0)</f>
        <v>109526.91181741741</v>
      </c>
      <c r="H244" s="376">
        <f ca="1">OFFSET(Графики!$H$384,H$136,0)</f>
        <v>104136.96733948385</v>
      </c>
      <c r="I244" s="376">
        <f ca="1">OFFSET(Графики!$H$384,I$136,0)</f>
        <v>99097.525932987512</v>
      </c>
      <c r="J244" s="376">
        <f ca="1">OFFSET(Графики!$H$384,J$136,0)</f>
        <v>94381.63632285966</v>
      </c>
    </row>
    <row r="245" spans="2:10" x14ac:dyDescent="0.2">
      <c r="B245" s="40"/>
      <c r="C245" s="29" t="str">
        <f>Графики!E382</f>
        <v xml:space="preserve">Ставка дисконтирования </v>
      </c>
      <c r="D245" s="266"/>
      <c r="E245" s="266"/>
      <c r="F245" s="266"/>
      <c r="G245" s="266"/>
      <c r="H245" s="266"/>
      <c r="I245" s="266"/>
      <c r="J245" s="266"/>
    </row>
    <row r="246" spans="2:10" x14ac:dyDescent="0.2">
      <c r="B246" s="40"/>
    </row>
    <row r="247" spans="2:10" x14ac:dyDescent="0.2">
      <c r="B247" s="40"/>
    </row>
    <row r="248" spans="2:10" x14ac:dyDescent="0.2">
      <c r="B248" s="40"/>
    </row>
    <row r="249" spans="2:10" x14ac:dyDescent="0.2">
      <c r="B249" s="40"/>
    </row>
    <row r="250" spans="2:10" x14ac:dyDescent="0.2">
      <c r="B250" s="40"/>
    </row>
    <row r="251" spans="2:10" x14ac:dyDescent="0.2">
      <c r="B251" s="40"/>
    </row>
    <row r="252" spans="2:10" x14ac:dyDescent="0.2">
      <c r="B252" s="40"/>
    </row>
    <row r="253" spans="2:10" x14ac:dyDescent="0.2">
      <c r="B253" s="40"/>
    </row>
    <row r="254" spans="2:10" x14ac:dyDescent="0.2">
      <c r="B254" s="40"/>
    </row>
    <row r="255" spans="2:10" x14ac:dyDescent="0.2">
      <c r="B255" s="40"/>
    </row>
    <row r="256" spans="2:10" x14ac:dyDescent="0.2">
      <c r="B256" s="40"/>
    </row>
    <row r="257" spans="1:22" x14ac:dyDescent="0.2">
      <c r="B257" s="40"/>
    </row>
    <row r="258" spans="1:22" x14ac:dyDescent="0.2">
      <c r="B258" s="40"/>
    </row>
    <row r="259" spans="1:22" x14ac:dyDescent="0.2">
      <c r="B259" s="40"/>
    </row>
    <row r="260" spans="1:22" x14ac:dyDescent="0.2">
      <c r="B260" s="40"/>
    </row>
    <row r="261" spans="1:22" x14ac:dyDescent="0.2">
      <c r="B261" s="40"/>
    </row>
    <row r="262" spans="1:22" x14ac:dyDescent="0.2">
      <c r="B262" s="40"/>
    </row>
    <row r="263" spans="1:22" ht="12" thickBot="1" x14ac:dyDescent="0.25">
      <c r="B263" s="40"/>
    </row>
    <row r="264" spans="1:22" ht="25.5" customHeight="1" thickBot="1" x14ac:dyDescent="0.25">
      <c r="A264" s="493" t="s">
        <v>439</v>
      </c>
      <c r="B264" s="486"/>
      <c r="C264" s="492"/>
      <c r="D264" s="492"/>
      <c r="E264" s="492"/>
      <c r="F264" s="492"/>
      <c r="G264" s="492"/>
      <c r="H264" s="492"/>
      <c r="I264" s="492"/>
      <c r="J264" s="495" t="str">
        <f>"NPV, " &amp;Параметры!$C$126</f>
        <v>NPV, тыс. руб.</v>
      </c>
      <c r="K264" s="494"/>
      <c r="L264" s="494"/>
      <c r="M264" s="494"/>
      <c r="N264" s="494"/>
      <c r="O264" s="494"/>
      <c r="P264" s="494"/>
      <c r="Q264" s="494"/>
      <c r="R264" s="494"/>
      <c r="S264" s="494"/>
      <c r="T264" s="494"/>
      <c r="U264" s="494"/>
      <c r="V264" s="494"/>
    </row>
    <row r="265" spans="1:22" x14ac:dyDescent="0.2">
      <c r="B265" s="40"/>
    </row>
    <row r="266" spans="1:22" x14ac:dyDescent="0.2">
      <c r="B266" s="40"/>
    </row>
    <row r="267" spans="1:22" x14ac:dyDescent="0.2">
      <c r="B267" s="40"/>
      <c r="C267" s="29" t="str">
        <f>Графики!$C$319</f>
        <v>Анализ чувствительности</v>
      </c>
      <c r="D267" s="12">
        <v>0</v>
      </c>
      <c r="E267" s="12">
        <v>1</v>
      </c>
      <c r="F267" s="12">
        <v>2</v>
      </c>
      <c r="G267" s="12">
        <v>3</v>
      </c>
      <c r="H267" s="12">
        <v>4</v>
      </c>
      <c r="I267" s="12">
        <v>5</v>
      </c>
      <c r="J267" s="12">
        <v>6</v>
      </c>
    </row>
    <row r="268" spans="1:22" x14ac:dyDescent="0.2">
      <c r="B268" s="40"/>
      <c r="D268" s="266"/>
      <c r="E268" s="266"/>
      <c r="F268" s="266"/>
      <c r="G268" s="266"/>
      <c r="H268" s="266"/>
      <c r="I268" s="266"/>
      <c r="J268" s="266"/>
    </row>
    <row r="269" spans="1:22" ht="22.5" x14ac:dyDescent="0.2">
      <c r="B269" s="40"/>
      <c r="C269" s="43" t="str">
        <f>Графики!C406</f>
        <v>К курсам валют</v>
      </c>
      <c r="D269" s="378" t="str">
        <f ca="1">OFFSET(Графики!$E$406,D$136,0)</f>
        <v xml:space="preserve">78,50
92,40   </v>
      </c>
      <c r="E269" s="378" t="str">
        <f ca="1">OFFSET(Графики!$E$406,E$136,0)</f>
        <v xml:space="preserve">78,50
92,40   </v>
      </c>
      <c r="F269" s="378" t="str">
        <f ca="1">OFFSET(Графики!$E$406,F$136,0)</f>
        <v xml:space="preserve">78,50
92,40   </v>
      </c>
      <c r="G269" s="378" t="str">
        <f ca="1">OFFSET(Графики!$E$406,G$136,0)</f>
        <v xml:space="preserve">78,50
92,40   </v>
      </c>
      <c r="H269" s="378" t="str">
        <f ca="1">OFFSET(Графики!$E$406,H$136,0)</f>
        <v xml:space="preserve">78,50
92,40   </v>
      </c>
      <c r="I269" s="378" t="str">
        <f ca="1">OFFSET(Графики!$E$406,I$136,0)</f>
        <v xml:space="preserve">78,50
92,40   </v>
      </c>
      <c r="J269" s="378" t="str">
        <f ca="1">OFFSET(Графики!$E$406,J$136,0)</f>
        <v xml:space="preserve">78,50
92,40   </v>
      </c>
    </row>
    <row r="270" spans="1:22" x14ac:dyDescent="0.2">
      <c r="B270" s="40"/>
      <c r="D270" s="376">
        <f ca="1">OFFSET(Графики!$F$406,D$136,0)</f>
        <v>1413734.4105973544</v>
      </c>
      <c r="E270" s="376">
        <f ca="1">OFFSET(Графики!$F$406,E$136,0)</f>
        <v>1413734.4105973544</v>
      </c>
      <c r="F270" s="376">
        <f ca="1">OFFSET(Графики!$F$406,F$136,0)</f>
        <v>1413734.4105973544</v>
      </c>
      <c r="G270" s="376">
        <f ca="1">OFFSET(Графики!$F$406,G$136,0)</f>
        <v>1413734.4105973544</v>
      </c>
      <c r="H270" s="376">
        <f ca="1">OFFSET(Графики!$F$406,H$136,0)</f>
        <v>1413734.4105973544</v>
      </c>
      <c r="I270" s="376">
        <f ca="1">OFFSET(Графики!$F$406,I$136,0)</f>
        <v>1413734.4105973544</v>
      </c>
      <c r="J270" s="376">
        <f ca="1">OFFSET(Графики!$F$406,J$136,0)</f>
        <v>1413734.4105973544</v>
      </c>
    </row>
    <row r="271" spans="1:22" x14ac:dyDescent="0.2">
      <c r="B271" s="40"/>
      <c r="C271" s="29" t="str">
        <f>Графики!E404</f>
        <v>Курсы валют: 
тыс. руб. / тыс. $
тыс. руб. / тыс. EUR</v>
      </c>
      <c r="D271" s="266"/>
      <c r="E271" s="266"/>
      <c r="F271" s="266"/>
      <c r="G271" s="266"/>
      <c r="H271" s="266"/>
      <c r="I271" s="266"/>
      <c r="J271" s="266"/>
    </row>
    <row r="272" spans="1:22" x14ac:dyDescent="0.2">
      <c r="B272" s="40"/>
    </row>
    <row r="273" spans="2:2" x14ac:dyDescent="0.2">
      <c r="B273" s="40"/>
    </row>
    <row r="274" spans="2:2" x14ac:dyDescent="0.2">
      <c r="B274" s="40"/>
    </row>
    <row r="275" spans="2:2" x14ac:dyDescent="0.2">
      <c r="B275" s="40"/>
    </row>
    <row r="276" spans="2:2" x14ac:dyDescent="0.2">
      <c r="B276" s="40"/>
    </row>
    <row r="277" spans="2:2" x14ac:dyDescent="0.2">
      <c r="B277" s="40"/>
    </row>
    <row r="278" spans="2:2" x14ac:dyDescent="0.2">
      <c r="B278" s="40"/>
    </row>
    <row r="279" spans="2:2" x14ac:dyDescent="0.2">
      <c r="B279" s="40"/>
    </row>
    <row r="280" spans="2:2" x14ac:dyDescent="0.2">
      <c r="B280" s="40"/>
    </row>
    <row r="281" spans="2:2" x14ac:dyDescent="0.2">
      <c r="B281" s="40"/>
    </row>
    <row r="282" spans="2:2" x14ac:dyDescent="0.2">
      <c r="B282" s="40"/>
    </row>
    <row r="283" spans="2:2" x14ac:dyDescent="0.2">
      <c r="B283" s="40"/>
    </row>
    <row r="284" spans="2:2" x14ac:dyDescent="0.2">
      <c r="B284" s="40"/>
    </row>
    <row r="285" spans="2:2" x14ac:dyDescent="0.2">
      <c r="B285" s="40"/>
    </row>
    <row r="286" spans="2:2" x14ac:dyDescent="0.2">
      <c r="B286" s="40"/>
    </row>
    <row r="287" spans="2:2" x14ac:dyDescent="0.2">
      <c r="B287" s="40"/>
    </row>
    <row r="288" spans="2:2" x14ac:dyDescent="0.2">
      <c r="B288" s="40"/>
    </row>
    <row r="289" spans="1:22" ht="12" thickBot="1" x14ac:dyDescent="0.25">
      <c r="B289" s="40"/>
    </row>
    <row r="290" spans="1:22" ht="25.5" customHeight="1" thickBot="1" x14ac:dyDescent="0.25">
      <c r="A290" s="493" t="s">
        <v>440</v>
      </c>
      <c r="B290" s="486"/>
      <c r="C290" s="492"/>
      <c r="D290" s="492"/>
      <c r="E290" s="492"/>
      <c r="F290" s="492"/>
      <c r="G290" s="492"/>
      <c r="H290" s="492"/>
      <c r="I290" s="492"/>
      <c r="J290" s="495" t="str">
        <f>"NPV, " &amp;Параметры!$C$126</f>
        <v>NPV, тыс. руб.</v>
      </c>
      <c r="K290" s="494"/>
      <c r="L290" s="494"/>
      <c r="M290" s="494"/>
      <c r="N290" s="494"/>
      <c r="O290" s="494"/>
      <c r="P290" s="494"/>
      <c r="Q290" s="494"/>
      <c r="R290" s="494"/>
      <c r="S290" s="494"/>
      <c r="T290" s="494"/>
      <c r="U290" s="494"/>
      <c r="V290" s="494"/>
    </row>
    <row r="291" spans="1:22" x14ac:dyDescent="0.2">
      <c r="B291" s="40"/>
    </row>
    <row r="292" spans="1:22" x14ac:dyDescent="0.2">
      <c r="B292" s="40"/>
    </row>
    <row r="293" spans="1:22" x14ac:dyDescent="0.2">
      <c r="B293" s="40"/>
      <c r="C293" s="29" t="str">
        <f>Графики!$C$319</f>
        <v>Анализ чувствительности</v>
      </c>
      <c r="D293" s="12">
        <v>0</v>
      </c>
      <c r="E293" s="12">
        <v>1</v>
      </c>
      <c r="F293" s="12">
        <v>2</v>
      </c>
      <c r="G293" s="12">
        <v>3</v>
      </c>
      <c r="H293" s="12">
        <v>4</v>
      </c>
      <c r="I293" s="12">
        <v>5</v>
      </c>
      <c r="J293" s="12">
        <v>6</v>
      </c>
    </row>
    <row r="294" spans="1:22" x14ac:dyDescent="0.2">
      <c r="B294" s="40"/>
      <c r="D294" s="266"/>
      <c r="E294" s="266"/>
      <c r="F294" s="266"/>
      <c r="G294" s="266"/>
      <c r="H294" s="266"/>
      <c r="I294" s="266"/>
      <c r="J294" s="266"/>
    </row>
    <row r="295" spans="1:22" x14ac:dyDescent="0.2">
      <c r="B295" s="40"/>
      <c r="C295" s="43" t="str">
        <f>Графики!C417</f>
        <v>К инфляции</v>
      </c>
      <c r="D295" s="378">
        <f ca="1">OFFSET(Графики!$E$417,D$136,0)</f>
        <v>3.5847241570710418E-2</v>
      </c>
      <c r="E295" s="378">
        <f ca="1">OFFSET(Графики!$E$417,E$136,0)</f>
        <v>3.5847241570710418E-2</v>
      </c>
      <c r="F295" s="378">
        <f ca="1">OFFSET(Графики!$E$417,F$136,0)</f>
        <v>3.5847241570710418E-2</v>
      </c>
      <c r="G295" s="378">
        <f ca="1">OFFSET(Графики!$E$417,G$136,0)</f>
        <v>3.5847241570710418E-2</v>
      </c>
      <c r="H295" s="378">
        <f ca="1">OFFSET(Графики!$E$417,H$136,0)</f>
        <v>3.5847241570710418E-2</v>
      </c>
      <c r="I295" s="378">
        <f ca="1">OFFSET(Графики!$E$417,I$136,0)</f>
        <v>3.5847241570710418E-2</v>
      </c>
      <c r="J295" s="378">
        <f ca="1">OFFSET(Графики!$E$417,J$136,0)</f>
        <v>3.5847241570710418E-2</v>
      </c>
    </row>
    <row r="296" spans="1:22" x14ac:dyDescent="0.2">
      <c r="B296" s="40"/>
      <c r="D296" s="376">
        <f ca="1">OFFSET(Графики!$F$417,D$136,0)</f>
        <v>1413734.4105973544</v>
      </c>
      <c r="E296" s="376">
        <f ca="1">OFFSET(Графики!$F$417,E$136,0)</f>
        <v>1413734.4105973544</v>
      </c>
      <c r="F296" s="376">
        <f ca="1">OFFSET(Графики!$F$417,F$136,0)</f>
        <v>1413734.4105973544</v>
      </c>
      <c r="G296" s="376">
        <f ca="1">OFFSET(Графики!$F$417,G$136,0)</f>
        <v>1413734.4105973544</v>
      </c>
      <c r="H296" s="376">
        <f ca="1">OFFSET(Графики!$F$417,H$136,0)</f>
        <v>1413734.4105973544</v>
      </c>
      <c r="I296" s="376">
        <f ca="1">OFFSET(Графики!$F$417,I$136,0)</f>
        <v>1413734.4105973544</v>
      </c>
      <c r="J296" s="376">
        <f ca="1">OFFSET(Графики!$F$417,J$136,0)</f>
        <v>1413734.4105973544</v>
      </c>
    </row>
    <row r="297" spans="1:22" x14ac:dyDescent="0.2">
      <c r="B297" s="40"/>
      <c r="C297" s="29" t="str">
        <f>Графики!E415</f>
        <v>Инфляция</v>
      </c>
      <c r="D297" s="266"/>
      <c r="E297" s="266"/>
      <c r="F297" s="266"/>
      <c r="G297" s="266"/>
      <c r="H297" s="266"/>
      <c r="I297" s="266"/>
      <c r="J297" s="266"/>
    </row>
    <row r="298" spans="1:22" x14ac:dyDescent="0.2">
      <c r="B298" s="40"/>
    </row>
    <row r="299" spans="1:22" x14ac:dyDescent="0.2">
      <c r="B299" s="40"/>
    </row>
    <row r="300" spans="1:22" x14ac:dyDescent="0.2">
      <c r="B300" s="40"/>
    </row>
    <row r="301" spans="1:22" x14ac:dyDescent="0.2">
      <c r="B301" s="40"/>
    </row>
    <row r="302" spans="1:22" x14ac:dyDescent="0.2">
      <c r="B302" s="40"/>
    </row>
    <row r="303" spans="1:22" x14ac:dyDescent="0.2">
      <c r="B303" s="40"/>
    </row>
    <row r="304" spans="1:22" x14ac:dyDescent="0.2">
      <c r="B304" s="40"/>
    </row>
    <row r="305" spans="1:13" x14ac:dyDescent="0.2">
      <c r="B305" s="40"/>
    </row>
    <row r="306" spans="1:13" x14ac:dyDescent="0.2">
      <c r="B306" s="40"/>
    </row>
    <row r="307" spans="1:13" x14ac:dyDescent="0.2">
      <c r="B307" s="40"/>
    </row>
    <row r="308" spans="1:13" x14ac:dyDescent="0.2">
      <c r="B308" s="40"/>
    </row>
    <row r="309" spans="1:13" x14ac:dyDescent="0.2">
      <c r="B309" s="40"/>
    </row>
    <row r="310" spans="1:13" x14ac:dyDescent="0.2">
      <c r="B310" s="40"/>
    </row>
    <row r="311" spans="1:13" x14ac:dyDescent="0.2">
      <c r="B311" s="40"/>
    </row>
    <row r="312" spans="1:13" x14ac:dyDescent="0.2">
      <c r="B312" s="40"/>
    </row>
    <row r="313" spans="1:13" x14ac:dyDescent="0.2">
      <c r="B313" s="40"/>
    </row>
    <row r="314" spans="1:13" x14ac:dyDescent="0.2">
      <c r="B314" s="40"/>
    </row>
    <row r="315" spans="1:13" x14ac:dyDescent="0.2">
      <c r="B315" s="40"/>
    </row>
    <row r="316" spans="1:13" x14ac:dyDescent="0.2">
      <c r="B316" s="40"/>
    </row>
    <row r="317" spans="1:13" x14ac:dyDescent="0.2">
      <c r="B317" s="40"/>
    </row>
    <row r="318" spans="1:13" x14ac:dyDescent="0.2">
      <c r="B318" s="40"/>
    </row>
    <row r="319" spans="1:13" ht="14.25" customHeight="1" x14ac:dyDescent="0.2">
      <c r="A319" s="367"/>
      <c r="B319" s="367"/>
      <c r="C319" s="368" t="s">
        <v>462</v>
      </c>
      <c r="D319" s="367"/>
      <c r="E319" s="367"/>
      <c r="F319" s="367"/>
      <c r="G319" s="367"/>
      <c r="H319" s="367"/>
      <c r="I319" s="367"/>
      <c r="J319" s="367"/>
      <c r="K319" s="367"/>
      <c r="L319" s="367"/>
      <c r="M319" s="367"/>
    </row>
    <row r="320" spans="1:13" x14ac:dyDescent="0.2">
      <c r="C320" s="162"/>
    </row>
    <row r="321" spans="3:5" ht="27" customHeight="1" x14ac:dyDescent="0.2">
      <c r="C321" s="379" t="s">
        <v>930</v>
      </c>
      <c r="D321" s="382">
        <v>1</v>
      </c>
      <c r="E321" s="139"/>
    </row>
    <row r="322" spans="3:5" ht="27" customHeight="1" x14ac:dyDescent="0.2">
      <c r="C322" s="380" t="s">
        <v>932</v>
      </c>
      <c r="D322" s="383">
        <v>1</v>
      </c>
      <c r="E322" s="139"/>
    </row>
    <row r="323" spans="3:5" ht="27" customHeight="1" x14ac:dyDescent="0.2">
      <c r="C323" s="380" t="s">
        <v>934</v>
      </c>
      <c r="D323" s="383">
        <v>1</v>
      </c>
      <c r="E323" s="139"/>
    </row>
    <row r="324" spans="3:5" ht="27" customHeight="1" x14ac:dyDescent="0.2">
      <c r="C324" s="380" t="s">
        <v>935</v>
      </c>
      <c r="D324" s="383">
        <v>1</v>
      </c>
      <c r="E324" s="139"/>
    </row>
    <row r="325" spans="3:5" ht="27" customHeight="1" x14ac:dyDescent="0.2">
      <c r="C325" s="380" t="s">
        <v>395</v>
      </c>
      <c r="D325" s="383">
        <v>1</v>
      </c>
      <c r="E325" s="139"/>
    </row>
    <row r="326" spans="3:5" ht="27" customHeight="1" x14ac:dyDescent="0.2">
      <c r="C326" s="380" t="s">
        <v>432</v>
      </c>
      <c r="D326" s="383">
        <v>1</v>
      </c>
      <c r="E326" s="139"/>
    </row>
    <row r="327" spans="3:5" ht="27" customHeight="1" x14ac:dyDescent="0.2">
      <c r="C327" s="380" t="s">
        <v>434</v>
      </c>
      <c r="D327" s="383">
        <v>1</v>
      </c>
      <c r="E327" s="139"/>
    </row>
    <row r="328" spans="3:5" ht="27" customHeight="1" x14ac:dyDescent="0.2">
      <c r="C328" s="381" t="s">
        <v>621</v>
      </c>
      <c r="D328" s="384">
        <v>1</v>
      </c>
      <c r="E328" s="139"/>
    </row>
    <row r="329" spans="3:5" x14ac:dyDescent="0.2">
      <c r="C329" s="162"/>
    </row>
    <row r="330" spans="3:5" x14ac:dyDescent="0.2">
      <c r="C330" s="219" t="s">
        <v>937</v>
      </c>
      <c r="D330" s="385">
        <f ca="1">Бюджетная_система!B60</f>
        <v>1413734.4105973544</v>
      </c>
      <c r="E330" s="29" t="s">
        <v>455</v>
      </c>
    </row>
    <row r="331" spans="3:5" x14ac:dyDescent="0.2">
      <c r="C331" s="219" t="s">
        <v>938</v>
      </c>
      <c r="D331" s="387">
        <f ca="1">Бюджетная_система!B95</f>
        <v>1316555.8641870592</v>
      </c>
      <c r="E331" s="29" t="s">
        <v>455</v>
      </c>
    </row>
    <row r="332" spans="3:5" x14ac:dyDescent="0.2">
      <c r="C332" s="219" t="s">
        <v>939</v>
      </c>
      <c r="D332" s="387">
        <f ca="1">Бюджетная_система!B128</f>
        <v>109526.91181741741</v>
      </c>
      <c r="E332" s="29" t="s">
        <v>455</v>
      </c>
    </row>
    <row r="333" spans="3:5" x14ac:dyDescent="0.2">
      <c r="C333" s="219" t="s">
        <v>468</v>
      </c>
      <c r="D333" s="388">
        <f ca="1">Бюджетная_система!$B$8</f>
        <v>0.10128364613285909</v>
      </c>
    </row>
    <row r="334" spans="3:5" x14ac:dyDescent="0.2">
      <c r="C334" s="162"/>
    </row>
    <row r="335" spans="3:5" x14ac:dyDescent="0.2">
      <c r="C335" s="162"/>
    </row>
    <row r="336" spans="3:5" x14ac:dyDescent="0.2">
      <c r="C336" s="162"/>
    </row>
    <row r="337" spans="3:7" x14ac:dyDescent="0.2">
      <c r="C337" s="162"/>
    </row>
    <row r="338" spans="3:7" ht="45" x14ac:dyDescent="0.2">
      <c r="C338" s="240" t="s">
        <v>376</v>
      </c>
      <c r="D338" s="242" t="s">
        <v>420</v>
      </c>
      <c r="E338" s="242" t="s">
        <v>415</v>
      </c>
      <c r="F338" s="242" t="s">
        <v>469</v>
      </c>
      <c r="G338" s="242" t="s">
        <v>940</v>
      </c>
    </row>
    <row r="339" spans="3:7" x14ac:dyDescent="0.2">
      <c r="C339" s="219" t="s">
        <v>377</v>
      </c>
      <c r="D339" s="297">
        <v>1</v>
      </c>
      <c r="E339" s="243">
        <f ca="1">Графики!$D$330</f>
        <v>1413734.4105973544</v>
      </c>
      <c r="F339" s="243">
        <f ca="1">Графики!$D$331</f>
        <v>1316555.8641870592</v>
      </c>
      <c r="G339" s="243">
        <f ca="1">Графики!$D$332</f>
        <v>109526.91181741741</v>
      </c>
    </row>
    <row r="340" spans="3:7" x14ac:dyDescent="0.2">
      <c r="C340" s="1029" t="s">
        <v>929</v>
      </c>
      <c r="D340" s="298">
        <f>D339-30%</f>
        <v>0.7</v>
      </c>
      <c r="E340" s="288">
        <f t="dataTable" ref="E340:G346" dt2D="0" dtr="0" r1="D321" ca="1"/>
        <v>987107.25566332787</v>
      </c>
      <c r="F340" s="985">
        <v>1106474.7214560679</v>
      </c>
      <c r="G340" s="986">
        <v>109400.42846929323</v>
      </c>
    </row>
    <row r="341" spans="3:7" x14ac:dyDescent="0.2">
      <c r="C341" s="1029"/>
      <c r="D341" s="299">
        <f>D340+10%</f>
        <v>0.79999999999999993</v>
      </c>
      <c r="E341" s="291">
        <v>1106718.6758467481</v>
      </c>
      <c r="F341" s="987">
        <v>1176441.2101369626</v>
      </c>
      <c r="G341" s="988">
        <v>109442.22314482387</v>
      </c>
    </row>
    <row r="342" spans="3:7" x14ac:dyDescent="0.2">
      <c r="C342" s="1029"/>
      <c r="D342" s="299">
        <f t="shared" ref="D342:D346" si="0">D341+10%</f>
        <v>0.89999999999999991</v>
      </c>
      <c r="E342" s="291">
        <v>1259481.7143149117</v>
      </c>
      <c r="F342" s="987">
        <v>1246470.1601335788</v>
      </c>
      <c r="G342" s="988">
        <v>109484.56791797475</v>
      </c>
    </row>
    <row r="343" spans="3:7" x14ac:dyDescent="0.2">
      <c r="C343" s="1029"/>
      <c r="D343" s="299">
        <f t="shared" si="0"/>
        <v>0.99999999999999989</v>
      </c>
      <c r="E343" s="291">
        <v>1413734.4105973542</v>
      </c>
      <c r="F343" s="987">
        <v>1316555.864187059</v>
      </c>
      <c r="G343" s="988">
        <v>109526.91181741741</v>
      </c>
    </row>
    <row r="344" spans="3:7" x14ac:dyDescent="0.2">
      <c r="C344" s="1029"/>
      <c r="D344" s="299">
        <f t="shared" si="0"/>
        <v>1.0999999999999999</v>
      </c>
      <c r="E344" s="291">
        <v>1569378.8620321108</v>
      </c>
      <c r="F344" s="987">
        <v>1386701.35700886</v>
      </c>
      <c r="G344" s="988">
        <v>109569.48760031397</v>
      </c>
    </row>
    <row r="345" spans="3:7" x14ac:dyDescent="0.2">
      <c r="C345" s="1029"/>
      <c r="D345" s="299">
        <f t="shared" si="0"/>
        <v>1.2</v>
      </c>
      <c r="E345" s="291">
        <v>1726159.9846181634</v>
      </c>
      <c r="F345" s="987">
        <v>1456907.1325597765</v>
      </c>
      <c r="G345" s="988">
        <v>109612.2971731141</v>
      </c>
    </row>
    <row r="346" spans="3:7" x14ac:dyDescent="0.2">
      <c r="C346" s="1029"/>
      <c r="D346" s="300">
        <f t="shared" si="0"/>
        <v>1.3</v>
      </c>
      <c r="E346" s="294">
        <v>1884320.3401464513</v>
      </c>
      <c r="F346" s="989">
        <v>1527173.6902459331</v>
      </c>
      <c r="G346" s="990">
        <v>109655.34246318616</v>
      </c>
    </row>
    <row r="347" spans="3:7" x14ac:dyDescent="0.2">
      <c r="C347" s="162"/>
    </row>
    <row r="348" spans="3:7" x14ac:dyDescent="0.2">
      <c r="C348" s="162"/>
    </row>
    <row r="349" spans="3:7" ht="45" x14ac:dyDescent="0.2">
      <c r="C349" s="240" t="s">
        <v>376</v>
      </c>
      <c r="D349" s="242" t="s">
        <v>374</v>
      </c>
      <c r="E349" s="242" t="s">
        <v>415</v>
      </c>
      <c r="F349" s="242" t="s">
        <v>469</v>
      </c>
      <c r="G349" s="242" t="s">
        <v>940</v>
      </c>
    </row>
    <row r="350" spans="3:7" x14ac:dyDescent="0.2">
      <c r="C350" s="219" t="s">
        <v>377</v>
      </c>
      <c r="D350" s="297">
        <v>1</v>
      </c>
      <c r="E350" s="243">
        <f ca="1">Графики!$D$330</f>
        <v>1413734.4105973544</v>
      </c>
      <c r="F350" s="243">
        <f ca="1">Графики!$D$331</f>
        <v>1316555.8641870592</v>
      </c>
      <c r="G350" s="243">
        <f ca="1">Графики!$D$332</f>
        <v>109526.91181741741</v>
      </c>
    </row>
    <row r="351" spans="3:7" x14ac:dyDescent="0.2">
      <c r="C351" s="1029" t="s">
        <v>931</v>
      </c>
      <c r="D351" s="298">
        <f>D350-30%</f>
        <v>0.7</v>
      </c>
      <c r="E351" s="288">
        <f t="dataTable" ref="E351:G357" dt2D="0" dtr="0" r1="D322" ca="1"/>
        <v>1228397.5377888305</v>
      </c>
      <c r="F351" s="985">
        <v>1112995.7508293041</v>
      </c>
      <c r="G351" s="986">
        <v>109471.08085818522</v>
      </c>
    </row>
    <row r="352" spans="3:7" x14ac:dyDescent="0.2">
      <c r="C352" s="1029"/>
      <c r="D352" s="299">
        <f>D351+10%</f>
        <v>0.79999999999999993</v>
      </c>
      <c r="E352" s="291">
        <v>1289913.1599417033</v>
      </c>
      <c r="F352" s="987">
        <v>1180824.7325942223</v>
      </c>
      <c r="G352" s="988">
        <v>109489.6465764968</v>
      </c>
    </row>
    <row r="353" spans="3:7" x14ac:dyDescent="0.2">
      <c r="C353" s="1029"/>
      <c r="D353" s="299">
        <f t="shared" ref="D353:D357" si="1">D352+10%</f>
        <v>0.89999999999999991</v>
      </c>
      <c r="E353" s="291">
        <v>1351572.987916566</v>
      </c>
      <c r="F353" s="987">
        <v>1248678.0743977188</v>
      </c>
      <c r="G353" s="988">
        <v>109508.2568428286</v>
      </c>
    </row>
    <row r="354" spans="3:7" x14ac:dyDescent="0.2">
      <c r="C354" s="1029"/>
      <c r="D354" s="299">
        <f t="shared" si="1"/>
        <v>0.99999999999999989</v>
      </c>
      <c r="E354" s="291">
        <v>1413734.4105973542</v>
      </c>
      <c r="F354" s="987">
        <v>1316555.864187059</v>
      </c>
      <c r="G354" s="988">
        <v>109526.91181741741</v>
      </c>
    </row>
    <row r="355" spans="3:7" x14ac:dyDescent="0.2">
      <c r="C355" s="1029"/>
      <c r="D355" s="299">
        <f t="shared" si="1"/>
        <v>1.0999999999999999</v>
      </c>
      <c r="E355" s="291">
        <v>1475999.4147108814</v>
      </c>
      <c r="F355" s="987">
        <v>1384458.1903325368</v>
      </c>
      <c r="G355" s="988">
        <v>109545.61166126665</v>
      </c>
    </row>
    <row r="356" spans="3:7" x14ac:dyDescent="0.2">
      <c r="C356" s="1029"/>
      <c r="D356" s="299">
        <f t="shared" si="1"/>
        <v>1.2</v>
      </c>
      <c r="E356" s="291">
        <v>1538291.6514384206</v>
      </c>
      <c r="F356" s="987">
        <v>1452385.1416300512</v>
      </c>
      <c r="G356" s="988">
        <v>109564.35653615402</v>
      </c>
    </row>
    <row r="357" spans="3:7" x14ac:dyDescent="0.2">
      <c r="C357" s="1029"/>
      <c r="D357" s="300">
        <f t="shared" si="1"/>
        <v>1.3</v>
      </c>
      <c r="E357" s="294">
        <v>1600778.5440018333</v>
      </c>
      <c r="F357" s="989">
        <v>1520336.80730362</v>
      </c>
      <c r="G357" s="990">
        <v>109583.14660463258</v>
      </c>
    </row>
    <row r="358" spans="3:7" x14ac:dyDescent="0.2">
      <c r="C358" s="105"/>
      <c r="D358" s="244"/>
      <c r="E358" s="266"/>
      <c r="F358" s="82"/>
    </row>
    <row r="359" spans="3:7" x14ac:dyDescent="0.2">
      <c r="C359" s="162"/>
    </row>
    <row r="360" spans="3:7" ht="45" x14ac:dyDescent="0.2">
      <c r="C360" s="240" t="s">
        <v>376</v>
      </c>
      <c r="D360" s="242" t="s">
        <v>378</v>
      </c>
      <c r="E360" s="242" t="s">
        <v>415</v>
      </c>
      <c r="F360" s="242" t="s">
        <v>469</v>
      </c>
      <c r="G360" s="242" t="s">
        <v>940</v>
      </c>
    </row>
    <row r="361" spans="3:7" x14ac:dyDescent="0.2">
      <c r="C361" s="219" t="s">
        <v>377</v>
      </c>
      <c r="D361" s="297">
        <v>1</v>
      </c>
      <c r="E361" s="243">
        <f ca="1">Графики!$D$330</f>
        <v>1413734.4105973544</v>
      </c>
      <c r="F361" s="243">
        <f ca="1">Графики!$D$331</f>
        <v>1316555.8641870592</v>
      </c>
      <c r="G361" s="243">
        <f ca="1">Графики!$D$332</f>
        <v>109526.91181741741</v>
      </c>
    </row>
    <row r="362" spans="3:7" x14ac:dyDescent="0.2">
      <c r="C362" s="1029" t="s">
        <v>933</v>
      </c>
      <c r="D362" s="298">
        <f>D361-30%</f>
        <v>0.7</v>
      </c>
      <c r="E362" s="288">
        <f t="dataTable" ref="E362:G368" dt2D="0" dtr="0" r1="D323" ca="1"/>
        <v>1498552.029193403</v>
      </c>
      <c r="F362" s="985">
        <v>1316555.8641870592</v>
      </c>
      <c r="G362" s="986">
        <v>109526.91181741741</v>
      </c>
    </row>
    <row r="363" spans="3:7" x14ac:dyDescent="0.2">
      <c r="C363" s="1029"/>
      <c r="D363" s="299">
        <f>D362+10%</f>
        <v>0.79999999999999993</v>
      </c>
      <c r="E363" s="291">
        <v>1470279.4896613865</v>
      </c>
      <c r="F363" s="987">
        <v>1316555.8641870592</v>
      </c>
      <c r="G363" s="988">
        <v>109526.91181741741</v>
      </c>
    </row>
    <row r="364" spans="3:7" x14ac:dyDescent="0.2">
      <c r="C364" s="1029"/>
      <c r="D364" s="299">
        <f t="shared" ref="D364:D368" si="2">D363+10%</f>
        <v>0.89999999999999991</v>
      </c>
      <c r="E364" s="291">
        <v>1442006.9501293704</v>
      </c>
      <c r="F364" s="987">
        <v>1316555.8641870592</v>
      </c>
      <c r="G364" s="988">
        <v>109526.91181741741</v>
      </c>
    </row>
    <row r="365" spans="3:7" x14ac:dyDescent="0.2">
      <c r="C365" s="1029"/>
      <c r="D365" s="299">
        <f t="shared" si="2"/>
        <v>0.99999999999999989</v>
      </c>
      <c r="E365" s="291">
        <v>1413734.4105973544</v>
      </c>
      <c r="F365" s="987">
        <v>1316555.8641870592</v>
      </c>
      <c r="G365" s="988">
        <v>109526.91181741741</v>
      </c>
    </row>
    <row r="366" spans="3:7" x14ac:dyDescent="0.2">
      <c r="C366" s="1029"/>
      <c r="D366" s="299">
        <f t="shared" si="2"/>
        <v>1.0999999999999999</v>
      </c>
      <c r="E366" s="291">
        <v>1385461.8710653381</v>
      </c>
      <c r="F366" s="987">
        <v>1316555.8641870592</v>
      </c>
      <c r="G366" s="988">
        <v>109526.91181741741</v>
      </c>
    </row>
    <row r="367" spans="3:7" x14ac:dyDescent="0.2">
      <c r="C367" s="1029"/>
      <c r="D367" s="299">
        <f t="shared" si="2"/>
        <v>1.2</v>
      </c>
      <c r="E367" s="291">
        <v>1357189.3315333219</v>
      </c>
      <c r="F367" s="987">
        <v>1316555.8641870592</v>
      </c>
      <c r="G367" s="988">
        <v>109526.91181741741</v>
      </c>
    </row>
    <row r="368" spans="3:7" x14ac:dyDescent="0.2">
      <c r="C368" s="1029"/>
      <c r="D368" s="300">
        <f t="shared" si="2"/>
        <v>1.3</v>
      </c>
      <c r="E368" s="294">
        <v>1328916.7920013056</v>
      </c>
      <c r="F368" s="989">
        <v>1316555.8641870592</v>
      </c>
      <c r="G368" s="990">
        <v>109526.91181741741</v>
      </c>
    </row>
    <row r="369" spans="3:8" x14ac:dyDescent="0.2">
      <c r="C369" s="162"/>
    </row>
    <row r="370" spans="3:8" x14ac:dyDescent="0.2">
      <c r="C370" s="162"/>
    </row>
    <row r="371" spans="3:8" ht="45" x14ac:dyDescent="0.2">
      <c r="C371" s="240" t="s">
        <v>376</v>
      </c>
      <c r="D371" s="242" t="s">
        <v>379</v>
      </c>
      <c r="E371" s="242" t="s">
        <v>415</v>
      </c>
      <c r="F371" s="242" t="s">
        <v>469</v>
      </c>
      <c r="G371" s="242" t="s">
        <v>940</v>
      </c>
    </row>
    <row r="372" spans="3:8" x14ac:dyDescent="0.2">
      <c r="C372" s="219" t="s">
        <v>377</v>
      </c>
      <c r="D372" s="297">
        <v>1</v>
      </c>
      <c r="E372" s="243">
        <f ca="1">Графики!$D$330</f>
        <v>1413734.4105973544</v>
      </c>
      <c r="F372" s="243">
        <f ca="1">Графики!$D$331</f>
        <v>1316555.8641870592</v>
      </c>
      <c r="G372" s="243">
        <f ca="1">Графики!$D$332</f>
        <v>109526.91181741741</v>
      </c>
    </row>
    <row r="373" spans="3:8" x14ac:dyDescent="0.2">
      <c r="C373" s="1029" t="s">
        <v>936</v>
      </c>
      <c r="D373" s="298">
        <f>D372-30%</f>
        <v>0.7</v>
      </c>
      <c r="E373" s="288">
        <f t="dataTable" ref="E373:G379" dt2D="0" dtr="0" r1="D324" ca="1"/>
        <v>921885.07668891619</v>
      </c>
      <c r="F373" s="985">
        <v>928138.50273384398</v>
      </c>
      <c r="G373" s="986">
        <v>76244.801252871213</v>
      </c>
    </row>
    <row r="374" spans="3:8" x14ac:dyDescent="0.2">
      <c r="C374" s="1029"/>
      <c r="D374" s="299">
        <f>D373+10%</f>
        <v>0.79999999999999993</v>
      </c>
      <c r="E374" s="291">
        <v>1073343.123685708</v>
      </c>
      <c r="F374" s="987">
        <v>1058065.9832039683</v>
      </c>
      <c r="G374" s="988">
        <v>87371.380777976781</v>
      </c>
    </row>
    <row r="375" spans="3:8" x14ac:dyDescent="0.2">
      <c r="C375" s="1029"/>
      <c r="D375" s="299">
        <f t="shared" ref="D375:D379" si="3">D374+10%</f>
        <v>0.89999999999999991</v>
      </c>
      <c r="E375" s="291">
        <v>1243673.5967000967</v>
      </c>
      <c r="F375" s="987">
        <v>1187658.6169984017</v>
      </c>
      <c r="G375" s="988">
        <v>98484.659562666871</v>
      </c>
    </row>
    <row r="376" spans="3:8" x14ac:dyDescent="0.2">
      <c r="C376" s="1029"/>
      <c r="D376" s="299">
        <f t="shared" si="3"/>
        <v>0.99999999999999989</v>
      </c>
      <c r="E376" s="291">
        <v>1413734.4105973539</v>
      </c>
      <c r="F376" s="987">
        <v>1316555.864187059</v>
      </c>
      <c r="G376" s="988">
        <v>109526.91181741741</v>
      </c>
    </row>
    <row r="377" spans="3:8" x14ac:dyDescent="0.2">
      <c r="C377" s="1029"/>
      <c r="D377" s="299">
        <f t="shared" si="3"/>
        <v>1.0999999999999999</v>
      </c>
      <c r="E377" s="291">
        <v>1584686.1276199808</v>
      </c>
      <c r="F377" s="987">
        <v>1445728.3709545461</v>
      </c>
      <c r="G377" s="988">
        <v>120598.98370477215</v>
      </c>
    </row>
    <row r="378" spans="3:8" x14ac:dyDescent="0.2">
      <c r="C378" s="1029"/>
      <c r="D378" s="299">
        <f t="shared" si="3"/>
        <v>1.2</v>
      </c>
      <c r="E378" s="291">
        <v>1756774.0432647867</v>
      </c>
      <c r="F378" s="987">
        <v>1575323.6931178449</v>
      </c>
      <c r="G378" s="988">
        <v>131716.72882566298</v>
      </c>
    </row>
    <row r="379" spans="3:8" x14ac:dyDescent="0.2">
      <c r="C379" s="1029"/>
      <c r="D379" s="300">
        <f t="shared" si="3"/>
        <v>1.3</v>
      </c>
      <c r="E379" s="294">
        <v>1929231.2539490708</v>
      </c>
      <c r="F379" s="989">
        <v>1705118.2991632244</v>
      </c>
      <c r="G379" s="990">
        <v>142841.40713780094</v>
      </c>
    </row>
    <row r="380" spans="3:8" x14ac:dyDescent="0.2">
      <c r="C380" s="162"/>
    </row>
    <row r="381" spans="3:8" x14ac:dyDescent="0.2">
      <c r="C381" s="162"/>
    </row>
    <row r="382" spans="3:8" ht="45" x14ac:dyDescent="0.2">
      <c r="C382" s="240" t="s">
        <v>376</v>
      </c>
      <c r="D382" s="242" t="s">
        <v>461</v>
      </c>
      <c r="E382" s="242" t="s">
        <v>394</v>
      </c>
      <c r="F382" s="242" t="s">
        <v>415</v>
      </c>
      <c r="G382" s="242" t="s">
        <v>469</v>
      </c>
      <c r="H382" s="242" t="s">
        <v>940</v>
      </c>
    </row>
    <row r="383" spans="3:8" x14ac:dyDescent="0.2">
      <c r="C383" s="219" t="s">
        <v>377</v>
      </c>
      <c r="D383" s="297">
        <v>1</v>
      </c>
      <c r="E383" s="245">
        <f ca="1">Графики!$D$333</f>
        <v>0.10128364613285909</v>
      </c>
      <c r="F383" s="243">
        <f ca="1">Графики!$D$330</f>
        <v>1413734.4105973544</v>
      </c>
      <c r="G383" s="243">
        <f ca="1">Графики!$D$331</f>
        <v>1316555.8641870592</v>
      </c>
      <c r="H383" s="243">
        <f ca="1">Графики!$D$332</f>
        <v>109526.91181741741</v>
      </c>
    </row>
    <row r="384" spans="3:8" x14ac:dyDescent="0.2">
      <c r="C384" s="1029" t="s">
        <v>393</v>
      </c>
      <c r="D384" s="298">
        <f>D383-30%</f>
        <v>0.7</v>
      </c>
      <c r="E384" s="289">
        <f t="dataTable" ref="E384:H390" dt2D="0" dtr="0" r1="D325" ca="1"/>
        <v>7.0898552293001363E-2</v>
      </c>
      <c r="F384" s="288">
        <v>1712063.0077884365</v>
      </c>
      <c r="G384" s="985">
        <v>1546858.4791711788</v>
      </c>
      <c r="H384" s="986">
        <v>128110.1822561372</v>
      </c>
    </row>
    <row r="385" spans="3:8" x14ac:dyDescent="0.2">
      <c r="C385" s="1029"/>
      <c r="D385" s="299">
        <f>D384+10%</f>
        <v>0.79999999999999993</v>
      </c>
      <c r="E385" s="292">
        <v>8.1026916906287272E-2</v>
      </c>
      <c r="F385" s="291">
        <v>1604948.057718341</v>
      </c>
      <c r="G385" s="987">
        <v>1464584.9744874353</v>
      </c>
      <c r="H385" s="988">
        <v>121479.45204014478</v>
      </c>
    </row>
    <row r="386" spans="3:8" x14ac:dyDescent="0.2">
      <c r="C386" s="1029"/>
      <c r="D386" s="299">
        <f t="shared" ref="D386:D390" si="4">D385+10%</f>
        <v>0.89999999999999991</v>
      </c>
      <c r="E386" s="292">
        <v>9.1155281519573167E-2</v>
      </c>
      <c r="F386" s="291">
        <v>1505724.9452402382</v>
      </c>
      <c r="G386" s="987">
        <v>1387969.6904620256</v>
      </c>
      <c r="H386" s="988">
        <v>115296.92070813473</v>
      </c>
    </row>
    <row r="387" spans="3:8" x14ac:dyDescent="0.2">
      <c r="C387" s="1029"/>
      <c r="D387" s="299">
        <f t="shared" si="4"/>
        <v>0.99999999999999989</v>
      </c>
      <c r="E387" s="292">
        <v>0.10128364613285908</v>
      </c>
      <c r="F387" s="291">
        <v>1413734.4105973544</v>
      </c>
      <c r="G387" s="987">
        <v>1316555.8641870592</v>
      </c>
      <c r="H387" s="988">
        <v>109526.91181741741</v>
      </c>
    </row>
    <row r="388" spans="3:8" x14ac:dyDescent="0.2">
      <c r="C388" s="1029"/>
      <c r="D388" s="299">
        <f t="shared" si="4"/>
        <v>1.0999999999999999</v>
      </c>
      <c r="E388" s="292">
        <v>0.11141201074614498</v>
      </c>
      <c r="F388" s="291">
        <v>1328378.3558408578</v>
      </c>
      <c r="G388" s="987">
        <v>1249928.4337816199</v>
      </c>
      <c r="H388" s="988">
        <v>104136.96733948385</v>
      </c>
    </row>
    <row r="389" spans="3:8" x14ac:dyDescent="0.2">
      <c r="C389" s="1029"/>
      <c r="D389" s="299">
        <f t="shared" si="4"/>
        <v>1.2</v>
      </c>
      <c r="E389" s="292">
        <v>0.12154037535943091</v>
      </c>
      <c r="F389" s="291">
        <v>1249113.6310571004</v>
      </c>
      <c r="G389" s="987">
        <v>1187709.8259003768</v>
      </c>
      <c r="H389" s="988">
        <v>99097.525932987512</v>
      </c>
    </row>
    <row r="390" spans="3:8" x14ac:dyDescent="0.2">
      <c r="C390" s="1029"/>
      <c r="D390" s="300">
        <f t="shared" si="4"/>
        <v>1.3</v>
      </c>
      <c r="E390" s="295">
        <v>0.13166873997271683</v>
      </c>
      <c r="F390" s="294">
        <v>1175446.504739302</v>
      </c>
      <c r="G390" s="989">
        <v>1129556.2072040851</v>
      </c>
      <c r="H390" s="990">
        <v>94381.63632285966</v>
      </c>
    </row>
    <row r="391" spans="3:8" x14ac:dyDescent="0.2">
      <c r="C391" s="162"/>
    </row>
    <row r="392" spans="3:8" x14ac:dyDescent="0.2">
      <c r="C392" s="162"/>
    </row>
    <row r="393" spans="3:8" ht="45" x14ac:dyDescent="0.2">
      <c r="C393" s="240" t="s">
        <v>376</v>
      </c>
      <c r="D393" s="242" t="s">
        <v>424</v>
      </c>
      <c r="E393" s="242" t="s">
        <v>415</v>
      </c>
      <c r="F393" s="242" t="s">
        <v>469</v>
      </c>
      <c r="G393" s="242" t="s">
        <v>940</v>
      </c>
    </row>
    <row r="394" spans="3:8" x14ac:dyDescent="0.2">
      <c r="C394" s="219" t="s">
        <v>377</v>
      </c>
      <c r="D394" s="297">
        <v>1</v>
      </c>
      <c r="E394" s="243">
        <f ca="1">Графики!$D$330</f>
        <v>1413734.4105973544</v>
      </c>
      <c r="F394" s="243">
        <f ca="1">Графики!$D$331</f>
        <v>1316555.8641870592</v>
      </c>
      <c r="G394" s="243">
        <f ca="1">Графики!$D$332</f>
        <v>109526.91181741741</v>
      </c>
    </row>
    <row r="395" spans="3:8" x14ac:dyDescent="0.2">
      <c r="C395" s="1029" t="s">
        <v>621</v>
      </c>
      <c r="D395" s="298">
        <f>D394-30%</f>
        <v>0.7</v>
      </c>
      <c r="E395" s="288">
        <f t="dataTable" ref="E395:G401" dt2D="0" dtr="0" r1="D328" ca="1"/>
        <v>1413734.4105973544</v>
      </c>
      <c r="F395" s="985">
        <v>1316555.8641870592</v>
      </c>
      <c r="G395" s="986">
        <v>109526.91181741741</v>
      </c>
    </row>
    <row r="396" spans="3:8" x14ac:dyDescent="0.2">
      <c r="C396" s="1029"/>
      <c r="D396" s="299">
        <f>D395+10%</f>
        <v>0.79999999999999993</v>
      </c>
      <c r="E396" s="291">
        <v>1413734.4105973544</v>
      </c>
      <c r="F396" s="987">
        <v>1316555.8641870592</v>
      </c>
      <c r="G396" s="988">
        <v>109526.91181741741</v>
      </c>
    </row>
    <row r="397" spans="3:8" x14ac:dyDescent="0.2">
      <c r="C397" s="1029"/>
      <c r="D397" s="299">
        <f t="shared" ref="D397:D401" si="5">D396+10%</f>
        <v>0.89999999999999991</v>
      </c>
      <c r="E397" s="291">
        <v>1413734.4105973544</v>
      </c>
      <c r="F397" s="987">
        <v>1316555.8641870592</v>
      </c>
      <c r="G397" s="988">
        <v>109526.91181741741</v>
      </c>
    </row>
    <row r="398" spans="3:8" x14ac:dyDescent="0.2">
      <c r="C398" s="1029"/>
      <c r="D398" s="299">
        <f t="shared" si="5"/>
        <v>0.99999999999999989</v>
      </c>
      <c r="E398" s="291">
        <v>1413734.4105973544</v>
      </c>
      <c r="F398" s="987">
        <v>1316555.8641870592</v>
      </c>
      <c r="G398" s="988">
        <v>109526.91181741741</v>
      </c>
    </row>
    <row r="399" spans="3:8" x14ac:dyDescent="0.2">
      <c r="C399" s="1029"/>
      <c r="D399" s="299">
        <f t="shared" si="5"/>
        <v>1.0999999999999999</v>
      </c>
      <c r="E399" s="291">
        <v>1413734.4105973544</v>
      </c>
      <c r="F399" s="987">
        <v>1316555.8641870592</v>
      </c>
      <c r="G399" s="988">
        <v>109526.91181741741</v>
      </c>
    </row>
    <row r="400" spans="3:8" x14ac:dyDescent="0.2">
      <c r="C400" s="1029"/>
      <c r="D400" s="299">
        <f t="shared" si="5"/>
        <v>1.2</v>
      </c>
      <c r="E400" s="291">
        <v>1413734.4105973544</v>
      </c>
      <c r="F400" s="987">
        <v>1316555.8641870592</v>
      </c>
      <c r="G400" s="988">
        <v>109526.91181741741</v>
      </c>
    </row>
    <row r="401" spans="3:8" x14ac:dyDescent="0.2">
      <c r="C401" s="1029"/>
      <c r="D401" s="300">
        <f t="shared" si="5"/>
        <v>1.3</v>
      </c>
      <c r="E401" s="294">
        <v>1413734.4105973544</v>
      </c>
      <c r="F401" s="989">
        <v>1316555.8641870592</v>
      </c>
      <c r="G401" s="990">
        <v>109526.91181741741</v>
      </c>
    </row>
    <row r="402" spans="3:8" x14ac:dyDescent="0.2">
      <c r="C402" s="162"/>
    </row>
    <row r="403" spans="3:8" x14ac:dyDescent="0.2">
      <c r="C403" s="162"/>
    </row>
    <row r="404" spans="3:8" ht="67.5" x14ac:dyDescent="0.2">
      <c r="C404" s="240" t="s">
        <v>376</v>
      </c>
      <c r="D404" s="242" t="s">
        <v>436</v>
      </c>
      <c r="E404" s="242" t="s">
        <v>1098</v>
      </c>
      <c r="F404" s="242" t="s">
        <v>415</v>
      </c>
      <c r="G404" s="242" t="s">
        <v>469</v>
      </c>
      <c r="H404" s="242" t="s">
        <v>940</v>
      </c>
    </row>
    <row r="405" spans="3:8" ht="22.5" x14ac:dyDescent="0.2">
      <c r="C405" s="219" t="s">
        <v>377</v>
      </c>
      <c r="D405" s="297">
        <v>1</v>
      </c>
      <c r="E405" s="369" t="str">
        <f ca="1" xml:space="preserve"> TEXT(AVERAGE(Параметры!D109:OFFSET(Параметры!D109,0,Параметры!$B$24-1)),"# ##0,00") &amp; CHAR(10) &amp; TEXT(AVERAGE(Параметры!D118:OFFSET(Параметры!D118,0,Параметры!$B$24-1)),"# ##0,00") &amp; "   "</f>
        <v xml:space="preserve">78,50
92,40   </v>
      </c>
      <c r="F405" s="243">
        <f ca="1">Графики!$D$330</f>
        <v>1413734.4105973544</v>
      </c>
      <c r="G405" s="243">
        <f ca="1">Графики!$D$331</f>
        <v>1316555.8641870592</v>
      </c>
      <c r="H405" s="243">
        <f ca="1">Графики!$D$332</f>
        <v>109526.91181741741</v>
      </c>
    </row>
    <row r="406" spans="3:8" ht="22.5" x14ac:dyDescent="0.2">
      <c r="C406" s="1029" t="s">
        <v>433</v>
      </c>
      <c r="D406" s="298">
        <f>D405-30%</f>
        <v>0.7</v>
      </c>
      <c r="E406" s="370" t="str">
        <f t="dataTable" ref="E406:H412" dt2D="0" dtr="0" r1="D326" ca="1"/>
        <v xml:space="preserve">78,50
92,40   </v>
      </c>
      <c r="F406" s="288">
        <v>1413734.4105973544</v>
      </c>
      <c r="G406" s="985">
        <v>1316555.8641870592</v>
      </c>
      <c r="H406" s="986">
        <v>109526.91181741741</v>
      </c>
    </row>
    <row r="407" spans="3:8" ht="22.5" x14ac:dyDescent="0.2">
      <c r="C407" s="1029"/>
      <c r="D407" s="299">
        <f>D406+10%</f>
        <v>0.79999999999999993</v>
      </c>
      <c r="E407" s="371" t="str">
        <v xml:space="preserve">78,50
92,40   </v>
      </c>
      <c r="F407" s="291">
        <v>1413734.4105973544</v>
      </c>
      <c r="G407" s="987">
        <v>1316555.8641870592</v>
      </c>
      <c r="H407" s="988">
        <v>109526.91181741741</v>
      </c>
    </row>
    <row r="408" spans="3:8" ht="22.5" x14ac:dyDescent="0.2">
      <c r="C408" s="1029"/>
      <c r="D408" s="299">
        <f t="shared" ref="D408:D412" si="6">D407+10%</f>
        <v>0.89999999999999991</v>
      </c>
      <c r="E408" s="371" t="str">
        <v xml:space="preserve">78,50
92,40   </v>
      </c>
      <c r="F408" s="291">
        <v>1413734.4105973544</v>
      </c>
      <c r="G408" s="987">
        <v>1316555.8641870592</v>
      </c>
      <c r="H408" s="988">
        <v>109526.91181741741</v>
      </c>
    </row>
    <row r="409" spans="3:8" ht="22.5" x14ac:dyDescent="0.2">
      <c r="C409" s="1029"/>
      <c r="D409" s="299">
        <f t="shared" si="6"/>
        <v>0.99999999999999989</v>
      </c>
      <c r="E409" s="371" t="str">
        <v xml:space="preserve">78,50
92,40   </v>
      </c>
      <c r="F409" s="291">
        <v>1413734.4105973544</v>
      </c>
      <c r="G409" s="987">
        <v>1316555.8641870592</v>
      </c>
      <c r="H409" s="988">
        <v>109526.91181741741</v>
      </c>
    </row>
    <row r="410" spans="3:8" ht="22.5" x14ac:dyDescent="0.2">
      <c r="C410" s="1029"/>
      <c r="D410" s="299">
        <f t="shared" si="6"/>
        <v>1.0999999999999999</v>
      </c>
      <c r="E410" s="371" t="str">
        <v xml:space="preserve">78,50
92,40   </v>
      </c>
      <c r="F410" s="291">
        <v>1413734.4105973544</v>
      </c>
      <c r="G410" s="987">
        <v>1316555.8641870592</v>
      </c>
      <c r="H410" s="988">
        <v>109526.91181741741</v>
      </c>
    </row>
    <row r="411" spans="3:8" ht="22.5" x14ac:dyDescent="0.2">
      <c r="C411" s="1029"/>
      <c r="D411" s="299">
        <f t="shared" si="6"/>
        <v>1.2</v>
      </c>
      <c r="E411" s="371" t="str">
        <v xml:space="preserve">78,50
92,40   </v>
      </c>
      <c r="F411" s="291">
        <v>1413734.4105973544</v>
      </c>
      <c r="G411" s="987">
        <v>1316555.8641870592</v>
      </c>
      <c r="H411" s="988">
        <v>109526.91181741741</v>
      </c>
    </row>
    <row r="412" spans="3:8" ht="22.5" x14ac:dyDescent="0.2">
      <c r="C412" s="1029"/>
      <c r="D412" s="300">
        <f t="shared" si="6"/>
        <v>1.3</v>
      </c>
      <c r="E412" s="372" t="str">
        <v xml:space="preserve">78,50
92,40   </v>
      </c>
      <c r="F412" s="294">
        <v>1413734.4105973544</v>
      </c>
      <c r="G412" s="989">
        <v>1316555.8641870592</v>
      </c>
      <c r="H412" s="990">
        <v>109526.91181741741</v>
      </c>
    </row>
    <row r="413" spans="3:8" x14ac:dyDescent="0.2">
      <c r="C413" s="162"/>
    </row>
    <row r="414" spans="3:8" x14ac:dyDescent="0.2">
      <c r="C414" s="162"/>
    </row>
    <row r="415" spans="3:8" ht="46.5" customHeight="1" x14ac:dyDescent="0.2">
      <c r="C415" s="240" t="s">
        <v>376</v>
      </c>
      <c r="D415" s="242" t="s">
        <v>437</v>
      </c>
      <c r="E415" s="224" t="s">
        <v>443</v>
      </c>
      <c r="F415" s="242" t="s">
        <v>415</v>
      </c>
      <c r="G415" s="242" t="s">
        <v>469</v>
      </c>
      <c r="H415" s="242" t="s">
        <v>940</v>
      </c>
    </row>
    <row r="416" spans="3:8" x14ac:dyDescent="0.2">
      <c r="C416" s="219" t="s">
        <v>377</v>
      </c>
      <c r="D416" s="297">
        <v>1</v>
      </c>
      <c r="E416" s="243">
        <f ca="1">AVERAGE(Параметры!E65:OFFSET(Параметры!E65,0,Параметры!$B$24-1))</f>
        <v>3.5847241570710418E-2</v>
      </c>
      <c r="F416" s="243">
        <f ca="1">Графики!$D$330</f>
        <v>1413734.4105973544</v>
      </c>
      <c r="G416" s="243">
        <f ca="1">Графики!$D$331</f>
        <v>1316555.8641870592</v>
      </c>
      <c r="H416" s="243">
        <f ca="1">Графики!$D$332</f>
        <v>109526.91181741741</v>
      </c>
    </row>
    <row r="417" spans="3:8" x14ac:dyDescent="0.2">
      <c r="C417" s="1029" t="s">
        <v>435</v>
      </c>
      <c r="D417" s="298">
        <f>D416-30%</f>
        <v>0.7</v>
      </c>
      <c r="E417" s="289">
        <f t="dataTable" ref="E417:H423" dt2D="0" dtr="0" r1="D327" ca="1"/>
        <v>3.5847241570710418E-2</v>
      </c>
      <c r="F417" s="288">
        <v>1413734.4105973544</v>
      </c>
      <c r="G417" s="985">
        <v>1316555.8641870592</v>
      </c>
      <c r="H417" s="986">
        <v>109526.91181741741</v>
      </c>
    </row>
    <row r="418" spans="3:8" x14ac:dyDescent="0.2">
      <c r="C418" s="1029"/>
      <c r="D418" s="299">
        <f>D417+10%</f>
        <v>0.79999999999999993</v>
      </c>
      <c r="E418" s="292">
        <v>3.5847241570710418E-2</v>
      </c>
      <c r="F418" s="291">
        <v>1413734.4105973544</v>
      </c>
      <c r="G418" s="987">
        <v>1316555.8641870592</v>
      </c>
      <c r="H418" s="988">
        <v>109526.91181741741</v>
      </c>
    </row>
    <row r="419" spans="3:8" x14ac:dyDescent="0.2">
      <c r="C419" s="1029"/>
      <c r="D419" s="299">
        <f t="shared" ref="D419:D423" si="7">D418+10%</f>
        <v>0.89999999999999991</v>
      </c>
      <c r="E419" s="292">
        <v>3.5847241570710418E-2</v>
      </c>
      <c r="F419" s="291">
        <v>1413734.4105973544</v>
      </c>
      <c r="G419" s="987">
        <v>1316555.8641870592</v>
      </c>
      <c r="H419" s="988">
        <v>109526.91181741741</v>
      </c>
    </row>
    <row r="420" spans="3:8" x14ac:dyDescent="0.2">
      <c r="C420" s="1029"/>
      <c r="D420" s="299">
        <f t="shared" si="7"/>
        <v>0.99999999999999989</v>
      </c>
      <c r="E420" s="292">
        <v>3.5847241570710418E-2</v>
      </c>
      <c r="F420" s="291">
        <v>1413734.4105973544</v>
      </c>
      <c r="G420" s="987">
        <v>1316555.8641870592</v>
      </c>
      <c r="H420" s="988">
        <v>109526.91181741741</v>
      </c>
    </row>
    <row r="421" spans="3:8" x14ac:dyDescent="0.2">
      <c r="C421" s="1029"/>
      <c r="D421" s="299">
        <f t="shared" si="7"/>
        <v>1.0999999999999999</v>
      </c>
      <c r="E421" s="292">
        <v>3.5847241570710418E-2</v>
      </c>
      <c r="F421" s="291">
        <v>1413734.4105973544</v>
      </c>
      <c r="G421" s="987">
        <v>1316555.8641870592</v>
      </c>
      <c r="H421" s="988">
        <v>109526.91181741741</v>
      </c>
    </row>
    <row r="422" spans="3:8" x14ac:dyDescent="0.2">
      <c r="C422" s="1029"/>
      <c r="D422" s="299">
        <f t="shared" si="7"/>
        <v>1.2</v>
      </c>
      <c r="E422" s="292">
        <v>3.5847241570710418E-2</v>
      </c>
      <c r="F422" s="291">
        <v>1413734.4105973544</v>
      </c>
      <c r="G422" s="987">
        <v>1316555.8641870592</v>
      </c>
      <c r="H422" s="988">
        <v>109526.91181741741</v>
      </c>
    </row>
    <row r="423" spans="3:8" x14ac:dyDescent="0.2">
      <c r="C423" s="1029"/>
      <c r="D423" s="300">
        <f t="shared" si="7"/>
        <v>1.3</v>
      </c>
      <c r="E423" s="295">
        <v>3.5847241570710418E-2</v>
      </c>
      <c r="F423" s="294">
        <v>1413734.4105973544</v>
      </c>
      <c r="G423" s="989">
        <v>1316555.8641870592</v>
      </c>
      <c r="H423" s="990">
        <v>109526.91181741741</v>
      </c>
    </row>
    <row r="424" spans="3:8" x14ac:dyDescent="0.2">
      <c r="C424" s="162"/>
    </row>
    <row r="425" spans="3:8" x14ac:dyDescent="0.2">
      <c r="C425" s="162"/>
    </row>
    <row r="426" spans="3:8" ht="111" customHeight="1" x14ac:dyDescent="0.2">
      <c r="C426" s="1030" t="s">
        <v>479</v>
      </c>
      <c r="D426" s="1030"/>
      <c r="E426" s="1030"/>
      <c r="F426" s="1030"/>
      <c r="G426" s="1030"/>
      <c r="H426" s="1030"/>
    </row>
  </sheetData>
  <sheetProtection formatCells="0"/>
  <mergeCells count="9">
    <mergeCell ref="C406:C412"/>
    <mergeCell ref="C417:C423"/>
    <mergeCell ref="C426:H426"/>
    <mergeCell ref="C340:C346"/>
    <mergeCell ref="C351:C357"/>
    <mergeCell ref="C362:C368"/>
    <mergeCell ref="C373:C379"/>
    <mergeCell ref="C384:C390"/>
    <mergeCell ref="C395:C401"/>
  </mergeCells>
  <conditionalFormatting sqref="E340:E346 E406:E412">
    <cfRule type="cellIs" dxfId="48" priority="88" operator="lessThan">
      <formula>0</formula>
    </cfRule>
  </conditionalFormatting>
  <conditionalFormatting sqref="G340:G346">
    <cfRule type="cellIs" dxfId="47" priority="85" operator="lessThanOrEqual">
      <formula>0</formula>
    </cfRule>
  </conditionalFormatting>
  <conditionalFormatting sqref="F340:G346">
    <cfRule type="containsErrors" dxfId="46" priority="89">
      <formula>ISERROR(F340)</formula>
    </cfRule>
  </conditionalFormatting>
  <conditionalFormatting sqref="E384:E390">
    <cfRule type="cellIs" dxfId="45" priority="63" operator="lessThan">
      <formula>0</formula>
    </cfRule>
  </conditionalFormatting>
  <conditionalFormatting sqref="E417:E423">
    <cfRule type="cellIs" dxfId="44" priority="57" operator="lessThan">
      <formula>0</formula>
    </cfRule>
  </conditionalFormatting>
  <conditionalFormatting sqref="F340:F346">
    <cfRule type="cellIs" dxfId="43" priority="87" operator="lessThan">
      <formula>$D$333</formula>
    </cfRule>
  </conditionalFormatting>
  <conditionalFormatting sqref="E351:E357">
    <cfRule type="cellIs" dxfId="42" priority="34" operator="lessThan">
      <formula>0</formula>
    </cfRule>
  </conditionalFormatting>
  <conditionalFormatting sqref="G351:G357">
    <cfRule type="cellIs" dxfId="41" priority="32" operator="lessThanOrEqual">
      <formula>0</formula>
    </cfRule>
  </conditionalFormatting>
  <conditionalFormatting sqref="F351:G357">
    <cfRule type="containsErrors" dxfId="40" priority="35">
      <formula>ISERROR(F351)</formula>
    </cfRule>
  </conditionalFormatting>
  <conditionalFormatting sqref="F351:F357">
    <cfRule type="cellIs" dxfId="39" priority="33" operator="lessThan">
      <formula>$D$333</formula>
    </cfRule>
  </conditionalFormatting>
  <conditionalFormatting sqref="E362:E368">
    <cfRule type="cellIs" dxfId="38" priority="29" operator="lessThan">
      <formula>0</formula>
    </cfRule>
  </conditionalFormatting>
  <conditionalFormatting sqref="G362:G368">
    <cfRule type="cellIs" dxfId="37" priority="27" operator="lessThanOrEqual">
      <formula>0</formula>
    </cfRule>
  </conditionalFormatting>
  <conditionalFormatting sqref="F362:G368">
    <cfRule type="containsErrors" dxfId="36" priority="30">
      <formula>ISERROR(F362)</formula>
    </cfRule>
  </conditionalFormatting>
  <conditionalFormatting sqref="F362:F368">
    <cfRule type="cellIs" dxfId="35" priority="28" operator="lessThan">
      <formula>$D$333</formula>
    </cfRule>
  </conditionalFormatting>
  <conditionalFormatting sqref="E373:E379">
    <cfRule type="cellIs" dxfId="34" priority="24" operator="lessThan">
      <formula>0</formula>
    </cfRule>
  </conditionalFormatting>
  <conditionalFormatting sqref="G373:G379">
    <cfRule type="cellIs" dxfId="33" priority="22" operator="lessThanOrEqual">
      <formula>0</formula>
    </cfRule>
  </conditionalFormatting>
  <conditionalFormatting sqref="F373:G379">
    <cfRule type="containsErrors" dxfId="32" priority="25">
      <formula>ISERROR(F373)</formula>
    </cfRule>
  </conditionalFormatting>
  <conditionalFormatting sqref="F373:F379">
    <cfRule type="cellIs" dxfId="31" priority="23" operator="lessThan">
      <formula>$D$333</formula>
    </cfRule>
  </conditionalFormatting>
  <conditionalFormatting sqref="F384:F390">
    <cfRule type="cellIs" dxfId="30" priority="19" operator="lessThan">
      <formula>0</formula>
    </cfRule>
  </conditionalFormatting>
  <conditionalFormatting sqref="H384:H390">
    <cfRule type="cellIs" dxfId="29" priority="17" operator="lessThanOrEqual">
      <formula>0</formula>
    </cfRule>
  </conditionalFormatting>
  <conditionalFormatting sqref="G384:H390">
    <cfRule type="containsErrors" dxfId="28" priority="20">
      <formula>ISERROR(G384)</formula>
    </cfRule>
  </conditionalFormatting>
  <conditionalFormatting sqref="G384:G390">
    <cfRule type="cellIs" dxfId="27" priority="18" operator="lessThan">
      <formula>$D$333</formula>
    </cfRule>
  </conditionalFormatting>
  <conditionalFormatting sqref="E395:E401">
    <cfRule type="cellIs" dxfId="26" priority="14" operator="lessThan">
      <formula>0</formula>
    </cfRule>
  </conditionalFormatting>
  <conditionalFormatting sqref="G395:G401">
    <cfRule type="cellIs" dxfId="25" priority="12" operator="lessThanOrEqual">
      <formula>0</formula>
    </cfRule>
  </conditionalFormatting>
  <conditionalFormatting sqref="F395:G401">
    <cfRule type="containsErrors" dxfId="24" priority="15">
      <formula>ISERROR(F395)</formula>
    </cfRule>
  </conditionalFormatting>
  <conditionalFormatting sqref="F395:F401">
    <cfRule type="cellIs" dxfId="23" priority="13" operator="lessThan">
      <formula>$D$333</formula>
    </cfRule>
  </conditionalFormatting>
  <conditionalFormatting sqref="F406:F412">
    <cfRule type="cellIs" dxfId="22" priority="9" operator="lessThan">
      <formula>0</formula>
    </cfRule>
  </conditionalFormatting>
  <conditionalFormatting sqref="H406:H412">
    <cfRule type="cellIs" dxfId="21" priority="7" operator="lessThanOrEqual">
      <formula>0</formula>
    </cfRule>
  </conditionalFormatting>
  <conditionalFormatting sqref="G406:H412">
    <cfRule type="containsErrors" dxfId="20" priority="10">
      <formula>ISERROR(G406)</formula>
    </cfRule>
  </conditionalFormatting>
  <conditionalFormatting sqref="G406:G412">
    <cfRule type="cellIs" dxfId="19" priority="8" operator="lessThan">
      <formula>$D$333</formula>
    </cfRule>
  </conditionalFormatting>
  <conditionalFormatting sqref="F417:F423">
    <cfRule type="cellIs" dxfId="18" priority="4" operator="lessThan">
      <formula>0</formula>
    </cfRule>
  </conditionalFormatting>
  <conditionalFormatting sqref="H417:H423">
    <cfRule type="cellIs" dxfId="17" priority="2" operator="lessThanOrEqual">
      <formula>0</formula>
    </cfRule>
  </conditionalFormatting>
  <conditionalFormatting sqref="G417:H423">
    <cfRule type="containsErrors" dxfId="16" priority="5">
      <formula>ISERROR(G417)</formula>
    </cfRule>
  </conditionalFormatting>
  <conditionalFormatting sqref="G417:G423">
    <cfRule type="cellIs" dxfId="15" priority="3" operator="lessThan">
      <formula>$D$333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0" operator="containsText" id="{A55B45E6-2B9E-4D63-887A-42237EBFF0A2}">
            <xm:f>NOT(ISERROR(SEARCH("-",G340)))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G340:G346</xm:sqref>
        </x14:conditionalFormatting>
        <x14:conditionalFormatting xmlns:xm="http://schemas.microsoft.com/office/excel/2006/main">
          <x14:cfRule type="containsText" priority="86" operator="containsText" id="{63EAD0B5-03CA-4958-8E90-F12EA6284B5B}">
            <xm:f>NOT(ISERROR(SEARCH("-",L340)))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L340</xm:sqref>
        </x14:conditionalFormatting>
        <x14:conditionalFormatting xmlns:xm="http://schemas.microsoft.com/office/excel/2006/main">
          <x14:cfRule type="containsText" priority="84" operator="containsText" id="{E7767B38-069F-49FF-93BE-71579128961D}">
            <xm:f>NOT(ISERROR(SEARCH("-",L351)))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L351</xm:sqref>
        </x14:conditionalFormatting>
        <x14:conditionalFormatting xmlns:xm="http://schemas.microsoft.com/office/excel/2006/main">
          <x14:cfRule type="containsText" priority="83" operator="containsText" id="{4DC60694-221B-449E-BC70-42E88ADCA4A5}">
            <xm:f>NOT(ISERROR(SEARCH("-",L362)))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L362</xm:sqref>
        </x14:conditionalFormatting>
        <x14:conditionalFormatting xmlns:xm="http://schemas.microsoft.com/office/excel/2006/main">
          <x14:cfRule type="containsText" priority="82" operator="containsText" id="{28CF15FC-B94F-4610-B1F5-F7BDA4FC1A1E}">
            <xm:f>NOT(ISERROR(SEARCH("-",L373)))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L373</xm:sqref>
        </x14:conditionalFormatting>
        <x14:conditionalFormatting xmlns:xm="http://schemas.microsoft.com/office/excel/2006/main">
          <x14:cfRule type="containsText" priority="81" operator="containsText" id="{3C508660-438B-4536-A25D-E129F509AA80}">
            <xm:f>NOT(ISERROR(SEARCH("-",L395)))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L395</xm:sqref>
        </x14:conditionalFormatting>
        <x14:conditionalFormatting xmlns:xm="http://schemas.microsoft.com/office/excel/2006/main">
          <x14:cfRule type="containsText" priority="59" operator="containsText" id="{69D589EB-2E56-495E-9FA2-95D4C3D82422}">
            <xm:f>NOT(ISERROR(SEARCH("-",L406)))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L406</xm:sqref>
        </x14:conditionalFormatting>
        <x14:conditionalFormatting xmlns:xm="http://schemas.microsoft.com/office/excel/2006/main">
          <x14:cfRule type="containsText" priority="58" operator="containsText" id="{FBF1DE4A-7C8D-49EC-BD60-314DF2452CF8}">
            <xm:f>NOT(ISERROR(SEARCH("-",L417)))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L417</xm:sqref>
        </x14:conditionalFormatting>
        <x14:conditionalFormatting xmlns:xm="http://schemas.microsoft.com/office/excel/2006/main">
          <x14:cfRule type="containsText" priority="31" operator="containsText" id="{A025E0E9-522B-4964-9AC5-159F61728F4F}">
            <xm:f>NOT(ISERROR(SEARCH("-",G351)))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G351:G357</xm:sqref>
        </x14:conditionalFormatting>
        <x14:conditionalFormatting xmlns:xm="http://schemas.microsoft.com/office/excel/2006/main">
          <x14:cfRule type="containsText" priority="26" operator="containsText" id="{CAC743D2-1925-4A1C-9D67-349B5A42DB93}">
            <xm:f>NOT(ISERROR(SEARCH("-",G362)))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G362:G368</xm:sqref>
        </x14:conditionalFormatting>
        <x14:conditionalFormatting xmlns:xm="http://schemas.microsoft.com/office/excel/2006/main">
          <x14:cfRule type="containsText" priority="21" operator="containsText" id="{099EBE79-211C-4D74-8367-31724B082EF1}">
            <xm:f>NOT(ISERROR(SEARCH("-",G373)))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G373:G379</xm:sqref>
        </x14:conditionalFormatting>
        <x14:conditionalFormatting xmlns:xm="http://schemas.microsoft.com/office/excel/2006/main">
          <x14:cfRule type="containsText" priority="16" operator="containsText" id="{4DF033F8-F03B-4A1C-8EB0-0C48090877EB}">
            <xm:f>NOT(ISERROR(SEARCH("-",H384)))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H384:H390</xm:sqref>
        </x14:conditionalFormatting>
        <x14:conditionalFormatting xmlns:xm="http://schemas.microsoft.com/office/excel/2006/main">
          <x14:cfRule type="containsText" priority="11" operator="containsText" id="{FC5E104D-D215-4A99-984C-C640F2868FC7}">
            <xm:f>NOT(ISERROR(SEARCH("-",G395)))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G395:G401</xm:sqref>
        </x14:conditionalFormatting>
        <x14:conditionalFormatting xmlns:xm="http://schemas.microsoft.com/office/excel/2006/main">
          <x14:cfRule type="containsText" priority="6" operator="containsText" id="{E90E6D52-C639-4C4E-879E-D9120FC08CB6}">
            <xm:f>NOT(ISERROR(SEARCH("-",H406)))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H406:H412</xm:sqref>
        </x14:conditionalFormatting>
        <x14:conditionalFormatting xmlns:xm="http://schemas.microsoft.com/office/excel/2006/main">
          <x14:cfRule type="containsText" priority="1" operator="containsText" id="{9FDD8FC6-D5C2-4DE6-BCFD-93B7FB8FC3E2}">
            <xm:f>NOT(ISERROR(SEARCH("-",H417)))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H417:H423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58</vt:i4>
      </vt:variant>
    </vt:vector>
  </HeadingPairs>
  <TitlesOfParts>
    <vt:vector size="97" baseType="lpstr">
      <vt:lpstr>Readme</vt:lpstr>
      <vt:lpstr>ИД</vt:lpstr>
      <vt:lpstr>Параметры</vt:lpstr>
      <vt:lpstr>Деятельность_УК</vt:lpstr>
      <vt:lpstr>Результаты_УК</vt:lpstr>
      <vt:lpstr>Графики_УК</vt:lpstr>
      <vt:lpstr>Резиденты</vt:lpstr>
      <vt:lpstr>Бюджетная_система</vt:lpstr>
      <vt:lpstr>Графики</vt:lpstr>
      <vt:lpstr>Титул</vt:lpstr>
      <vt:lpstr>Оглавление</vt:lpstr>
      <vt:lpstr>Таб. 1</vt:lpstr>
      <vt:lpstr>Таб. 2</vt:lpstr>
      <vt:lpstr>Таб. 3</vt:lpstr>
      <vt:lpstr>Таб. 4</vt:lpstr>
      <vt:lpstr>Таб. 5</vt:lpstr>
      <vt:lpstr>Таб. 6</vt:lpstr>
      <vt:lpstr>Таб. 7</vt:lpstr>
      <vt:lpstr>Таб. 8</vt:lpstr>
      <vt:lpstr>Таб. 9</vt:lpstr>
      <vt:lpstr>Таб. 10</vt:lpstr>
      <vt:lpstr>Таб. 11</vt:lpstr>
      <vt:lpstr>Таб. 12</vt:lpstr>
      <vt:lpstr>Таб. 13</vt:lpstr>
      <vt:lpstr>Таб. 14</vt:lpstr>
      <vt:lpstr>Таб. 15</vt:lpstr>
      <vt:lpstr>Таб. 16</vt:lpstr>
      <vt:lpstr>Таб. 17</vt:lpstr>
      <vt:lpstr>Таб. 18</vt:lpstr>
      <vt:lpstr>Таб. 19</vt:lpstr>
      <vt:lpstr>Таб. 20</vt:lpstr>
      <vt:lpstr>Таб. 21</vt:lpstr>
      <vt:lpstr>Таб. 22</vt:lpstr>
      <vt:lpstr>Таб. 23</vt:lpstr>
      <vt:lpstr>Таб. 24</vt:lpstr>
      <vt:lpstr>Таб. 25</vt:lpstr>
      <vt:lpstr>Таб. 26</vt:lpstr>
      <vt:lpstr>Таб. 27</vt:lpstr>
      <vt:lpstr>Таб. 28</vt:lpstr>
      <vt:lpstr>'Таб. 1'!Заголовки_для_печати</vt:lpstr>
      <vt:lpstr>'Таб. 10'!Заголовки_для_печати</vt:lpstr>
      <vt:lpstr>'Таб. 11'!Заголовки_для_печати</vt:lpstr>
      <vt:lpstr>'Таб. 12'!Заголовки_для_печати</vt:lpstr>
      <vt:lpstr>'Таб. 13'!Заголовки_для_печати</vt:lpstr>
      <vt:lpstr>'Таб. 14'!Заголовки_для_печати</vt:lpstr>
      <vt:lpstr>'Таб. 15'!Заголовки_для_печати</vt:lpstr>
      <vt:lpstr>'Таб. 16'!Заголовки_для_печати</vt:lpstr>
      <vt:lpstr>'Таб. 17'!Заголовки_для_печати</vt:lpstr>
      <vt:lpstr>'Таб. 18'!Заголовки_для_печати</vt:lpstr>
      <vt:lpstr>'Таб. 19'!Заголовки_для_печати</vt:lpstr>
      <vt:lpstr>'Таб. 2'!Заголовки_для_печати</vt:lpstr>
      <vt:lpstr>'Таб. 20'!Заголовки_для_печати</vt:lpstr>
      <vt:lpstr>'Таб. 21'!Заголовки_для_печати</vt:lpstr>
      <vt:lpstr>'Таб. 22'!Заголовки_для_печати</vt:lpstr>
      <vt:lpstr>'Таб. 23'!Заголовки_для_печати</vt:lpstr>
      <vt:lpstr>'Таб. 24'!Заголовки_для_печати</vt:lpstr>
      <vt:lpstr>'Таб. 25'!Заголовки_для_печати</vt:lpstr>
      <vt:lpstr>'Таб. 26'!Заголовки_для_печати</vt:lpstr>
      <vt:lpstr>'Таб. 27'!Заголовки_для_печати</vt:lpstr>
      <vt:lpstr>'Таб. 28'!Заголовки_для_печати</vt:lpstr>
      <vt:lpstr>'Таб. 3'!Заголовки_для_печати</vt:lpstr>
      <vt:lpstr>'Таб. 4'!Заголовки_для_печати</vt:lpstr>
      <vt:lpstr>'Таб. 5'!Заголовки_для_печати</vt:lpstr>
      <vt:lpstr>'Таб. 6'!Заголовки_для_печати</vt:lpstr>
      <vt:lpstr>'Таб. 7'!Заголовки_для_печати</vt:lpstr>
      <vt:lpstr>'Таб. 8'!Заголовки_для_печати</vt:lpstr>
      <vt:lpstr>'Таб. 9'!Заголовки_для_печати</vt:lpstr>
      <vt:lpstr>Readme!Область_печати</vt:lpstr>
      <vt:lpstr>'Таб. 1'!Область_печати</vt:lpstr>
      <vt:lpstr>'Таб. 10'!Область_печати</vt:lpstr>
      <vt:lpstr>'Таб. 11'!Область_печати</vt:lpstr>
      <vt:lpstr>'Таб. 12'!Область_печати</vt:lpstr>
      <vt:lpstr>'Таб. 13'!Область_печати</vt:lpstr>
      <vt:lpstr>'Таб. 14'!Область_печати</vt:lpstr>
      <vt:lpstr>'Таб. 15'!Область_печати</vt:lpstr>
      <vt:lpstr>'Таб. 16'!Область_печати</vt:lpstr>
      <vt:lpstr>'Таб. 17'!Область_печати</vt:lpstr>
      <vt:lpstr>'Таб. 18'!Область_печати</vt:lpstr>
      <vt:lpstr>'Таб. 19'!Область_печати</vt:lpstr>
      <vt:lpstr>'Таб. 2'!Область_печати</vt:lpstr>
      <vt:lpstr>'Таб. 20'!Область_печати</vt:lpstr>
      <vt:lpstr>'Таб. 21'!Область_печати</vt:lpstr>
      <vt:lpstr>'Таб. 22'!Область_печати</vt:lpstr>
      <vt:lpstr>'Таб. 23'!Область_печати</vt:lpstr>
      <vt:lpstr>'Таб. 24'!Область_печати</vt:lpstr>
      <vt:lpstr>'Таб. 25'!Область_печати</vt:lpstr>
      <vt:lpstr>'Таб. 26'!Область_печати</vt:lpstr>
      <vt:lpstr>'Таб. 27'!Область_печати</vt:lpstr>
      <vt:lpstr>'Таб. 28'!Область_печати</vt:lpstr>
      <vt:lpstr>'Таб. 3'!Область_печати</vt:lpstr>
      <vt:lpstr>'Таб. 4'!Область_печати</vt:lpstr>
      <vt:lpstr>'Таб. 5'!Область_печати</vt:lpstr>
      <vt:lpstr>'Таб. 6'!Область_печати</vt:lpstr>
      <vt:lpstr>'Таб. 7'!Область_печати</vt:lpstr>
      <vt:lpstr>'Таб. 8'!Область_печати</vt:lpstr>
      <vt:lpstr>'Таб. 9'!Область_печати</vt:lpstr>
      <vt:lpstr>Титул!Область_печати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Наталия</cp:lastModifiedBy>
  <cp:lastPrinted>2020-11-21T05:30:15Z</cp:lastPrinted>
  <dcterms:created xsi:type="dcterms:W3CDTF">2013-06-17T12:41:45Z</dcterms:created>
  <dcterms:modified xsi:type="dcterms:W3CDTF">2023-08-08T12:39:53Z</dcterms:modified>
</cp:coreProperties>
</file>